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0" windowWidth="16815" windowHeight="7605" tabRatio="948" activeTab="54"/>
  </bookViews>
  <sheets>
    <sheet name="Input data" sheetId="69" r:id="rId1"/>
    <sheet name="VYSVETLIVKY" sheetId="51" r:id="rId2"/>
    <sheet name="6" sheetId="8" state="hidden" r:id="rId3"/>
    <sheet name="7" sheetId="9" state="hidden" r:id="rId4"/>
    <sheet name="8" sheetId="10" state="hidden" r:id="rId5"/>
    <sheet name="9" sheetId="11" state="hidden" r:id="rId6"/>
    <sheet name="10" sheetId="12" state="hidden" r:id="rId7"/>
    <sheet name="11" sheetId="13" state="hidden" r:id="rId8"/>
    <sheet name="12" sheetId="14" state="hidden" r:id="rId9"/>
    <sheet name="12_tabulka c.2" sheetId="53" state="hidden" r:id="rId10"/>
    <sheet name="13" sheetId="15" state="hidden" r:id="rId11"/>
    <sheet name="14_tabulka 1 a 3" sheetId="56" state="hidden" r:id="rId12"/>
    <sheet name="14_tabulka 2 a 4" sheetId="57" state="hidden" r:id="rId13"/>
    <sheet name="15" sheetId="17" state="hidden" r:id="rId14"/>
    <sheet name="16" sheetId="18" state="hidden" r:id="rId15"/>
    <sheet name="16_tabulka c.2" sheetId="54" state="hidden" r:id="rId16"/>
    <sheet name="17" sheetId="19" state="hidden" r:id="rId17"/>
    <sheet name="18" sheetId="20" state="hidden" r:id="rId18"/>
    <sheet name="18_tabulka c.2" sheetId="55" state="hidden" r:id="rId19"/>
    <sheet name="19" sheetId="21" state="hidden" r:id="rId20"/>
    <sheet name="20" sheetId="22" state="hidden" r:id="rId21"/>
    <sheet name="21" sheetId="23" state="hidden" r:id="rId22"/>
    <sheet name="22" sheetId="24" state="hidden" r:id="rId23"/>
    <sheet name="23" sheetId="25" state="hidden" r:id="rId24"/>
    <sheet name="24" sheetId="26" state="hidden" r:id="rId25"/>
    <sheet name="24_tabulky 3 a 4" sheetId="50" state="hidden" r:id="rId26"/>
    <sheet name="25" sheetId="27" state="hidden" r:id="rId27"/>
    <sheet name="26" sheetId="28" state="hidden" r:id="rId28"/>
    <sheet name="27" sheetId="30" state="hidden" r:id="rId29"/>
    <sheet name="28" sheetId="31" state="hidden" r:id="rId30"/>
    <sheet name="29" sheetId="32" state="hidden" r:id="rId31"/>
    <sheet name="30" sheetId="29" state="hidden" r:id="rId32"/>
    <sheet name="31" sheetId="33" state="hidden" r:id="rId33"/>
    <sheet name="32" sheetId="34" state="hidden" r:id="rId34"/>
    <sheet name="32_tabulka 2" sheetId="59" state="hidden" r:id="rId35"/>
    <sheet name="33" sheetId="35" state="hidden" r:id="rId36"/>
    <sheet name="34" sheetId="36" state="hidden" r:id="rId37"/>
    <sheet name="42" sheetId="44" state="hidden" r:id="rId38"/>
    <sheet name="43" sheetId="45" state="hidden" r:id="rId39"/>
    <sheet name="44" sheetId="46" state="hidden" r:id="rId40"/>
    <sheet name="35" sheetId="37" state="hidden" r:id="rId41"/>
    <sheet name="36" sheetId="38" state="hidden" r:id="rId42"/>
    <sheet name="37" sheetId="39" state="hidden" r:id="rId43"/>
    <sheet name="38" sheetId="40" state="hidden" r:id="rId44"/>
    <sheet name="39" sheetId="41" state="hidden" r:id="rId45"/>
    <sheet name="40" sheetId="42" state="hidden" r:id="rId46"/>
    <sheet name="41" sheetId="43" state="hidden" r:id="rId47"/>
    <sheet name="45" sheetId="47" state="hidden" r:id="rId48"/>
    <sheet name="46" sheetId="48" state="hidden" r:id="rId49"/>
    <sheet name="TB_2014" sheetId="114" r:id="rId50"/>
    <sheet name="TB_2013" sheetId="115" r:id="rId51"/>
    <sheet name="GL" sheetId="116" r:id="rId52"/>
    <sheet name="BS" sheetId="89" r:id="rId53"/>
    <sheet name="P&amp;L" sheetId="90" r:id="rId54"/>
    <sheet name="Notes-SK Template MUJ" sheetId="117" r:id="rId55"/>
    <sheet name="BS old" sheetId="60" state="hidden" r:id="rId56"/>
    <sheet name="P&amp;L old" sheetId="61" state="hidden" r:id="rId57"/>
    <sheet name="Notes-SK Cover sheet" sheetId="85" state="hidden" r:id="rId58"/>
    <sheet name="BS-SK Statutory old" sheetId="66" state="hidden" r:id="rId59"/>
    <sheet name="IS-SK Statutoryold " sheetId="68" state="hidden" r:id="rId60"/>
    <sheet name="IS-SK Cover sheet" sheetId="67" state="hidden" r:id="rId61"/>
    <sheet name="BS-E Cover sheet" sheetId="72" state="hidden" r:id="rId62"/>
    <sheet name="BS- E Statutory" sheetId="78" state="hidden" r:id="rId63"/>
    <sheet name="IS-E Cover sheet" sheetId="75" state="hidden" r:id="rId64"/>
    <sheet name="IS-E Statutory m" sheetId="76" state="hidden" r:id="rId65"/>
    <sheet name="Notes-E Cover sheet" sheetId="87" state="hidden" r:id="rId66"/>
    <sheet name="G-Cover sheet" sheetId="96" state="hidden" r:id="rId67"/>
    <sheet name="BS-G Cover sheet" sheetId="83" state="hidden" r:id="rId68"/>
    <sheet name="BS - G Statutoryo" sheetId="80" state="hidden" r:id="rId69"/>
    <sheet name="IS-G Cover sheet" sheetId="84" state="hidden" r:id="rId70"/>
    <sheet name="BS-G Statutory" sheetId="101" state="hidden" r:id="rId71"/>
    <sheet name="IS-G Statutory" sheetId="103" state="hidden" r:id="rId72"/>
  </sheets>
  <externalReferences>
    <externalReference r:id="rId73"/>
  </externalReferences>
  <definedNames>
    <definedName name="_Fill" localSheetId="52" hidden="1">#REF!</definedName>
    <definedName name="_Fill" localSheetId="68" hidden="1">#REF!</definedName>
    <definedName name="_Fill" localSheetId="67" hidden="1">#REF!</definedName>
    <definedName name="_Fill" localSheetId="70" hidden="1">#REF!</definedName>
    <definedName name="_Fill" localSheetId="58" hidden="1">#REF!</definedName>
    <definedName name="_Fill" localSheetId="66" hidden="1">#REF!</definedName>
    <definedName name="_Fill" localSheetId="51" hidden="1">#REF!</definedName>
    <definedName name="_Fill" localSheetId="0" hidden="1">#REF!</definedName>
    <definedName name="_Fill" localSheetId="69" hidden="1">#REF!</definedName>
    <definedName name="_Fill" localSheetId="71" hidden="1">#REF!</definedName>
    <definedName name="_Fill" localSheetId="60" hidden="1">#REF!</definedName>
    <definedName name="_Fill" localSheetId="59" hidden="1">#REF!</definedName>
    <definedName name="_Fill" localSheetId="57" hidden="1">#REF!</definedName>
    <definedName name="_Fill" localSheetId="53" hidden="1">#REF!</definedName>
    <definedName name="_Fill" localSheetId="50" hidden="1">#REF!</definedName>
    <definedName name="_Fill" localSheetId="49" hidden="1">#REF!</definedName>
    <definedName name="_Fill" hidden="1">#REF!</definedName>
    <definedName name="ARA_Threshold" localSheetId="70">#REF!</definedName>
    <definedName name="ARA_Threshold" localSheetId="66">#REF!</definedName>
    <definedName name="ARA_Threshold" localSheetId="71">#REF!</definedName>
    <definedName name="ARP_Threshold" localSheetId="70">#REF!</definedName>
    <definedName name="ARP_Threshold" localSheetId="66">#REF!</definedName>
    <definedName name="ARP_Threshold" localSheetId="71">#REF!</definedName>
    <definedName name="AS2DocOpenMode" hidden="1">"AS2DocumentEdit"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CY_Accounts_Receivable" localSheetId="70">#REF!</definedName>
    <definedName name="CY_Accounts_Receivable" localSheetId="66">#REF!</definedName>
    <definedName name="CY_Accounts_Receivable" localSheetId="71">#REF!</definedName>
    <definedName name="CY_Administration" localSheetId="70">#REF!</definedName>
    <definedName name="CY_Administration" localSheetId="66">#REF!</definedName>
    <definedName name="CY_Administration" localSheetId="71">#REF!</definedName>
    <definedName name="CY_Cash" localSheetId="70">#REF!</definedName>
    <definedName name="CY_Cash" localSheetId="66">#REF!</definedName>
    <definedName name="CY_Cash" localSheetId="71">#REF!</definedName>
    <definedName name="CY_Common_Equity" localSheetId="70">#REF!</definedName>
    <definedName name="CY_Common_Equity" localSheetId="66">#REF!</definedName>
    <definedName name="CY_Common_Equity" localSheetId="71">#REF!</definedName>
    <definedName name="CY_Cost_of_Sales" localSheetId="70">#REF!</definedName>
    <definedName name="CY_Cost_of_Sales" localSheetId="66">#REF!</definedName>
    <definedName name="CY_Cost_of_Sales" localSheetId="71">#REF!</definedName>
    <definedName name="CY_Current_Liabilities" localSheetId="70">#REF!</definedName>
    <definedName name="CY_Current_Liabilities" localSheetId="66">#REF!</definedName>
    <definedName name="CY_Current_Liabilities" localSheetId="71">#REF!</definedName>
    <definedName name="CY_Depreciation" localSheetId="70">#REF!</definedName>
    <definedName name="CY_Depreciation" localSheetId="66">#REF!</definedName>
    <definedName name="CY_Depreciation" localSheetId="71">#REF!</definedName>
    <definedName name="CY_Gross_Profit" localSheetId="70">#REF!</definedName>
    <definedName name="CY_Gross_Profit" localSheetId="66">#REF!</definedName>
    <definedName name="CY_Gross_Profit" localSheetId="71">#REF!</definedName>
    <definedName name="CY_Inc_Bef_Tax" localSheetId="70">#REF!</definedName>
    <definedName name="CY_Inc_Bef_Tax" localSheetId="66">#REF!</definedName>
    <definedName name="CY_Inc_Bef_Tax" localSheetId="71">#REF!</definedName>
    <definedName name="CY_Intangible_Assets" localSheetId="70">#REF!</definedName>
    <definedName name="CY_Intangible_Assets" localSheetId="66">#REF!</definedName>
    <definedName name="CY_Intangible_Assets" localSheetId="71">#REF!</definedName>
    <definedName name="CY_Interest_Expense" localSheetId="70">#REF!</definedName>
    <definedName name="CY_Interest_Expense" localSheetId="66">#REF!</definedName>
    <definedName name="CY_Interest_Expense" localSheetId="71">#REF!</definedName>
    <definedName name="CY_Inventory" localSheetId="70">#REF!</definedName>
    <definedName name="CY_Inventory" localSheetId="66">#REF!</definedName>
    <definedName name="CY_Inventory" localSheetId="71">#REF!</definedName>
    <definedName name="CY_LIABIL_EQUITY" localSheetId="70">#REF!</definedName>
    <definedName name="CY_LIABIL_EQUITY" localSheetId="66">#REF!</definedName>
    <definedName name="CY_LIABIL_EQUITY" localSheetId="71">#REF!</definedName>
    <definedName name="CY_LT_Debt" localSheetId="70">#REF!</definedName>
    <definedName name="CY_LT_Debt" localSheetId="66">#REF!</definedName>
    <definedName name="CY_LT_Debt" localSheetId="71">#REF!</definedName>
    <definedName name="CY_Market_Value_of_Equity" localSheetId="70">#REF!</definedName>
    <definedName name="CY_Market_Value_of_Equity" localSheetId="66">#REF!</definedName>
    <definedName name="CY_Market_Value_of_Equity" localSheetId="71">#REF!</definedName>
    <definedName name="CY_Marketable_Sec" localSheetId="70">#REF!</definedName>
    <definedName name="CY_Marketable_Sec" localSheetId="66">#REF!</definedName>
    <definedName name="CY_Marketable_Sec" localSheetId="71">#REF!</definedName>
    <definedName name="CY_NET_PROFIT" localSheetId="70">#REF!</definedName>
    <definedName name="CY_NET_PROFIT" localSheetId="66">#REF!</definedName>
    <definedName name="CY_NET_PROFIT" localSheetId="71">#REF!</definedName>
    <definedName name="CY_Net_Revenue" localSheetId="70">#REF!</definedName>
    <definedName name="CY_Net_Revenue" localSheetId="66">#REF!</definedName>
    <definedName name="CY_Net_Revenue" localSheetId="71">#REF!</definedName>
    <definedName name="CY_Operating_Income" localSheetId="70">#REF!</definedName>
    <definedName name="CY_Operating_Income" localSheetId="66">#REF!</definedName>
    <definedName name="CY_Operating_Income" localSheetId="71">#REF!</definedName>
    <definedName name="CY_Other" localSheetId="70">#REF!</definedName>
    <definedName name="CY_Other" localSheetId="66">#REF!</definedName>
    <definedName name="CY_Other" localSheetId="71">#REF!</definedName>
    <definedName name="CY_Other_Curr_Assets" localSheetId="70">#REF!</definedName>
    <definedName name="CY_Other_Curr_Assets" localSheetId="66">#REF!</definedName>
    <definedName name="CY_Other_Curr_Assets" localSheetId="71">#REF!</definedName>
    <definedName name="CY_Other_LT_Assets" localSheetId="70">#REF!</definedName>
    <definedName name="CY_Other_LT_Assets" localSheetId="66">#REF!</definedName>
    <definedName name="CY_Other_LT_Assets" localSheetId="71">#REF!</definedName>
    <definedName name="CY_Other_LT_Liabilities" localSheetId="70">#REF!</definedName>
    <definedName name="CY_Other_LT_Liabilities" localSheetId="66">#REF!</definedName>
    <definedName name="CY_Other_LT_Liabilities" localSheetId="71">#REF!</definedName>
    <definedName name="CY_Preferred_Stock" localSheetId="70">#REF!</definedName>
    <definedName name="CY_Preferred_Stock" localSheetId="66">#REF!</definedName>
    <definedName name="CY_Preferred_Stock" localSheetId="71">#REF!</definedName>
    <definedName name="CY_QUICK_ASSETS" localSheetId="70">#REF!</definedName>
    <definedName name="CY_QUICK_ASSETS" localSheetId="66">#REF!</definedName>
    <definedName name="CY_QUICK_ASSETS" localSheetId="71">#REF!</definedName>
    <definedName name="CY_Retained_Earnings" localSheetId="70">#REF!</definedName>
    <definedName name="CY_Retained_Earnings" localSheetId="66">#REF!</definedName>
    <definedName name="CY_Retained_Earnings" localSheetId="71">#REF!</definedName>
    <definedName name="CY_Selling" localSheetId="70">#REF!</definedName>
    <definedName name="CY_Selling" localSheetId="66">#REF!</definedName>
    <definedName name="CY_Selling" localSheetId="71">#REF!</definedName>
    <definedName name="CY_Tangible_Assets" localSheetId="70">#REF!</definedName>
    <definedName name="CY_Tangible_Assets" localSheetId="66">#REF!</definedName>
    <definedName name="CY_Tangible_Assets" localSheetId="71">#REF!</definedName>
    <definedName name="CY_Tangible_Net_Worth" localSheetId="70">#REF!</definedName>
    <definedName name="CY_Tangible_Net_Worth" localSheetId="66">#REF!</definedName>
    <definedName name="CY_Tangible_Net_Worth" localSheetId="71">#REF!</definedName>
    <definedName name="CY_Taxes" localSheetId="70">#REF!</definedName>
    <definedName name="CY_Taxes" localSheetId="66">#REF!</definedName>
    <definedName name="CY_Taxes" localSheetId="71">#REF!</definedName>
    <definedName name="CY_TOTAL_ASSETS" localSheetId="70">#REF!</definedName>
    <definedName name="CY_TOTAL_ASSETS" localSheetId="66">#REF!</definedName>
    <definedName name="CY_TOTAL_ASSETS" localSheetId="71">#REF!</definedName>
    <definedName name="CY_TOTAL_CURR_ASSETS" localSheetId="70">#REF!</definedName>
    <definedName name="CY_TOTAL_CURR_ASSETS" localSheetId="66">#REF!</definedName>
    <definedName name="CY_TOTAL_CURR_ASSETS" localSheetId="71">#REF!</definedName>
    <definedName name="CY_TOTAL_DEBT" localSheetId="70">#REF!</definedName>
    <definedName name="CY_TOTAL_DEBT" localSheetId="66">#REF!</definedName>
    <definedName name="CY_TOTAL_DEBT" localSheetId="71">#REF!</definedName>
    <definedName name="CY_TOTAL_EQUITY" localSheetId="70">#REF!</definedName>
    <definedName name="CY_TOTAL_EQUITY" localSheetId="66">#REF!</definedName>
    <definedName name="CY_TOTAL_EQUITY" localSheetId="71">#REF!</definedName>
    <definedName name="CY_Working_Capital" localSheetId="70">#REF!</definedName>
    <definedName name="CY_Working_Capital" localSheetId="66">#REF!</definedName>
    <definedName name="CY_Working_Capital" localSheetId="71">#REF!</definedName>
    <definedName name="Dollar_Threshold" localSheetId="70">#REF!</definedName>
    <definedName name="Dollar_Threshold" localSheetId="66">#REF!</definedName>
    <definedName name="Dollar_Threshold" localSheetId="71">#REF!</definedName>
    <definedName name="_xlnm.Print_Titles" localSheetId="68">'BS - G Statutoryo'!$1:$3</definedName>
    <definedName name="_xlnm.Print_Titles" localSheetId="62">'BS- E Statutory'!$1:$3</definedName>
    <definedName name="_xlnm.Print_Titles" localSheetId="70">'BS-G Statutory'!$1:$3</definedName>
    <definedName name="_xlnm.Print_Titles" localSheetId="58">'BS-SK Statutory old'!$1:$3</definedName>
    <definedName name="_xlnm.Print_Titles" localSheetId="64">'IS-E Statutory m'!$1:$5</definedName>
    <definedName name="_xlnm.Print_Titles" localSheetId="71">'IS-G Statutory'!$1:$5</definedName>
    <definedName name="_xlnm.Print_Titles" localSheetId="59">'IS-SK Statutoryold '!$1:$5</definedName>
    <definedName name="_xlnm.Print_Titles" localSheetId="54">'Notes-SK Template MUJ'!$1:$2</definedName>
    <definedName name="_xlnm.Print_Area" localSheetId="52">BS!$A$3:$G$59</definedName>
    <definedName name="_xlnm.Print_Area" localSheetId="68">'BS - G Statutoryo'!$A$1:$J$210</definedName>
    <definedName name="_xlnm.Print_Area" localSheetId="62">'BS- E Statutory'!$A$1:$J$210</definedName>
    <definedName name="_xlnm.Print_Area" localSheetId="55">'BS old'!$A$5:$G$142</definedName>
    <definedName name="_xlnm.Print_Area" localSheetId="61">'BS-E Cover sheet'!$A$1:$AN$53</definedName>
    <definedName name="_xlnm.Print_Area" localSheetId="67">'BS-G Cover sheet'!$A$1:$AM$54</definedName>
    <definedName name="_xlnm.Print_Area" localSheetId="70">'BS-G Statutory'!$A$1:$L$248</definedName>
    <definedName name="_xlnm.Print_Area" localSheetId="58">'BS-SK Statutory old'!$A$1:$L$210</definedName>
    <definedName name="_xlnm.Print_Area" localSheetId="66">'G-Cover sheet'!$A$1:$AM$55</definedName>
    <definedName name="_xlnm.Print_Area" localSheetId="63">'IS-E Cover sheet'!$A$1:$AN$53</definedName>
    <definedName name="_xlnm.Print_Area" localSheetId="64">'IS-E Statutory m'!$A$1:$F$66</definedName>
    <definedName name="_xlnm.Print_Area" localSheetId="69">'IS-G Cover sheet'!$A$1:$AM$55</definedName>
    <definedName name="_xlnm.Print_Area" localSheetId="71">'IS-G Statutory'!$A$1:$H$66</definedName>
    <definedName name="_xlnm.Print_Area" localSheetId="60">'IS-SK Cover sheet'!$A$1:$AM$55</definedName>
    <definedName name="_xlnm.Print_Area" localSheetId="59">'IS-SK Statutoryold '!$A$1:$F$66</definedName>
    <definedName name="_xlnm.Print_Area" localSheetId="65">'Notes-E Cover sheet'!$A$1:$AK$55</definedName>
    <definedName name="_xlnm.Print_Area" localSheetId="57">'Notes-SK Cover sheet'!$A$1:$AK$55</definedName>
    <definedName name="_xlnm.Print_Area" localSheetId="54">'Notes-SK Template MUJ'!$A$1:$W$247</definedName>
    <definedName name="_xlnm.Print_Area" localSheetId="53">'P&amp;L'!$A$4:$F$45</definedName>
    <definedName name="_xlnm.Print_Area" localSheetId="56">'P&amp;L old'!$A$4:$E$68</definedName>
    <definedName name="Percent_Threshold" localSheetId="70">#REF!</definedName>
    <definedName name="Percent_Threshold" localSheetId="66">#REF!</definedName>
    <definedName name="Percent_Threshold" localSheetId="71">#REF!</definedName>
    <definedName name="PL_Dollar_Threshold" localSheetId="70">#REF!</definedName>
    <definedName name="PL_Dollar_Threshold" localSheetId="66">#REF!</definedName>
    <definedName name="PL_Dollar_Threshold" localSheetId="71">#REF!</definedName>
    <definedName name="PL_Percent_Threshold" localSheetId="70">#REF!</definedName>
    <definedName name="PL_Percent_Threshold" localSheetId="66">#REF!</definedName>
    <definedName name="PL_Percent_Threshold" localSheetId="71">#REF!</definedName>
    <definedName name="Print" localSheetId="70">#REF!</definedName>
    <definedName name="Print" localSheetId="66">#REF!</definedName>
    <definedName name="Print" localSheetId="71">#REF!</definedName>
    <definedName name="Print" localSheetId="57">#REF!</definedName>
    <definedName name="Print_Area_ENG" localSheetId="70">#REF!</definedName>
    <definedName name="Print_Area_ENG" localSheetId="66">#REF!</definedName>
    <definedName name="Print_Area_ENG" localSheetId="71">#REF!</definedName>
    <definedName name="PY_Accounts_Receivable" localSheetId="70">#REF!</definedName>
    <definedName name="PY_Accounts_Receivable" localSheetId="66">#REF!</definedName>
    <definedName name="PY_Accounts_Receivable" localSheetId="71">#REF!</definedName>
    <definedName name="PY_Administration" localSheetId="70">#REF!</definedName>
    <definedName name="PY_Administration" localSheetId="66">#REF!</definedName>
    <definedName name="PY_Administration" localSheetId="71">#REF!</definedName>
    <definedName name="PY_Cash" localSheetId="70">#REF!</definedName>
    <definedName name="PY_Cash" localSheetId="66">#REF!</definedName>
    <definedName name="PY_Cash" localSheetId="71">#REF!</definedName>
    <definedName name="PY_Common_Equity" localSheetId="70">#REF!</definedName>
    <definedName name="PY_Common_Equity" localSheetId="66">#REF!</definedName>
    <definedName name="PY_Common_Equity" localSheetId="71">#REF!</definedName>
    <definedName name="PY_Cost_of_Sales" localSheetId="70">#REF!</definedName>
    <definedName name="PY_Cost_of_Sales" localSheetId="66">#REF!</definedName>
    <definedName name="PY_Cost_of_Sales" localSheetId="71">#REF!</definedName>
    <definedName name="PY_Current_Liabilities" localSheetId="70">#REF!</definedName>
    <definedName name="PY_Current_Liabilities" localSheetId="66">#REF!</definedName>
    <definedName name="PY_Current_Liabilities" localSheetId="71">#REF!</definedName>
    <definedName name="PY_Depreciation" localSheetId="70">#REF!</definedName>
    <definedName name="PY_Depreciation" localSheetId="66">#REF!</definedName>
    <definedName name="PY_Depreciation" localSheetId="71">#REF!</definedName>
    <definedName name="PY_Gross_Profit" localSheetId="70">#REF!</definedName>
    <definedName name="PY_Gross_Profit" localSheetId="66">#REF!</definedName>
    <definedName name="PY_Gross_Profit" localSheetId="71">#REF!</definedName>
    <definedName name="PY_Inc_Bef_Tax" localSheetId="70">#REF!</definedName>
    <definedName name="PY_Inc_Bef_Tax" localSheetId="66">#REF!</definedName>
    <definedName name="PY_Inc_Bef_Tax" localSheetId="71">#REF!</definedName>
    <definedName name="PY_Intangible_Assets" localSheetId="70">#REF!</definedName>
    <definedName name="PY_Intangible_Assets" localSheetId="66">#REF!</definedName>
    <definedName name="PY_Intangible_Assets" localSheetId="71">#REF!</definedName>
    <definedName name="PY_Interest_Expense" localSheetId="70">#REF!</definedName>
    <definedName name="PY_Interest_Expense" localSheetId="66">#REF!</definedName>
    <definedName name="PY_Interest_Expense" localSheetId="71">#REF!</definedName>
    <definedName name="PY_Inventory" localSheetId="70">#REF!</definedName>
    <definedName name="PY_Inventory" localSheetId="66">#REF!</definedName>
    <definedName name="PY_Inventory" localSheetId="71">#REF!</definedName>
    <definedName name="PY_LIABIL_EQUITY" localSheetId="70">#REF!</definedName>
    <definedName name="PY_LIABIL_EQUITY" localSheetId="66">#REF!</definedName>
    <definedName name="PY_LIABIL_EQUITY" localSheetId="71">#REF!</definedName>
    <definedName name="PY_LT_Debt" localSheetId="70">#REF!</definedName>
    <definedName name="PY_LT_Debt" localSheetId="66">#REF!</definedName>
    <definedName name="PY_LT_Debt" localSheetId="71">#REF!</definedName>
    <definedName name="PY_Market_Value_of_Equity" localSheetId="70">#REF!</definedName>
    <definedName name="PY_Market_Value_of_Equity" localSheetId="66">#REF!</definedName>
    <definedName name="PY_Market_Value_of_Equity" localSheetId="71">#REF!</definedName>
    <definedName name="PY_Marketable_Sec" localSheetId="70">#REF!</definedName>
    <definedName name="PY_Marketable_Sec" localSheetId="66">#REF!</definedName>
    <definedName name="PY_Marketable_Sec" localSheetId="71">#REF!</definedName>
    <definedName name="PY_NET_PROFIT" localSheetId="70">#REF!</definedName>
    <definedName name="PY_NET_PROFIT" localSheetId="66">#REF!</definedName>
    <definedName name="PY_NET_PROFIT" localSheetId="71">#REF!</definedName>
    <definedName name="PY_Net_Revenue" localSheetId="70">#REF!</definedName>
    <definedName name="PY_Net_Revenue" localSheetId="66">#REF!</definedName>
    <definedName name="PY_Net_Revenue" localSheetId="71">#REF!</definedName>
    <definedName name="PY_Operating_Inc" localSheetId="70">#REF!</definedName>
    <definedName name="PY_Operating_Inc" localSheetId="66">#REF!</definedName>
    <definedName name="PY_Operating_Inc" localSheetId="71">#REF!</definedName>
    <definedName name="PY_Operating_Income" localSheetId="70">#REF!</definedName>
    <definedName name="PY_Operating_Income" localSheetId="66">#REF!</definedName>
    <definedName name="PY_Operating_Income" localSheetId="71">#REF!</definedName>
    <definedName name="PY_Other_Curr_Assets" localSheetId="70">#REF!</definedName>
    <definedName name="PY_Other_Curr_Assets" localSheetId="66">#REF!</definedName>
    <definedName name="PY_Other_Curr_Assets" localSheetId="71">#REF!</definedName>
    <definedName name="PY_Other_Exp" localSheetId="70">#REF!</definedName>
    <definedName name="PY_Other_Exp" localSheetId="66">#REF!</definedName>
    <definedName name="PY_Other_Exp" localSheetId="71">#REF!</definedName>
    <definedName name="PY_Other_LT_Assets" localSheetId="70">#REF!</definedName>
    <definedName name="PY_Other_LT_Assets" localSheetId="66">#REF!</definedName>
    <definedName name="PY_Other_LT_Assets" localSheetId="71">#REF!</definedName>
    <definedName name="PY_Other_LT_Liabilities" localSheetId="70">#REF!</definedName>
    <definedName name="PY_Other_LT_Liabilities" localSheetId="66">#REF!</definedName>
    <definedName name="PY_Other_LT_Liabilities" localSheetId="71">#REF!</definedName>
    <definedName name="PY_Preferred_Stock" localSheetId="70">#REF!</definedName>
    <definedName name="PY_Preferred_Stock" localSheetId="66">#REF!</definedName>
    <definedName name="PY_Preferred_Stock" localSheetId="71">#REF!</definedName>
    <definedName name="PY_QUICK_ASSETS" localSheetId="70">#REF!</definedName>
    <definedName name="PY_QUICK_ASSETS" localSheetId="66">#REF!</definedName>
    <definedName name="PY_QUICK_ASSETS" localSheetId="71">#REF!</definedName>
    <definedName name="PY_Retained_Earnings" localSheetId="70">#REF!</definedName>
    <definedName name="PY_Retained_Earnings" localSheetId="66">#REF!</definedName>
    <definedName name="PY_Retained_Earnings" localSheetId="71">#REF!</definedName>
    <definedName name="PY_Selling" localSheetId="70">#REF!</definedName>
    <definedName name="PY_Selling" localSheetId="66">#REF!</definedName>
    <definedName name="PY_Selling" localSheetId="71">#REF!</definedName>
    <definedName name="PY_Tangible_Assets" localSheetId="70">#REF!</definedName>
    <definedName name="PY_Tangible_Assets" localSheetId="66">#REF!</definedName>
    <definedName name="PY_Tangible_Assets" localSheetId="71">#REF!</definedName>
    <definedName name="PY_Tangible_Net_Worth" localSheetId="70">#REF!</definedName>
    <definedName name="PY_Tangible_Net_Worth" localSheetId="66">#REF!</definedName>
    <definedName name="PY_Tangible_Net_Worth" localSheetId="71">#REF!</definedName>
    <definedName name="PY_Taxes" localSheetId="70">#REF!</definedName>
    <definedName name="PY_Taxes" localSheetId="66">#REF!</definedName>
    <definedName name="PY_Taxes" localSheetId="71">#REF!</definedName>
    <definedName name="PY_TOTAL_ASSETS" localSheetId="70">#REF!</definedName>
    <definedName name="PY_TOTAL_ASSETS" localSheetId="66">#REF!</definedName>
    <definedName name="PY_TOTAL_ASSETS" localSheetId="71">#REF!</definedName>
    <definedName name="PY_TOTAL_CURR_ASSETS" localSheetId="70">#REF!</definedName>
    <definedName name="PY_TOTAL_CURR_ASSETS" localSheetId="66">#REF!</definedName>
    <definedName name="PY_TOTAL_CURR_ASSETS" localSheetId="71">#REF!</definedName>
    <definedName name="PY_TOTAL_DEBT" localSheetId="70">#REF!</definedName>
    <definedName name="PY_TOTAL_DEBT" localSheetId="66">#REF!</definedName>
    <definedName name="PY_TOTAL_DEBT" localSheetId="71">#REF!</definedName>
    <definedName name="PY_TOTAL_EQUITY" localSheetId="70">#REF!</definedName>
    <definedName name="PY_TOTAL_EQUITY" localSheetId="66">#REF!</definedName>
    <definedName name="PY_TOTAL_EQUITY" localSheetId="71">#REF!</definedName>
    <definedName name="PY_Working_Capital" localSheetId="70">#REF!</definedName>
    <definedName name="PY_Working_Capital" localSheetId="66">#REF!</definedName>
    <definedName name="PY_Working_Capital" localSheetId="71">#REF!</definedName>
    <definedName name="PY2_Accounts_Receivable" localSheetId="70">#REF!</definedName>
    <definedName name="PY2_Accounts_Receivable" localSheetId="66">#REF!</definedName>
    <definedName name="PY2_Accounts_Receivable" localSheetId="71">#REF!</definedName>
    <definedName name="PY2_Administration" localSheetId="70">#REF!</definedName>
    <definedName name="PY2_Administration" localSheetId="66">#REF!</definedName>
    <definedName name="PY2_Administration" localSheetId="71">#REF!</definedName>
    <definedName name="PY2_Cash" localSheetId="70">#REF!</definedName>
    <definedName name="PY2_Cash" localSheetId="66">#REF!</definedName>
    <definedName name="PY2_Cash" localSheetId="71">#REF!</definedName>
    <definedName name="PY2_Common_Equity" localSheetId="70">#REF!</definedName>
    <definedName name="PY2_Common_Equity" localSheetId="66">#REF!</definedName>
    <definedName name="PY2_Common_Equity" localSheetId="71">#REF!</definedName>
    <definedName name="PY2_Cost_of_Sales" localSheetId="70">#REF!</definedName>
    <definedName name="PY2_Cost_of_Sales" localSheetId="66">#REF!</definedName>
    <definedName name="PY2_Cost_of_Sales" localSheetId="71">#REF!</definedName>
    <definedName name="PY2_Current_Liabilities" localSheetId="70">#REF!</definedName>
    <definedName name="PY2_Current_Liabilities" localSheetId="66">#REF!</definedName>
    <definedName name="PY2_Current_Liabilities" localSheetId="71">#REF!</definedName>
    <definedName name="PY2_Depreciation" localSheetId="70">#REF!</definedName>
    <definedName name="PY2_Depreciation" localSheetId="66">#REF!</definedName>
    <definedName name="PY2_Depreciation" localSheetId="71">#REF!</definedName>
    <definedName name="PY2_Gross_Profit" localSheetId="70">#REF!</definedName>
    <definedName name="PY2_Gross_Profit" localSheetId="66">#REF!</definedName>
    <definedName name="PY2_Gross_Profit" localSheetId="71">#REF!</definedName>
    <definedName name="PY2_Inc_Bef_Tax" localSheetId="70">#REF!</definedName>
    <definedName name="PY2_Inc_Bef_Tax" localSheetId="66">#REF!</definedName>
    <definedName name="PY2_Inc_Bef_Tax" localSheetId="71">#REF!</definedName>
    <definedName name="PY2_Intangible_Assets" localSheetId="70">#REF!</definedName>
    <definedName name="PY2_Intangible_Assets" localSheetId="66">#REF!</definedName>
    <definedName name="PY2_Intangible_Assets" localSheetId="71">#REF!</definedName>
    <definedName name="PY2_Interest_Expense" localSheetId="70">#REF!</definedName>
    <definedName name="PY2_Interest_Expense" localSheetId="66">#REF!</definedName>
    <definedName name="PY2_Interest_Expense" localSheetId="71">#REF!</definedName>
    <definedName name="PY2_Inventory" localSheetId="70">#REF!</definedName>
    <definedName name="PY2_Inventory" localSheetId="66">#REF!</definedName>
    <definedName name="PY2_Inventory" localSheetId="71">#REF!</definedName>
    <definedName name="PY2_LIABIL_EQUITY" localSheetId="70">#REF!</definedName>
    <definedName name="PY2_LIABIL_EQUITY" localSheetId="66">#REF!</definedName>
    <definedName name="PY2_LIABIL_EQUITY" localSheetId="71">#REF!</definedName>
    <definedName name="PY2_LT_Debt" localSheetId="70">#REF!</definedName>
    <definedName name="PY2_LT_Debt" localSheetId="66">#REF!</definedName>
    <definedName name="PY2_LT_Debt" localSheetId="71">#REF!</definedName>
    <definedName name="PY2_Marketable_Sec" localSheetId="70">#REF!</definedName>
    <definedName name="PY2_Marketable_Sec" localSheetId="66">#REF!</definedName>
    <definedName name="PY2_Marketable_Sec" localSheetId="71">#REF!</definedName>
    <definedName name="PY2_NET_PROFIT" localSheetId="70">#REF!</definedName>
    <definedName name="PY2_NET_PROFIT" localSheetId="66">#REF!</definedName>
    <definedName name="PY2_NET_PROFIT" localSheetId="71">#REF!</definedName>
    <definedName name="PY2_Net_Revenue" localSheetId="70">#REF!</definedName>
    <definedName name="PY2_Net_Revenue" localSheetId="66">#REF!</definedName>
    <definedName name="PY2_Net_Revenue" localSheetId="71">#REF!</definedName>
    <definedName name="PY2_Operating_Inc" localSheetId="70">#REF!</definedName>
    <definedName name="PY2_Operating_Inc" localSheetId="66">#REF!</definedName>
    <definedName name="PY2_Operating_Inc" localSheetId="71">#REF!</definedName>
    <definedName name="PY2_Operating_Income" localSheetId="70">#REF!</definedName>
    <definedName name="PY2_Operating_Income" localSheetId="66">#REF!</definedName>
    <definedName name="PY2_Operating_Income" localSheetId="71">#REF!</definedName>
    <definedName name="PY2_Other_Curr_Assets" localSheetId="70">#REF!</definedName>
    <definedName name="PY2_Other_Curr_Assets" localSheetId="66">#REF!</definedName>
    <definedName name="PY2_Other_Curr_Assets" localSheetId="71">#REF!</definedName>
    <definedName name="PY2_Other_Exp." localSheetId="70">#REF!</definedName>
    <definedName name="PY2_Other_Exp." localSheetId="66">#REF!</definedName>
    <definedName name="PY2_Other_Exp." localSheetId="71">#REF!</definedName>
    <definedName name="PY2_Other_LT_Assets" localSheetId="70">#REF!</definedName>
    <definedName name="PY2_Other_LT_Assets" localSheetId="66">#REF!</definedName>
    <definedName name="PY2_Other_LT_Assets" localSheetId="71">#REF!</definedName>
    <definedName name="PY2_Other_LT_Liabilities" localSheetId="70">#REF!</definedName>
    <definedName name="PY2_Other_LT_Liabilities" localSheetId="66">#REF!</definedName>
    <definedName name="PY2_Other_LT_Liabilities" localSheetId="71">#REF!</definedName>
    <definedName name="PY2_Preferred_Stock" localSheetId="70">#REF!</definedName>
    <definedName name="PY2_Preferred_Stock" localSheetId="66">#REF!</definedName>
    <definedName name="PY2_Preferred_Stock" localSheetId="71">#REF!</definedName>
    <definedName name="PY2_QUICK_ASSETS" localSheetId="70">#REF!</definedName>
    <definedName name="PY2_QUICK_ASSETS" localSheetId="66">#REF!</definedName>
    <definedName name="PY2_QUICK_ASSETS" localSheetId="71">#REF!</definedName>
    <definedName name="PY2_Retained_Earnings" localSheetId="70">#REF!</definedName>
    <definedName name="PY2_Retained_Earnings" localSheetId="66">#REF!</definedName>
    <definedName name="PY2_Retained_Earnings" localSheetId="71">#REF!</definedName>
    <definedName name="PY2_Selling" localSheetId="70">#REF!</definedName>
    <definedName name="PY2_Selling" localSheetId="66">#REF!</definedName>
    <definedName name="PY2_Selling" localSheetId="71">#REF!</definedName>
    <definedName name="PY2_Tangible_Assets" localSheetId="70">#REF!</definedName>
    <definedName name="PY2_Tangible_Assets" localSheetId="66">#REF!</definedName>
    <definedName name="PY2_Tangible_Assets" localSheetId="71">#REF!</definedName>
    <definedName name="PY2_Tangible_Net_Worth" localSheetId="70">#REF!</definedName>
    <definedName name="PY2_Tangible_Net_Worth" localSheetId="66">#REF!</definedName>
    <definedName name="PY2_Tangible_Net_Worth" localSheetId="71">#REF!</definedName>
    <definedName name="PY2_Taxes" localSheetId="70">#REF!</definedName>
    <definedName name="PY2_Taxes" localSheetId="66">#REF!</definedName>
    <definedName name="PY2_Taxes" localSheetId="71">#REF!</definedName>
    <definedName name="PY2_TOTAL_ASSETS" localSheetId="70">#REF!</definedName>
    <definedName name="PY2_TOTAL_ASSETS" localSheetId="66">#REF!</definedName>
    <definedName name="PY2_TOTAL_ASSETS" localSheetId="71">#REF!</definedName>
    <definedName name="PY2_TOTAL_CURR_ASSETS" localSheetId="70">#REF!</definedName>
    <definedName name="PY2_TOTAL_CURR_ASSETS" localSheetId="66">#REF!</definedName>
    <definedName name="PY2_TOTAL_CURR_ASSETS" localSheetId="71">#REF!</definedName>
    <definedName name="PY2_TOTAL_DEBT" localSheetId="70">#REF!</definedName>
    <definedName name="PY2_TOTAL_DEBT" localSheetId="66">#REF!</definedName>
    <definedName name="PY2_TOTAL_DEBT" localSheetId="71">#REF!</definedName>
    <definedName name="PY2_TOTAL_EQUITY" localSheetId="70">#REF!</definedName>
    <definedName name="PY2_TOTAL_EQUITY" localSheetId="66">#REF!</definedName>
    <definedName name="PY2_TOTAL_EQUITY" localSheetId="71">#REF!</definedName>
    <definedName name="PY2_Working_Capital" localSheetId="70">#REF!</definedName>
    <definedName name="PY2_Working_Capital" localSheetId="66">#REF!</definedName>
    <definedName name="PY2_Working_Capital" localSheetId="71">#REF!</definedName>
    <definedName name="Účty">[1]Sheet3!$A$4:$BF$371</definedName>
    <definedName name="VER_CF_BALANCES" localSheetId="68">#REF!</definedName>
    <definedName name="VER_CF_BALANCES" localSheetId="62">#REF!</definedName>
    <definedName name="VER_CF_BALANCES" localSheetId="61">#REF!</definedName>
    <definedName name="VER_CF_BALANCES" localSheetId="67">#REF!</definedName>
    <definedName name="VER_CF_BALANCES" localSheetId="70">#REF!</definedName>
    <definedName name="VER_CF_BALANCES" localSheetId="58">#REF!</definedName>
    <definedName name="VER_CF_BALANCES" localSheetId="66">#REF!</definedName>
    <definedName name="VER_CF_BALANCES" localSheetId="63">#REF!</definedName>
    <definedName name="VER_CF_BALANCES" localSheetId="64">#REF!</definedName>
    <definedName name="VER_CF_BALANCES" localSheetId="69">#REF!</definedName>
    <definedName name="VER_CF_BALANCES" localSheetId="71">#REF!</definedName>
    <definedName name="VER_CF_BALANCES" localSheetId="60">#REF!</definedName>
    <definedName name="VER_CF_BALANCES" localSheetId="59">#REF!</definedName>
    <definedName name="VER_CF_BALANCES" localSheetId="57">#REF!</definedName>
    <definedName name="VER_SH_RATIOS" localSheetId="68">#REF!</definedName>
    <definedName name="VER_SH_RATIOS" localSheetId="62">#REF!</definedName>
    <definedName name="VER_SH_RATIOS" localSheetId="61">#REF!</definedName>
    <definedName name="VER_SH_RATIOS" localSheetId="67">#REF!</definedName>
    <definedName name="VER_SH_RATIOS" localSheetId="70">#REF!</definedName>
    <definedName name="VER_SH_RATIOS" localSheetId="58">#REF!</definedName>
    <definedName name="VER_SH_RATIOS" localSheetId="66">#REF!</definedName>
    <definedName name="VER_SH_RATIOS" localSheetId="63">#REF!</definedName>
    <definedName name="VER_SH_RATIOS" localSheetId="64">#REF!</definedName>
    <definedName name="VER_SH_RATIOS" localSheetId="69">#REF!</definedName>
    <definedName name="VER_SH_RATIOS" localSheetId="71">#REF!</definedName>
    <definedName name="VER_SH_RATIOS" localSheetId="60">#REF!</definedName>
    <definedName name="VER_SH_RATIOS" localSheetId="59">#REF!</definedName>
    <definedName name="VER_SH_RATIOS" localSheetId="57">#REF!</definedName>
    <definedName name="VER_SCH_10" localSheetId="68">#REF!</definedName>
    <definedName name="VER_SCH_10" localSheetId="62">#REF!</definedName>
    <definedName name="VER_SCH_10" localSheetId="61">#REF!</definedName>
    <definedName name="VER_SCH_10" localSheetId="67">#REF!</definedName>
    <definedName name="VER_SCH_10" localSheetId="70">#REF!</definedName>
    <definedName name="VER_SCH_10" localSheetId="58">#REF!</definedName>
    <definedName name="VER_SCH_10" localSheetId="66">#REF!</definedName>
    <definedName name="VER_SCH_10" localSheetId="63">#REF!</definedName>
    <definedName name="VER_SCH_10" localSheetId="64">#REF!</definedName>
    <definedName name="VER_SCH_10" localSheetId="69">#REF!</definedName>
    <definedName name="VER_SCH_10" localSheetId="71">#REF!</definedName>
    <definedName name="VER_SCH_10" localSheetId="60">#REF!</definedName>
    <definedName name="VER_SCH_10" localSheetId="59">#REF!</definedName>
    <definedName name="VER_SCH_10" localSheetId="57">#REF!</definedName>
    <definedName name="VER_SCH_14" localSheetId="70">#REF!</definedName>
    <definedName name="VER_SCH_14" localSheetId="66">#REF!</definedName>
    <definedName name="VER_SCH_14" localSheetId="71">#REF!</definedName>
    <definedName name="VER_SCH_14" localSheetId="57">#REF!</definedName>
    <definedName name="VER_SCH_2" localSheetId="70">#REF!</definedName>
    <definedName name="VER_SCH_2" localSheetId="66">#REF!</definedName>
    <definedName name="VER_SCH_2" localSheetId="71">#REF!</definedName>
    <definedName name="VER_SCH_2" localSheetId="57">#REF!</definedName>
    <definedName name="VER_SCH_7" localSheetId="70">#REF!</definedName>
    <definedName name="VER_SCH_7" localSheetId="66">#REF!</definedName>
    <definedName name="VER_SCH_7" localSheetId="71">#REF!</definedName>
    <definedName name="VER_SCH_7" localSheetId="57">#REF!</definedName>
    <definedName name="Visit">[1]Sheet2!$I$3</definedName>
    <definedName name="YearEnd">[1]Sheet2!$I$2</definedName>
    <definedName name="Z_4D14509E_B826_11D1_8159_444553540000_.wvu.Cols" localSheetId="52" hidden="1">BS!#REF!</definedName>
    <definedName name="Z_4D14509E_B826_11D1_8159_444553540000_.wvu.Cols" localSheetId="55" hidden="1">'BS old'!#REF!</definedName>
    <definedName name="Z_4D14509E_B826_11D1_8159_444553540000_.wvu.Cols" localSheetId="51" hidden="1">GL!#REF!</definedName>
    <definedName name="Z_4D14509E_B826_11D1_8159_444553540000_.wvu.Cols" localSheetId="53" hidden="1">'P&amp;L'!#REF!</definedName>
    <definedName name="Z_4D14509E_B826_11D1_8159_444553540000_.wvu.Cols" localSheetId="56" hidden="1">'P&amp;L old'!#REF!</definedName>
  </definedNames>
  <calcPr calcId="145621"/>
</workbook>
</file>

<file path=xl/calcChain.xml><?xml version="1.0" encoding="utf-8"?>
<calcChain xmlns="http://schemas.openxmlformats.org/spreadsheetml/2006/main">
  <c r="N138" i="117" l="1"/>
  <c r="E138" i="117" l="1"/>
  <c r="E7" i="117" l="1"/>
  <c r="E6" i="117"/>
  <c r="I26" i="69" l="1"/>
  <c r="E1" i="117" s="1"/>
  <c r="P26" i="69"/>
  <c r="L1" i="117" s="1"/>
  <c r="O26" i="69"/>
  <c r="K1" i="117" s="1"/>
  <c r="N26" i="69"/>
  <c r="J1" i="117" s="1"/>
  <c r="M26" i="69"/>
  <c r="I1" i="117" s="1"/>
  <c r="L26" i="69"/>
  <c r="H1" i="117" s="1"/>
  <c r="K26" i="69"/>
  <c r="G1" i="117" s="1"/>
  <c r="J26" i="69"/>
  <c r="F1" i="117" s="1"/>
  <c r="I24" i="69"/>
  <c r="N1" i="117" s="1"/>
  <c r="R24" i="69"/>
  <c r="W1" i="117" s="1"/>
  <c r="Q24" i="69"/>
  <c r="V1" i="117" s="1"/>
  <c r="P24" i="69"/>
  <c r="U1" i="117" s="1"/>
  <c r="O24" i="69"/>
  <c r="T1" i="117" s="1"/>
  <c r="N24" i="69"/>
  <c r="S1" i="117" s="1"/>
  <c r="M24" i="69"/>
  <c r="R1" i="117" s="1"/>
  <c r="L24" i="69"/>
  <c r="Q1" i="117" s="1"/>
  <c r="K24" i="69"/>
  <c r="P1" i="117" s="1"/>
  <c r="J24" i="69"/>
  <c r="O1" i="117" s="1"/>
  <c r="N135" i="117"/>
  <c r="E135" i="117"/>
  <c r="C5" i="116" l="1"/>
  <c r="F5" i="116"/>
  <c r="G5" i="116"/>
  <c r="C6" i="116"/>
  <c r="F6" i="116"/>
  <c r="G6" i="116"/>
  <c r="C7" i="116"/>
  <c r="F7" i="116"/>
  <c r="G7" i="116"/>
  <c r="C8" i="116"/>
  <c r="F8" i="116"/>
  <c r="G8" i="116"/>
  <c r="C9" i="116"/>
  <c r="F9" i="116"/>
  <c r="G9" i="116"/>
  <c r="C10" i="116"/>
  <c r="F10" i="116"/>
  <c r="G10" i="116"/>
  <c r="C11" i="116"/>
  <c r="F11" i="116"/>
  <c r="G11" i="116"/>
  <c r="C12" i="116"/>
  <c r="F12" i="116"/>
  <c r="G12" i="116"/>
  <c r="C13" i="116"/>
  <c r="F13" i="116"/>
  <c r="G13" i="116"/>
  <c r="C14" i="116"/>
  <c r="F14" i="116"/>
  <c r="G14" i="116"/>
  <c r="C15" i="116"/>
  <c r="F15" i="116"/>
  <c r="G15" i="116"/>
  <c r="C16" i="116"/>
  <c r="F16" i="116"/>
  <c r="G16" i="116"/>
  <c r="C17" i="116"/>
  <c r="F17" i="116"/>
  <c r="G17" i="116"/>
  <c r="C18" i="116"/>
  <c r="F18" i="116"/>
  <c r="G18" i="116"/>
  <c r="C19" i="116"/>
  <c r="F19" i="116"/>
  <c r="G19" i="116"/>
  <c r="C20" i="116"/>
  <c r="F20" i="116"/>
  <c r="G20" i="116"/>
  <c r="C21" i="116"/>
  <c r="F21" i="116"/>
  <c r="G21" i="116"/>
  <c r="C22" i="116"/>
  <c r="F22" i="116"/>
  <c r="G22" i="116"/>
  <c r="C23" i="116"/>
  <c r="F23" i="116"/>
  <c r="G23" i="116"/>
  <c r="C24" i="116"/>
  <c r="F24" i="116"/>
  <c r="G24" i="116"/>
  <c r="C25" i="116"/>
  <c r="F25" i="116"/>
  <c r="G25" i="116"/>
  <c r="C26" i="116"/>
  <c r="F26" i="116"/>
  <c r="G26" i="116"/>
  <c r="C27" i="116"/>
  <c r="F27" i="116"/>
  <c r="G27" i="116"/>
  <c r="C28" i="116"/>
  <c r="F28" i="116"/>
  <c r="G28" i="116"/>
  <c r="C29" i="116"/>
  <c r="F29" i="116"/>
  <c r="G29" i="116"/>
  <c r="C30" i="116"/>
  <c r="F30" i="116"/>
  <c r="G30" i="116"/>
  <c r="C31" i="116"/>
  <c r="F31" i="116"/>
  <c r="G31" i="116"/>
  <c r="C32" i="116"/>
  <c r="F32" i="116"/>
  <c r="G32" i="116"/>
  <c r="C33" i="116"/>
  <c r="F33" i="116"/>
  <c r="G33" i="116"/>
  <c r="C34" i="116"/>
  <c r="F34" i="116"/>
  <c r="G34" i="116"/>
  <c r="C35" i="116"/>
  <c r="F35" i="116"/>
  <c r="G35" i="116"/>
  <c r="C36" i="116"/>
  <c r="F36" i="116"/>
  <c r="G36" i="116"/>
  <c r="C37" i="116"/>
  <c r="F37" i="116"/>
  <c r="G37" i="116"/>
  <c r="C38" i="116"/>
  <c r="F38" i="116"/>
  <c r="G38" i="116"/>
  <c r="C39" i="116"/>
  <c r="F39" i="116"/>
  <c r="G39" i="116"/>
  <c r="C40" i="116"/>
  <c r="F40" i="116"/>
  <c r="G40" i="116"/>
  <c r="C41" i="116"/>
  <c r="F41" i="116"/>
  <c r="G41" i="116"/>
  <c r="C42" i="116"/>
  <c r="F42" i="116"/>
  <c r="G42" i="116"/>
  <c r="C43" i="116"/>
  <c r="F43" i="116"/>
  <c r="G43" i="116"/>
  <c r="C44" i="116"/>
  <c r="F44" i="116"/>
  <c r="G44" i="116"/>
  <c r="C45" i="116"/>
  <c r="F45" i="116"/>
  <c r="G45" i="116"/>
  <c r="C46" i="116"/>
  <c r="F46" i="116"/>
  <c r="G46" i="116"/>
  <c r="C47" i="116"/>
  <c r="F47" i="116"/>
  <c r="G47" i="116"/>
  <c r="C48" i="116"/>
  <c r="F48" i="116"/>
  <c r="G48" i="116"/>
  <c r="C49" i="116"/>
  <c r="F49" i="116"/>
  <c r="G49" i="116"/>
  <c r="C50" i="116"/>
  <c r="F50" i="116"/>
  <c r="G50" i="116"/>
  <c r="C51" i="116"/>
  <c r="F51" i="116"/>
  <c r="G51" i="116"/>
  <c r="C52" i="116"/>
  <c r="F52" i="116"/>
  <c r="G52" i="116"/>
  <c r="C53" i="116"/>
  <c r="F53" i="116"/>
  <c r="G53" i="116"/>
  <c r="C54" i="116"/>
  <c r="F54" i="116"/>
  <c r="G54" i="116"/>
  <c r="C55" i="116"/>
  <c r="F55" i="116"/>
  <c r="G55" i="116"/>
  <c r="C56" i="116"/>
  <c r="F56" i="116"/>
  <c r="G56" i="116"/>
  <c r="C57" i="116"/>
  <c r="F57" i="116"/>
  <c r="G57" i="116"/>
  <c r="C58" i="116"/>
  <c r="F58" i="116"/>
  <c r="G58" i="116"/>
  <c r="C59" i="116"/>
  <c r="F59" i="116"/>
  <c r="G59" i="116"/>
  <c r="C60" i="116"/>
  <c r="F60" i="116"/>
  <c r="G60" i="116"/>
  <c r="C61" i="116"/>
  <c r="F61" i="116"/>
  <c r="G61" i="116"/>
  <c r="C62" i="116"/>
  <c r="F62" i="116"/>
  <c r="G62" i="116"/>
  <c r="C63" i="116"/>
  <c r="F63" i="116"/>
  <c r="G63" i="116"/>
  <c r="C64" i="116"/>
  <c r="F64" i="116"/>
  <c r="G64" i="116"/>
  <c r="C65" i="116"/>
  <c r="F65" i="116"/>
  <c r="G65" i="116"/>
  <c r="C66" i="116"/>
  <c r="F66" i="116"/>
  <c r="G66" i="116"/>
  <c r="C67" i="116"/>
  <c r="F67" i="116"/>
  <c r="G67" i="116"/>
  <c r="C68" i="116"/>
  <c r="F68" i="116"/>
  <c r="G68" i="116"/>
  <c r="C69" i="116"/>
  <c r="F69" i="116"/>
  <c r="G69" i="116"/>
  <c r="C70" i="116"/>
  <c r="F70" i="116"/>
  <c r="G70" i="116"/>
  <c r="C71" i="116"/>
  <c r="F71" i="116"/>
  <c r="G71" i="116"/>
  <c r="C72" i="116"/>
  <c r="F72" i="116"/>
  <c r="G72" i="116"/>
  <c r="C73" i="116"/>
  <c r="F73" i="116"/>
  <c r="G73" i="116"/>
  <c r="C74" i="116"/>
  <c r="F74" i="116"/>
  <c r="G74" i="116"/>
  <c r="C75" i="116"/>
  <c r="F75" i="116"/>
  <c r="G75" i="116"/>
  <c r="C76" i="116"/>
  <c r="F76" i="116"/>
  <c r="G76" i="116"/>
  <c r="C77" i="116"/>
  <c r="F77" i="116"/>
  <c r="G77" i="116"/>
  <c r="C78" i="116"/>
  <c r="F78" i="116"/>
  <c r="G78" i="116"/>
  <c r="C79" i="116"/>
  <c r="F79" i="116"/>
  <c r="G79" i="116"/>
  <c r="C80" i="116"/>
  <c r="F80" i="116"/>
  <c r="G80" i="116"/>
  <c r="C81" i="116"/>
  <c r="F81" i="116"/>
  <c r="G81" i="116"/>
  <c r="C82" i="116"/>
  <c r="F82" i="116"/>
  <c r="G82" i="116"/>
  <c r="C83" i="116"/>
  <c r="F83" i="116"/>
  <c r="G83" i="116"/>
  <c r="C84" i="116"/>
  <c r="F84" i="116"/>
  <c r="G84" i="116"/>
  <c r="C85" i="116"/>
  <c r="F85" i="116"/>
  <c r="G85" i="116"/>
  <c r="C86" i="116"/>
  <c r="F86" i="116"/>
  <c r="G86" i="116"/>
  <c r="C87" i="116"/>
  <c r="F87" i="116"/>
  <c r="G87" i="116"/>
  <c r="C88" i="116"/>
  <c r="F88" i="116"/>
  <c r="G88" i="116"/>
  <c r="C89" i="116"/>
  <c r="F89" i="116"/>
  <c r="G89" i="116"/>
  <c r="C90" i="116"/>
  <c r="F90" i="116"/>
  <c r="G90" i="116"/>
  <c r="C91" i="116"/>
  <c r="F91" i="116"/>
  <c r="G91" i="116"/>
  <c r="C92" i="116"/>
  <c r="F92" i="116"/>
  <c r="G92" i="116"/>
  <c r="C93" i="116"/>
  <c r="F93" i="116"/>
  <c r="G93" i="116"/>
  <c r="C94" i="116"/>
  <c r="F94" i="116"/>
  <c r="G94" i="116"/>
  <c r="C95" i="116"/>
  <c r="F95" i="116"/>
  <c r="G95" i="116"/>
  <c r="C96" i="116"/>
  <c r="F96" i="116"/>
  <c r="G96" i="116"/>
  <c r="C97" i="116"/>
  <c r="F97" i="116"/>
  <c r="G97" i="116"/>
  <c r="C98" i="116"/>
  <c r="F98" i="116"/>
  <c r="G98" i="116"/>
  <c r="C99" i="116"/>
  <c r="F99" i="116"/>
  <c r="G99" i="116"/>
  <c r="C100" i="116"/>
  <c r="F100" i="116"/>
  <c r="G100" i="116"/>
  <c r="C101" i="116"/>
  <c r="F101" i="116"/>
  <c r="G101" i="116"/>
  <c r="C102" i="116"/>
  <c r="F102" i="116"/>
  <c r="G102" i="116"/>
  <c r="C103" i="116"/>
  <c r="F103" i="116"/>
  <c r="G103" i="116"/>
  <c r="C104" i="116"/>
  <c r="F104" i="116"/>
  <c r="G104" i="116"/>
  <c r="C105" i="116"/>
  <c r="F105" i="116"/>
  <c r="G105" i="116"/>
  <c r="C106" i="116"/>
  <c r="F106" i="116"/>
  <c r="G106" i="116"/>
  <c r="C107" i="116"/>
  <c r="F107" i="116"/>
  <c r="G107" i="116"/>
  <c r="C108" i="116"/>
  <c r="F108" i="116"/>
  <c r="G108" i="116"/>
  <c r="C109" i="116"/>
  <c r="F109" i="116"/>
  <c r="G109" i="116"/>
  <c r="C110" i="116"/>
  <c r="F110" i="116"/>
  <c r="G110" i="116"/>
  <c r="C111" i="116"/>
  <c r="F111" i="116"/>
  <c r="G111" i="116"/>
  <c r="C112" i="116"/>
  <c r="F112" i="116"/>
  <c r="G112" i="116"/>
  <c r="C113" i="116"/>
  <c r="F113" i="116"/>
  <c r="G113" i="116"/>
  <c r="C114" i="116"/>
  <c r="F114" i="116"/>
  <c r="G114" i="116"/>
  <c r="C115" i="116"/>
  <c r="F115" i="116"/>
  <c r="G115" i="116"/>
  <c r="C116" i="116"/>
  <c r="F116" i="116"/>
  <c r="G116" i="116"/>
  <c r="C117" i="116"/>
  <c r="F117" i="116"/>
  <c r="G117" i="116"/>
  <c r="C118" i="116"/>
  <c r="F118" i="116"/>
  <c r="G118" i="116"/>
  <c r="C119" i="116"/>
  <c r="F119" i="116"/>
  <c r="G119" i="116"/>
  <c r="C120" i="116"/>
  <c r="F120" i="116"/>
  <c r="G120" i="116"/>
  <c r="C121" i="116"/>
  <c r="F121" i="116"/>
  <c r="G121" i="116"/>
  <c r="C122" i="116"/>
  <c r="F122" i="116"/>
  <c r="G122" i="116"/>
  <c r="C123" i="116"/>
  <c r="F123" i="116"/>
  <c r="G123" i="116"/>
  <c r="C124" i="116"/>
  <c r="F124" i="116"/>
  <c r="G124" i="116"/>
  <c r="C125" i="116"/>
  <c r="F125" i="116"/>
  <c r="G125" i="116"/>
  <c r="C126" i="116"/>
  <c r="F126" i="116"/>
  <c r="G126" i="116"/>
  <c r="C127" i="116"/>
  <c r="F127" i="116"/>
  <c r="G127" i="116"/>
  <c r="C128" i="116"/>
  <c r="F128" i="116"/>
  <c r="G128" i="116"/>
  <c r="C129" i="116"/>
  <c r="F129" i="116"/>
  <c r="G129" i="116"/>
  <c r="C130" i="116"/>
  <c r="F130" i="116"/>
  <c r="G130" i="116"/>
  <c r="C131" i="116"/>
  <c r="F131" i="116"/>
  <c r="G131" i="116"/>
  <c r="C132" i="116"/>
  <c r="F132" i="116"/>
  <c r="G132" i="116"/>
  <c r="C133" i="116"/>
  <c r="F133" i="116"/>
  <c r="G133" i="116"/>
  <c r="C134" i="116"/>
  <c r="F134" i="116"/>
  <c r="G134" i="116"/>
  <c r="C135" i="116"/>
  <c r="F135" i="116"/>
  <c r="G135" i="116"/>
  <c r="C136" i="116"/>
  <c r="F136" i="116"/>
  <c r="G136" i="116"/>
  <c r="C137" i="116"/>
  <c r="F137" i="116"/>
  <c r="G137" i="116"/>
  <c r="C138" i="116"/>
  <c r="F138" i="116"/>
  <c r="G138" i="116"/>
  <c r="C139" i="116"/>
  <c r="F139" i="116"/>
  <c r="G139" i="116"/>
  <c r="C140" i="116"/>
  <c r="F140" i="116"/>
  <c r="G140" i="116"/>
  <c r="C141" i="116"/>
  <c r="F141" i="116"/>
  <c r="G141" i="116"/>
  <c r="C142" i="116"/>
  <c r="F142" i="116"/>
  <c r="G142" i="116"/>
  <c r="C143" i="116"/>
  <c r="F143" i="116"/>
  <c r="G143" i="116"/>
  <c r="C144" i="116"/>
  <c r="F144" i="116"/>
  <c r="G144" i="116"/>
  <c r="C145" i="116"/>
  <c r="F145" i="116"/>
  <c r="G145" i="116"/>
  <c r="C146" i="116"/>
  <c r="F146" i="116"/>
  <c r="G146" i="116"/>
  <c r="C147" i="116"/>
  <c r="F147" i="116"/>
  <c r="G147" i="116"/>
  <c r="C148" i="116"/>
  <c r="F148" i="116"/>
  <c r="G148" i="116"/>
  <c r="C149" i="116"/>
  <c r="F149" i="116"/>
  <c r="G149" i="116"/>
  <c r="C150" i="116"/>
  <c r="F150" i="116"/>
  <c r="G150" i="116"/>
  <c r="C151" i="116"/>
  <c r="F151" i="116"/>
  <c r="G151" i="116"/>
  <c r="C152" i="116"/>
  <c r="F152" i="116"/>
  <c r="G152" i="116"/>
  <c r="C153" i="116"/>
  <c r="F153" i="116"/>
  <c r="G153" i="116"/>
  <c r="C154" i="116"/>
  <c r="F154" i="116"/>
  <c r="G154" i="116"/>
  <c r="C155" i="116"/>
  <c r="F155" i="116"/>
  <c r="G155" i="116"/>
  <c r="C156" i="116"/>
  <c r="F156" i="116"/>
  <c r="G156" i="116"/>
  <c r="C157" i="116"/>
  <c r="F157" i="116"/>
  <c r="G157" i="116"/>
  <c r="C158" i="116"/>
  <c r="F158" i="116"/>
  <c r="G158" i="116"/>
  <c r="C159" i="116"/>
  <c r="F159" i="116"/>
  <c r="G159" i="116"/>
  <c r="C160" i="116"/>
  <c r="F160" i="116"/>
  <c r="G160" i="116"/>
  <c r="C161" i="116"/>
  <c r="F161" i="116"/>
  <c r="G161" i="116"/>
  <c r="C162" i="116"/>
  <c r="F162" i="116"/>
  <c r="G162" i="116"/>
  <c r="C163" i="116"/>
  <c r="F163" i="116"/>
  <c r="G163" i="116"/>
  <c r="C164" i="116"/>
  <c r="F164" i="116"/>
  <c r="G164" i="116"/>
  <c r="C165" i="116"/>
  <c r="F165" i="116"/>
  <c r="G165" i="116"/>
  <c r="C166" i="116"/>
  <c r="F166" i="116"/>
  <c r="G166" i="116"/>
  <c r="C167" i="116"/>
  <c r="F167" i="116"/>
  <c r="G167" i="116"/>
  <c r="C168" i="116"/>
  <c r="F168" i="116"/>
  <c r="G168" i="116"/>
  <c r="C169" i="116"/>
  <c r="F169" i="116"/>
  <c r="G169" i="116"/>
  <c r="C170" i="116"/>
  <c r="F170" i="116"/>
  <c r="G170" i="116"/>
  <c r="C171" i="116"/>
  <c r="F171" i="116"/>
  <c r="G171" i="116"/>
  <c r="C172" i="116"/>
  <c r="F172" i="116"/>
  <c r="G172" i="116"/>
  <c r="C173" i="116"/>
  <c r="F173" i="116"/>
  <c r="G173" i="116"/>
  <c r="C174" i="116"/>
  <c r="F174" i="116"/>
  <c r="G174" i="116"/>
  <c r="C175" i="116"/>
  <c r="F175" i="116"/>
  <c r="G175" i="116"/>
  <c r="C176" i="116"/>
  <c r="F176" i="116"/>
  <c r="G176" i="116"/>
  <c r="C177" i="116"/>
  <c r="F177" i="116"/>
  <c r="G177" i="116"/>
  <c r="C178" i="116"/>
  <c r="F178" i="116"/>
  <c r="G178" i="116"/>
  <c r="C179" i="116"/>
  <c r="F179" i="116"/>
  <c r="G179" i="116"/>
  <c r="C180" i="116"/>
  <c r="F180" i="116"/>
  <c r="G180" i="116"/>
  <c r="C181" i="116"/>
  <c r="F181" i="116"/>
  <c r="G181" i="116"/>
  <c r="C182" i="116"/>
  <c r="F182" i="116"/>
  <c r="G182" i="116"/>
  <c r="C183" i="116"/>
  <c r="F183" i="116"/>
  <c r="G183" i="116"/>
  <c r="C184" i="116"/>
  <c r="F184" i="116"/>
  <c r="G184" i="116"/>
  <c r="C185" i="116"/>
  <c r="F185" i="116"/>
  <c r="G185" i="116"/>
  <c r="C186" i="116"/>
  <c r="F186" i="116"/>
  <c r="G186" i="116"/>
  <c r="C187" i="116"/>
  <c r="F187" i="116"/>
  <c r="G187" i="116"/>
  <c r="C188" i="116"/>
  <c r="F188" i="116"/>
  <c r="G188" i="116"/>
  <c r="C189" i="116"/>
  <c r="F189" i="116"/>
  <c r="G189" i="116"/>
  <c r="C190" i="116"/>
  <c r="F190" i="116"/>
  <c r="G190" i="116"/>
  <c r="C191" i="116"/>
  <c r="F191" i="116"/>
  <c r="G191" i="116"/>
  <c r="C192" i="116"/>
  <c r="F192" i="116"/>
  <c r="G192" i="116"/>
  <c r="C193" i="116"/>
  <c r="F193" i="116"/>
  <c r="G193" i="116"/>
  <c r="C194" i="116"/>
  <c r="F194" i="116"/>
  <c r="G194" i="116"/>
  <c r="C195" i="116"/>
  <c r="F195" i="116"/>
  <c r="G195" i="116"/>
  <c r="C196" i="116"/>
  <c r="F196" i="116"/>
  <c r="G196" i="116"/>
  <c r="C197" i="116"/>
  <c r="F197" i="116"/>
  <c r="G197" i="116"/>
  <c r="C198" i="116"/>
  <c r="F198" i="116"/>
  <c r="G198" i="116"/>
  <c r="C199" i="116"/>
  <c r="F199" i="116"/>
  <c r="G199" i="116"/>
  <c r="C200" i="116"/>
  <c r="F200" i="116"/>
  <c r="G200" i="116"/>
  <c r="C201" i="116"/>
  <c r="F201" i="116"/>
  <c r="G201" i="116"/>
  <c r="C202" i="116"/>
  <c r="F202" i="116"/>
  <c r="G202" i="116"/>
  <c r="C203" i="116"/>
  <c r="F203" i="116"/>
  <c r="G203" i="116"/>
  <c r="C204" i="116"/>
  <c r="F204" i="116"/>
  <c r="G204" i="116"/>
  <c r="C205" i="116"/>
  <c r="F205" i="116"/>
  <c r="G205" i="116"/>
  <c r="C206" i="116"/>
  <c r="F206" i="116"/>
  <c r="G206" i="116"/>
  <c r="C207" i="116"/>
  <c r="F207" i="116"/>
  <c r="G207" i="116"/>
  <c r="C208" i="116"/>
  <c r="F208" i="116"/>
  <c r="G208" i="116"/>
  <c r="C209" i="116"/>
  <c r="F209" i="116"/>
  <c r="G209" i="116"/>
  <c r="C210" i="116"/>
  <c r="F210" i="116"/>
  <c r="G210" i="116"/>
  <c r="C211" i="116"/>
  <c r="F211" i="116"/>
  <c r="G211" i="116"/>
  <c r="C212" i="116"/>
  <c r="F212" i="116"/>
  <c r="G212" i="116"/>
  <c r="C213" i="116"/>
  <c r="F213" i="116"/>
  <c r="G213" i="116"/>
  <c r="C214" i="116"/>
  <c r="F214" i="116"/>
  <c r="G214" i="116"/>
  <c r="C215" i="116"/>
  <c r="F215" i="116"/>
  <c r="G215" i="116"/>
  <c r="C216" i="116"/>
  <c r="F216" i="116"/>
  <c r="G216" i="116"/>
  <c r="C217" i="116"/>
  <c r="F217" i="116"/>
  <c r="G217" i="116"/>
  <c r="C218" i="116"/>
  <c r="F218" i="116"/>
  <c r="G218" i="116"/>
  <c r="C219" i="116"/>
  <c r="F219" i="116"/>
  <c r="G219" i="116"/>
  <c r="C220" i="116"/>
  <c r="F220" i="116"/>
  <c r="G220" i="116"/>
  <c r="C221" i="116"/>
  <c r="F221" i="116"/>
  <c r="G221" i="116"/>
  <c r="C222" i="116"/>
  <c r="F222" i="116"/>
  <c r="G222" i="116"/>
  <c r="C223" i="116"/>
  <c r="F223" i="116"/>
  <c r="G223" i="116"/>
  <c r="C224" i="116"/>
  <c r="F224" i="116"/>
  <c r="G224" i="116"/>
  <c r="C225" i="116"/>
  <c r="F225" i="116"/>
  <c r="G225" i="116"/>
  <c r="C226" i="116"/>
  <c r="F226" i="116"/>
  <c r="G226" i="116"/>
  <c r="C227" i="116"/>
  <c r="F227" i="116"/>
  <c r="G227" i="116"/>
  <c r="C228" i="116"/>
  <c r="F228" i="116"/>
  <c r="G228" i="116"/>
  <c r="C229" i="116"/>
  <c r="F229" i="116"/>
  <c r="G229" i="116"/>
  <c r="C230" i="116"/>
  <c r="F230" i="116"/>
  <c r="G230" i="116"/>
  <c r="C231" i="116"/>
  <c r="F231" i="116"/>
  <c r="G231" i="116"/>
  <c r="C232" i="116"/>
  <c r="F232" i="116"/>
  <c r="G232" i="116"/>
  <c r="C233" i="116"/>
  <c r="F233" i="116"/>
  <c r="G233" i="116"/>
  <c r="C234" i="116"/>
  <c r="F234" i="116"/>
  <c r="G234" i="116"/>
  <c r="C235" i="116"/>
  <c r="F235" i="116"/>
  <c r="G235" i="116"/>
  <c r="C236" i="116"/>
  <c r="F236" i="116"/>
  <c r="G236" i="116"/>
  <c r="C237" i="116"/>
  <c r="F237" i="116"/>
  <c r="G237" i="116"/>
  <c r="C238" i="116"/>
  <c r="F238" i="116"/>
  <c r="G238" i="116"/>
  <c r="C239" i="116"/>
  <c r="F239" i="116"/>
  <c r="G239" i="116"/>
  <c r="C240" i="116"/>
  <c r="F240" i="116"/>
  <c r="G240" i="116"/>
  <c r="C241" i="116"/>
  <c r="F241" i="116"/>
  <c r="G241" i="116"/>
  <c r="C242" i="116"/>
  <c r="F242" i="116"/>
  <c r="G242" i="116"/>
  <c r="C243" i="116"/>
  <c r="F243" i="116"/>
  <c r="G243" i="116"/>
  <c r="C244" i="116"/>
  <c r="F244" i="116"/>
  <c r="G244" i="116"/>
  <c r="C245" i="116"/>
  <c r="F245" i="116"/>
  <c r="G245" i="116"/>
  <c r="C246" i="116"/>
  <c r="F246" i="116"/>
  <c r="G246" i="116"/>
  <c r="C247" i="116"/>
  <c r="F247" i="116"/>
  <c r="G247" i="116"/>
  <c r="C248" i="116"/>
  <c r="F248" i="116"/>
  <c r="G248" i="116"/>
  <c r="C249" i="116"/>
  <c r="F249" i="116"/>
  <c r="G249" i="116"/>
  <c r="C250" i="116"/>
  <c r="F250" i="116"/>
  <c r="G250" i="116"/>
  <c r="C251" i="116"/>
  <c r="F251" i="116"/>
  <c r="G251" i="116"/>
  <c r="C252" i="116"/>
  <c r="F252" i="116"/>
  <c r="G252" i="116"/>
  <c r="C253" i="116"/>
  <c r="F253" i="116"/>
  <c r="G253" i="116"/>
  <c r="C254" i="116"/>
  <c r="F254" i="116"/>
  <c r="G254" i="116"/>
  <c r="C255" i="116"/>
  <c r="F255" i="116"/>
  <c r="G255" i="116"/>
  <c r="C256" i="116"/>
  <c r="F256" i="116"/>
  <c r="G256" i="116"/>
  <c r="C257" i="116"/>
  <c r="F257" i="116"/>
  <c r="G257" i="116"/>
  <c r="C258" i="116"/>
  <c r="F258" i="116"/>
  <c r="G258" i="116"/>
  <c r="C259" i="116"/>
  <c r="F259" i="116"/>
  <c r="G259" i="116"/>
  <c r="C260" i="116"/>
  <c r="F260" i="116"/>
  <c r="G260" i="116"/>
  <c r="C261" i="116"/>
  <c r="F261" i="116"/>
  <c r="G261" i="116"/>
  <c r="C262" i="116"/>
  <c r="F262" i="116"/>
  <c r="G262" i="116"/>
  <c r="C263" i="116"/>
  <c r="F263" i="116"/>
  <c r="G263" i="116"/>
  <c r="C264" i="116"/>
  <c r="F264" i="116"/>
  <c r="G264" i="116"/>
  <c r="C265" i="116"/>
  <c r="F265" i="116"/>
  <c r="G265" i="116"/>
  <c r="C266" i="116"/>
  <c r="F266" i="116"/>
  <c r="G266" i="116"/>
  <c r="C267" i="116"/>
  <c r="F267" i="116"/>
  <c r="G267" i="116"/>
  <c r="C268" i="116"/>
  <c r="F268" i="116"/>
  <c r="G268" i="116"/>
  <c r="C269" i="116"/>
  <c r="F269" i="116"/>
  <c r="G269" i="116"/>
  <c r="C270" i="116"/>
  <c r="F270" i="116"/>
  <c r="G270" i="116"/>
  <c r="C271" i="116"/>
  <c r="F271" i="116"/>
  <c r="G271" i="116"/>
  <c r="C272" i="116"/>
  <c r="F272" i="116"/>
  <c r="G272" i="116"/>
  <c r="C273" i="116"/>
  <c r="F273" i="116"/>
  <c r="G273" i="116"/>
  <c r="C274" i="116"/>
  <c r="F274" i="116"/>
  <c r="G274" i="116"/>
  <c r="C275" i="116"/>
  <c r="F275" i="116"/>
  <c r="G275" i="116"/>
  <c r="C276" i="116"/>
  <c r="F276" i="116"/>
  <c r="G276" i="116"/>
  <c r="C277" i="116"/>
  <c r="F277" i="116"/>
  <c r="G277" i="116"/>
  <c r="C278" i="116"/>
  <c r="F278" i="116"/>
  <c r="G278" i="116"/>
  <c r="C279" i="116"/>
  <c r="F279" i="116"/>
  <c r="G279" i="116"/>
  <c r="C280" i="116"/>
  <c r="F280" i="116"/>
  <c r="G280" i="116"/>
  <c r="C281" i="116"/>
  <c r="F281" i="116"/>
  <c r="G281" i="116"/>
  <c r="C282" i="116"/>
  <c r="F282" i="116"/>
  <c r="G282" i="116"/>
  <c r="C283" i="116"/>
  <c r="F283" i="116"/>
  <c r="G283" i="116"/>
  <c r="C284" i="116"/>
  <c r="F284" i="116"/>
  <c r="G284" i="116"/>
  <c r="C285" i="116"/>
  <c r="F285" i="116"/>
  <c r="G285" i="116"/>
  <c r="C286" i="116"/>
  <c r="F286" i="116"/>
  <c r="G286" i="116"/>
  <c r="C287" i="116"/>
  <c r="F287" i="116"/>
  <c r="G287" i="116"/>
  <c r="C288" i="116"/>
  <c r="F288" i="116"/>
  <c r="G288" i="116"/>
  <c r="C289" i="116"/>
  <c r="F289" i="116"/>
  <c r="G289" i="116"/>
  <c r="C290" i="116"/>
  <c r="F290" i="116"/>
  <c r="G290" i="116"/>
  <c r="C291" i="116"/>
  <c r="F291" i="116"/>
  <c r="G291" i="116"/>
  <c r="C292" i="116"/>
  <c r="F292" i="116"/>
  <c r="G292" i="116"/>
  <c r="C293" i="116"/>
  <c r="F293" i="116"/>
  <c r="G293" i="116"/>
  <c r="C294" i="116"/>
  <c r="F294" i="116"/>
  <c r="G294" i="116"/>
  <c r="C295" i="116"/>
  <c r="F295" i="116"/>
  <c r="G295" i="116"/>
  <c r="C296" i="116"/>
  <c r="F296" i="116"/>
  <c r="G296" i="116"/>
  <c r="C297" i="116"/>
  <c r="F297" i="116"/>
  <c r="G297" i="116"/>
  <c r="C298" i="116"/>
  <c r="F298" i="116"/>
  <c r="G298" i="116"/>
  <c r="C299" i="116"/>
  <c r="F299" i="116"/>
  <c r="G299" i="116"/>
  <c r="C300" i="116"/>
  <c r="F300" i="116"/>
  <c r="G300" i="116"/>
  <c r="C301" i="116"/>
  <c r="F301" i="116"/>
  <c r="G301" i="116"/>
  <c r="C302" i="116"/>
  <c r="F302" i="116"/>
  <c r="G302" i="116"/>
  <c r="C303" i="116"/>
  <c r="F303" i="116"/>
  <c r="G303" i="116"/>
  <c r="C304" i="116"/>
  <c r="F304" i="116"/>
  <c r="G304" i="116"/>
  <c r="C305" i="116"/>
  <c r="F305" i="116"/>
  <c r="G305" i="116"/>
  <c r="C306" i="116"/>
  <c r="F306" i="116"/>
  <c r="G306" i="116"/>
  <c r="C307" i="116"/>
  <c r="F307" i="116"/>
  <c r="G307" i="116"/>
  <c r="C308" i="116"/>
  <c r="F308" i="116"/>
  <c r="G308" i="116"/>
  <c r="C309" i="116"/>
  <c r="F309" i="116"/>
  <c r="G309" i="116"/>
  <c r="C310" i="116"/>
  <c r="F310" i="116"/>
  <c r="G310" i="116"/>
  <c r="C311" i="116"/>
  <c r="F311" i="116"/>
  <c r="G311" i="116"/>
  <c r="C312" i="116"/>
  <c r="F312" i="116"/>
  <c r="G312" i="116"/>
  <c r="C313" i="116"/>
  <c r="F313" i="116"/>
  <c r="G313" i="116"/>
  <c r="C314" i="116"/>
  <c r="F314" i="116"/>
  <c r="G314" i="116"/>
  <c r="C315" i="116"/>
  <c r="F315" i="116"/>
  <c r="G315" i="116"/>
  <c r="C316" i="116"/>
  <c r="F316" i="116"/>
  <c r="G316" i="116"/>
  <c r="C317" i="116"/>
  <c r="F317" i="116"/>
  <c r="G317" i="116"/>
  <c r="C318" i="116"/>
  <c r="F318" i="116"/>
  <c r="G318" i="116"/>
  <c r="C319" i="116"/>
  <c r="F319" i="116"/>
  <c r="G319" i="116"/>
  <c r="C320" i="116"/>
  <c r="F320" i="116"/>
  <c r="G320" i="116"/>
  <c r="C321" i="116"/>
  <c r="F321" i="116"/>
  <c r="G321" i="116"/>
  <c r="C322" i="116"/>
  <c r="F322" i="116"/>
  <c r="G322" i="116"/>
  <c r="C323" i="116"/>
  <c r="F323" i="116"/>
  <c r="G323" i="116"/>
  <c r="C324" i="116"/>
  <c r="F324" i="116"/>
  <c r="G324" i="116"/>
  <c r="C325" i="116"/>
  <c r="F325" i="116"/>
  <c r="G325" i="116"/>
  <c r="C326" i="116"/>
  <c r="F326" i="116"/>
  <c r="G326" i="116"/>
  <c r="C327" i="116"/>
  <c r="F327" i="116"/>
  <c r="G327" i="116"/>
  <c r="C328" i="116"/>
  <c r="F328" i="116"/>
  <c r="G328" i="116"/>
  <c r="C329" i="116"/>
  <c r="F329" i="116"/>
  <c r="G329" i="116"/>
  <c r="C330" i="116"/>
  <c r="F330" i="116"/>
  <c r="G330" i="116"/>
  <c r="C331" i="116"/>
  <c r="F331" i="116"/>
  <c r="G331" i="116"/>
  <c r="C332" i="116"/>
  <c r="F332" i="116"/>
  <c r="G332" i="116"/>
  <c r="C333" i="116"/>
  <c r="F333" i="116"/>
  <c r="G333" i="116"/>
  <c r="C334" i="116"/>
  <c r="F334" i="116"/>
  <c r="G334" i="116"/>
  <c r="C335" i="116"/>
  <c r="F335" i="116"/>
  <c r="G335" i="116"/>
  <c r="C336" i="116"/>
  <c r="F336" i="116"/>
  <c r="G336" i="116"/>
  <c r="C337" i="116"/>
  <c r="F337" i="116"/>
  <c r="G337" i="116"/>
  <c r="C338" i="116"/>
  <c r="F338" i="116"/>
  <c r="G338" i="116"/>
  <c r="C339" i="116"/>
  <c r="F339" i="116"/>
  <c r="G339" i="116"/>
  <c r="C340" i="116"/>
  <c r="F340" i="116"/>
  <c r="G340" i="116"/>
  <c r="C341" i="116"/>
  <c r="F341" i="116"/>
  <c r="G341" i="116"/>
  <c r="C342" i="116"/>
  <c r="F342" i="116"/>
  <c r="G342" i="116"/>
  <c r="C343" i="116"/>
  <c r="F343" i="116"/>
  <c r="G343" i="116"/>
  <c r="C344" i="116"/>
  <c r="F344" i="116"/>
  <c r="G344" i="116"/>
  <c r="C345" i="116"/>
  <c r="F345" i="116"/>
  <c r="G345" i="116"/>
  <c r="C346" i="116"/>
  <c r="F346" i="116"/>
  <c r="G346" i="116"/>
  <c r="C347" i="116"/>
  <c r="F347" i="116"/>
  <c r="G347" i="116"/>
  <c r="C348" i="116"/>
  <c r="F348" i="116"/>
  <c r="G348" i="116"/>
  <c r="C349" i="116"/>
  <c r="F349" i="116"/>
  <c r="G349" i="116"/>
  <c r="C350" i="116"/>
  <c r="F350" i="116"/>
  <c r="G350" i="116"/>
  <c r="C351" i="116"/>
  <c r="F351" i="116"/>
  <c r="G351" i="116"/>
  <c r="AD8" i="115"/>
  <c r="AJ8" i="115"/>
  <c r="AK8" i="115"/>
  <c r="AL8" i="115"/>
  <c r="AM8" i="115"/>
  <c r="AO8" i="115" s="1"/>
  <c r="AD9" i="115"/>
  <c r="AJ9" i="115"/>
  <c r="AK9" i="115"/>
  <c r="AL9" i="115"/>
  <c r="AM9" i="115"/>
  <c r="AO9" i="115"/>
  <c r="AD10" i="115"/>
  <c r="AJ10" i="115"/>
  <c r="AK10" i="115"/>
  <c r="AL10" i="115"/>
  <c r="AM10" i="115"/>
  <c r="AO10" i="115" s="1"/>
  <c r="AD11" i="115"/>
  <c r="AG11" i="115" s="1"/>
  <c r="AJ11" i="115"/>
  <c r="AK11" i="115"/>
  <c r="AL11" i="115"/>
  <c r="AM11" i="115"/>
  <c r="AO11" i="115" s="1"/>
  <c r="AD12" i="115"/>
  <c r="AI12" i="115" s="1"/>
  <c r="AJ12" i="115"/>
  <c r="AK12" i="115"/>
  <c r="AL12" i="115"/>
  <c r="AM12" i="115"/>
  <c r="AO12" i="115" s="1"/>
  <c r="AD13" i="115"/>
  <c r="AE13" i="115" s="1"/>
  <c r="AJ13" i="115"/>
  <c r="AK13" i="115"/>
  <c r="AL13" i="115"/>
  <c r="AM13" i="115"/>
  <c r="AO13" i="115" s="1"/>
  <c r="AD14" i="115"/>
  <c r="AG14" i="115" s="1"/>
  <c r="AJ14" i="115"/>
  <c r="AK14" i="115"/>
  <c r="AL14" i="115"/>
  <c r="AM14" i="115"/>
  <c r="AO14" i="115" s="1"/>
  <c r="AD15" i="115"/>
  <c r="AI15" i="115" s="1"/>
  <c r="AJ15" i="115"/>
  <c r="AK15" i="115"/>
  <c r="AL15" i="115"/>
  <c r="AM15" i="115"/>
  <c r="AO15" i="115" s="1"/>
  <c r="AD16" i="115"/>
  <c r="AJ16" i="115"/>
  <c r="AK16" i="115"/>
  <c r="AL16" i="115"/>
  <c r="AM16" i="115"/>
  <c r="AO16" i="115" s="1"/>
  <c r="AD17" i="115"/>
  <c r="AG17" i="115" s="1"/>
  <c r="AI17" i="115"/>
  <c r="AJ17" i="115"/>
  <c r="AK17" i="115"/>
  <c r="AL17" i="115"/>
  <c r="AM17" i="115"/>
  <c r="AO17" i="115" s="1"/>
  <c r="AD18" i="115"/>
  <c r="AJ18" i="115"/>
  <c r="AK18" i="115"/>
  <c r="AL18" i="115"/>
  <c r="AM18" i="115"/>
  <c r="AO18" i="115" s="1"/>
  <c r="AD19" i="115"/>
  <c r="AJ19" i="115"/>
  <c r="AK19" i="115"/>
  <c r="AL19" i="115"/>
  <c r="AM19" i="115"/>
  <c r="AO19" i="115" s="1"/>
  <c r="AD20" i="115"/>
  <c r="AJ20" i="115"/>
  <c r="AK20" i="115"/>
  <c r="AL20" i="115"/>
  <c r="AM20" i="115"/>
  <c r="AO20" i="115" s="1"/>
  <c r="AD21" i="115"/>
  <c r="AG21" i="115"/>
  <c r="AJ21" i="115"/>
  <c r="AK21" i="115"/>
  <c r="AL21" i="115"/>
  <c r="AM21" i="115"/>
  <c r="AO21" i="115" s="1"/>
  <c r="AD22" i="115"/>
  <c r="AG22" i="115" s="1"/>
  <c r="AJ22" i="115"/>
  <c r="AK22" i="115"/>
  <c r="AL22" i="115"/>
  <c r="AM22" i="115"/>
  <c r="AO22" i="115" s="1"/>
  <c r="AD23" i="115"/>
  <c r="AJ23" i="115"/>
  <c r="AK23" i="115"/>
  <c r="AL23" i="115"/>
  <c r="AM23" i="115"/>
  <c r="AO23" i="115" s="1"/>
  <c r="AD24" i="115"/>
  <c r="AE24" i="115" s="1"/>
  <c r="AJ24" i="115"/>
  <c r="AK24" i="115"/>
  <c r="AL24" i="115"/>
  <c r="AM24" i="115"/>
  <c r="AO24" i="115" s="1"/>
  <c r="AD25" i="115"/>
  <c r="AJ25" i="115"/>
  <c r="AK25" i="115"/>
  <c r="AL25" i="115"/>
  <c r="AM25" i="115"/>
  <c r="AO25" i="115" s="1"/>
  <c r="AD26" i="115"/>
  <c r="AJ26" i="115"/>
  <c r="AK26" i="115"/>
  <c r="AL26" i="115"/>
  <c r="AM26" i="115"/>
  <c r="AO26" i="115" s="1"/>
  <c r="AD27" i="115"/>
  <c r="AE27" i="115" s="1"/>
  <c r="AJ27" i="115"/>
  <c r="AK27" i="115"/>
  <c r="AL27" i="115"/>
  <c r="AM27" i="115"/>
  <c r="AO27" i="115" s="1"/>
  <c r="AD28" i="115"/>
  <c r="AJ28" i="115"/>
  <c r="AK28" i="115"/>
  <c r="AL28" i="115"/>
  <c r="AM28" i="115"/>
  <c r="AO28" i="115" s="1"/>
  <c r="AD29" i="115"/>
  <c r="AI29" i="115"/>
  <c r="AJ29" i="115"/>
  <c r="AK29" i="115"/>
  <c r="AL29" i="115"/>
  <c r="AM29" i="115"/>
  <c r="AO29" i="115" s="1"/>
  <c r="AD30" i="115"/>
  <c r="AI30" i="115" s="1"/>
  <c r="AJ30" i="115"/>
  <c r="AK30" i="115"/>
  <c r="AL30" i="115"/>
  <c r="AM30" i="115"/>
  <c r="AO30" i="115" s="1"/>
  <c r="AD31" i="115"/>
  <c r="AJ31" i="115"/>
  <c r="AK31" i="115"/>
  <c r="AL31" i="115"/>
  <c r="AM31" i="115"/>
  <c r="AO31" i="115" s="1"/>
  <c r="AD32" i="115"/>
  <c r="AJ32" i="115"/>
  <c r="AK32" i="115"/>
  <c r="AL32" i="115"/>
  <c r="AM32" i="115"/>
  <c r="AO32" i="115" s="1"/>
  <c r="AD33" i="115"/>
  <c r="AE33" i="115" s="1"/>
  <c r="AJ33" i="115"/>
  <c r="AK33" i="115"/>
  <c r="AL33" i="115"/>
  <c r="AM33" i="115"/>
  <c r="AO33" i="115" s="1"/>
  <c r="AD34" i="115"/>
  <c r="AE34" i="115" s="1"/>
  <c r="AJ34" i="115"/>
  <c r="AK34" i="115"/>
  <c r="AL34" i="115"/>
  <c r="AM34" i="115"/>
  <c r="AO34" i="115" s="1"/>
  <c r="AD35" i="115"/>
  <c r="AJ35" i="115"/>
  <c r="AK35" i="115"/>
  <c r="AL35" i="115"/>
  <c r="AM35" i="115"/>
  <c r="AO35" i="115" s="1"/>
  <c r="AD36" i="115"/>
  <c r="AE36" i="115" s="1"/>
  <c r="AJ36" i="115"/>
  <c r="AK36" i="115"/>
  <c r="AL36" i="115"/>
  <c r="AM36" i="115"/>
  <c r="AO36" i="115" s="1"/>
  <c r="AD37" i="115"/>
  <c r="AG37" i="115" s="1"/>
  <c r="AJ37" i="115"/>
  <c r="AK37" i="115"/>
  <c r="AL37" i="115"/>
  <c r="AM37" i="115"/>
  <c r="AO37" i="115" s="1"/>
  <c r="AD38" i="115"/>
  <c r="AE38" i="115" s="1"/>
  <c r="AJ38" i="115"/>
  <c r="AK38" i="115"/>
  <c r="AL38" i="115"/>
  <c r="AM38" i="115"/>
  <c r="AO38" i="115" s="1"/>
  <c r="AD39" i="115"/>
  <c r="AE39" i="115" s="1"/>
  <c r="AG39" i="115"/>
  <c r="AI39" i="115"/>
  <c r="AJ39" i="115"/>
  <c r="AK39" i="115"/>
  <c r="AL39" i="115"/>
  <c r="AM39" i="115"/>
  <c r="AO39" i="115" s="1"/>
  <c r="AD40" i="115"/>
  <c r="AJ40" i="115"/>
  <c r="AK40" i="115"/>
  <c r="AL40" i="115"/>
  <c r="AM40" i="115"/>
  <c r="AO40" i="115" s="1"/>
  <c r="AD41" i="115"/>
  <c r="AE41" i="115" s="1"/>
  <c r="AG41" i="115"/>
  <c r="AJ41" i="115"/>
  <c r="AK41" i="115"/>
  <c r="AL41" i="115"/>
  <c r="AM41" i="115"/>
  <c r="AO41" i="115"/>
  <c r="AD42" i="115"/>
  <c r="AE42" i="115" s="1"/>
  <c r="AI42" i="115"/>
  <c r="AJ42" i="115"/>
  <c r="AK42" i="115"/>
  <c r="AL42" i="115"/>
  <c r="AM42" i="115"/>
  <c r="AO42" i="115" s="1"/>
  <c r="AD43" i="115"/>
  <c r="AG43" i="115"/>
  <c r="AJ43" i="115"/>
  <c r="AK43" i="115"/>
  <c r="AL43" i="115"/>
  <c r="AM43" i="115"/>
  <c r="AO43" i="115" s="1"/>
  <c r="AD44" i="115"/>
  <c r="AE44" i="115" s="1"/>
  <c r="AJ44" i="115"/>
  <c r="AK44" i="115"/>
  <c r="AL44" i="115"/>
  <c r="AM44" i="115"/>
  <c r="AO44" i="115" s="1"/>
  <c r="AD45" i="115"/>
  <c r="AE45" i="115" s="1"/>
  <c r="AJ45" i="115"/>
  <c r="AK45" i="115"/>
  <c r="AL45" i="115"/>
  <c r="AM45" i="115"/>
  <c r="AO45" i="115" s="1"/>
  <c r="AD46" i="115"/>
  <c r="AE46" i="115" s="1"/>
  <c r="AG46" i="115"/>
  <c r="AJ46" i="115"/>
  <c r="AK46" i="115"/>
  <c r="AL46" i="115"/>
  <c r="AM46" i="115"/>
  <c r="AO46" i="115" s="1"/>
  <c r="AD47" i="115"/>
  <c r="AE47" i="115" s="1"/>
  <c r="AJ47" i="115"/>
  <c r="AK47" i="115"/>
  <c r="AL47" i="115"/>
  <c r="AM47" i="115"/>
  <c r="AO47" i="115" s="1"/>
  <c r="AD48" i="115"/>
  <c r="AI48" i="115" s="1"/>
  <c r="AJ48" i="115"/>
  <c r="AK48" i="115"/>
  <c r="AL48" i="115"/>
  <c r="AM48" i="115"/>
  <c r="AO48" i="115" s="1"/>
  <c r="AD49" i="115"/>
  <c r="AE49" i="115" s="1"/>
  <c r="AJ49" i="115"/>
  <c r="AK49" i="115"/>
  <c r="AL49" i="115"/>
  <c r="AM49" i="115"/>
  <c r="AO49" i="115" s="1"/>
  <c r="AD50" i="115"/>
  <c r="AE50" i="115" s="1"/>
  <c r="AJ50" i="115"/>
  <c r="AK50" i="115"/>
  <c r="AL50" i="115"/>
  <c r="AM50" i="115"/>
  <c r="AO50" i="115" s="1"/>
  <c r="AD51" i="115"/>
  <c r="AG51" i="115"/>
  <c r="AJ51" i="115"/>
  <c r="AK51" i="115"/>
  <c r="AL51" i="115"/>
  <c r="AM51" i="115"/>
  <c r="AO51" i="115" s="1"/>
  <c r="AD52" i="115"/>
  <c r="AE52" i="115" s="1"/>
  <c r="AJ52" i="115"/>
  <c r="AK52" i="115"/>
  <c r="AL52" i="115"/>
  <c r="AM52" i="115"/>
  <c r="AO52" i="115" s="1"/>
  <c r="AD53" i="115"/>
  <c r="AE53" i="115" s="1"/>
  <c r="AJ53" i="115"/>
  <c r="AK53" i="115"/>
  <c r="AL53" i="115"/>
  <c r="AM53" i="115"/>
  <c r="AO53" i="115"/>
  <c r="AD54" i="115"/>
  <c r="AE54" i="115" s="1"/>
  <c r="AG54" i="115"/>
  <c r="AJ54" i="115"/>
  <c r="AK54" i="115"/>
  <c r="AL54" i="115"/>
  <c r="AM54" i="115"/>
  <c r="AO54" i="115" s="1"/>
  <c r="AD55" i="115"/>
  <c r="AJ55" i="115"/>
  <c r="AK55" i="115"/>
  <c r="AL55" i="115"/>
  <c r="AM55" i="115"/>
  <c r="AO55" i="115" s="1"/>
  <c r="AD56" i="115"/>
  <c r="AJ56" i="115"/>
  <c r="AK56" i="115"/>
  <c r="AL56" i="115"/>
  <c r="AM56" i="115"/>
  <c r="AO56" i="115" s="1"/>
  <c r="AD57" i="115"/>
  <c r="AJ57" i="115"/>
  <c r="AK57" i="115"/>
  <c r="AL57" i="115"/>
  <c r="AM57" i="115"/>
  <c r="AO57" i="115"/>
  <c r="AD58" i="115"/>
  <c r="AE58" i="115" s="1"/>
  <c r="AI58" i="115"/>
  <c r="AJ58" i="115"/>
  <c r="AK58" i="115"/>
  <c r="AL58" i="115"/>
  <c r="AM58" i="115"/>
  <c r="AO58" i="115" s="1"/>
  <c r="AD59" i="115"/>
  <c r="AG59" i="115"/>
  <c r="AJ59" i="115"/>
  <c r="AK59" i="115"/>
  <c r="AL59" i="115"/>
  <c r="AM59" i="115"/>
  <c r="AO59" i="115" s="1"/>
  <c r="AD60" i="115"/>
  <c r="AE60" i="115" s="1"/>
  <c r="AJ60" i="115"/>
  <c r="AK60" i="115"/>
  <c r="AL60" i="115"/>
  <c r="AM60" i="115"/>
  <c r="AO60" i="115"/>
  <c r="AD61" i="115"/>
  <c r="AE61" i="115" s="1"/>
  <c r="AJ61" i="115"/>
  <c r="AK61" i="115"/>
  <c r="AL61" i="115"/>
  <c r="AM61" i="115"/>
  <c r="AO61" i="115"/>
  <c r="AD62" i="115"/>
  <c r="AE62" i="115" s="1"/>
  <c r="AJ62" i="115"/>
  <c r="AK62" i="115"/>
  <c r="AL62" i="115"/>
  <c r="AM62" i="115"/>
  <c r="AO62" i="115" s="1"/>
  <c r="AD63" i="115"/>
  <c r="AJ63" i="115"/>
  <c r="AK63" i="115"/>
  <c r="AL63" i="115"/>
  <c r="AM63" i="115"/>
  <c r="AO63" i="115" s="1"/>
  <c r="AD64" i="115"/>
  <c r="AI64" i="115"/>
  <c r="AJ64" i="115"/>
  <c r="AK64" i="115"/>
  <c r="AL64" i="115"/>
  <c r="AM64" i="115"/>
  <c r="AO64" i="115" s="1"/>
  <c r="AD65" i="115"/>
  <c r="AG65" i="115"/>
  <c r="AJ65" i="115"/>
  <c r="AK65" i="115"/>
  <c r="AL65" i="115"/>
  <c r="AM65" i="115"/>
  <c r="AO65" i="115" s="1"/>
  <c r="AD66" i="115"/>
  <c r="AE66" i="115" s="1"/>
  <c r="AJ66" i="115"/>
  <c r="AK66" i="115"/>
  <c r="AL66" i="115"/>
  <c r="AM66" i="115"/>
  <c r="AO66" i="115" s="1"/>
  <c r="AD67" i="115"/>
  <c r="AE67" i="115" s="1"/>
  <c r="AG67" i="115"/>
  <c r="AJ67" i="115"/>
  <c r="AK67" i="115"/>
  <c r="AL67" i="115"/>
  <c r="AM67" i="115"/>
  <c r="AO67" i="115" s="1"/>
  <c r="AD68" i="115"/>
  <c r="AE68" i="115" s="1"/>
  <c r="AJ68" i="115"/>
  <c r="AK68" i="115"/>
  <c r="AL68" i="115"/>
  <c r="AM68" i="115"/>
  <c r="AO68" i="115" s="1"/>
  <c r="AD69" i="115"/>
  <c r="AJ69" i="115"/>
  <c r="AK69" i="115"/>
  <c r="AL69" i="115"/>
  <c r="AM69" i="115"/>
  <c r="AO69" i="115" s="1"/>
  <c r="AD70" i="115"/>
  <c r="AE70" i="115" s="1"/>
  <c r="AJ70" i="115"/>
  <c r="AK70" i="115"/>
  <c r="AL70" i="115"/>
  <c r="AM70" i="115"/>
  <c r="AO70" i="115" s="1"/>
  <c r="AD71" i="115"/>
  <c r="AJ71" i="115"/>
  <c r="AK71" i="115"/>
  <c r="AL71" i="115"/>
  <c r="AM71" i="115"/>
  <c r="AO71" i="115" s="1"/>
  <c r="AD72" i="115"/>
  <c r="AJ72" i="115"/>
  <c r="AK72" i="115"/>
  <c r="AL72" i="115"/>
  <c r="AM72" i="115"/>
  <c r="AO72" i="115" s="1"/>
  <c r="AD73" i="115"/>
  <c r="AE73" i="115" s="1"/>
  <c r="AJ73" i="115"/>
  <c r="AK73" i="115"/>
  <c r="AL73" i="115"/>
  <c r="AM73" i="115"/>
  <c r="AO73" i="115" s="1"/>
  <c r="AD74" i="115"/>
  <c r="AE74" i="115" s="1"/>
  <c r="AJ74" i="115"/>
  <c r="AK74" i="115"/>
  <c r="AL74" i="115"/>
  <c r="AM74" i="115"/>
  <c r="AO74" i="115" s="1"/>
  <c r="AD75" i="115"/>
  <c r="AI75" i="115" s="1"/>
  <c r="AJ75" i="115"/>
  <c r="AK75" i="115"/>
  <c r="AL75" i="115"/>
  <c r="AM75" i="115"/>
  <c r="AO75" i="115" s="1"/>
  <c r="AD76" i="115"/>
  <c r="AE76" i="115" s="1"/>
  <c r="AJ76" i="115"/>
  <c r="AK76" i="115"/>
  <c r="AL76" i="115"/>
  <c r="AM76" i="115"/>
  <c r="AO76" i="115" s="1"/>
  <c r="AD77" i="115"/>
  <c r="AE77" i="115" s="1"/>
  <c r="AF77" i="115"/>
  <c r="AI77" i="115"/>
  <c r="AJ77" i="115"/>
  <c r="AK77" i="115"/>
  <c r="AL77" i="115"/>
  <c r="AM77" i="115"/>
  <c r="AO77" i="115" s="1"/>
  <c r="AD78" i="115"/>
  <c r="AE78" i="115" s="1"/>
  <c r="AJ78" i="115"/>
  <c r="AK78" i="115"/>
  <c r="AL78" i="115"/>
  <c r="AM78" i="115"/>
  <c r="AO78" i="115" s="1"/>
  <c r="AD79" i="115"/>
  <c r="AE79" i="115" s="1"/>
  <c r="AJ79" i="115"/>
  <c r="AK79" i="115"/>
  <c r="AL79" i="115"/>
  <c r="AM79" i="115"/>
  <c r="AO79" i="115" s="1"/>
  <c r="AD80" i="115"/>
  <c r="AI80" i="115" s="1"/>
  <c r="AJ80" i="115"/>
  <c r="AK80" i="115"/>
  <c r="AL80" i="115"/>
  <c r="AM80" i="115"/>
  <c r="AO80" i="115" s="1"/>
  <c r="AD81" i="115"/>
  <c r="AI81" i="115" s="1"/>
  <c r="AJ81" i="115"/>
  <c r="AK81" i="115"/>
  <c r="AL81" i="115"/>
  <c r="AM81" i="115"/>
  <c r="AO81" i="115" s="1"/>
  <c r="AD82" i="115"/>
  <c r="AJ82" i="115"/>
  <c r="AK82" i="115"/>
  <c r="AL82" i="115"/>
  <c r="AM82" i="115"/>
  <c r="AO82" i="115" s="1"/>
  <c r="AD83" i="115"/>
  <c r="AE83" i="115" s="1"/>
  <c r="AG83" i="115"/>
  <c r="AJ83" i="115"/>
  <c r="AK83" i="115"/>
  <c r="AL83" i="115"/>
  <c r="AM83" i="115"/>
  <c r="AO83" i="115" s="1"/>
  <c r="AD84" i="115"/>
  <c r="AJ84" i="115"/>
  <c r="AK84" i="115"/>
  <c r="AL84" i="115"/>
  <c r="AM84" i="115"/>
  <c r="AO84" i="115" s="1"/>
  <c r="AD85" i="115"/>
  <c r="AE85" i="115" s="1"/>
  <c r="AJ85" i="115"/>
  <c r="AK85" i="115"/>
  <c r="AL85" i="115"/>
  <c r="AM85" i="115"/>
  <c r="AO85" i="115" s="1"/>
  <c r="AD86" i="115"/>
  <c r="AE86" i="115" s="1"/>
  <c r="AJ86" i="115"/>
  <c r="AK86" i="115"/>
  <c r="AL86" i="115"/>
  <c r="AM86" i="115"/>
  <c r="AO86" i="115" s="1"/>
  <c r="AD87" i="115"/>
  <c r="AE87" i="115" s="1"/>
  <c r="AJ87" i="115"/>
  <c r="AK87" i="115"/>
  <c r="AL87" i="115"/>
  <c r="AM87" i="115"/>
  <c r="AO87" i="115" s="1"/>
  <c r="AD88" i="115"/>
  <c r="AI88" i="115" s="1"/>
  <c r="AJ88" i="115"/>
  <c r="AK88" i="115"/>
  <c r="AL88" i="115"/>
  <c r="AM88" i="115"/>
  <c r="AO88" i="115" s="1"/>
  <c r="AD89" i="115"/>
  <c r="AJ89" i="115"/>
  <c r="AK89" i="115"/>
  <c r="AL89" i="115"/>
  <c r="AM89" i="115"/>
  <c r="AO89" i="115" s="1"/>
  <c r="AD90" i="115"/>
  <c r="AE90" i="115" s="1"/>
  <c r="AJ90" i="115"/>
  <c r="AK90" i="115"/>
  <c r="AL90" i="115"/>
  <c r="AM90" i="115"/>
  <c r="AO90" i="115" s="1"/>
  <c r="AD91" i="115"/>
  <c r="AE91" i="115" s="1"/>
  <c r="AI91" i="115"/>
  <c r="AJ91" i="115"/>
  <c r="AK91" i="115"/>
  <c r="AL91" i="115"/>
  <c r="AM91" i="115"/>
  <c r="AO91" i="115" s="1"/>
  <c r="AD92" i="115"/>
  <c r="AE92" i="115" s="1"/>
  <c r="AJ92" i="115"/>
  <c r="AK92" i="115"/>
  <c r="AL92" i="115"/>
  <c r="AM92" i="115"/>
  <c r="AO92" i="115" s="1"/>
  <c r="AD93" i="115"/>
  <c r="AE93" i="115" s="1"/>
  <c r="AJ93" i="115"/>
  <c r="AK93" i="115"/>
  <c r="AL93" i="115"/>
  <c r="AM93" i="115"/>
  <c r="AO93" i="115" s="1"/>
  <c r="AD94" i="115"/>
  <c r="AE94" i="115" s="1"/>
  <c r="AJ94" i="115"/>
  <c r="AK94" i="115"/>
  <c r="AL94" i="115"/>
  <c r="AM94" i="115"/>
  <c r="AO94" i="115" s="1"/>
  <c r="AD95" i="115"/>
  <c r="AJ95" i="115"/>
  <c r="AK95" i="115"/>
  <c r="AL95" i="115"/>
  <c r="AM95" i="115"/>
  <c r="AO95" i="115" s="1"/>
  <c r="AD96" i="115"/>
  <c r="AE96" i="115" s="1"/>
  <c r="AG96" i="115"/>
  <c r="AJ96" i="115"/>
  <c r="AK96" i="115"/>
  <c r="AL96" i="115"/>
  <c r="AM96" i="115"/>
  <c r="AO96" i="115" s="1"/>
  <c r="AD97" i="115"/>
  <c r="AE97" i="115" s="1"/>
  <c r="AG97" i="115"/>
  <c r="AJ97" i="115"/>
  <c r="AK97" i="115"/>
  <c r="AL97" i="115"/>
  <c r="AM97" i="115"/>
  <c r="AO97" i="115" s="1"/>
  <c r="AD98" i="115"/>
  <c r="AJ98" i="115"/>
  <c r="AK98" i="115"/>
  <c r="AL98" i="115"/>
  <c r="AM98" i="115"/>
  <c r="AO98" i="115" s="1"/>
  <c r="AD99" i="115"/>
  <c r="AE99" i="115" s="1"/>
  <c r="AI99" i="115"/>
  <c r="AJ99" i="115"/>
  <c r="AK99" i="115"/>
  <c r="AL99" i="115"/>
  <c r="AM99" i="115"/>
  <c r="AO99" i="115" s="1"/>
  <c r="AD100" i="115"/>
  <c r="AJ100" i="115"/>
  <c r="AK100" i="115"/>
  <c r="AL100" i="115"/>
  <c r="AM100" i="115"/>
  <c r="AO100" i="115" s="1"/>
  <c r="AD101" i="115"/>
  <c r="AE101" i="115" s="1"/>
  <c r="AJ101" i="115"/>
  <c r="AK101" i="115"/>
  <c r="AL101" i="115"/>
  <c r="AM101" i="115"/>
  <c r="AO101" i="115" s="1"/>
  <c r="AD102" i="115"/>
  <c r="AJ102" i="115"/>
  <c r="AK102" i="115"/>
  <c r="AL102" i="115"/>
  <c r="AM102" i="115"/>
  <c r="AO102" i="115" s="1"/>
  <c r="AD103" i="115"/>
  <c r="AJ103" i="115"/>
  <c r="AK103" i="115"/>
  <c r="AL103" i="115"/>
  <c r="AM103" i="115"/>
  <c r="AO103" i="115" s="1"/>
  <c r="AD104" i="115"/>
  <c r="AJ104" i="115"/>
  <c r="AK104" i="115"/>
  <c r="AL104" i="115"/>
  <c r="AM104" i="115"/>
  <c r="AO104" i="115" s="1"/>
  <c r="AD105" i="115"/>
  <c r="AE105" i="115" s="1"/>
  <c r="AJ105" i="115"/>
  <c r="AK105" i="115"/>
  <c r="AL105" i="115"/>
  <c r="AM105" i="115"/>
  <c r="AO105" i="115" s="1"/>
  <c r="AD106" i="115"/>
  <c r="AJ106" i="115"/>
  <c r="AK106" i="115"/>
  <c r="AL106" i="115"/>
  <c r="AM106" i="115"/>
  <c r="AO106" i="115" s="1"/>
  <c r="AD107" i="115"/>
  <c r="AE107" i="115" s="1"/>
  <c r="AJ107" i="115"/>
  <c r="AK107" i="115"/>
  <c r="AL107" i="115"/>
  <c r="AM107" i="115"/>
  <c r="AO107" i="115" s="1"/>
  <c r="AD108" i="115"/>
  <c r="AE108" i="115" s="1"/>
  <c r="AJ108" i="115"/>
  <c r="AK108" i="115"/>
  <c r="AL108" i="115"/>
  <c r="AM108" i="115"/>
  <c r="AO108" i="115" s="1"/>
  <c r="AD109" i="115"/>
  <c r="AJ109" i="115"/>
  <c r="AK109" i="115"/>
  <c r="AL109" i="115"/>
  <c r="AM109" i="115"/>
  <c r="AO109" i="115" s="1"/>
  <c r="AD110" i="115"/>
  <c r="AE110" i="115" s="1"/>
  <c r="AJ110" i="115"/>
  <c r="AK110" i="115"/>
  <c r="AL110" i="115"/>
  <c r="AM110" i="115"/>
  <c r="AO110" i="115" s="1"/>
  <c r="AD111" i="115"/>
  <c r="AJ111" i="115"/>
  <c r="AK111" i="115"/>
  <c r="AL111" i="115"/>
  <c r="AM111" i="115"/>
  <c r="AO111" i="115" s="1"/>
  <c r="AD112" i="115"/>
  <c r="AJ112" i="115"/>
  <c r="AK112" i="115"/>
  <c r="AL112" i="115"/>
  <c r="AM112" i="115"/>
  <c r="AO112" i="115" s="1"/>
  <c r="AD113" i="115"/>
  <c r="AJ113" i="115"/>
  <c r="AK113" i="115"/>
  <c r="AL113" i="115"/>
  <c r="AM113" i="115"/>
  <c r="AO113" i="115"/>
  <c r="AD114" i="115"/>
  <c r="AJ114" i="115"/>
  <c r="AK114" i="115"/>
  <c r="AL114" i="115"/>
  <c r="AM114" i="115"/>
  <c r="AO114" i="115" s="1"/>
  <c r="AD115" i="115"/>
  <c r="AJ115" i="115"/>
  <c r="AK115" i="115"/>
  <c r="AL115" i="115"/>
  <c r="AM115" i="115"/>
  <c r="AO115" i="115" s="1"/>
  <c r="AD116" i="115"/>
  <c r="AJ116" i="115"/>
  <c r="AK116" i="115"/>
  <c r="AL116" i="115"/>
  <c r="AM116" i="115"/>
  <c r="AO116" i="115" s="1"/>
  <c r="AD117" i="115"/>
  <c r="AJ117" i="115"/>
  <c r="AK117" i="115"/>
  <c r="AL117" i="115"/>
  <c r="AM117" i="115"/>
  <c r="AO117" i="115" s="1"/>
  <c r="AD118" i="115"/>
  <c r="AE118" i="115" s="1"/>
  <c r="AJ118" i="115"/>
  <c r="AK118" i="115"/>
  <c r="AL118" i="115"/>
  <c r="AM118" i="115"/>
  <c r="AO118" i="115" s="1"/>
  <c r="AD119" i="115"/>
  <c r="AE119" i="115" s="1"/>
  <c r="AJ119" i="115"/>
  <c r="AK119" i="115"/>
  <c r="AL119" i="115"/>
  <c r="AM119" i="115"/>
  <c r="AO119" i="115" s="1"/>
  <c r="AD120" i="115"/>
  <c r="AE120" i="115" s="1"/>
  <c r="AJ120" i="115"/>
  <c r="AK120" i="115"/>
  <c r="AL120" i="115"/>
  <c r="AM120" i="115"/>
  <c r="AO120" i="115" s="1"/>
  <c r="AD121" i="115"/>
  <c r="AE121" i="115" s="1"/>
  <c r="AG121" i="115"/>
  <c r="AI121" i="115"/>
  <c r="AJ121" i="115"/>
  <c r="AK121" i="115"/>
  <c r="AL121" i="115"/>
  <c r="AM121" i="115"/>
  <c r="AO121" i="115" s="1"/>
  <c r="AD122" i="115"/>
  <c r="AE122" i="115" s="1"/>
  <c r="AJ122" i="115"/>
  <c r="AK122" i="115"/>
  <c r="AL122" i="115"/>
  <c r="AM122" i="115"/>
  <c r="AO122" i="115" s="1"/>
  <c r="AD123" i="115"/>
  <c r="AE123" i="115" s="1"/>
  <c r="AJ123" i="115"/>
  <c r="AK123" i="115"/>
  <c r="AL123" i="115"/>
  <c r="AM123" i="115"/>
  <c r="AO123" i="115"/>
  <c r="AD124" i="115"/>
  <c r="AE124" i="115" s="1"/>
  <c r="AI124" i="115"/>
  <c r="AJ124" i="115"/>
  <c r="AK124" i="115"/>
  <c r="AL124" i="115"/>
  <c r="AM124" i="115"/>
  <c r="AO124" i="115" s="1"/>
  <c r="AD125" i="115"/>
  <c r="AE125" i="115" s="1"/>
  <c r="AF125" i="115"/>
  <c r="AG125" i="115"/>
  <c r="AI125" i="115"/>
  <c r="AJ125" i="115"/>
  <c r="AK125" i="115"/>
  <c r="AL125" i="115"/>
  <c r="AM125" i="115"/>
  <c r="AO125" i="115" s="1"/>
  <c r="AD126" i="115"/>
  <c r="AE126" i="115" s="1"/>
  <c r="AJ126" i="115"/>
  <c r="AK126" i="115"/>
  <c r="AL126" i="115"/>
  <c r="AM126" i="115"/>
  <c r="AO126" i="115"/>
  <c r="AD127" i="115"/>
  <c r="AE127" i="115" s="1"/>
  <c r="AG127" i="115"/>
  <c r="AJ127" i="115"/>
  <c r="AK127" i="115"/>
  <c r="AL127" i="115"/>
  <c r="AM127" i="115"/>
  <c r="AO127" i="115" s="1"/>
  <c r="AD128" i="115"/>
  <c r="AE128" i="115" s="1"/>
  <c r="AI128" i="115"/>
  <c r="AJ128" i="115"/>
  <c r="AK128" i="115"/>
  <c r="AL128" i="115"/>
  <c r="AM128" i="115"/>
  <c r="AO128" i="115" s="1"/>
  <c r="AD129" i="115"/>
  <c r="AE129" i="115" s="1"/>
  <c r="AF129" i="115"/>
  <c r="AI129" i="115"/>
  <c r="AJ129" i="115"/>
  <c r="AK129" i="115"/>
  <c r="AL129" i="115"/>
  <c r="AM129" i="115"/>
  <c r="AO129" i="115" s="1"/>
  <c r="AD130" i="115"/>
  <c r="AG130" i="115"/>
  <c r="AJ130" i="115"/>
  <c r="AK130" i="115"/>
  <c r="AL130" i="115"/>
  <c r="AM130" i="115"/>
  <c r="AO130" i="115" s="1"/>
  <c r="AD131" i="115"/>
  <c r="AE131" i="115" s="1"/>
  <c r="AF131" i="115"/>
  <c r="AI131" i="115"/>
  <c r="AJ131" i="115"/>
  <c r="AK131" i="115"/>
  <c r="AL131" i="115"/>
  <c r="AM131" i="115"/>
  <c r="AO131" i="115" s="1"/>
  <c r="AD132" i="115"/>
  <c r="AE132" i="115" s="1"/>
  <c r="AJ132" i="115"/>
  <c r="AK132" i="115"/>
  <c r="AL132" i="115"/>
  <c r="AM132" i="115"/>
  <c r="AO132" i="115" s="1"/>
  <c r="AD133" i="115"/>
  <c r="AE133" i="115" s="1"/>
  <c r="AJ133" i="115"/>
  <c r="AK133" i="115"/>
  <c r="AL133" i="115"/>
  <c r="AM133" i="115"/>
  <c r="AO133" i="115"/>
  <c r="AD134" i="115"/>
  <c r="AE134" i="115" s="1"/>
  <c r="AG134" i="115"/>
  <c r="AJ134" i="115"/>
  <c r="AK134" i="115"/>
  <c r="AL134" i="115"/>
  <c r="AM134" i="115"/>
  <c r="AO134" i="115" s="1"/>
  <c r="AD135" i="115"/>
  <c r="AE135" i="115" s="1"/>
  <c r="AG135" i="115"/>
  <c r="AJ135" i="115"/>
  <c r="AK135" i="115"/>
  <c r="AL135" i="115"/>
  <c r="AM135" i="115"/>
  <c r="AO135" i="115" s="1"/>
  <c r="AD136" i="115"/>
  <c r="AJ136" i="115"/>
  <c r="AK136" i="115"/>
  <c r="AL136" i="115"/>
  <c r="AM136" i="115"/>
  <c r="AO136" i="115" s="1"/>
  <c r="AD137" i="115"/>
  <c r="AJ137" i="115"/>
  <c r="AK137" i="115"/>
  <c r="AL137" i="115"/>
  <c r="AM137" i="115"/>
  <c r="AO137" i="115" s="1"/>
  <c r="AD138" i="115"/>
  <c r="AI138" i="115" s="1"/>
  <c r="AJ138" i="115"/>
  <c r="AK138" i="115"/>
  <c r="AL138" i="115"/>
  <c r="AM138" i="115"/>
  <c r="AO138" i="115" s="1"/>
  <c r="AD139" i="115"/>
  <c r="AE139" i="115" s="1"/>
  <c r="AJ139" i="115"/>
  <c r="AK139" i="115"/>
  <c r="AL139" i="115"/>
  <c r="AM139" i="115"/>
  <c r="AO139" i="115"/>
  <c r="AD140" i="115"/>
  <c r="AE140" i="115" s="1"/>
  <c r="AJ140" i="115"/>
  <c r="AK140" i="115"/>
  <c r="AL140" i="115"/>
  <c r="AM140" i="115"/>
  <c r="AO140" i="115" s="1"/>
  <c r="AD141" i="115"/>
  <c r="AE141" i="115" s="1"/>
  <c r="AJ141" i="115"/>
  <c r="AK141" i="115"/>
  <c r="AL141" i="115"/>
  <c r="AM141" i="115"/>
  <c r="AO141" i="115" s="1"/>
  <c r="AD142" i="115"/>
  <c r="AE142" i="115" s="1"/>
  <c r="AJ142" i="115"/>
  <c r="AK142" i="115"/>
  <c r="AL142" i="115"/>
  <c r="AM142" i="115"/>
  <c r="AO142" i="115" s="1"/>
  <c r="AD143" i="115"/>
  <c r="AE143" i="115" s="1"/>
  <c r="AJ143" i="115"/>
  <c r="AK143" i="115"/>
  <c r="AL143" i="115"/>
  <c r="AM143" i="115"/>
  <c r="AO143" i="115" s="1"/>
  <c r="AD144" i="115"/>
  <c r="AE144" i="115" s="1"/>
  <c r="AJ144" i="115"/>
  <c r="AK144" i="115"/>
  <c r="AL144" i="115"/>
  <c r="AM144" i="115"/>
  <c r="AO144" i="115" s="1"/>
  <c r="AD145" i="115"/>
  <c r="AG145" i="115" s="1"/>
  <c r="AI145" i="115"/>
  <c r="AJ145" i="115"/>
  <c r="AK145" i="115"/>
  <c r="AL145" i="115"/>
  <c r="AM145" i="115"/>
  <c r="AO145" i="115" s="1"/>
  <c r="AD146" i="115"/>
  <c r="AJ146" i="115"/>
  <c r="AK146" i="115"/>
  <c r="AL146" i="115"/>
  <c r="AM146" i="115"/>
  <c r="AO146" i="115"/>
  <c r="AD147" i="115"/>
  <c r="AJ147" i="115"/>
  <c r="AK147" i="115"/>
  <c r="AL147" i="115"/>
  <c r="AM147" i="115"/>
  <c r="AO147" i="115"/>
  <c r="AD148" i="115"/>
  <c r="AE148" i="115" s="1"/>
  <c r="AJ148" i="115"/>
  <c r="AK148" i="115"/>
  <c r="AL148" i="115"/>
  <c r="AM148" i="115"/>
  <c r="AO148" i="115" s="1"/>
  <c r="AD149" i="115"/>
  <c r="AE149" i="115" s="1"/>
  <c r="AJ149" i="115"/>
  <c r="AK149" i="115"/>
  <c r="AL149" i="115"/>
  <c r="AM149" i="115"/>
  <c r="AO149" i="115" s="1"/>
  <c r="AD150" i="115"/>
  <c r="AE150" i="115" s="1"/>
  <c r="AJ150" i="115"/>
  <c r="AK150" i="115"/>
  <c r="AL150" i="115"/>
  <c r="AM150" i="115"/>
  <c r="AO150" i="115" s="1"/>
  <c r="AD151" i="115"/>
  <c r="AJ151" i="115"/>
  <c r="AK151" i="115"/>
  <c r="AL151" i="115"/>
  <c r="AM151" i="115"/>
  <c r="AO151" i="115" s="1"/>
  <c r="AD152" i="115"/>
  <c r="AE152" i="115" s="1"/>
  <c r="AI152" i="115"/>
  <c r="AJ152" i="115"/>
  <c r="AK152" i="115"/>
  <c r="AL152" i="115"/>
  <c r="AM152" i="115"/>
  <c r="AO152" i="115" s="1"/>
  <c r="AD153" i="115"/>
  <c r="AE153" i="115" s="1"/>
  <c r="AI153" i="115"/>
  <c r="AJ153" i="115"/>
  <c r="AK153" i="115"/>
  <c r="AL153" i="115"/>
  <c r="AM153" i="115"/>
  <c r="AO153" i="115" s="1"/>
  <c r="AD154" i="115"/>
  <c r="AE154" i="115" s="1"/>
  <c r="AJ154" i="115"/>
  <c r="AK154" i="115"/>
  <c r="AL154" i="115"/>
  <c r="AM154" i="115"/>
  <c r="AO154" i="115" s="1"/>
  <c r="AD155" i="115"/>
  <c r="AJ155" i="115"/>
  <c r="AK155" i="115"/>
  <c r="AL155" i="115"/>
  <c r="AM155" i="115"/>
  <c r="AO155" i="115" s="1"/>
  <c r="AD156" i="115"/>
  <c r="AE156" i="115" s="1"/>
  <c r="AJ156" i="115"/>
  <c r="AK156" i="115"/>
  <c r="AL156" i="115"/>
  <c r="AM156" i="115"/>
  <c r="AO156" i="115" s="1"/>
  <c r="AD157" i="115"/>
  <c r="AJ157" i="115"/>
  <c r="AK157" i="115"/>
  <c r="AL157" i="115"/>
  <c r="AM157" i="115"/>
  <c r="AO157" i="115" s="1"/>
  <c r="AD158" i="115"/>
  <c r="AE158" i="115" s="1"/>
  <c r="AJ158" i="115"/>
  <c r="AK158" i="115"/>
  <c r="AL158" i="115"/>
  <c r="AM158" i="115"/>
  <c r="AO158" i="115" s="1"/>
  <c r="AD159" i="115"/>
  <c r="AJ159" i="115"/>
  <c r="AK159" i="115"/>
  <c r="AL159" i="115"/>
  <c r="AM159" i="115"/>
  <c r="AO159" i="115" s="1"/>
  <c r="AD160" i="115"/>
  <c r="AJ160" i="115"/>
  <c r="AK160" i="115"/>
  <c r="AL160" i="115"/>
  <c r="AM160" i="115"/>
  <c r="AO160" i="115" s="1"/>
  <c r="AD161" i="115"/>
  <c r="AE161" i="115" s="1"/>
  <c r="AJ161" i="115"/>
  <c r="AK161" i="115"/>
  <c r="AL161" i="115"/>
  <c r="AM161" i="115"/>
  <c r="AO161" i="115"/>
  <c r="AD162" i="115"/>
  <c r="AE162" i="115" s="1"/>
  <c r="AJ162" i="115"/>
  <c r="AK162" i="115"/>
  <c r="AL162" i="115"/>
  <c r="AM162" i="115"/>
  <c r="AO162" i="115" s="1"/>
  <c r="AD163" i="115"/>
  <c r="AI163" i="115" s="1"/>
  <c r="AJ163" i="115"/>
  <c r="AK163" i="115"/>
  <c r="AL163" i="115"/>
  <c r="AM163" i="115"/>
  <c r="AO163" i="115" s="1"/>
  <c r="AD164" i="115"/>
  <c r="AE164" i="115" s="1"/>
  <c r="AJ164" i="115"/>
  <c r="AK164" i="115"/>
  <c r="AL164" i="115"/>
  <c r="AM164" i="115"/>
  <c r="AO164" i="115" s="1"/>
  <c r="AD165" i="115"/>
  <c r="AJ165" i="115"/>
  <c r="AK165" i="115"/>
  <c r="AL165" i="115"/>
  <c r="AM165" i="115"/>
  <c r="AO165" i="115"/>
  <c r="AD166" i="115"/>
  <c r="AE166" i="115" s="1"/>
  <c r="AJ166" i="115"/>
  <c r="AK166" i="115"/>
  <c r="AL166" i="115"/>
  <c r="AM166" i="115"/>
  <c r="AO166" i="115" s="1"/>
  <c r="AD167" i="115"/>
  <c r="AE167" i="115" s="1"/>
  <c r="AJ167" i="115"/>
  <c r="AK167" i="115"/>
  <c r="AL167" i="115"/>
  <c r="AM167" i="115"/>
  <c r="AO167" i="115" s="1"/>
  <c r="AD168" i="115"/>
  <c r="AE168" i="115" s="1"/>
  <c r="AJ168" i="115"/>
  <c r="AK168" i="115"/>
  <c r="AL168" i="115"/>
  <c r="AM168" i="115"/>
  <c r="AO168" i="115" s="1"/>
  <c r="AD169" i="115"/>
  <c r="AJ169" i="115"/>
  <c r="AK169" i="115"/>
  <c r="AL169" i="115"/>
  <c r="AM169" i="115"/>
  <c r="AO169" i="115" s="1"/>
  <c r="AD170" i="115"/>
  <c r="AJ170" i="115"/>
  <c r="AK170" i="115"/>
  <c r="AL170" i="115"/>
  <c r="AM170" i="115"/>
  <c r="AO170" i="115" s="1"/>
  <c r="AD171" i="115"/>
  <c r="AE171" i="115" s="1"/>
  <c r="AJ171" i="115"/>
  <c r="AK171" i="115"/>
  <c r="AL171" i="115"/>
  <c r="AM171" i="115"/>
  <c r="AO171" i="115" s="1"/>
  <c r="AD172" i="115"/>
  <c r="AE172" i="115" s="1"/>
  <c r="AJ172" i="115"/>
  <c r="AK172" i="115"/>
  <c r="AL172" i="115"/>
  <c r="AM172" i="115"/>
  <c r="AO172" i="115" s="1"/>
  <c r="AD173" i="115"/>
  <c r="AJ173" i="115"/>
  <c r="AK173" i="115"/>
  <c r="AL173" i="115"/>
  <c r="AM173" i="115"/>
  <c r="AO173" i="115" s="1"/>
  <c r="AD174" i="115"/>
  <c r="AE174" i="115" s="1"/>
  <c r="AJ174" i="115"/>
  <c r="AK174" i="115"/>
  <c r="AL174" i="115"/>
  <c r="AM174" i="115"/>
  <c r="AO174" i="115"/>
  <c r="AD175" i="115"/>
  <c r="AJ175" i="115"/>
  <c r="AK175" i="115"/>
  <c r="AL175" i="115"/>
  <c r="AM175" i="115"/>
  <c r="AO175" i="115" s="1"/>
  <c r="AD176" i="115"/>
  <c r="AE176" i="115" s="1"/>
  <c r="AJ176" i="115"/>
  <c r="AK176" i="115"/>
  <c r="AL176" i="115"/>
  <c r="AM176" i="115"/>
  <c r="AO176" i="115" s="1"/>
  <c r="AD177" i="115"/>
  <c r="AE177" i="115" s="1"/>
  <c r="AJ177" i="115"/>
  <c r="AK177" i="115"/>
  <c r="AL177" i="115"/>
  <c r="AM177" i="115"/>
  <c r="AO177" i="115" s="1"/>
  <c r="AD178" i="115"/>
  <c r="AE178" i="115" s="1"/>
  <c r="AJ178" i="115"/>
  <c r="AK178" i="115"/>
  <c r="AL178" i="115"/>
  <c r="AM178" i="115"/>
  <c r="AO178" i="115" s="1"/>
  <c r="AD179" i="115"/>
  <c r="AE179" i="115" s="1"/>
  <c r="AJ179" i="115"/>
  <c r="AK179" i="115"/>
  <c r="AL179" i="115"/>
  <c r="AM179" i="115"/>
  <c r="AO179" i="115" s="1"/>
  <c r="AD180" i="115"/>
  <c r="AJ180" i="115"/>
  <c r="AK180" i="115"/>
  <c r="AL180" i="115"/>
  <c r="AM180" i="115"/>
  <c r="AO180" i="115" s="1"/>
  <c r="AD181" i="115"/>
  <c r="AE181" i="115" s="1"/>
  <c r="AJ181" i="115"/>
  <c r="AK181" i="115"/>
  <c r="AL181" i="115"/>
  <c r="AM181" i="115"/>
  <c r="AO181" i="115" s="1"/>
  <c r="AD182" i="115"/>
  <c r="AJ182" i="115"/>
  <c r="AK182" i="115"/>
  <c r="AL182" i="115"/>
  <c r="AM182" i="115"/>
  <c r="AO182" i="115" s="1"/>
  <c r="AD183" i="115"/>
  <c r="AJ183" i="115"/>
  <c r="AK183" i="115"/>
  <c r="AL183" i="115"/>
  <c r="AM183" i="115"/>
  <c r="AO183" i="115" s="1"/>
  <c r="AD184" i="115"/>
  <c r="AE184" i="115" s="1"/>
  <c r="AJ184" i="115"/>
  <c r="AK184" i="115"/>
  <c r="AL184" i="115"/>
  <c r="AM184" i="115"/>
  <c r="AO184" i="115" s="1"/>
  <c r="AD185" i="115"/>
  <c r="AJ185" i="115"/>
  <c r="AK185" i="115"/>
  <c r="AL185" i="115"/>
  <c r="AM185" i="115"/>
  <c r="AO185" i="115" s="1"/>
  <c r="AD186" i="115"/>
  <c r="AE186" i="115" s="1"/>
  <c r="AJ186" i="115"/>
  <c r="AK186" i="115"/>
  <c r="AL186" i="115"/>
  <c r="AM186" i="115"/>
  <c r="AO186" i="115" s="1"/>
  <c r="AD187" i="115"/>
  <c r="AE187" i="115" s="1"/>
  <c r="AJ187" i="115"/>
  <c r="AK187" i="115"/>
  <c r="AL187" i="115"/>
  <c r="AM187" i="115"/>
  <c r="AO187" i="115" s="1"/>
  <c r="AD188" i="115"/>
  <c r="AE188" i="115" s="1"/>
  <c r="AJ188" i="115"/>
  <c r="AK188" i="115"/>
  <c r="AL188" i="115"/>
  <c r="AM188" i="115"/>
  <c r="AO188" i="115" s="1"/>
  <c r="AD189" i="115"/>
  <c r="AE189" i="115" s="1"/>
  <c r="AJ189" i="115"/>
  <c r="AK189" i="115"/>
  <c r="AL189" i="115"/>
  <c r="AM189" i="115"/>
  <c r="AO189" i="115" s="1"/>
  <c r="AD190" i="115"/>
  <c r="AE190" i="115" s="1"/>
  <c r="AJ190" i="115"/>
  <c r="AK190" i="115"/>
  <c r="AL190" i="115"/>
  <c r="AM190" i="115"/>
  <c r="AO190" i="115" s="1"/>
  <c r="AD191" i="115"/>
  <c r="AE191" i="115" s="1"/>
  <c r="AJ191" i="115"/>
  <c r="AK191" i="115"/>
  <c r="AL191" i="115"/>
  <c r="AM191" i="115"/>
  <c r="AO191" i="115" s="1"/>
  <c r="AD192" i="115"/>
  <c r="AE192" i="115" s="1"/>
  <c r="AJ192" i="115"/>
  <c r="AK192" i="115"/>
  <c r="AL192" i="115"/>
  <c r="AM192" i="115"/>
  <c r="AO192" i="115" s="1"/>
  <c r="AD193" i="115"/>
  <c r="AJ193" i="115"/>
  <c r="AK193" i="115"/>
  <c r="AL193" i="115"/>
  <c r="AM193" i="115"/>
  <c r="AO193" i="115" s="1"/>
  <c r="AD194" i="115"/>
  <c r="AJ194" i="115"/>
  <c r="AK194" i="115"/>
  <c r="AL194" i="115"/>
  <c r="AM194" i="115"/>
  <c r="AO194" i="115" s="1"/>
  <c r="AD195" i="115"/>
  <c r="AE195" i="115" s="1"/>
  <c r="AJ195" i="115"/>
  <c r="AK195" i="115"/>
  <c r="AL195" i="115"/>
  <c r="AM195" i="115"/>
  <c r="AO195" i="115" s="1"/>
  <c r="AD196" i="115"/>
  <c r="AE196" i="115" s="1"/>
  <c r="AJ196" i="115"/>
  <c r="AK196" i="115"/>
  <c r="AL196" i="115"/>
  <c r="AM196" i="115"/>
  <c r="AO196" i="115" s="1"/>
  <c r="AD197" i="115"/>
  <c r="AE197" i="115" s="1"/>
  <c r="AJ197" i="115"/>
  <c r="AK197" i="115"/>
  <c r="AL197" i="115"/>
  <c r="AM197" i="115"/>
  <c r="AO197" i="115" s="1"/>
  <c r="AD198" i="115"/>
  <c r="AE198" i="115" s="1"/>
  <c r="AJ198" i="115"/>
  <c r="AK198" i="115"/>
  <c r="AL198" i="115"/>
  <c r="AM198" i="115"/>
  <c r="AO198" i="115" s="1"/>
  <c r="AD199" i="115"/>
  <c r="AE199" i="115" s="1"/>
  <c r="AJ199" i="115"/>
  <c r="AK199" i="115"/>
  <c r="AL199" i="115"/>
  <c r="AM199" i="115"/>
  <c r="AO199" i="115" s="1"/>
  <c r="AD200" i="115"/>
  <c r="AE200" i="115" s="1"/>
  <c r="AJ200" i="115"/>
  <c r="AK200" i="115"/>
  <c r="AL200" i="115"/>
  <c r="AM200" i="115"/>
  <c r="AO200" i="115" s="1"/>
  <c r="AD201" i="115"/>
  <c r="AE201" i="115" s="1"/>
  <c r="AG201" i="115"/>
  <c r="AJ201" i="115"/>
  <c r="AK201" i="115"/>
  <c r="AL201" i="115"/>
  <c r="AM201" i="115"/>
  <c r="AO201" i="115" s="1"/>
  <c r="AD202" i="115"/>
  <c r="AJ202" i="115"/>
  <c r="AK202" i="115"/>
  <c r="AL202" i="115"/>
  <c r="AM202" i="115"/>
  <c r="AO202" i="115" s="1"/>
  <c r="AD203" i="115"/>
  <c r="AJ203" i="115"/>
  <c r="AK203" i="115"/>
  <c r="AL203" i="115"/>
  <c r="AM203" i="115"/>
  <c r="AO203" i="115" s="1"/>
  <c r="AD204" i="115"/>
  <c r="AI204" i="115" s="1"/>
  <c r="AJ204" i="115"/>
  <c r="AK204" i="115"/>
  <c r="AL204" i="115"/>
  <c r="AM204" i="115"/>
  <c r="AO204" i="115" s="1"/>
  <c r="AD205" i="115"/>
  <c r="AJ205" i="115"/>
  <c r="AK205" i="115"/>
  <c r="AL205" i="115"/>
  <c r="AM205" i="115"/>
  <c r="AO205" i="115" s="1"/>
  <c r="AD206" i="115"/>
  <c r="AJ206" i="115"/>
  <c r="AK206" i="115"/>
  <c r="AL206" i="115"/>
  <c r="AM206" i="115"/>
  <c r="AO206" i="115" s="1"/>
  <c r="AD207" i="115"/>
  <c r="AE207" i="115" s="1"/>
  <c r="AJ207" i="115"/>
  <c r="AK207" i="115"/>
  <c r="AL207" i="115"/>
  <c r="AM207" i="115"/>
  <c r="AO207" i="115" s="1"/>
  <c r="AD208" i="115"/>
  <c r="AE208" i="115" s="1"/>
  <c r="AJ208" i="115"/>
  <c r="AK208" i="115"/>
  <c r="AL208" i="115"/>
  <c r="AM208" i="115"/>
  <c r="AO208" i="115" s="1"/>
  <c r="AD209" i="115"/>
  <c r="AE209" i="115" s="1"/>
  <c r="AJ209" i="115"/>
  <c r="AK209" i="115"/>
  <c r="AL209" i="115"/>
  <c r="AM209" i="115"/>
  <c r="AO209" i="115" s="1"/>
  <c r="AD210" i="115"/>
  <c r="AE210" i="115" s="1"/>
  <c r="AJ210" i="115"/>
  <c r="AK210" i="115"/>
  <c r="AL210" i="115"/>
  <c r="AM210" i="115"/>
  <c r="AO210" i="115" s="1"/>
  <c r="AD211" i="115"/>
  <c r="AE211" i="115" s="1"/>
  <c r="AJ211" i="115"/>
  <c r="AK211" i="115"/>
  <c r="AL211" i="115"/>
  <c r="AM211" i="115"/>
  <c r="AO211" i="115" s="1"/>
  <c r="AD212" i="115"/>
  <c r="AI212" i="115" s="1"/>
  <c r="AJ212" i="115"/>
  <c r="AK212" i="115"/>
  <c r="AL212" i="115"/>
  <c r="AM212" i="115"/>
  <c r="AO212" i="115"/>
  <c r="AD213" i="115"/>
  <c r="AE213" i="115" s="1"/>
  <c r="AG213" i="115"/>
  <c r="AJ213" i="115"/>
  <c r="AK213" i="115"/>
  <c r="AL213" i="115"/>
  <c r="AM213" i="115"/>
  <c r="AO213" i="115" s="1"/>
  <c r="AD214" i="115"/>
  <c r="AE214" i="115" s="1"/>
  <c r="AJ214" i="115"/>
  <c r="AK214" i="115"/>
  <c r="AL214" i="115"/>
  <c r="AM214" i="115"/>
  <c r="AO214" i="115" s="1"/>
  <c r="AD215" i="115"/>
  <c r="AE215" i="115" s="1"/>
  <c r="AJ215" i="115"/>
  <c r="AK215" i="115"/>
  <c r="AL215" i="115"/>
  <c r="AM215" i="115"/>
  <c r="AO215" i="115" s="1"/>
  <c r="AD216" i="115"/>
  <c r="AG216" i="115" s="1"/>
  <c r="AJ216" i="115"/>
  <c r="AK216" i="115"/>
  <c r="AL216" i="115"/>
  <c r="AM216" i="115"/>
  <c r="AO216" i="115" s="1"/>
  <c r="AD217" i="115"/>
  <c r="AJ217" i="115"/>
  <c r="AK217" i="115"/>
  <c r="AL217" i="115"/>
  <c r="AM217" i="115"/>
  <c r="AO217" i="115" s="1"/>
  <c r="AD218" i="115"/>
  <c r="AE218" i="115" s="1"/>
  <c r="AI218" i="115"/>
  <c r="AJ218" i="115"/>
  <c r="AK218" i="115"/>
  <c r="AL218" i="115"/>
  <c r="AM218" i="115"/>
  <c r="AO218" i="115" s="1"/>
  <c r="AD219" i="115"/>
  <c r="AE219" i="115" s="1"/>
  <c r="AG219" i="115"/>
  <c r="AJ219" i="115"/>
  <c r="AK219" i="115"/>
  <c r="AL219" i="115"/>
  <c r="AM219" i="115"/>
  <c r="AO219" i="115" s="1"/>
  <c r="AD220" i="115"/>
  <c r="AE220" i="115" s="1"/>
  <c r="AG220" i="115"/>
  <c r="AJ220" i="115"/>
  <c r="AK220" i="115"/>
  <c r="AL220" i="115"/>
  <c r="AM220" i="115"/>
  <c r="AO220" i="115" s="1"/>
  <c r="AD221" i="115"/>
  <c r="AE221" i="115" s="1"/>
  <c r="AJ221" i="115"/>
  <c r="AK221" i="115"/>
  <c r="AL221" i="115"/>
  <c r="AM221" i="115"/>
  <c r="AO221" i="115" s="1"/>
  <c r="AD222" i="115"/>
  <c r="AE222" i="115" s="1"/>
  <c r="AJ222" i="115"/>
  <c r="AK222" i="115"/>
  <c r="AL222" i="115"/>
  <c r="AM222" i="115"/>
  <c r="AO222" i="115" s="1"/>
  <c r="AD223" i="115"/>
  <c r="AE223" i="115" s="1"/>
  <c r="AJ223" i="115"/>
  <c r="AK223" i="115"/>
  <c r="AL223" i="115"/>
  <c r="AM223" i="115"/>
  <c r="AO223" i="115" s="1"/>
  <c r="AD224" i="115"/>
  <c r="AG224" i="115"/>
  <c r="AJ224" i="115"/>
  <c r="AK224" i="115"/>
  <c r="AL224" i="115"/>
  <c r="AM224" i="115"/>
  <c r="AO224" i="115" s="1"/>
  <c r="AD225" i="115"/>
  <c r="AJ225" i="115"/>
  <c r="AK225" i="115"/>
  <c r="AL225" i="115"/>
  <c r="AM225" i="115"/>
  <c r="AO225" i="115" s="1"/>
  <c r="AD226" i="115"/>
  <c r="AJ226" i="115"/>
  <c r="AK226" i="115"/>
  <c r="AL226" i="115"/>
  <c r="AM226" i="115"/>
  <c r="AO226" i="115" s="1"/>
  <c r="AD227" i="115"/>
  <c r="AE227" i="115" s="1"/>
  <c r="AJ227" i="115"/>
  <c r="AK227" i="115"/>
  <c r="AL227" i="115"/>
  <c r="AM227" i="115"/>
  <c r="AO227" i="115" s="1"/>
  <c r="AD228" i="115"/>
  <c r="AJ228" i="115"/>
  <c r="AK228" i="115"/>
  <c r="AL228" i="115"/>
  <c r="AM228" i="115"/>
  <c r="AO228" i="115" s="1"/>
  <c r="AD229" i="115"/>
  <c r="AJ229" i="115"/>
  <c r="AK229" i="115"/>
  <c r="AL229" i="115"/>
  <c r="AM229" i="115"/>
  <c r="AO229" i="115" s="1"/>
  <c r="AD230" i="115"/>
  <c r="AG230" i="115" s="1"/>
  <c r="AI230" i="115"/>
  <c r="AJ230" i="115"/>
  <c r="AK230" i="115"/>
  <c r="AL230" i="115"/>
  <c r="AM230" i="115"/>
  <c r="AO230" i="115" s="1"/>
  <c r="AD231" i="115"/>
  <c r="AE231" i="115" s="1"/>
  <c r="AI231" i="115"/>
  <c r="AJ231" i="115"/>
  <c r="AK231" i="115"/>
  <c r="AL231" i="115"/>
  <c r="AM231" i="115"/>
  <c r="AO231" i="115" s="1"/>
  <c r="AD232" i="115"/>
  <c r="AE232" i="115" s="1"/>
  <c r="AG232" i="115"/>
  <c r="AJ232" i="115"/>
  <c r="AK232" i="115"/>
  <c r="AL232" i="115"/>
  <c r="AM232" i="115"/>
  <c r="AO232" i="115" s="1"/>
  <c r="AD233" i="115"/>
  <c r="AE233" i="115" s="1"/>
  <c r="AJ233" i="115"/>
  <c r="AK233" i="115"/>
  <c r="AL233" i="115"/>
  <c r="AM233" i="115"/>
  <c r="AO233" i="115" s="1"/>
  <c r="AD234" i="115"/>
  <c r="AJ234" i="115"/>
  <c r="AK234" i="115"/>
  <c r="AL234" i="115"/>
  <c r="AM234" i="115"/>
  <c r="AO234" i="115" s="1"/>
  <c r="AD235" i="115"/>
  <c r="AJ235" i="115"/>
  <c r="AK235" i="115"/>
  <c r="AL235" i="115"/>
  <c r="AM235" i="115"/>
  <c r="AO235" i="115" s="1"/>
  <c r="AD236" i="115"/>
  <c r="AJ236" i="115"/>
  <c r="AK236" i="115"/>
  <c r="AL236" i="115"/>
  <c r="AM236" i="115"/>
  <c r="AO236" i="115" s="1"/>
  <c r="AD237" i="115"/>
  <c r="AG237" i="115" s="1"/>
  <c r="AJ237" i="115"/>
  <c r="AK237" i="115"/>
  <c r="AL237" i="115"/>
  <c r="AM237" i="115"/>
  <c r="AO237" i="115" s="1"/>
  <c r="AD238" i="115"/>
  <c r="AE238" i="115" s="1"/>
  <c r="AJ238" i="115"/>
  <c r="AK238" i="115"/>
  <c r="AL238" i="115"/>
  <c r="AM238" i="115"/>
  <c r="AO238" i="115" s="1"/>
  <c r="AD239" i="115"/>
  <c r="AE239" i="115" s="1"/>
  <c r="AJ239" i="115"/>
  <c r="AK239" i="115"/>
  <c r="AL239" i="115"/>
  <c r="AM239" i="115"/>
  <c r="AO239" i="115" s="1"/>
  <c r="AD240" i="115"/>
  <c r="AE240" i="115" s="1"/>
  <c r="AF240" i="115"/>
  <c r="AJ240" i="115"/>
  <c r="AK240" i="115"/>
  <c r="AL240" i="115"/>
  <c r="AM240" i="115"/>
  <c r="AO240" i="115" s="1"/>
  <c r="AD241" i="115"/>
  <c r="AJ241" i="115"/>
  <c r="AK241" i="115"/>
  <c r="AL241" i="115"/>
  <c r="AM241" i="115"/>
  <c r="AO241" i="115" s="1"/>
  <c r="AD242" i="115"/>
  <c r="AE242" i="115" s="1"/>
  <c r="AJ242" i="115"/>
  <c r="AK242" i="115"/>
  <c r="AL242" i="115"/>
  <c r="AM242" i="115"/>
  <c r="AO242" i="115" s="1"/>
  <c r="AD243" i="115"/>
  <c r="AG243" i="115" s="1"/>
  <c r="AJ243" i="115"/>
  <c r="AK243" i="115"/>
  <c r="AL243" i="115"/>
  <c r="AM243" i="115"/>
  <c r="AO243" i="115" s="1"/>
  <c r="AD244" i="115"/>
  <c r="AE244" i="115" s="1"/>
  <c r="AJ244" i="115"/>
  <c r="AK244" i="115"/>
  <c r="AL244" i="115"/>
  <c r="AM244" i="115"/>
  <c r="AO244" i="115" s="1"/>
  <c r="AD245" i="115"/>
  <c r="AE245" i="115" s="1"/>
  <c r="AJ245" i="115"/>
  <c r="AK245" i="115"/>
  <c r="AL245" i="115"/>
  <c r="AM245" i="115"/>
  <c r="AO245" i="115" s="1"/>
  <c r="AD246" i="115"/>
  <c r="AJ246" i="115"/>
  <c r="AK246" i="115"/>
  <c r="AL246" i="115"/>
  <c r="AM246" i="115"/>
  <c r="AO246" i="115"/>
  <c r="AD247" i="115"/>
  <c r="AJ247" i="115"/>
  <c r="AK247" i="115"/>
  <c r="AL247" i="115"/>
  <c r="AM247" i="115"/>
  <c r="AO247" i="115" s="1"/>
  <c r="AD248" i="115"/>
  <c r="AE248" i="115" s="1"/>
  <c r="AJ248" i="115"/>
  <c r="AK248" i="115"/>
  <c r="AL248" i="115"/>
  <c r="AM248" i="115"/>
  <c r="AO248" i="115" s="1"/>
  <c r="AD249" i="115"/>
  <c r="AE249" i="115" s="1"/>
  <c r="AJ249" i="115"/>
  <c r="AK249" i="115"/>
  <c r="AL249" i="115"/>
  <c r="AM249" i="115"/>
  <c r="AO249" i="115" s="1"/>
  <c r="AD250" i="115"/>
  <c r="AJ250" i="115"/>
  <c r="AK250" i="115"/>
  <c r="AL250" i="115"/>
  <c r="AM250" i="115"/>
  <c r="AO250" i="115" s="1"/>
  <c r="AD251" i="115"/>
  <c r="AE251" i="115" s="1"/>
  <c r="AJ251" i="115"/>
  <c r="AK251" i="115"/>
  <c r="AL251" i="115"/>
  <c r="AM251" i="115"/>
  <c r="AO251" i="115" s="1"/>
  <c r="AD252" i="115"/>
  <c r="AJ252" i="115"/>
  <c r="AK252" i="115"/>
  <c r="AL252" i="115"/>
  <c r="AM252" i="115"/>
  <c r="AO252" i="115" s="1"/>
  <c r="AD253" i="115"/>
  <c r="AE253" i="115" s="1"/>
  <c r="AJ253" i="115"/>
  <c r="AK253" i="115"/>
  <c r="AL253" i="115"/>
  <c r="AM253" i="115"/>
  <c r="AO253" i="115"/>
  <c r="AD254" i="115"/>
  <c r="AE254" i="115" s="1"/>
  <c r="AJ254" i="115"/>
  <c r="AK254" i="115"/>
  <c r="AL254" i="115"/>
  <c r="AM254" i="115"/>
  <c r="AO254" i="115"/>
  <c r="AD255" i="115"/>
  <c r="AE255" i="115" s="1"/>
  <c r="AJ255" i="115"/>
  <c r="AK255" i="115"/>
  <c r="AL255" i="115"/>
  <c r="AM255" i="115"/>
  <c r="AO255" i="115" s="1"/>
  <c r="AD256" i="115"/>
  <c r="AJ256" i="115"/>
  <c r="AK256" i="115"/>
  <c r="AL256" i="115"/>
  <c r="AM256" i="115"/>
  <c r="AO256" i="115" s="1"/>
  <c r="AD257" i="115"/>
  <c r="AE257" i="115" s="1"/>
  <c r="AG257" i="115"/>
  <c r="AJ257" i="115"/>
  <c r="AK257" i="115"/>
  <c r="AL257" i="115"/>
  <c r="AM257" i="115"/>
  <c r="AO257" i="115" s="1"/>
  <c r="AD258" i="115"/>
  <c r="AI258" i="115" s="1"/>
  <c r="AJ258" i="115"/>
  <c r="AK258" i="115"/>
  <c r="AL258" i="115"/>
  <c r="AM258" i="115"/>
  <c r="AO258" i="115"/>
  <c r="AD259" i="115"/>
  <c r="AE259" i="115" s="1"/>
  <c r="AG259" i="115"/>
  <c r="AJ259" i="115"/>
  <c r="AK259" i="115"/>
  <c r="AL259" i="115"/>
  <c r="AM259" i="115"/>
  <c r="AO259" i="115" s="1"/>
  <c r="AD260" i="115"/>
  <c r="AE260" i="115" s="1"/>
  <c r="AJ260" i="115"/>
  <c r="AK260" i="115"/>
  <c r="AL260" i="115"/>
  <c r="AM260" i="115"/>
  <c r="AO260" i="115" s="1"/>
  <c r="AD261" i="115"/>
  <c r="AE261" i="115" s="1"/>
  <c r="AJ261" i="115"/>
  <c r="AK261" i="115"/>
  <c r="AL261" i="115"/>
  <c r="AM261" i="115"/>
  <c r="AO261" i="115" s="1"/>
  <c r="AD262" i="115"/>
  <c r="AI262" i="115"/>
  <c r="AJ262" i="115"/>
  <c r="AK262" i="115"/>
  <c r="AL262" i="115"/>
  <c r="AM262" i="115"/>
  <c r="AO262" i="115" s="1"/>
  <c r="AD263" i="115"/>
  <c r="AE263" i="115" s="1"/>
  <c r="AJ263" i="115"/>
  <c r="AK263" i="115"/>
  <c r="AL263" i="115"/>
  <c r="AM263" i="115"/>
  <c r="AO263" i="115" s="1"/>
  <c r="AD264" i="115"/>
  <c r="AG264" i="115" s="1"/>
  <c r="AJ264" i="115"/>
  <c r="AK264" i="115"/>
  <c r="AL264" i="115"/>
  <c r="AM264" i="115"/>
  <c r="AO264" i="115" s="1"/>
  <c r="AD265" i="115"/>
  <c r="AJ265" i="115"/>
  <c r="AK265" i="115"/>
  <c r="AL265" i="115"/>
  <c r="AM265" i="115"/>
  <c r="AO265" i="115" s="1"/>
  <c r="AD266" i="115"/>
  <c r="AE266" i="115" s="1"/>
  <c r="AJ266" i="115"/>
  <c r="AK266" i="115"/>
  <c r="AL266" i="115"/>
  <c r="AM266" i="115"/>
  <c r="AO266" i="115" s="1"/>
  <c r="AD267" i="115"/>
  <c r="AE267" i="115" s="1"/>
  <c r="AJ267" i="115"/>
  <c r="AK267" i="115"/>
  <c r="AL267" i="115"/>
  <c r="AM267" i="115"/>
  <c r="AO267" i="115" s="1"/>
  <c r="AD268" i="115"/>
  <c r="AE268" i="115" s="1"/>
  <c r="AF268" i="115"/>
  <c r="AJ268" i="115"/>
  <c r="AK268" i="115"/>
  <c r="AL268" i="115"/>
  <c r="AM268" i="115"/>
  <c r="AO268" i="115" s="1"/>
  <c r="AD269" i="115"/>
  <c r="AE269" i="115" s="1"/>
  <c r="AJ269" i="115"/>
  <c r="AK269" i="115"/>
  <c r="AL269" i="115"/>
  <c r="AM269" i="115"/>
  <c r="AO269" i="115"/>
  <c r="AD270" i="115"/>
  <c r="AE270" i="115" s="1"/>
  <c r="AG270" i="115"/>
  <c r="AI270" i="115"/>
  <c r="AJ270" i="115"/>
  <c r="AK270" i="115"/>
  <c r="AL270" i="115"/>
  <c r="AM270" i="115"/>
  <c r="AO270" i="115" s="1"/>
  <c r="AD271" i="115"/>
  <c r="AE271" i="115" s="1"/>
  <c r="AJ271" i="115"/>
  <c r="AK271" i="115"/>
  <c r="AL271" i="115"/>
  <c r="AM271" i="115"/>
  <c r="AO271" i="115" s="1"/>
  <c r="AD272" i="115"/>
  <c r="AE272" i="115" s="1"/>
  <c r="AG272" i="115"/>
  <c r="AJ272" i="115"/>
  <c r="AK272" i="115"/>
  <c r="AL272" i="115"/>
  <c r="AM272" i="115"/>
  <c r="AO272" i="115" s="1"/>
  <c r="AD273" i="115"/>
  <c r="AE273" i="115" s="1"/>
  <c r="AJ273" i="115"/>
  <c r="AK273" i="115"/>
  <c r="AL273" i="115"/>
  <c r="AM273" i="115"/>
  <c r="AO273" i="115" s="1"/>
  <c r="AD274" i="115"/>
  <c r="AJ274" i="115"/>
  <c r="AK274" i="115"/>
  <c r="AL274" i="115"/>
  <c r="AM274" i="115"/>
  <c r="AO274" i="115" s="1"/>
  <c r="AD275" i="115"/>
  <c r="AJ275" i="115"/>
  <c r="AK275" i="115"/>
  <c r="AL275" i="115"/>
  <c r="AM275" i="115"/>
  <c r="AO275" i="115" s="1"/>
  <c r="AD276" i="115"/>
  <c r="AJ276" i="115"/>
  <c r="AK276" i="115"/>
  <c r="AL276" i="115"/>
  <c r="AM276" i="115"/>
  <c r="AO276" i="115" s="1"/>
  <c r="AD277" i="115"/>
  <c r="AE277" i="115" s="1"/>
  <c r="AJ277" i="115"/>
  <c r="AK277" i="115"/>
  <c r="AL277" i="115"/>
  <c r="AM277" i="115"/>
  <c r="AO277" i="115" s="1"/>
  <c r="AD278" i="115"/>
  <c r="AJ278" i="115"/>
  <c r="AK278" i="115"/>
  <c r="AL278" i="115"/>
  <c r="AM278" i="115"/>
  <c r="AO278" i="115" s="1"/>
  <c r="AD279" i="115"/>
  <c r="AE279" i="115" s="1"/>
  <c r="AJ279" i="115"/>
  <c r="AK279" i="115"/>
  <c r="AL279" i="115"/>
  <c r="AM279" i="115"/>
  <c r="AO279" i="115" s="1"/>
  <c r="AD280" i="115"/>
  <c r="AI280" i="115" s="1"/>
  <c r="AJ280" i="115"/>
  <c r="AK280" i="115"/>
  <c r="AL280" i="115"/>
  <c r="AM280" i="115"/>
  <c r="AO280" i="115" s="1"/>
  <c r="AD281" i="115"/>
  <c r="AJ281" i="115"/>
  <c r="AK281" i="115"/>
  <c r="AL281" i="115"/>
  <c r="AM281" i="115"/>
  <c r="AO281" i="115" s="1"/>
  <c r="AD282" i="115"/>
  <c r="AJ282" i="115"/>
  <c r="AK282" i="115"/>
  <c r="AL282" i="115"/>
  <c r="AM282" i="115"/>
  <c r="AO282" i="115" s="1"/>
  <c r="AD283" i="115"/>
  <c r="AG283" i="115"/>
  <c r="AJ283" i="115"/>
  <c r="AK283" i="115"/>
  <c r="AL283" i="115"/>
  <c r="AM283" i="115"/>
  <c r="AO283" i="115" s="1"/>
  <c r="AD284" i="115"/>
  <c r="AE284" i="115" s="1"/>
  <c r="AJ284" i="115"/>
  <c r="AK284" i="115"/>
  <c r="AL284" i="115"/>
  <c r="AM284" i="115"/>
  <c r="AO284" i="115"/>
  <c r="AD285" i="115"/>
  <c r="AE285" i="115" s="1"/>
  <c r="AJ285" i="115"/>
  <c r="AK285" i="115"/>
  <c r="AL285" i="115"/>
  <c r="AM285" i="115"/>
  <c r="AO285" i="115" s="1"/>
  <c r="AD286" i="115"/>
  <c r="AJ286" i="115"/>
  <c r="AK286" i="115"/>
  <c r="AL286" i="115"/>
  <c r="AM286" i="115"/>
  <c r="AO286" i="115" s="1"/>
  <c r="AD287" i="115"/>
  <c r="AE287" i="115" s="1"/>
  <c r="AJ287" i="115"/>
  <c r="AK287" i="115"/>
  <c r="AL287" i="115"/>
  <c r="AM287" i="115"/>
  <c r="AO287" i="115"/>
  <c r="AD288" i="115"/>
  <c r="AI288" i="115"/>
  <c r="AJ288" i="115"/>
  <c r="AK288" i="115"/>
  <c r="AL288" i="115"/>
  <c r="AM288" i="115"/>
  <c r="AO288" i="115" s="1"/>
  <c r="AD289" i="115"/>
  <c r="AE289" i="115" s="1"/>
  <c r="AJ289" i="115"/>
  <c r="AK289" i="115"/>
  <c r="AL289" i="115"/>
  <c r="AM289" i="115"/>
  <c r="AO289" i="115" s="1"/>
  <c r="AD290" i="115"/>
  <c r="AE290" i="115" s="1"/>
  <c r="AJ290" i="115"/>
  <c r="AK290" i="115"/>
  <c r="AL290" i="115"/>
  <c r="AM290" i="115"/>
  <c r="AO290" i="115" s="1"/>
  <c r="AD291" i="115"/>
  <c r="AJ291" i="115"/>
  <c r="AK291" i="115"/>
  <c r="AL291" i="115"/>
  <c r="AM291" i="115"/>
  <c r="AO291" i="115" s="1"/>
  <c r="AD292" i="115"/>
  <c r="AI292" i="115"/>
  <c r="AJ292" i="115"/>
  <c r="AK292" i="115"/>
  <c r="AL292" i="115"/>
  <c r="AM292" i="115"/>
  <c r="AO292" i="115" s="1"/>
  <c r="AD293" i="115"/>
  <c r="AE293" i="115" s="1"/>
  <c r="AJ293" i="115"/>
  <c r="AK293" i="115"/>
  <c r="AL293" i="115"/>
  <c r="AM293" i="115"/>
  <c r="AO293" i="115" s="1"/>
  <c r="AD294" i="115"/>
  <c r="AJ294" i="115"/>
  <c r="AK294" i="115"/>
  <c r="AL294" i="115"/>
  <c r="AM294" i="115"/>
  <c r="AO294" i="115"/>
  <c r="AD295" i="115"/>
  <c r="AE295" i="115" s="1"/>
  <c r="AJ295" i="115"/>
  <c r="AK295" i="115"/>
  <c r="AL295" i="115"/>
  <c r="AM295" i="115"/>
  <c r="AO295" i="115" s="1"/>
  <c r="AD296" i="115"/>
  <c r="AE296" i="115" s="1"/>
  <c r="AJ296" i="115"/>
  <c r="AK296" i="115"/>
  <c r="AL296" i="115"/>
  <c r="AM296" i="115"/>
  <c r="AO296" i="115" s="1"/>
  <c r="AD297" i="115"/>
  <c r="AE297" i="115" s="1"/>
  <c r="AJ297" i="115"/>
  <c r="AK297" i="115"/>
  <c r="AL297" i="115"/>
  <c r="AM297" i="115"/>
  <c r="AO297" i="115" s="1"/>
  <c r="AD298" i="115"/>
  <c r="AJ298" i="115"/>
  <c r="AK298" i="115"/>
  <c r="AL298" i="115"/>
  <c r="AM298" i="115"/>
  <c r="AO298" i="115" s="1"/>
  <c r="AD299" i="115"/>
  <c r="AE299" i="115" s="1"/>
  <c r="AJ299" i="115"/>
  <c r="AK299" i="115"/>
  <c r="AL299" i="115"/>
  <c r="AM299" i="115"/>
  <c r="AO299" i="115" s="1"/>
  <c r="AD300" i="115"/>
  <c r="AJ300" i="115"/>
  <c r="AK300" i="115"/>
  <c r="AL300" i="115"/>
  <c r="AM300" i="115"/>
  <c r="AO300" i="115" s="1"/>
  <c r="AD301" i="115"/>
  <c r="AE301" i="115" s="1"/>
  <c r="AJ301" i="115"/>
  <c r="AK301" i="115"/>
  <c r="AL301" i="115"/>
  <c r="AM301" i="115"/>
  <c r="AO301" i="115" s="1"/>
  <c r="AD302" i="115"/>
  <c r="AE302" i="115" s="1"/>
  <c r="AJ302" i="115"/>
  <c r="AK302" i="115"/>
  <c r="AL302" i="115"/>
  <c r="AM302" i="115"/>
  <c r="AO302" i="115" s="1"/>
  <c r="AD303" i="115"/>
  <c r="AE303" i="115" s="1"/>
  <c r="AJ303" i="115"/>
  <c r="AK303" i="115"/>
  <c r="AL303" i="115"/>
  <c r="AM303" i="115"/>
  <c r="AO303" i="115" s="1"/>
  <c r="AD304" i="115"/>
  <c r="AG304" i="115" s="1"/>
  <c r="AJ304" i="115"/>
  <c r="AK304" i="115"/>
  <c r="AL304" i="115"/>
  <c r="AM304" i="115"/>
  <c r="AO304" i="115" s="1"/>
  <c r="AD305" i="115"/>
  <c r="AJ305" i="115"/>
  <c r="AK305" i="115"/>
  <c r="AL305" i="115"/>
  <c r="AM305" i="115"/>
  <c r="AO305" i="115" s="1"/>
  <c r="AD306" i="115"/>
  <c r="AG306" i="115"/>
  <c r="AJ306" i="115"/>
  <c r="AK306" i="115"/>
  <c r="AL306" i="115"/>
  <c r="AM306" i="115"/>
  <c r="AO306" i="115" s="1"/>
  <c r="AD307" i="115"/>
  <c r="AI307" i="115" s="1"/>
  <c r="AJ307" i="115"/>
  <c r="AK307" i="115"/>
  <c r="AL307" i="115"/>
  <c r="AM307" i="115"/>
  <c r="AO307" i="115" s="1"/>
  <c r="AD308" i="115"/>
  <c r="AJ308" i="115"/>
  <c r="AK308" i="115"/>
  <c r="AL308" i="115"/>
  <c r="AM308" i="115"/>
  <c r="AO308" i="115" s="1"/>
  <c r="AD309" i="115"/>
  <c r="AE309" i="115" s="1"/>
  <c r="AJ309" i="115"/>
  <c r="AK309" i="115"/>
  <c r="AL309" i="115"/>
  <c r="AM309" i="115"/>
  <c r="AO309" i="115"/>
  <c r="AD310" i="115"/>
  <c r="AE310" i="115" s="1"/>
  <c r="AJ310" i="115"/>
  <c r="AK310" i="115"/>
  <c r="AL310" i="115"/>
  <c r="AM310" i="115"/>
  <c r="AO310" i="115"/>
  <c r="AD311" i="115"/>
  <c r="AE311" i="115" s="1"/>
  <c r="AJ311" i="115"/>
  <c r="AK311" i="115"/>
  <c r="AL311" i="115"/>
  <c r="AM311" i="115"/>
  <c r="AO311" i="115"/>
  <c r="AD312" i="115"/>
  <c r="AE312" i="115" s="1"/>
  <c r="AJ312" i="115"/>
  <c r="AK312" i="115"/>
  <c r="AL312" i="115"/>
  <c r="AM312" i="115"/>
  <c r="AO312" i="115"/>
  <c r="AD313" i="115"/>
  <c r="AE313" i="115" s="1"/>
  <c r="AG313" i="115"/>
  <c r="AJ313" i="115"/>
  <c r="AK313" i="115"/>
  <c r="AL313" i="115"/>
  <c r="AM313" i="115"/>
  <c r="AO313" i="115" s="1"/>
  <c r="AD314" i="115"/>
  <c r="AE314" i="115" s="1"/>
  <c r="AG314" i="115"/>
  <c r="AJ314" i="115"/>
  <c r="AK314" i="115"/>
  <c r="AL314" i="115"/>
  <c r="AM314" i="115"/>
  <c r="AO314" i="115" s="1"/>
  <c r="AD315" i="115"/>
  <c r="AE315" i="115" s="1"/>
  <c r="AJ315" i="115"/>
  <c r="AK315" i="115"/>
  <c r="AL315" i="115"/>
  <c r="AM315" i="115"/>
  <c r="AO315" i="115" s="1"/>
  <c r="AD316" i="115"/>
  <c r="AE316" i="115" s="1"/>
  <c r="AJ316" i="115"/>
  <c r="AK316" i="115"/>
  <c r="AL316" i="115"/>
  <c r="AM316" i="115"/>
  <c r="AO316" i="115" s="1"/>
  <c r="AD317" i="115"/>
  <c r="AE317" i="115" s="1"/>
  <c r="AJ317" i="115"/>
  <c r="AK317" i="115"/>
  <c r="AL317" i="115"/>
  <c r="AM317" i="115"/>
  <c r="AO317" i="115" s="1"/>
  <c r="AD318" i="115"/>
  <c r="AI318" i="115"/>
  <c r="AJ318" i="115"/>
  <c r="AK318" i="115"/>
  <c r="AL318" i="115"/>
  <c r="AM318" i="115"/>
  <c r="AO318" i="115" s="1"/>
  <c r="AD319" i="115"/>
  <c r="AE319" i="115" s="1"/>
  <c r="AJ319" i="115"/>
  <c r="AK319" i="115"/>
  <c r="AL319" i="115"/>
  <c r="AM319" i="115"/>
  <c r="AO319" i="115" s="1"/>
  <c r="AD320" i="115"/>
  <c r="AE320" i="115" s="1"/>
  <c r="AJ320" i="115"/>
  <c r="AK320" i="115"/>
  <c r="AL320" i="115"/>
  <c r="AM320" i="115"/>
  <c r="AO320" i="115"/>
  <c r="AD321" i="115"/>
  <c r="AE321" i="115" s="1"/>
  <c r="AJ321" i="115"/>
  <c r="AK321" i="115"/>
  <c r="AL321" i="115"/>
  <c r="AM321" i="115"/>
  <c r="AO321" i="115" s="1"/>
  <c r="AD322" i="115"/>
  <c r="AE322" i="115" s="1"/>
  <c r="AJ322" i="115"/>
  <c r="AK322" i="115"/>
  <c r="AL322" i="115"/>
  <c r="AM322" i="115"/>
  <c r="AO322" i="115" s="1"/>
  <c r="AD323" i="115"/>
  <c r="AE323" i="115" s="1"/>
  <c r="AF323" i="115"/>
  <c r="AI323" i="115"/>
  <c r="AJ323" i="115"/>
  <c r="AK323" i="115"/>
  <c r="AL323" i="115"/>
  <c r="AM323" i="115"/>
  <c r="AO323" i="115" s="1"/>
  <c r="AD324" i="115"/>
  <c r="AJ324" i="115"/>
  <c r="AK324" i="115"/>
  <c r="AL324" i="115"/>
  <c r="AM324" i="115"/>
  <c r="AO324" i="115" s="1"/>
  <c r="AD325" i="115"/>
  <c r="AG325" i="115"/>
  <c r="AJ325" i="115"/>
  <c r="AK325" i="115"/>
  <c r="AL325" i="115"/>
  <c r="AM325" i="115"/>
  <c r="AO325" i="115" s="1"/>
  <c r="AD326" i="115"/>
  <c r="AJ326" i="115"/>
  <c r="AK326" i="115"/>
  <c r="AL326" i="115"/>
  <c r="AM326" i="115"/>
  <c r="AO326" i="115" s="1"/>
  <c r="AD327" i="115"/>
  <c r="AE327" i="115" s="1"/>
  <c r="AJ327" i="115"/>
  <c r="AK327" i="115"/>
  <c r="AL327" i="115"/>
  <c r="AM327" i="115"/>
  <c r="AO327" i="115" s="1"/>
  <c r="AD328" i="115"/>
  <c r="AJ328" i="115"/>
  <c r="AK328" i="115"/>
  <c r="AL328" i="115"/>
  <c r="AM328" i="115"/>
  <c r="AO328" i="115"/>
  <c r="AD329" i="115"/>
  <c r="AI329" i="115" s="1"/>
  <c r="AJ329" i="115"/>
  <c r="AK329" i="115"/>
  <c r="AL329" i="115"/>
  <c r="AM329" i="115"/>
  <c r="AO329" i="115" s="1"/>
  <c r="AD330" i="115"/>
  <c r="AE330" i="115" s="1"/>
  <c r="AI330" i="115"/>
  <c r="AJ330" i="115"/>
  <c r="AK330" i="115"/>
  <c r="AL330" i="115"/>
  <c r="AM330" i="115"/>
  <c r="AO330" i="115" s="1"/>
  <c r="AD331" i="115"/>
  <c r="AJ331" i="115"/>
  <c r="AK331" i="115"/>
  <c r="AL331" i="115"/>
  <c r="AM331" i="115"/>
  <c r="AO331" i="115"/>
  <c r="AD332" i="115"/>
  <c r="AE332" i="115" s="1"/>
  <c r="AI332" i="115"/>
  <c r="AJ332" i="115"/>
  <c r="AK332" i="115"/>
  <c r="AL332" i="115"/>
  <c r="AM332" i="115"/>
  <c r="AO332" i="115" s="1"/>
  <c r="AD333" i="115"/>
  <c r="AE333" i="115" s="1"/>
  <c r="AJ333" i="115"/>
  <c r="AK333" i="115"/>
  <c r="AL333" i="115"/>
  <c r="AM333" i="115"/>
  <c r="AO333" i="115" s="1"/>
  <c r="AD334" i="115"/>
  <c r="AJ334" i="115"/>
  <c r="AK334" i="115"/>
  <c r="AL334" i="115"/>
  <c r="AM334" i="115"/>
  <c r="AO334" i="115"/>
  <c r="AD335" i="115"/>
  <c r="AJ335" i="115"/>
  <c r="AK335" i="115"/>
  <c r="AL335" i="115"/>
  <c r="AM335" i="115"/>
  <c r="AO335" i="115" s="1"/>
  <c r="AD336" i="115"/>
  <c r="AJ336" i="115"/>
  <c r="AK336" i="115"/>
  <c r="AL336" i="115"/>
  <c r="AM336" i="115"/>
  <c r="AO336" i="115" s="1"/>
  <c r="AD337" i="115"/>
  <c r="AI337" i="115" s="1"/>
  <c r="AJ337" i="115"/>
  <c r="AK337" i="115"/>
  <c r="AL337" i="115"/>
  <c r="AM337" i="115"/>
  <c r="AO337" i="115" s="1"/>
  <c r="AD338" i="115"/>
  <c r="AE338" i="115" s="1"/>
  <c r="AJ338" i="115"/>
  <c r="AK338" i="115"/>
  <c r="AL338" i="115"/>
  <c r="AM338" i="115"/>
  <c r="AO338" i="115" s="1"/>
  <c r="AD339" i="115"/>
  <c r="AJ339" i="115"/>
  <c r="AK339" i="115"/>
  <c r="AL339" i="115"/>
  <c r="AM339" i="115"/>
  <c r="AO339" i="115" s="1"/>
  <c r="AD340" i="115"/>
  <c r="AE340" i="115" s="1"/>
  <c r="AJ340" i="115"/>
  <c r="AK340" i="115"/>
  <c r="AL340" i="115"/>
  <c r="AM340" i="115"/>
  <c r="AO340" i="115" s="1"/>
  <c r="AD341" i="115"/>
  <c r="AE341" i="115" s="1"/>
  <c r="AJ341" i="115"/>
  <c r="AK341" i="115"/>
  <c r="AL341" i="115"/>
  <c r="AM341" i="115"/>
  <c r="AO341" i="115"/>
  <c r="AD342" i="115"/>
  <c r="AJ342" i="115"/>
  <c r="AK342" i="115"/>
  <c r="AL342" i="115"/>
  <c r="AM342" i="115"/>
  <c r="AO342" i="115" s="1"/>
  <c r="AD343" i="115"/>
  <c r="AE343" i="115" s="1"/>
  <c r="AG343" i="115"/>
  <c r="AJ343" i="115"/>
  <c r="AK343" i="115"/>
  <c r="AL343" i="115"/>
  <c r="AM343" i="115"/>
  <c r="AO343" i="115" s="1"/>
  <c r="AD344" i="115"/>
  <c r="AE344" i="115" s="1"/>
  <c r="AJ344" i="115"/>
  <c r="AK344" i="115"/>
  <c r="AL344" i="115"/>
  <c r="AM344" i="115"/>
  <c r="AO344" i="115" s="1"/>
  <c r="AD345" i="115"/>
  <c r="AJ345" i="115"/>
  <c r="AK345" i="115"/>
  <c r="AL345" i="115"/>
  <c r="AM345" i="115"/>
  <c r="AO345" i="115" s="1"/>
  <c r="AD346" i="115"/>
  <c r="AJ346" i="115"/>
  <c r="AK346" i="115"/>
  <c r="AL346" i="115"/>
  <c r="AM346" i="115"/>
  <c r="AO346" i="115" s="1"/>
  <c r="AD347" i="115"/>
  <c r="AI347" i="115" s="1"/>
  <c r="AJ347" i="115"/>
  <c r="AK347" i="115"/>
  <c r="AL347" i="115"/>
  <c r="AM347" i="115"/>
  <c r="AO347" i="115" s="1"/>
  <c r="AD348" i="115"/>
  <c r="AJ348" i="115"/>
  <c r="AK348" i="115"/>
  <c r="AL348" i="115"/>
  <c r="AM348" i="115"/>
  <c r="AO348" i="115" s="1"/>
  <c r="AD349" i="115"/>
  <c r="AG349" i="115" s="1"/>
  <c r="AI349" i="115"/>
  <c r="AJ349" i="115"/>
  <c r="AK349" i="115"/>
  <c r="AL349" i="115"/>
  <c r="AM349" i="115"/>
  <c r="AO349" i="115" s="1"/>
  <c r="AD350" i="115"/>
  <c r="AE350" i="115" s="1"/>
  <c r="AJ350" i="115"/>
  <c r="AK350" i="115"/>
  <c r="AL350" i="115"/>
  <c r="AM350" i="115"/>
  <c r="AO350" i="115" s="1"/>
  <c r="AD351" i="115"/>
  <c r="AE351" i="115" s="1"/>
  <c r="AF351" i="115"/>
  <c r="AI351" i="115"/>
  <c r="AJ351" i="115"/>
  <c r="AK351" i="115"/>
  <c r="AL351" i="115"/>
  <c r="AM351" i="115"/>
  <c r="AO351" i="115" s="1"/>
  <c r="AD352" i="115"/>
  <c r="AE352" i="115" s="1"/>
  <c r="AJ352" i="115"/>
  <c r="AK352" i="115"/>
  <c r="AL352" i="115"/>
  <c r="AM352" i="115"/>
  <c r="AO352" i="115" s="1"/>
  <c r="AD353" i="115"/>
  <c r="AE353" i="115" s="1"/>
  <c r="AJ353" i="115"/>
  <c r="AK353" i="115"/>
  <c r="AL353" i="115"/>
  <c r="AM353" i="115"/>
  <c r="AO353" i="115" s="1"/>
  <c r="AD354" i="115"/>
  <c r="AJ354" i="115"/>
  <c r="AK354" i="115"/>
  <c r="AL354" i="115"/>
  <c r="AM354" i="115"/>
  <c r="AO354" i="115" s="1"/>
  <c r="AD355" i="115"/>
  <c r="AE355" i="115" s="1"/>
  <c r="AJ355" i="115"/>
  <c r="AK355" i="115"/>
  <c r="AL355" i="115"/>
  <c r="AM355" i="115"/>
  <c r="AO355" i="115" s="1"/>
  <c r="AD356" i="115"/>
  <c r="AE356" i="115" s="1"/>
  <c r="AJ356" i="115"/>
  <c r="AK356" i="115"/>
  <c r="AL356" i="115"/>
  <c r="AM356" i="115"/>
  <c r="AO356" i="115" s="1"/>
  <c r="AD357" i="115"/>
  <c r="AJ357" i="115"/>
  <c r="AK357" i="115"/>
  <c r="AL357" i="115"/>
  <c r="AM357" i="115"/>
  <c r="AO357" i="115" s="1"/>
  <c r="AD358" i="115"/>
  <c r="AJ358" i="115"/>
  <c r="AK358" i="115"/>
  <c r="AL358" i="115"/>
  <c r="AM358" i="115"/>
  <c r="AO358" i="115" s="1"/>
  <c r="AD359" i="115"/>
  <c r="AE359" i="115" s="1"/>
  <c r="AI359" i="115"/>
  <c r="AJ359" i="115"/>
  <c r="AK359" i="115"/>
  <c r="AL359" i="115"/>
  <c r="AM359" i="115"/>
  <c r="AO359" i="115" s="1"/>
  <c r="AD360" i="115"/>
  <c r="AJ360" i="115"/>
  <c r="AK360" i="115"/>
  <c r="AL360" i="115"/>
  <c r="AM360" i="115"/>
  <c r="AO360" i="115" s="1"/>
  <c r="AD361" i="115"/>
  <c r="AG361" i="115"/>
  <c r="AJ361" i="115"/>
  <c r="AK361" i="115"/>
  <c r="AL361" i="115"/>
  <c r="AM361" i="115"/>
  <c r="AO361" i="115" s="1"/>
  <c r="AD362" i="115"/>
  <c r="AE362" i="115" s="1"/>
  <c r="AJ362" i="115"/>
  <c r="AK362" i="115"/>
  <c r="AL362" i="115"/>
  <c r="AM362" i="115"/>
  <c r="AO362" i="115" s="1"/>
  <c r="AD363" i="115"/>
  <c r="AE363" i="115" s="1"/>
  <c r="AJ363" i="115"/>
  <c r="AK363" i="115"/>
  <c r="AL363" i="115"/>
  <c r="AM363" i="115"/>
  <c r="AO363" i="115" s="1"/>
  <c r="AD364" i="115"/>
  <c r="AE364" i="115" s="1"/>
  <c r="AJ364" i="115"/>
  <c r="AK364" i="115"/>
  <c r="AL364" i="115"/>
  <c r="AM364" i="115"/>
  <c r="AO364" i="115" s="1"/>
  <c r="AD365" i="115"/>
  <c r="AE365" i="115" s="1"/>
  <c r="AJ365" i="115"/>
  <c r="AK365" i="115"/>
  <c r="AL365" i="115"/>
  <c r="AM365" i="115"/>
  <c r="AO365" i="115" s="1"/>
  <c r="AD366" i="115"/>
  <c r="AE366" i="115" s="1"/>
  <c r="AI366" i="115"/>
  <c r="AJ366" i="115"/>
  <c r="AK366" i="115"/>
  <c r="AL366" i="115"/>
  <c r="AM366" i="115"/>
  <c r="AO366" i="115" s="1"/>
  <c r="AD367" i="115"/>
  <c r="AJ367" i="115"/>
  <c r="AK367" i="115"/>
  <c r="AL367" i="115"/>
  <c r="AM367" i="115"/>
  <c r="AO367" i="115" s="1"/>
  <c r="AD368" i="115"/>
  <c r="AJ368" i="115"/>
  <c r="AK368" i="115"/>
  <c r="AL368" i="115"/>
  <c r="AM368" i="115"/>
  <c r="AO368" i="115"/>
  <c r="AD369" i="115"/>
  <c r="AI369" i="115" s="1"/>
  <c r="AJ369" i="115"/>
  <c r="AK369" i="115"/>
  <c r="AL369" i="115"/>
  <c r="AM369" i="115"/>
  <c r="AO369" i="115" s="1"/>
  <c r="AD370" i="115"/>
  <c r="AE370" i="115" s="1"/>
  <c r="AJ370" i="115"/>
  <c r="AK370" i="115"/>
  <c r="AL370" i="115"/>
  <c r="AM370" i="115"/>
  <c r="AO370" i="115" s="1"/>
  <c r="AD371" i="115"/>
  <c r="AE371" i="115" s="1"/>
  <c r="AJ371" i="115"/>
  <c r="AK371" i="115"/>
  <c r="AL371" i="115"/>
  <c r="AM371" i="115"/>
  <c r="AO371" i="115" s="1"/>
  <c r="AD372" i="115"/>
  <c r="AE372" i="115" s="1"/>
  <c r="AJ372" i="115"/>
  <c r="AK372" i="115"/>
  <c r="AL372" i="115"/>
  <c r="AM372" i="115"/>
  <c r="AO372" i="115" s="1"/>
  <c r="AD373" i="115"/>
  <c r="AE373" i="115" s="1"/>
  <c r="AJ373" i="115"/>
  <c r="AK373" i="115"/>
  <c r="AL373" i="115"/>
  <c r="AM373" i="115"/>
  <c r="AO373" i="115" s="1"/>
  <c r="AD374" i="115"/>
  <c r="AJ374" i="115"/>
  <c r="AK374" i="115"/>
  <c r="AL374" i="115"/>
  <c r="AM374" i="115"/>
  <c r="AO374" i="115" s="1"/>
  <c r="AD375" i="115"/>
  <c r="AE375" i="115" s="1"/>
  <c r="AI375" i="115"/>
  <c r="AJ375" i="115"/>
  <c r="AK375" i="115"/>
  <c r="AL375" i="115"/>
  <c r="AM375" i="115"/>
  <c r="AO375" i="115" s="1"/>
  <c r="AD376" i="115"/>
  <c r="AJ376" i="115"/>
  <c r="AK376" i="115"/>
  <c r="AL376" i="115"/>
  <c r="AM376" i="115"/>
  <c r="AO376" i="115" s="1"/>
  <c r="AD377" i="115"/>
  <c r="AE377" i="115" s="1"/>
  <c r="AJ377" i="115"/>
  <c r="AK377" i="115"/>
  <c r="AL377" i="115"/>
  <c r="AM377" i="115"/>
  <c r="AO377" i="115" s="1"/>
  <c r="AD378" i="115"/>
  <c r="AE378" i="115" s="1"/>
  <c r="AJ378" i="115"/>
  <c r="AK378" i="115"/>
  <c r="AL378" i="115"/>
  <c r="AM378" i="115"/>
  <c r="AO378" i="115" s="1"/>
  <c r="AD379" i="115"/>
  <c r="AE379" i="115" s="1"/>
  <c r="AJ379" i="115"/>
  <c r="AK379" i="115"/>
  <c r="AL379" i="115"/>
  <c r="AM379" i="115"/>
  <c r="AO379" i="115" s="1"/>
  <c r="AD380" i="115"/>
  <c r="AJ380" i="115"/>
  <c r="AK380" i="115"/>
  <c r="AL380" i="115"/>
  <c r="AM380" i="115"/>
  <c r="AO380" i="115" s="1"/>
  <c r="AD381" i="115"/>
  <c r="AJ381" i="115"/>
  <c r="AK381" i="115"/>
  <c r="AL381" i="115"/>
  <c r="AM381" i="115"/>
  <c r="AO381" i="115" s="1"/>
  <c r="AD382" i="115"/>
  <c r="AJ382" i="115"/>
  <c r="AK382" i="115"/>
  <c r="AL382" i="115"/>
  <c r="AM382" i="115"/>
  <c r="AO382" i="115" s="1"/>
  <c r="AD383" i="115"/>
  <c r="AE383" i="115" s="1"/>
  <c r="AJ383" i="115"/>
  <c r="AK383" i="115"/>
  <c r="AL383" i="115"/>
  <c r="AM383" i="115"/>
  <c r="AO383" i="115" s="1"/>
  <c r="AD384" i="115"/>
  <c r="AJ384" i="115"/>
  <c r="AK384" i="115"/>
  <c r="AL384" i="115"/>
  <c r="AM384" i="115"/>
  <c r="AO384" i="115" s="1"/>
  <c r="AD385" i="115"/>
  <c r="AG385" i="115" s="1"/>
  <c r="AJ385" i="115"/>
  <c r="AK385" i="115"/>
  <c r="AL385" i="115"/>
  <c r="AM385" i="115"/>
  <c r="AO385" i="115" s="1"/>
  <c r="AD386" i="115"/>
  <c r="AE386" i="115" s="1"/>
  <c r="AJ386" i="115"/>
  <c r="AK386" i="115"/>
  <c r="AL386" i="115"/>
  <c r="AM386" i="115"/>
  <c r="AO386" i="115" s="1"/>
  <c r="AD387" i="115"/>
  <c r="AJ387" i="115"/>
  <c r="AK387" i="115"/>
  <c r="AL387" i="115"/>
  <c r="AM387" i="115"/>
  <c r="AO387" i="115" s="1"/>
  <c r="AD388" i="115"/>
  <c r="AE388" i="115" s="1"/>
  <c r="AJ388" i="115"/>
  <c r="AK388" i="115"/>
  <c r="AL388" i="115"/>
  <c r="AM388" i="115"/>
  <c r="AO388" i="115"/>
  <c r="AD389" i="115"/>
  <c r="AJ389" i="115"/>
  <c r="AK389" i="115"/>
  <c r="AL389" i="115"/>
  <c r="AM389" i="115"/>
  <c r="AO389" i="115" s="1"/>
  <c r="AD390" i="115"/>
  <c r="AE390" i="115" s="1"/>
  <c r="AI390" i="115"/>
  <c r="AJ390" i="115"/>
  <c r="AK390" i="115"/>
  <c r="AL390" i="115"/>
  <c r="AM390" i="115"/>
  <c r="AO390" i="115" s="1"/>
  <c r="AD391" i="115"/>
  <c r="AJ391" i="115"/>
  <c r="AK391" i="115"/>
  <c r="AL391" i="115"/>
  <c r="AM391" i="115"/>
  <c r="AO391" i="115" s="1"/>
  <c r="AD392" i="115"/>
  <c r="AJ392" i="115"/>
  <c r="AK392" i="115"/>
  <c r="AL392" i="115"/>
  <c r="AM392" i="115"/>
  <c r="AO392" i="115" s="1"/>
  <c r="AD393" i="115"/>
  <c r="AE393" i="115" s="1"/>
  <c r="AF393" i="115"/>
  <c r="AJ393" i="115"/>
  <c r="AK393" i="115"/>
  <c r="AL393" i="115"/>
  <c r="AM393" i="115"/>
  <c r="AO393" i="115" s="1"/>
  <c r="AD394" i="115"/>
  <c r="AE394" i="115" s="1"/>
  <c r="AJ394" i="115"/>
  <c r="AK394" i="115"/>
  <c r="AL394" i="115"/>
  <c r="AM394" i="115"/>
  <c r="AO394" i="115" s="1"/>
  <c r="AD395" i="115"/>
  <c r="AI395" i="115" s="1"/>
  <c r="AJ395" i="115"/>
  <c r="AK395" i="115"/>
  <c r="AL395" i="115"/>
  <c r="AM395" i="115"/>
  <c r="AO395" i="115" s="1"/>
  <c r="AD396" i="115"/>
  <c r="AJ396" i="115"/>
  <c r="AK396" i="115"/>
  <c r="AL396" i="115"/>
  <c r="AM396" i="115"/>
  <c r="AO396" i="115" s="1"/>
  <c r="AD397" i="115"/>
  <c r="AE397" i="115" s="1"/>
  <c r="AG397" i="115"/>
  <c r="AJ397" i="115"/>
  <c r="AK397" i="115"/>
  <c r="AL397" i="115"/>
  <c r="AM397" i="115"/>
  <c r="AO397" i="115" s="1"/>
  <c r="AD398" i="115"/>
  <c r="AE398" i="115" s="1"/>
  <c r="AJ398" i="115"/>
  <c r="AK398" i="115"/>
  <c r="AL398" i="115"/>
  <c r="AM398" i="115"/>
  <c r="AO398" i="115" s="1"/>
  <c r="AD399" i="115"/>
  <c r="AE399" i="115" s="1"/>
  <c r="AI399" i="115"/>
  <c r="AJ399" i="115"/>
  <c r="AK399" i="115"/>
  <c r="AL399" i="115"/>
  <c r="AM399" i="115"/>
  <c r="AO399" i="115" s="1"/>
  <c r="AD400" i="115"/>
  <c r="AJ400" i="115"/>
  <c r="AK400" i="115"/>
  <c r="AL400" i="115"/>
  <c r="AM400" i="115"/>
  <c r="AO400" i="115" s="1"/>
  <c r="AD401" i="115"/>
  <c r="AJ401" i="115"/>
  <c r="AK401" i="115"/>
  <c r="AL401" i="115"/>
  <c r="AM401" i="115"/>
  <c r="AO401" i="115" s="1"/>
  <c r="AD402" i="115"/>
  <c r="AE402" i="115" s="1"/>
  <c r="AI402" i="115"/>
  <c r="AJ402" i="115"/>
  <c r="AK402" i="115"/>
  <c r="AL402" i="115"/>
  <c r="AM402" i="115"/>
  <c r="AO402" i="115" s="1"/>
  <c r="AD403" i="115"/>
  <c r="AG403" i="115" s="1"/>
  <c r="AI403" i="115"/>
  <c r="AJ403" i="115"/>
  <c r="AK403" i="115"/>
  <c r="AL403" i="115"/>
  <c r="AM403" i="115"/>
  <c r="AO403" i="115" s="1"/>
  <c r="AD404" i="115"/>
  <c r="AE404" i="115" s="1"/>
  <c r="AJ404" i="115"/>
  <c r="AK404" i="115"/>
  <c r="AL404" i="115"/>
  <c r="AM404" i="115"/>
  <c r="AO404" i="115" s="1"/>
  <c r="AD405" i="115"/>
  <c r="AJ405" i="115"/>
  <c r="AK405" i="115"/>
  <c r="AL405" i="115"/>
  <c r="AM405" i="115"/>
  <c r="AO405" i="115" s="1"/>
  <c r="AD406" i="115"/>
  <c r="AE406" i="115" s="1"/>
  <c r="AJ406" i="115"/>
  <c r="AK406" i="115"/>
  <c r="AL406" i="115"/>
  <c r="AM406" i="115"/>
  <c r="AO406" i="115"/>
  <c r="AD407" i="115"/>
  <c r="AJ407" i="115"/>
  <c r="AK407" i="115"/>
  <c r="AL407" i="115"/>
  <c r="AM407" i="115"/>
  <c r="AO407" i="115" s="1"/>
  <c r="AD408" i="115"/>
  <c r="AJ408" i="115"/>
  <c r="AK408" i="115"/>
  <c r="AL408" i="115"/>
  <c r="AM408" i="115"/>
  <c r="AO408" i="115" s="1"/>
  <c r="AD409" i="115"/>
  <c r="AE409" i="115" s="1"/>
  <c r="AJ409" i="115"/>
  <c r="AK409" i="115"/>
  <c r="AL409" i="115"/>
  <c r="AM409" i="115"/>
  <c r="AO409" i="115"/>
  <c r="AD410" i="115"/>
  <c r="AE410" i="115" s="1"/>
  <c r="AJ410" i="115"/>
  <c r="AK410" i="115"/>
  <c r="AL410" i="115"/>
  <c r="AM410" i="115"/>
  <c r="AO410" i="115"/>
  <c r="AD411" i="115"/>
  <c r="AE411" i="115" s="1"/>
  <c r="AJ411" i="115"/>
  <c r="AK411" i="115"/>
  <c r="AL411" i="115"/>
  <c r="AM411" i="115"/>
  <c r="AO411" i="115" s="1"/>
  <c r="AD412" i="115"/>
  <c r="AJ412" i="115"/>
  <c r="AK412" i="115"/>
  <c r="AL412" i="115"/>
  <c r="AM412" i="115"/>
  <c r="AO412" i="115" s="1"/>
  <c r="AD413" i="115"/>
  <c r="AE413" i="115" s="1"/>
  <c r="AG413" i="115"/>
  <c r="AJ413" i="115"/>
  <c r="AK413" i="115"/>
  <c r="AL413" i="115"/>
  <c r="AM413" i="115"/>
  <c r="AO413" i="115" s="1"/>
  <c r="AD414" i="115"/>
  <c r="AJ414" i="115"/>
  <c r="AK414" i="115"/>
  <c r="AL414" i="115"/>
  <c r="AM414" i="115"/>
  <c r="AO414" i="115" s="1"/>
  <c r="AD415" i="115"/>
  <c r="AE415" i="115" s="1"/>
  <c r="AJ415" i="115"/>
  <c r="AK415" i="115"/>
  <c r="AL415" i="115"/>
  <c r="AM415" i="115"/>
  <c r="AO415" i="115" s="1"/>
  <c r="AD416" i="115"/>
  <c r="AJ416" i="115"/>
  <c r="AK416" i="115"/>
  <c r="AL416" i="115"/>
  <c r="AM416" i="115"/>
  <c r="AO416" i="115"/>
  <c r="AD417" i="115"/>
  <c r="AG417" i="115"/>
  <c r="AJ417" i="115"/>
  <c r="AK417" i="115"/>
  <c r="AL417" i="115"/>
  <c r="AM417" i="115"/>
  <c r="AO417" i="115" s="1"/>
  <c r="AD418" i="115"/>
  <c r="AE418" i="115" s="1"/>
  <c r="AJ418" i="115"/>
  <c r="AK418" i="115"/>
  <c r="AL418" i="115"/>
  <c r="AM418" i="115"/>
  <c r="AO418" i="115" s="1"/>
  <c r="AD419" i="115"/>
  <c r="AJ419" i="115"/>
  <c r="AK419" i="115"/>
  <c r="AL419" i="115"/>
  <c r="AM419" i="115"/>
  <c r="AO419" i="115" s="1"/>
  <c r="AD420" i="115"/>
  <c r="AE420" i="115" s="1"/>
  <c r="AJ420" i="115"/>
  <c r="AK420" i="115"/>
  <c r="AL420" i="115"/>
  <c r="AM420" i="115"/>
  <c r="AO420" i="115" s="1"/>
  <c r="AD421" i="115"/>
  <c r="AJ421" i="115"/>
  <c r="AK421" i="115"/>
  <c r="AL421" i="115"/>
  <c r="AM421" i="115"/>
  <c r="AO421" i="115" s="1"/>
  <c r="AD422" i="115"/>
  <c r="AE422" i="115" s="1"/>
  <c r="AI422" i="115"/>
  <c r="AJ422" i="115"/>
  <c r="AK422" i="115"/>
  <c r="AL422" i="115"/>
  <c r="AM422" i="115"/>
  <c r="AO422" i="115" s="1"/>
  <c r="AD423" i="115"/>
  <c r="AJ423" i="115"/>
  <c r="AK423" i="115"/>
  <c r="AL423" i="115"/>
  <c r="AM423" i="115"/>
  <c r="AO423" i="115" s="1"/>
  <c r="AD424" i="115"/>
  <c r="AJ424" i="115"/>
  <c r="AK424" i="115"/>
  <c r="AL424" i="115"/>
  <c r="AM424" i="115"/>
  <c r="AO424" i="115" s="1"/>
  <c r="AD425" i="115"/>
  <c r="AE425" i="115" s="1"/>
  <c r="AF425" i="115"/>
  <c r="AJ425" i="115"/>
  <c r="AK425" i="115"/>
  <c r="AL425" i="115"/>
  <c r="AM425" i="115"/>
  <c r="AO425" i="115" s="1"/>
  <c r="AD426" i="115"/>
  <c r="AE426" i="115" s="1"/>
  <c r="AJ426" i="115"/>
  <c r="AK426" i="115"/>
  <c r="AL426" i="115"/>
  <c r="AM426" i="115"/>
  <c r="AO426" i="115" s="1"/>
  <c r="AD427" i="115"/>
  <c r="AI427" i="115" s="1"/>
  <c r="AJ427" i="115"/>
  <c r="AK427" i="115"/>
  <c r="AL427" i="115"/>
  <c r="AM427" i="115"/>
  <c r="AO427" i="115" s="1"/>
  <c r="AD428" i="115"/>
  <c r="AJ428" i="115"/>
  <c r="AK428" i="115"/>
  <c r="AL428" i="115"/>
  <c r="AM428" i="115"/>
  <c r="AO428" i="115" s="1"/>
  <c r="AD429" i="115"/>
  <c r="AJ429" i="115"/>
  <c r="AK429" i="115"/>
  <c r="AL429" i="115"/>
  <c r="AM429" i="115"/>
  <c r="AO429" i="115" s="1"/>
  <c r="AD430" i="115"/>
  <c r="AE430" i="115" s="1"/>
  <c r="AJ430" i="115"/>
  <c r="AK430" i="115"/>
  <c r="AL430" i="115"/>
  <c r="AM430" i="115"/>
  <c r="AO430" i="115" s="1"/>
  <c r="AD431" i="115"/>
  <c r="AE431" i="115" s="1"/>
  <c r="AI431" i="115"/>
  <c r="AJ431" i="115"/>
  <c r="AK431" i="115"/>
  <c r="AL431" i="115"/>
  <c r="AM431" i="115"/>
  <c r="AO431" i="115" s="1"/>
  <c r="AD432" i="115"/>
  <c r="AJ432" i="115"/>
  <c r="AK432" i="115"/>
  <c r="AL432" i="115"/>
  <c r="AM432" i="115"/>
  <c r="AO432" i="115" s="1"/>
  <c r="AD433" i="115"/>
  <c r="AJ433" i="115"/>
  <c r="AK433" i="115"/>
  <c r="AL433" i="115"/>
  <c r="AM433" i="115"/>
  <c r="AO433" i="115" s="1"/>
  <c r="AD434" i="115"/>
  <c r="AE434" i="115" s="1"/>
  <c r="AI434" i="115"/>
  <c r="AJ434" i="115"/>
  <c r="AK434" i="115"/>
  <c r="AL434" i="115"/>
  <c r="AM434" i="115"/>
  <c r="AO434" i="115" s="1"/>
  <c r="AD435" i="115"/>
  <c r="AE435" i="115" s="1"/>
  <c r="AF435" i="115"/>
  <c r="AG435" i="115"/>
  <c r="AI435" i="115"/>
  <c r="AJ435" i="115"/>
  <c r="AK435" i="115"/>
  <c r="AL435" i="115"/>
  <c r="AM435" i="115"/>
  <c r="AO435" i="115" s="1"/>
  <c r="AD436" i="115"/>
  <c r="AE436" i="115" s="1"/>
  <c r="AJ436" i="115"/>
  <c r="AK436" i="115"/>
  <c r="AL436" i="115"/>
  <c r="AM436" i="115"/>
  <c r="AO436" i="115" s="1"/>
  <c r="AD437" i="115"/>
  <c r="AJ437" i="115"/>
  <c r="AK437" i="115"/>
  <c r="AL437" i="115"/>
  <c r="AM437" i="115"/>
  <c r="AO437" i="115" s="1"/>
  <c r="AD438" i="115"/>
  <c r="AE438" i="115" s="1"/>
  <c r="AJ438" i="115"/>
  <c r="AK438" i="115"/>
  <c r="AL438" i="115"/>
  <c r="AM438" i="115"/>
  <c r="AO438" i="115"/>
  <c r="AD439" i="115"/>
  <c r="AE439" i="115" s="1"/>
  <c r="AF439" i="115"/>
  <c r="AG439" i="115"/>
  <c r="AI439" i="115"/>
  <c r="AJ439" i="115"/>
  <c r="AK439" i="115"/>
  <c r="AL439" i="115"/>
  <c r="AM439" i="115"/>
  <c r="AO439" i="115" s="1"/>
  <c r="AD440" i="115"/>
  <c r="AJ440" i="115"/>
  <c r="AK440" i="115"/>
  <c r="AL440" i="115"/>
  <c r="AM440" i="115"/>
  <c r="AO440" i="115" s="1"/>
  <c r="AD441" i="115"/>
  <c r="AE441" i="115" s="1"/>
  <c r="AJ441" i="115"/>
  <c r="AK441" i="115"/>
  <c r="AL441" i="115"/>
  <c r="AM441" i="115"/>
  <c r="AO441" i="115"/>
  <c r="AD442" i="115"/>
  <c r="AE442" i="115" s="1"/>
  <c r="AJ442" i="115"/>
  <c r="AK442" i="115"/>
  <c r="AL442" i="115"/>
  <c r="AM442" i="115"/>
  <c r="AO442" i="115" s="1"/>
  <c r="AD443" i="115"/>
  <c r="AE443" i="115" s="1"/>
  <c r="AJ443" i="115"/>
  <c r="AK443" i="115"/>
  <c r="AL443" i="115"/>
  <c r="AM443" i="115"/>
  <c r="AO443" i="115" s="1"/>
  <c r="AD444" i="115"/>
  <c r="AJ444" i="115"/>
  <c r="AK444" i="115"/>
  <c r="AL444" i="115"/>
  <c r="AM444" i="115"/>
  <c r="AO444" i="115" s="1"/>
  <c r="AD445" i="115"/>
  <c r="AJ445" i="115"/>
  <c r="AK445" i="115"/>
  <c r="AL445" i="115"/>
  <c r="AM445" i="115"/>
  <c r="AO445" i="115" s="1"/>
  <c r="AD446" i="115"/>
  <c r="AJ446" i="115"/>
  <c r="AK446" i="115"/>
  <c r="AL446" i="115"/>
  <c r="AM446" i="115"/>
  <c r="AO446" i="115" s="1"/>
  <c r="AD447" i="115"/>
  <c r="AE447" i="115" s="1"/>
  <c r="AJ447" i="115"/>
  <c r="AK447" i="115"/>
  <c r="AL447" i="115"/>
  <c r="AM447" i="115"/>
  <c r="AO447" i="115" s="1"/>
  <c r="AD448" i="115"/>
  <c r="AJ448" i="115"/>
  <c r="AK448" i="115"/>
  <c r="AL448" i="115"/>
  <c r="AM448" i="115"/>
  <c r="AO448" i="115" s="1"/>
  <c r="AD449" i="115"/>
  <c r="AG449" i="115"/>
  <c r="AJ449" i="115"/>
  <c r="AK449" i="115"/>
  <c r="AL449" i="115"/>
  <c r="AM449" i="115"/>
  <c r="AO449" i="115" s="1"/>
  <c r="AD450" i="115"/>
  <c r="AE450" i="115" s="1"/>
  <c r="AJ450" i="115"/>
  <c r="AK450" i="115"/>
  <c r="AL450" i="115"/>
  <c r="AM450" i="115"/>
  <c r="AO450" i="115" s="1"/>
  <c r="AD451" i="115"/>
  <c r="AJ451" i="115"/>
  <c r="AK451" i="115"/>
  <c r="AL451" i="115"/>
  <c r="AM451" i="115"/>
  <c r="AO451" i="115"/>
  <c r="AD452" i="115"/>
  <c r="AE452" i="115" s="1"/>
  <c r="AJ452" i="115"/>
  <c r="AK452" i="115"/>
  <c r="AL452" i="115"/>
  <c r="AM452" i="115"/>
  <c r="AO452" i="115" s="1"/>
  <c r="AD453" i="115"/>
  <c r="AE453" i="115" s="1"/>
  <c r="AI453" i="115"/>
  <c r="AJ453" i="115"/>
  <c r="AK453" i="115"/>
  <c r="AL453" i="115"/>
  <c r="AM453" i="115"/>
  <c r="AO453" i="115" s="1"/>
  <c r="AD454" i="115"/>
  <c r="AJ454" i="115"/>
  <c r="AK454" i="115"/>
  <c r="AL454" i="115"/>
  <c r="AM454" i="115"/>
  <c r="AO454" i="115" s="1"/>
  <c r="AD455" i="115"/>
  <c r="AJ455" i="115"/>
  <c r="AK455" i="115"/>
  <c r="AL455" i="115"/>
  <c r="AM455" i="115"/>
  <c r="AO455" i="115" s="1"/>
  <c r="AD456" i="115"/>
  <c r="AJ456" i="115"/>
  <c r="AK456" i="115"/>
  <c r="AL456" i="115"/>
  <c r="AM456" i="115"/>
  <c r="AO456" i="115" s="1"/>
  <c r="AD457" i="115"/>
  <c r="AJ457" i="115"/>
  <c r="AK457" i="115"/>
  <c r="AL457" i="115"/>
  <c r="AM457" i="115"/>
  <c r="AO457" i="115" s="1"/>
  <c r="AD458" i="115"/>
  <c r="AE458" i="115" s="1"/>
  <c r="AJ458" i="115"/>
  <c r="AK458" i="115"/>
  <c r="AL458" i="115"/>
  <c r="AM458" i="115"/>
  <c r="AO458" i="115" s="1"/>
  <c r="AD459" i="115"/>
  <c r="AI459" i="115" s="1"/>
  <c r="AJ459" i="115"/>
  <c r="AK459" i="115"/>
  <c r="AL459" i="115"/>
  <c r="AM459" i="115"/>
  <c r="AO459" i="115" s="1"/>
  <c r="AD460" i="115"/>
  <c r="AJ460" i="115"/>
  <c r="AK460" i="115"/>
  <c r="AL460" i="115"/>
  <c r="AM460" i="115"/>
  <c r="AO460" i="115" s="1"/>
  <c r="AD461" i="115"/>
  <c r="AJ461" i="115"/>
  <c r="AK461" i="115"/>
  <c r="AL461" i="115"/>
  <c r="AM461" i="115"/>
  <c r="AO461" i="115" s="1"/>
  <c r="AD462" i="115"/>
  <c r="AE462" i="115" s="1"/>
  <c r="AJ462" i="115"/>
  <c r="AK462" i="115"/>
  <c r="AL462" i="115"/>
  <c r="AM462" i="115"/>
  <c r="AO462" i="115" s="1"/>
  <c r="AD463" i="115"/>
  <c r="AE463" i="115" s="1"/>
  <c r="AI463" i="115"/>
  <c r="AJ463" i="115"/>
  <c r="AK463" i="115"/>
  <c r="AL463" i="115"/>
  <c r="AM463" i="115"/>
  <c r="AO463" i="115" s="1"/>
  <c r="AD464" i="115"/>
  <c r="AE464" i="115" s="1"/>
  <c r="AI464" i="115"/>
  <c r="AJ464" i="115"/>
  <c r="AK464" i="115"/>
  <c r="AL464" i="115"/>
  <c r="AM464" i="115"/>
  <c r="AO464" i="115" s="1"/>
  <c r="AD465" i="115"/>
  <c r="AJ465" i="115"/>
  <c r="AK465" i="115"/>
  <c r="AL465" i="115"/>
  <c r="AM465" i="115"/>
  <c r="AO465" i="115" s="1"/>
  <c r="AD466" i="115"/>
  <c r="AJ466" i="115"/>
  <c r="AK466" i="115"/>
  <c r="AL466" i="115"/>
  <c r="AM466" i="115"/>
  <c r="AO466" i="115" s="1"/>
  <c r="AD467" i="115"/>
  <c r="AG467" i="115"/>
  <c r="AJ467" i="115"/>
  <c r="AK467" i="115"/>
  <c r="AL467" i="115"/>
  <c r="AM467" i="115"/>
  <c r="AO467" i="115" s="1"/>
  <c r="AD468" i="115"/>
  <c r="AE468" i="115" s="1"/>
  <c r="AJ468" i="115"/>
  <c r="AK468" i="115"/>
  <c r="AL468" i="115"/>
  <c r="AM468" i="115"/>
  <c r="AO468" i="115" s="1"/>
  <c r="AD469" i="115"/>
  <c r="AJ469" i="115"/>
  <c r="AK469" i="115"/>
  <c r="AL469" i="115"/>
  <c r="AM469" i="115"/>
  <c r="AO469" i="115" s="1"/>
  <c r="AD470" i="115"/>
  <c r="AE470" i="115" s="1"/>
  <c r="AJ470" i="115"/>
  <c r="AK470" i="115"/>
  <c r="AL470" i="115"/>
  <c r="AM470" i="115"/>
  <c r="AO470" i="115" s="1"/>
  <c r="AD471" i="115"/>
  <c r="AJ471" i="115"/>
  <c r="AK471" i="115"/>
  <c r="AL471" i="115"/>
  <c r="AM471" i="115"/>
  <c r="AO471" i="115" s="1"/>
  <c r="AD472" i="115"/>
  <c r="AJ472" i="115"/>
  <c r="AK472" i="115"/>
  <c r="AL472" i="115"/>
  <c r="AM472" i="115"/>
  <c r="AO472" i="115" s="1"/>
  <c r="AD473" i="115"/>
  <c r="AE473" i="115" s="1"/>
  <c r="AJ473" i="115"/>
  <c r="AK473" i="115"/>
  <c r="AL473" i="115"/>
  <c r="AM473" i="115"/>
  <c r="AO473" i="115"/>
  <c r="AD474" i="115"/>
  <c r="AE474" i="115" s="1"/>
  <c r="AJ474" i="115"/>
  <c r="AK474" i="115"/>
  <c r="AL474" i="115"/>
  <c r="AM474" i="115"/>
  <c r="AO474" i="115"/>
  <c r="AD475" i="115"/>
  <c r="AE475" i="115" s="1"/>
  <c r="AJ475" i="115"/>
  <c r="AK475" i="115"/>
  <c r="AL475" i="115"/>
  <c r="AM475" i="115"/>
  <c r="AO475" i="115" s="1"/>
  <c r="AD476" i="115"/>
  <c r="AJ476" i="115"/>
  <c r="AK476" i="115"/>
  <c r="AL476" i="115"/>
  <c r="AM476" i="115"/>
  <c r="AO476" i="115" s="1"/>
  <c r="AD477" i="115"/>
  <c r="AE477" i="115" s="1"/>
  <c r="AG477" i="115"/>
  <c r="AJ477" i="115"/>
  <c r="AK477" i="115"/>
  <c r="AL477" i="115"/>
  <c r="AM477" i="115"/>
  <c r="AO477" i="115" s="1"/>
  <c r="AD478" i="115"/>
  <c r="AJ478" i="115"/>
  <c r="AK478" i="115"/>
  <c r="AL478" i="115"/>
  <c r="AM478" i="115"/>
  <c r="AO478" i="115" s="1"/>
  <c r="AD479" i="115"/>
  <c r="AE479" i="115" s="1"/>
  <c r="AJ479" i="115"/>
  <c r="AK479" i="115"/>
  <c r="AL479" i="115"/>
  <c r="AM479" i="115"/>
  <c r="AO479" i="115" s="1"/>
  <c r="AD480" i="115"/>
  <c r="AJ480" i="115"/>
  <c r="AK480" i="115"/>
  <c r="AL480" i="115"/>
  <c r="AM480" i="115"/>
  <c r="AO480" i="115"/>
  <c r="AD481" i="115"/>
  <c r="AG481" i="115"/>
  <c r="AJ481" i="115"/>
  <c r="AK481" i="115"/>
  <c r="AL481" i="115"/>
  <c r="AM481" i="115"/>
  <c r="AO481" i="115" s="1"/>
  <c r="AD482" i="115"/>
  <c r="AJ482" i="115"/>
  <c r="AK482" i="115"/>
  <c r="AL482" i="115"/>
  <c r="AM482" i="115"/>
  <c r="AO482" i="115" s="1"/>
  <c r="AD483" i="115"/>
  <c r="AJ483" i="115"/>
  <c r="AK483" i="115"/>
  <c r="AL483" i="115"/>
  <c r="AM483" i="115"/>
  <c r="AO483" i="115" s="1"/>
  <c r="AD484" i="115"/>
  <c r="AJ484" i="115"/>
  <c r="AK484" i="115"/>
  <c r="AL484" i="115"/>
  <c r="AM484" i="115"/>
  <c r="AO484" i="115" s="1"/>
  <c r="AD485" i="115"/>
  <c r="AE485" i="115" s="1"/>
  <c r="AJ485" i="115"/>
  <c r="AK485" i="115"/>
  <c r="AL485" i="115"/>
  <c r="AM485" i="115"/>
  <c r="AO485" i="115" s="1"/>
  <c r="AD486" i="115"/>
  <c r="AJ486" i="115"/>
  <c r="AK486" i="115"/>
  <c r="AL486" i="115"/>
  <c r="AM486" i="115"/>
  <c r="AO486" i="115" s="1"/>
  <c r="AD487" i="115"/>
  <c r="AJ487" i="115"/>
  <c r="AK487" i="115"/>
  <c r="AL487" i="115"/>
  <c r="AM487" i="115"/>
  <c r="AO487" i="115" s="1"/>
  <c r="AD488" i="115"/>
  <c r="AJ488" i="115"/>
  <c r="AK488" i="115"/>
  <c r="AL488" i="115"/>
  <c r="AM488" i="115"/>
  <c r="AO488" i="115" s="1"/>
  <c r="AD489" i="115"/>
  <c r="AJ489" i="115"/>
  <c r="AK489" i="115"/>
  <c r="AL489" i="115"/>
  <c r="AM489" i="115"/>
  <c r="AO489" i="115" s="1"/>
  <c r="AD490" i="115"/>
  <c r="AJ490" i="115"/>
  <c r="AK490" i="115"/>
  <c r="AL490" i="115"/>
  <c r="AM490" i="115"/>
  <c r="AO490" i="115" s="1"/>
  <c r="AD491" i="115"/>
  <c r="AE491" i="115" s="1"/>
  <c r="AJ491" i="115"/>
  <c r="AK491" i="115"/>
  <c r="AL491" i="115"/>
  <c r="AM491" i="115"/>
  <c r="AO491" i="115" s="1"/>
  <c r="AD492" i="115"/>
  <c r="AJ492" i="115"/>
  <c r="AK492" i="115"/>
  <c r="AL492" i="115"/>
  <c r="AM492" i="115"/>
  <c r="AO492" i="115" s="1"/>
  <c r="AD493" i="115"/>
  <c r="AE493" i="115" s="1"/>
  <c r="AJ493" i="115"/>
  <c r="AK493" i="115"/>
  <c r="AL493" i="115"/>
  <c r="AM493" i="115"/>
  <c r="AO493" i="115" s="1"/>
  <c r="AD494" i="115"/>
  <c r="AE494" i="115" s="1"/>
  <c r="AJ494" i="115"/>
  <c r="AK494" i="115"/>
  <c r="AL494" i="115"/>
  <c r="AM494" i="115"/>
  <c r="AO494" i="115" s="1"/>
  <c r="AD495" i="115"/>
  <c r="AE495" i="115" s="1"/>
  <c r="AJ495" i="115"/>
  <c r="AK495" i="115"/>
  <c r="AL495" i="115"/>
  <c r="AM495" i="115"/>
  <c r="AO495" i="115" s="1"/>
  <c r="AD496" i="115"/>
  <c r="AJ496" i="115"/>
  <c r="AK496" i="115"/>
  <c r="AL496" i="115"/>
  <c r="AM496" i="115"/>
  <c r="AO496" i="115" s="1"/>
  <c r="AD497" i="115"/>
  <c r="AI497" i="115"/>
  <c r="AJ497" i="115"/>
  <c r="AK497" i="115"/>
  <c r="AL497" i="115"/>
  <c r="AM497" i="115"/>
  <c r="AO497" i="115" s="1"/>
  <c r="AD498" i="115"/>
  <c r="AJ498" i="115"/>
  <c r="AK498" i="115"/>
  <c r="AL498" i="115"/>
  <c r="AM498" i="115"/>
  <c r="AO498" i="115" s="1"/>
  <c r="AD499" i="115"/>
  <c r="AI499" i="115" s="1"/>
  <c r="AJ499" i="115"/>
  <c r="AK499" i="115"/>
  <c r="AL499" i="115"/>
  <c r="AM499" i="115"/>
  <c r="AO499" i="115" s="1"/>
  <c r="AD500" i="115"/>
  <c r="AJ500" i="115"/>
  <c r="AK500" i="115"/>
  <c r="AL500" i="115"/>
  <c r="AM500" i="115"/>
  <c r="AO500" i="115" s="1"/>
  <c r="AD501" i="115"/>
  <c r="AI501" i="115" s="1"/>
  <c r="AG501" i="115"/>
  <c r="AJ501" i="115"/>
  <c r="AK501" i="115"/>
  <c r="AL501" i="115"/>
  <c r="AM501" i="115"/>
  <c r="AO501" i="115" s="1"/>
  <c r="AD502" i="115"/>
  <c r="AE502" i="115" s="1"/>
  <c r="AJ502" i="115"/>
  <c r="AK502" i="115"/>
  <c r="AL502" i="115"/>
  <c r="AM502" i="115"/>
  <c r="AO502" i="115" s="1"/>
  <c r="AD503" i="115"/>
  <c r="AI503" i="115" s="1"/>
  <c r="AG503" i="115"/>
  <c r="AJ503" i="115"/>
  <c r="AK503" i="115"/>
  <c r="AL503" i="115"/>
  <c r="AM503" i="115"/>
  <c r="AO503" i="115" s="1"/>
  <c r="AD504" i="115"/>
  <c r="AJ504" i="115"/>
  <c r="AK504" i="115"/>
  <c r="AL504" i="115"/>
  <c r="AM504" i="115"/>
  <c r="AO504" i="115" s="1"/>
  <c r="AD505" i="115"/>
  <c r="AE505" i="115" s="1"/>
  <c r="AJ505" i="115"/>
  <c r="AK505" i="115"/>
  <c r="AL505" i="115"/>
  <c r="AM505" i="115"/>
  <c r="AO505" i="115" s="1"/>
  <c r="AD506" i="115"/>
  <c r="AJ506" i="115"/>
  <c r="AK506" i="115"/>
  <c r="AL506" i="115"/>
  <c r="AM506" i="115"/>
  <c r="AO506" i="115" s="1"/>
  <c r="AD507" i="115"/>
  <c r="AJ507" i="115"/>
  <c r="AK507" i="115"/>
  <c r="AL507" i="115"/>
  <c r="AM507" i="115"/>
  <c r="AO507" i="115" s="1"/>
  <c r="AD508" i="115"/>
  <c r="AE508" i="115" s="1"/>
  <c r="AJ508" i="115"/>
  <c r="AK508" i="115"/>
  <c r="AL508" i="115"/>
  <c r="AM508" i="115"/>
  <c r="AO508" i="115" s="1"/>
  <c r="AD509" i="115"/>
  <c r="AE509" i="115" s="1"/>
  <c r="AJ509" i="115"/>
  <c r="AK509" i="115"/>
  <c r="AL509" i="115"/>
  <c r="AM509" i="115"/>
  <c r="AO509" i="115" s="1"/>
  <c r="AD510" i="115"/>
  <c r="AE510" i="115" s="1"/>
  <c r="AJ510" i="115"/>
  <c r="AK510" i="115"/>
  <c r="AL510" i="115"/>
  <c r="AM510" i="115"/>
  <c r="AO510" i="115" s="1"/>
  <c r="AD511" i="115"/>
  <c r="AE511" i="115" s="1"/>
  <c r="AJ511" i="115"/>
  <c r="AK511" i="115"/>
  <c r="AL511" i="115"/>
  <c r="AM511" i="115"/>
  <c r="AO511" i="115" s="1"/>
  <c r="AD512" i="115"/>
  <c r="AJ512" i="115"/>
  <c r="AK512" i="115"/>
  <c r="AL512" i="115"/>
  <c r="AM512" i="115"/>
  <c r="AO512" i="115" s="1"/>
  <c r="AD513" i="115"/>
  <c r="AJ513" i="115"/>
  <c r="AK513" i="115"/>
  <c r="AL513" i="115"/>
  <c r="AM513" i="115"/>
  <c r="AO513" i="115" s="1"/>
  <c r="AD514" i="115"/>
  <c r="AJ514" i="115"/>
  <c r="AK514" i="115"/>
  <c r="AL514" i="115"/>
  <c r="AM514" i="115"/>
  <c r="AO514" i="115" s="1"/>
  <c r="AD515" i="115"/>
  <c r="AI515" i="115" s="1"/>
  <c r="AJ515" i="115"/>
  <c r="AK515" i="115"/>
  <c r="AL515" i="115"/>
  <c r="AM515" i="115"/>
  <c r="AO515" i="115" s="1"/>
  <c r="AD516" i="115"/>
  <c r="AJ516" i="115"/>
  <c r="AK516" i="115"/>
  <c r="AL516" i="115"/>
  <c r="AM516" i="115"/>
  <c r="AO516" i="115" s="1"/>
  <c r="AD517" i="115"/>
  <c r="AI517" i="115" s="1"/>
  <c r="AG517" i="115"/>
  <c r="AJ517" i="115"/>
  <c r="AK517" i="115"/>
  <c r="AL517" i="115"/>
  <c r="AM517" i="115"/>
  <c r="AO517" i="115" s="1"/>
  <c r="AD518" i="115"/>
  <c r="AE518" i="115" s="1"/>
  <c r="AJ518" i="115"/>
  <c r="AK518" i="115"/>
  <c r="AL518" i="115"/>
  <c r="AM518" i="115"/>
  <c r="AO518" i="115" s="1"/>
  <c r="AD519" i="115"/>
  <c r="AI519" i="115" s="1"/>
  <c r="AG519" i="115"/>
  <c r="AJ519" i="115"/>
  <c r="AK519" i="115"/>
  <c r="AL519" i="115"/>
  <c r="AM519" i="115"/>
  <c r="AO519" i="115" s="1"/>
  <c r="AD520" i="115"/>
  <c r="AJ520" i="115"/>
  <c r="AK520" i="115"/>
  <c r="AL520" i="115"/>
  <c r="AM520" i="115"/>
  <c r="AO520" i="115" s="1"/>
  <c r="AD521" i="115"/>
  <c r="AE521" i="115" s="1"/>
  <c r="AJ521" i="115"/>
  <c r="AK521" i="115"/>
  <c r="AL521" i="115"/>
  <c r="AM521" i="115"/>
  <c r="AO521" i="115" s="1"/>
  <c r="AD522" i="115"/>
  <c r="AJ522" i="115"/>
  <c r="AK522" i="115"/>
  <c r="AL522" i="115"/>
  <c r="AM522" i="115"/>
  <c r="AO522" i="115" s="1"/>
  <c r="AD523" i="115"/>
  <c r="AE523" i="115" s="1"/>
  <c r="AJ523" i="115"/>
  <c r="AK523" i="115"/>
  <c r="AL523" i="115"/>
  <c r="AM523" i="115"/>
  <c r="AO523" i="115" s="1"/>
  <c r="AD524" i="115"/>
  <c r="AE524" i="115" s="1"/>
  <c r="AJ524" i="115"/>
  <c r="AK524" i="115"/>
  <c r="AL524" i="115"/>
  <c r="AM524" i="115"/>
  <c r="AO524" i="115" s="1"/>
  <c r="AD525" i="115"/>
  <c r="AJ525" i="115"/>
  <c r="AK525" i="115"/>
  <c r="AL525" i="115"/>
  <c r="AM525" i="115"/>
  <c r="AO525" i="115" s="1"/>
  <c r="AD526" i="115"/>
  <c r="AI526" i="115"/>
  <c r="AJ526" i="115"/>
  <c r="AK526" i="115"/>
  <c r="AL526" i="115"/>
  <c r="AM526" i="115"/>
  <c r="AO526" i="115" s="1"/>
  <c r="AD527" i="115"/>
  <c r="AJ527" i="115"/>
  <c r="AK527" i="115"/>
  <c r="AL527" i="115"/>
  <c r="AM527" i="115"/>
  <c r="AO527" i="115" s="1"/>
  <c r="AD528" i="115"/>
  <c r="AE528" i="115" s="1"/>
  <c r="AJ528" i="115"/>
  <c r="AK528" i="115"/>
  <c r="AL528" i="115"/>
  <c r="AM528" i="115"/>
  <c r="AO528" i="115"/>
  <c r="AD529" i="115"/>
  <c r="AE529" i="115" s="1"/>
  <c r="AJ529" i="115"/>
  <c r="AK529" i="115"/>
  <c r="AL529" i="115"/>
  <c r="AM529" i="115"/>
  <c r="AO529" i="115" s="1"/>
  <c r="AD530" i="115"/>
  <c r="AJ530" i="115"/>
  <c r="AK530" i="115"/>
  <c r="AL530" i="115"/>
  <c r="AM530" i="115"/>
  <c r="AO530" i="115" s="1"/>
  <c r="AD531" i="115"/>
  <c r="AE531" i="115" s="1"/>
  <c r="AG531" i="115"/>
  <c r="AJ531" i="115"/>
  <c r="AK531" i="115"/>
  <c r="AL531" i="115"/>
  <c r="AM531" i="115"/>
  <c r="AO531" i="115" s="1"/>
  <c r="AD532" i="115"/>
  <c r="AE532" i="115" s="1"/>
  <c r="AJ532" i="115"/>
  <c r="AK532" i="115"/>
  <c r="AL532" i="115"/>
  <c r="AM532" i="115"/>
  <c r="AO532" i="115" s="1"/>
  <c r="AD533" i="115"/>
  <c r="AI533" i="115" s="1"/>
  <c r="AJ533" i="115"/>
  <c r="AK533" i="115"/>
  <c r="AL533" i="115"/>
  <c r="AM533" i="115"/>
  <c r="AO533" i="115" s="1"/>
  <c r="AD534" i="115"/>
  <c r="AJ534" i="115"/>
  <c r="AK534" i="115"/>
  <c r="AL534" i="115"/>
  <c r="AM534" i="115"/>
  <c r="AO534" i="115" s="1"/>
  <c r="AD535" i="115"/>
  <c r="AJ535" i="115"/>
  <c r="AK535" i="115"/>
  <c r="AL535" i="115"/>
  <c r="AM535" i="115"/>
  <c r="AO535" i="115" s="1"/>
  <c r="AD536" i="115"/>
  <c r="AE536" i="115" s="1"/>
  <c r="AJ536" i="115"/>
  <c r="AK536" i="115"/>
  <c r="AL536" i="115"/>
  <c r="AM536" i="115"/>
  <c r="AO536" i="115" s="1"/>
  <c r="AD537" i="115"/>
  <c r="AJ537" i="115"/>
  <c r="AK537" i="115"/>
  <c r="AL537" i="115"/>
  <c r="AM537" i="115"/>
  <c r="AO537" i="115" s="1"/>
  <c r="AD538" i="115"/>
  <c r="AI538" i="115"/>
  <c r="AJ538" i="115"/>
  <c r="AK538" i="115"/>
  <c r="AL538" i="115"/>
  <c r="AM538" i="115"/>
  <c r="AO538" i="115" s="1"/>
  <c r="AD539" i="115"/>
  <c r="AJ539" i="115"/>
  <c r="AK539" i="115"/>
  <c r="AL539" i="115"/>
  <c r="AM539" i="115"/>
  <c r="AO539" i="115" s="1"/>
  <c r="AD540" i="115"/>
  <c r="AE540" i="115" s="1"/>
  <c r="AJ540" i="115"/>
  <c r="AK540" i="115"/>
  <c r="AL540" i="115"/>
  <c r="AM540" i="115"/>
  <c r="AO540" i="115"/>
  <c r="AD541" i="115"/>
  <c r="AE541" i="115" s="1"/>
  <c r="AJ541" i="115"/>
  <c r="AK541" i="115"/>
  <c r="AL541" i="115"/>
  <c r="AM541" i="115"/>
  <c r="AO541" i="115" s="1"/>
  <c r="AD542" i="115"/>
  <c r="AI542" i="115"/>
  <c r="AJ542" i="115"/>
  <c r="AK542" i="115"/>
  <c r="AL542" i="115"/>
  <c r="AM542" i="115"/>
  <c r="AO542" i="115" s="1"/>
  <c r="AD543" i="115"/>
  <c r="AE543" i="115" s="1"/>
  <c r="AG543" i="115"/>
  <c r="AJ543" i="115"/>
  <c r="AK543" i="115"/>
  <c r="AL543" i="115"/>
  <c r="AM543" i="115"/>
  <c r="AO543" i="115" s="1"/>
  <c r="AD544" i="115"/>
  <c r="AE544" i="115" s="1"/>
  <c r="AJ544" i="115"/>
  <c r="AK544" i="115"/>
  <c r="AL544" i="115"/>
  <c r="AM544" i="115"/>
  <c r="AO544" i="115" s="1"/>
  <c r="AD545" i="115"/>
  <c r="AG545" i="115"/>
  <c r="AI545" i="115"/>
  <c r="AJ545" i="115"/>
  <c r="AK545" i="115"/>
  <c r="AL545" i="115"/>
  <c r="AM545" i="115"/>
  <c r="AO545" i="115" s="1"/>
  <c r="AD546" i="115"/>
  <c r="AE546" i="115" s="1"/>
  <c r="AI546" i="115"/>
  <c r="AJ546" i="115"/>
  <c r="AK546" i="115"/>
  <c r="AL546" i="115"/>
  <c r="AM546" i="115"/>
  <c r="AO546" i="115" s="1"/>
  <c r="AD547" i="115"/>
  <c r="AE547" i="115" s="1"/>
  <c r="AG547" i="115"/>
  <c r="AJ547" i="115"/>
  <c r="AK547" i="115"/>
  <c r="AL547" i="115"/>
  <c r="AM547" i="115"/>
  <c r="AO547" i="115" s="1"/>
  <c r="AD548" i="115"/>
  <c r="AE548" i="115" s="1"/>
  <c r="AJ548" i="115"/>
  <c r="AK548" i="115"/>
  <c r="AL548" i="115"/>
  <c r="AM548" i="115"/>
  <c r="AO548" i="115"/>
  <c r="AD549" i="115"/>
  <c r="AE549" i="115" s="1"/>
  <c r="AJ549" i="115"/>
  <c r="AK549" i="115"/>
  <c r="AL549" i="115"/>
  <c r="AM549" i="115"/>
  <c r="AO549" i="115" s="1"/>
  <c r="AD550" i="115"/>
  <c r="AJ550" i="115"/>
  <c r="AK550" i="115"/>
  <c r="AL550" i="115"/>
  <c r="AM550" i="115"/>
  <c r="AO550" i="115" s="1"/>
  <c r="AD551" i="115"/>
  <c r="AE551" i="115" s="1"/>
  <c r="AJ551" i="115"/>
  <c r="AK551" i="115"/>
  <c r="AL551" i="115"/>
  <c r="AM551" i="115"/>
  <c r="AO551" i="115" s="1"/>
  <c r="AD552" i="115"/>
  <c r="AE552" i="115" s="1"/>
  <c r="AJ552" i="115"/>
  <c r="AK552" i="115"/>
  <c r="AL552" i="115"/>
  <c r="AM552" i="115"/>
  <c r="AO552" i="115"/>
  <c r="AD553" i="115"/>
  <c r="AJ553" i="115"/>
  <c r="AK553" i="115"/>
  <c r="AL553" i="115"/>
  <c r="AM553" i="115"/>
  <c r="AO553" i="115" s="1"/>
  <c r="AD554" i="115"/>
  <c r="AE554" i="115" s="1"/>
  <c r="AJ554" i="115"/>
  <c r="AK554" i="115"/>
  <c r="AL554" i="115"/>
  <c r="AM554" i="115"/>
  <c r="AO554" i="115" s="1"/>
  <c r="AD555" i="115"/>
  <c r="AE555" i="115" s="1"/>
  <c r="AJ555" i="115"/>
  <c r="AK555" i="115"/>
  <c r="AL555" i="115"/>
  <c r="AM555" i="115"/>
  <c r="AO555" i="115" s="1"/>
  <c r="AD556" i="115"/>
  <c r="AE556" i="115" s="1"/>
  <c r="AJ556" i="115"/>
  <c r="AK556" i="115"/>
  <c r="AL556" i="115"/>
  <c r="AM556" i="115"/>
  <c r="AO556" i="115" s="1"/>
  <c r="AD557" i="115"/>
  <c r="AE557" i="115" s="1"/>
  <c r="AJ557" i="115"/>
  <c r="AK557" i="115"/>
  <c r="AL557" i="115"/>
  <c r="AM557" i="115"/>
  <c r="AO557" i="115" s="1"/>
  <c r="AD558" i="115"/>
  <c r="AJ558" i="115"/>
  <c r="AK558" i="115"/>
  <c r="AL558" i="115"/>
  <c r="AM558" i="115"/>
  <c r="AO558" i="115" s="1"/>
  <c r="AD559" i="115"/>
  <c r="AJ559" i="115"/>
  <c r="AK559" i="115"/>
  <c r="AL559" i="115"/>
  <c r="AM559" i="115"/>
  <c r="AO559" i="115" s="1"/>
  <c r="AD560" i="115"/>
  <c r="AE560" i="115" s="1"/>
  <c r="AJ560" i="115"/>
  <c r="AK560" i="115"/>
  <c r="AL560" i="115"/>
  <c r="AM560" i="115"/>
  <c r="AO560" i="115" s="1"/>
  <c r="AD561" i="115"/>
  <c r="AJ561" i="115"/>
  <c r="AK561" i="115"/>
  <c r="AL561" i="115"/>
  <c r="AM561" i="115"/>
  <c r="AO561" i="115" s="1"/>
  <c r="AD562" i="115"/>
  <c r="AI562" i="115" s="1"/>
  <c r="AJ562" i="115"/>
  <c r="AK562" i="115"/>
  <c r="AL562" i="115"/>
  <c r="AM562" i="115"/>
  <c r="AO562" i="115" s="1"/>
  <c r="AD563" i="115"/>
  <c r="AE563" i="115" s="1"/>
  <c r="AG563" i="115"/>
  <c r="AJ563" i="115"/>
  <c r="AK563" i="115"/>
  <c r="AL563" i="115"/>
  <c r="AM563" i="115"/>
  <c r="AO563" i="115" s="1"/>
  <c r="AD564" i="115"/>
  <c r="AE564" i="115" s="1"/>
  <c r="AJ564" i="115"/>
  <c r="AK564" i="115"/>
  <c r="AL564" i="115"/>
  <c r="AM564" i="115"/>
  <c r="AO564" i="115" s="1"/>
  <c r="AD565" i="115"/>
  <c r="AJ565" i="115"/>
  <c r="AK565" i="115"/>
  <c r="AL565" i="115"/>
  <c r="AM565" i="115"/>
  <c r="AO565" i="115" s="1"/>
  <c r="AD566" i="115"/>
  <c r="AE566" i="115" s="1"/>
  <c r="AI566" i="115"/>
  <c r="AJ566" i="115"/>
  <c r="AK566" i="115"/>
  <c r="AL566" i="115"/>
  <c r="AM566" i="115"/>
  <c r="AO566" i="115" s="1"/>
  <c r="AD567" i="115"/>
  <c r="AJ567" i="115"/>
  <c r="AK567" i="115"/>
  <c r="AL567" i="115"/>
  <c r="AM567" i="115"/>
  <c r="AO567" i="115" s="1"/>
  <c r="AD568" i="115"/>
  <c r="AE568" i="115" s="1"/>
  <c r="AF568" i="115"/>
  <c r="AJ568" i="115"/>
  <c r="AK568" i="115"/>
  <c r="AL568" i="115"/>
  <c r="AM568" i="115"/>
  <c r="AO568" i="115" s="1"/>
  <c r="AD569" i="115"/>
  <c r="AJ569" i="115"/>
  <c r="AK569" i="115"/>
  <c r="AL569" i="115"/>
  <c r="AM569" i="115"/>
  <c r="AO569" i="115" s="1"/>
  <c r="AD570" i="115"/>
  <c r="AI570" i="115"/>
  <c r="AJ570" i="115"/>
  <c r="AK570" i="115"/>
  <c r="AL570" i="115"/>
  <c r="AM570" i="115"/>
  <c r="AO570" i="115" s="1"/>
  <c r="AD571" i="115"/>
  <c r="AJ571" i="115"/>
  <c r="AK571" i="115"/>
  <c r="AL571" i="115"/>
  <c r="AM571" i="115"/>
  <c r="AO571" i="115" s="1"/>
  <c r="AD572" i="115"/>
  <c r="AE572" i="115" s="1"/>
  <c r="AF572" i="115"/>
  <c r="AJ572" i="115"/>
  <c r="AK572" i="115"/>
  <c r="AL572" i="115"/>
  <c r="AM572" i="115"/>
  <c r="AO572" i="115" s="1"/>
  <c r="AD573" i="115"/>
  <c r="AE573" i="115" s="1"/>
  <c r="AG573" i="115"/>
  <c r="AJ573" i="115"/>
  <c r="AK573" i="115"/>
  <c r="AL573" i="115"/>
  <c r="AM573" i="115"/>
  <c r="AO573" i="115"/>
  <c r="AD574" i="115"/>
  <c r="AI574" i="115" s="1"/>
  <c r="AJ574" i="115"/>
  <c r="AK574" i="115"/>
  <c r="AL574" i="115"/>
  <c r="AM574" i="115"/>
  <c r="AO574" i="115"/>
  <c r="AD575" i="115"/>
  <c r="AJ575" i="115"/>
  <c r="AK575" i="115"/>
  <c r="AL575" i="115"/>
  <c r="AM575" i="115"/>
  <c r="AO575" i="115"/>
  <c r="AD576" i="115"/>
  <c r="AJ576" i="115"/>
  <c r="AK576" i="115"/>
  <c r="AL576" i="115"/>
  <c r="AM576" i="115"/>
  <c r="AO576" i="115" s="1"/>
  <c r="AD577" i="115"/>
  <c r="AJ577" i="115"/>
  <c r="AK577" i="115"/>
  <c r="AL577" i="115"/>
  <c r="AM577" i="115"/>
  <c r="AO577" i="115" s="1"/>
  <c r="AD578" i="115"/>
  <c r="AJ578" i="115"/>
  <c r="AK578" i="115"/>
  <c r="AL578" i="115"/>
  <c r="AM578" i="115"/>
  <c r="AO578" i="115"/>
  <c r="AD579" i="115"/>
  <c r="AJ579" i="115"/>
  <c r="AK579" i="115"/>
  <c r="AL579" i="115"/>
  <c r="AM579" i="115"/>
  <c r="AO579" i="115" s="1"/>
  <c r="AD580" i="115"/>
  <c r="AJ580" i="115"/>
  <c r="AK580" i="115"/>
  <c r="AL580" i="115"/>
  <c r="AM580" i="115"/>
  <c r="AO580" i="115" s="1"/>
  <c r="AD581" i="115"/>
  <c r="AJ581" i="115"/>
  <c r="AK581" i="115"/>
  <c r="AL581" i="115"/>
  <c r="AM581" i="115"/>
  <c r="AO581" i="115" s="1"/>
  <c r="AD582" i="115"/>
  <c r="AJ582" i="115"/>
  <c r="AK582" i="115"/>
  <c r="AL582" i="115"/>
  <c r="AM582" i="115"/>
  <c r="AO582" i="115"/>
  <c r="AD583" i="115"/>
  <c r="AJ583" i="115"/>
  <c r="AK583" i="115"/>
  <c r="AL583" i="115"/>
  <c r="AM583" i="115"/>
  <c r="AO583" i="115" s="1"/>
  <c r="AD584" i="115"/>
  <c r="AE584" i="115" s="1"/>
  <c r="AF584" i="115"/>
  <c r="AJ584" i="115"/>
  <c r="AK584" i="115"/>
  <c r="AL584" i="115"/>
  <c r="AM584" i="115"/>
  <c r="AO584" i="115" s="1"/>
  <c r="AD585" i="115"/>
  <c r="AE585" i="115" s="1"/>
  <c r="AJ585" i="115"/>
  <c r="AK585" i="115"/>
  <c r="AL585" i="115"/>
  <c r="AM585" i="115"/>
  <c r="AO585" i="115" s="1"/>
  <c r="AD586" i="115"/>
  <c r="AI586" i="115"/>
  <c r="AJ586" i="115"/>
  <c r="AK586" i="115"/>
  <c r="AL586" i="115"/>
  <c r="AM586" i="115"/>
  <c r="AO586" i="115" s="1"/>
  <c r="AD587" i="115"/>
  <c r="AE587" i="115" s="1"/>
  <c r="AI587" i="115"/>
  <c r="AJ587" i="115"/>
  <c r="AK587" i="115"/>
  <c r="AL587" i="115"/>
  <c r="AM587" i="115"/>
  <c r="AO587" i="115" s="1"/>
  <c r="AD588" i="115"/>
  <c r="AJ588" i="115"/>
  <c r="AK588" i="115"/>
  <c r="AL588" i="115"/>
  <c r="AM588" i="115"/>
  <c r="AO588" i="115" s="1"/>
  <c r="AD589" i="115"/>
  <c r="AE589" i="115" s="1"/>
  <c r="AG589" i="115"/>
  <c r="AJ589" i="115"/>
  <c r="AK589" i="115"/>
  <c r="AL589" i="115"/>
  <c r="AM589" i="115"/>
  <c r="AO589" i="115" s="1"/>
  <c r="AD590" i="115"/>
  <c r="AI590" i="115"/>
  <c r="AJ590" i="115"/>
  <c r="AK590" i="115"/>
  <c r="AL590" i="115"/>
  <c r="AM590" i="115"/>
  <c r="AO590" i="115"/>
  <c r="AD591" i="115"/>
  <c r="AE591" i="115" s="1"/>
  <c r="AI591" i="115"/>
  <c r="AJ591" i="115"/>
  <c r="AK591" i="115"/>
  <c r="AL591" i="115"/>
  <c r="AM591" i="115"/>
  <c r="AO591" i="115"/>
  <c r="AD592" i="115"/>
  <c r="AE592" i="115" s="1"/>
  <c r="AG592" i="115"/>
  <c r="AI592" i="115"/>
  <c r="AJ592" i="115"/>
  <c r="AK592" i="115"/>
  <c r="AL592" i="115"/>
  <c r="AM592" i="115"/>
  <c r="AO592" i="115" s="1"/>
  <c r="AD593" i="115"/>
  <c r="AE593" i="115" s="1"/>
  <c r="AJ593" i="115"/>
  <c r="AK593" i="115"/>
  <c r="AL593" i="115"/>
  <c r="AM593" i="115"/>
  <c r="AO593" i="115"/>
  <c r="AD594" i="115"/>
  <c r="AJ594" i="115"/>
  <c r="AK594" i="115"/>
  <c r="AL594" i="115"/>
  <c r="AM594" i="115"/>
  <c r="AO594" i="115" s="1"/>
  <c r="AD595" i="115"/>
  <c r="AJ595" i="115"/>
  <c r="AK595" i="115"/>
  <c r="AL595" i="115"/>
  <c r="AM595" i="115"/>
  <c r="AO595" i="115"/>
  <c r="AD596" i="115"/>
  <c r="AJ596" i="115"/>
  <c r="AK596" i="115"/>
  <c r="AL596" i="115"/>
  <c r="AM596" i="115"/>
  <c r="AO596" i="115" s="1"/>
  <c r="AD597" i="115"/>
  <c r="AJ597" i="115"/>
  <c r="AK597" i="115"/>
  <c r="AL597" i="115"/>
  <c r="AM597" i="115"/>
  <c r="AO597" i="115" s="1"/>
  <c r="AD598" i="115"/>
  <c r="AJ598" i="115"/>
  <c r="AK598" i="115"/>
  <c r="AL598" i="115"/>
  <c r="AM598" i="115"/>
  <c r="AO598" i="115"/>
  <c r="AD599" i="115"/>
  <c r="AE599" i="115" s="1"/>
  <c r="AJ599" i="115"/>
  <c r="AK599" i="115"/>
  <c r="AL599" i="115"/>
  <c r="AM599" i="115"/>
  <c r="AO599" i="115"/>
  <c r="AD600" i="115"/>
  <c r="AJ600" i="115"/>
  <c r="AK600" i="115"/>
  <c r="AL600" i="115"/>
  <c r="AM600" i="115"/>
  <c r="AO600" i="115" s="1"/>
  <c r="AD601" i="115"/>
  <c r="AE601" i="115" s="1"/>
  <c r="AG601" i="115"/>
  <c r="AJ601" i="115"/>
  <c r="AK601" i="115"/>
  <c r="AL601" i="115"/>
  <c r="AM601" i="115"/>
  <c r="AO601" i="115" s="1"/>
  <c r="AD602" i="115"/>
  <c r="AI602" i="115" s="1"/>
  <c r="AJ602" i="115"/>
  <c r="AK602" i="115"/>
  <c r="AL602" i="115"/>
  <c r="AM602" i="115"/>
  <c r="AO602" i="115" s="1"/>
  <c r="AD603" i="115"/>
  <c r="AE603" i="115" s="1"/>
  <c r="AG603" i="115"/>
  <c r="AI603" i="115"/>
  <c r="AJ603" i="115"/>
  <c r="AK603" i="115"/>
  <c r="AL603" i="115"/>
  <c r="AM603" i="115"/>
  <c r="AO603" i="115" s="1"/>
  <c r="AD604" i="115"/>
  <c r="AE604" i="115" s="1"/>
  <c r="AG604" i="115"/>
  <c r="AJ604" i="115"/>
  <c r="AK604" i="115"/>
  <c r="AL604" i="115"/>
  <c r="AM604" i="115"/>
  <c r="AO604" i="115" s="1"/>
  <c r="AD605" i="115"/>
  <c r="AG605" i="115" s="1"/>
  <c r="AJ605" i="115"/>
  <c r="AK605" i="115"/>
  <c r="AL605" i="115"/>
  <c r="AM605" i="115"/>
  <c r="AO605" i="115" s="1"/>
  <c r="AD606" i="115"/>
  <c r="AE606" i="115" s="1"/>
  <c r="AJ606" i="115"/>
  <c r="AK606" i="115"/>
  <c r="AL606" i="115"/>
  <c r="AM606" i="115"/>
  <c r="AO606" i="115" s="1"/>
  <c r="AD607" i="115"/>
  <c r="AE607" i="115" s="1"/>
  <c r="AJ607" i="115"/>
  <c r="AK607" i="115"/>
  <c r="AL607" i="115"/>
  <c r="AM607" i="115"/>
  <c r="AO607" i="115"/>
  <c r="AD608" i="115"/>
  <c r="AJ608" i="115"/>
  <c r="AK608" i="115"/>
  <c r="AL608" i="115"/>
  <c r="AM608" i="115"/>
  <c r="AO608" i="115" s="1"/>
  <c r="AD609" i="115"/>
  <c r="AE609" i="115" s="1"/>
  <c r="AI609" i="115"/>
  <c r="AJ609" i="115"/>
  <c r="AK609" i="115"/>
  <c r="AL609" i="115"/>
  <c r="AM609" i="115"/>
  <c r="AO609" i="115" s="1"/>
  <c r="AD610" i="115"/>
  <c r="AE610" i="115" s="1"/>
  <c r="AI610" i="115"/>
  <c r="AJ610" i="115"/>
  <c r="AK610" i="115"/>
  <c r="AL610" i="115"/>
  <c r="AM610" i="115"/>
  <c r="AO610" i="115" s="1"/>
  <c r="AD611" i="115"/>
  <c r="AE611" i="115" s="1"/>
  <c r="AJ611" i="115"/>
  <c r="AK611" i="115"/>
  <c r="AL611" i="115"/>
  <c r="AM611" i="115"/>
  <c r="AO611" i="115" s="1"/>
  <c r="AD612" i="115"/>
  <c r="AE612" i="115" s="1"/>
  <c r="AJ612" i="115"/>
  <c r="AK612" i="115"/>
  <c r="AL612" i="115"/>
  <c r="AM612" i="115"/>
  <c r="AO612" i="115" s="1"/>
  <c r="AD613" i="115"/>
  <c r="AE613" i="115" s="1"/>
  <c r="AJ613" i="115"/>
  <c r="AK613" i="115"/>
  <c r="AL613" i="115"/>
  <c r="AM613" i="115"/>
  <c r="AO613" i="115" s="1"/>
  <c r="AD614" i="115"/>
  <c r="AJ614" i="115"/>
  <c r="AK614" i="115"/>
  <c r="AL614" i="115"/>
  <c r="AM614" i="115"/>
  <c r="AO614" i="115" s="1"/>
  <c r="AD615" i="115"/>
  <c r="AJ615" i="115"/>
  <c r="AK615" i="115"/>
  <c r="AL615" i="115"/>
  <c r="AM615" i="115"/>
  <c r="AO615" i="115" s="1"/>
  <c r="AD616" i="115"/>
  <c r="AJ616" i="115"/>
  <c r="AK616" i="115"/>
  <c r="AL616" i="115"/>
  <c r="AM616" i="115"/>
  <c r="AO616" i="115" s="1"/>
  <c r="AD617" i="115"/>
  <c r="AE617" i="115" s="1"/>
  <c r="AI617" i="115"/>
  <c r="AJ617" i="115"/>
  <c r="AK617" i="115"/>
  <c r="AL617" i="115"/>
  <c r="AM617" i="115"/>
  <c r="AO617" i="115" s="1"/>
  <c r="AD618" i="115"/>
  <c r="AJ618" i="115"/>
  <c r="AK618" i="115"/>
  <c r="AL618" i="115"/>
  <c r="AM618" i="115"/>
  <c r="AO618" i="115" s="1"/>
  <c r="AD619" i="115"/>
  <c r="AE619" i="115" s="1"/>
  <c r="AJ619" i="115"/>
  <c r="AK619" i="115"/>
  <c r="AL619" i="115"/>
  <c r="AM619" i="115"/>
  <c r="AO619" i="115" s="1"/>
  <c r="AD620" i="115"/>
  <c r="AG620" i="115"/>
  <c r="AJ620" i="115"/>
  <c r="AK620" i="115"/>
  <c r="AL620" i="115"/>
  <c r="AM620" i="115"/>
  <c r="AO620" i="115" s="1"/>
  <c r="AD621" i="115"/>
  <c r="AE621" i="115" s="1"/>
  <c r="AG621" i="115"/>
  <c r="AI621" i="115"/>
  <c r="AJ621" i="115"/>
  <c r="AK621" i="115"/>
  <c r="AL621" i="115"/>
  <c r="AM621" i="115"/>
  <c r="AO621" i="115" s="1"/>
  <c r="AD622" i="115"/>
  <c r="AJ622" i="115"/>
  <c r="AK622" i="115"/>
  <c r="AL622" i="115"/>
  <c r="AM622" i="115"/>
  <c r="AO622" i="115" s="1"/>
  <c r="AD623" i="115"/>
  <c r="AE623" i="115" s="1"/>
  <c r="AG623" i="115"/>
  <c r="AJ623" i="115"/>
  <c r="AK623" i="115"/>
  <c r="AL623" i="115"/>
  <c r="AM623" i="115"/>
  <c r="AO623" i="115" s="1"/>
  <c r="AD624" i="115"/>
  <c r="AJ624" i="115"/>
  <c r="AK624" i="115"/>
  <c r="AL624" i="115"/>
  <c r="AM624" i="115"/>
  <c r="AO624" i="115" s="1"/>
  <c r="AD625" i="115"/>
  <c r="AE625" i="115" s="1"/>
  <c r="AJ625" i="115"/>
  <c r="AK625" i="115"/>
  <c r="AL625" i="115"/>
  <c r="AM625" i="115"/>
  <c r="AO625" i="115" s="1"/>
  <c r="AD626" i="115"/>
  <c r="AJ626" i="115"/>
  <c r="AK626" i="115"/>
  <c r="AL626" i="115"/>
  <c r="AM626" i="115"/>
  <c r="AO626" i="115" s="1"/>
  <c r="AD627" i="115"/>
  <c r="AE627" i="115" s="1"/>
  <c r="AJ627" i="115"/>
  <c r="AK627" i="115"/>
  <c r="AL627" i="115"/>
  <c r="AM627" i="115"/>
  <c r="AO627" i="115" s="1"/>
  <c r="AD628" i="115"/>
  <c r="AJ628" i="115"/>
  <c r="AK628" i="115"/>
  <c r="AL628" i="115"/>
  <c r="AM628" i="115"/>
  <c r="AO628" i="115" s="1"/>
  <c r="AD629" i="115"/>
  <c r="AJ629" i="115"/>
  <c r="AK629" i="115"/>
  <c r="AL629" i="115"/>
  <c r="AM629" i="115"/>
  <c r="AO629" i="115" s="1"/>
  <c r="AD630" i="115"/>
  <c r="AE630" i="115" s="1"/>
  <c r="AG630" i="115"/>
  <c r="AJ630" i="115"/>
  <c r="AK630" i="115"/>
  <c r="AL630" i="115"/>
  <c r="AM630" i="115"/>
  <c r="AO630" i="115" s="1"/>
  <c r="AD631" i="115"/>
  <c r="AE631" i="115" s="1"/>
  <c r="AJ631" i="115"/>
  <c r="AK631" i="115"/>
  <c r="AL631" i="115"/>
  <c r="AM631" i="115"/>
  <c r="AO631" i="115" s="1"/>
  <c r="AD632" i="115"/>
  <c r="AE632" i="115" s="1"/>
  <c r="AJ632" i="115"/>
  <c r="AK632" i="115"/>
  <c r="AL632" i="115"/>
  <c r="AM632" i="115"/>
  <c r="AO632" i="115" s="1"/>
  <c r="AD633" i="115"/>
  <c r="AI633" i="115" s="1"/>
  <c r="AJ633" i="115"/>
  <c r="AK633" i="115"/>
  <c r="AL633" i="115"/>
  <c r="AM633" i="115"/>
  <c r="AO633" i="115" s="1"/>
  <c r="AD634" i="115"/>
  <c r="AE634" i="115" s="1"/>
  <c r="AF634" i="115"/>
  <c r="AJ634" i="115"/>
  <c r="AK634" i="115"/>
  <c r="AL634" i="115"/>
  <c r="AM634" i="115"/>
  <c r="AO634" i="115" s="1"/>
  <c r="AD635" i="115"/>
  <c r="AE635" i="115" s="1"/>
  <c r="AJ635" i="115"/>
  <c r="AK635" i="115"/>
  <c r="AL635" i="115"/>
  <c r="AM635" i="115"/>
  <c r="AO635" i="115" s="1"/>
  <c r="AD636" i="115"/>
  <c r="AJ636" i="115"/>
  <c r="AK636" i="115"/>
  <c r="AL636" i="115"/>
  <c r="AM636" i="115"/>
  <c r="AO636" i="115" s="1"/>
  <c r="AD637" i="115"/>
  <c r="AE637" i="115" s="1"/>
  <c r="AG637" i="115"/>
  <c r="AJ637" i="115"/>
  <c r="AK637" i="115"/>
  <c r="AL637" i="115"/>
  <c r="AM637" i="115"/>
  <c r="AO637" i="115" s="1"/>
  <c r="AD638" i="115"/>
  <c r="AE638" i="115" s="1"/>
  <c r="AG638" i="115"/>
  <c r="AJ638" i="115"/>
  <c r="AK638" i="115"/>
  <c r="AL638" i="115"/>
  <c r="AM638" i="115"/>
  <c r="AO638" i="115"/>
  <c r="AD639" i="115"/>
  <c r="AE639" i="115" s="1"/>
  <c r="AJ639" i="115"/>
  <c r="AK639" i="115"/>
  <c r="AL639" i="115"/>
  <c r="AM639" i="115"/>
  <c r="AO639" i="115" s="1"/>
  <c r="AD640" i="115"/>
  <c r="AE640" i="115" s="1"/>
  <c r="AJ640" i="115"/>
  <c r="AK640" i="115"/>
  <c r="AL640" i="115"/>
  <c r="AM640" i="115"/>
  <c r="AO640" i="115"/>
  <c r="AD641" i="115"/>
  <c r="AJ641" i="115"/>
  <c r="AK641" i="115"/>
  <c r="AL641" i="115"/>
  <c r="AM641" i="115"/>
  <c r="AO641" i="115" s="1"/>
  <c r="AD642" i="115"/>
  <c r="AJ642" i="115"/>
  <c r="AK642" i="115"/>
  <c r="AL642" i="115"/>
  <c r="AM642" i="115"/>
  <c r="AO642" i="115" s="1"/>
  <c r="AD643" i="115"/>
  <c r="AE643" i="115" s="1"/>
  <c r="AJ643" i="115"/>
  <c r="AK643" i="115"/>
  <c r="AL643" i="115"/>
  <c r="AM643" i="115"/>
  <c r="AO643" i="115" s="1"/>
  <c r="AD644" i="115"/>
  <c r="AJ644" i="115"/>
  <c r="AK644" i="115"/>
  <c r="AL644" i="115"/>
  <c r="AM644" i="115"/>
  <c r="AO644" i="115" s="1"/>
  <c r="AD645" i="115"/>
  <c r="AI645" i="115"/>
  <c r="AJ645" i="115"/>
  <c r="AK645" i="115"/>
  <c r="AL645" i="115"/>
  <c r="AM645" i="115"/>
  <c r="AO645" i="115" s="1"/>
  <c r="AD646" i="115"/>
  <c r="AJ646" i="115"/>
  <c r="AK646" i="115"/>
  <c r="AL646" i="115"/>
  <c r="AM646" i="115"/>
  <c r="AO646" i="115" s="1"/>
  <c r="AD647" i="115"/>
  <c r="AJ647" i="115"/>
  <c r="AK647" i="115"/>
  <c r="AL647" i="115"/>
  <c r="AM647" i="115"/>
  <c r="AO647" i="115" s="1"/>
  <c r="AD648" i="115"/>
  <c r="AE648" i="115" s="1"/>
  <c r="AG648" i="115"/>
  <c r="AJ648" i="115"/>
  <c r="AK648" i="115"/>
  <c r="AL648" i="115"/>
  <c r="AM648" i="115"/>
  <c r="AO648" i="115" s="1"/>
  <c r="AD649" i="115"/>
  <c r="AI649" i="115"/>
  <c r="AJ649" i="115"/>
  <c r="AK649" i="115"/>
  <c r="AL649" i="115"/>
  <c r="AM649" i="115"/>
  <c r="AO649" i="115" s="1"/>
  <c r="AD650" i="115"/>
  <c r="AE650" i="115" s="1"/>
  <c r="AJ650" i="115"/>
  <c r="AK650" i="115"/>
  <c r="AL650" i="115"/>
  <c r="AM650" i="115"/>
  <c r="AO650" i="115" s="1"/>
  <c r="AD651" i="115"/>
  <c r="AE651" i="115" s="1"/>
  <c r="AJ651" i="115"/>
  <c r="AK651" i="115"/>
  <c r="AL651" i="115"/>
  <c r="AM651" i="115"/>
  <c r="AO651" i="115"/>
  <c r="AD652" i="115"/>
  <c r="AJ652" i="115"/>
  <c r="AK652" i="115"/>
  <c r="AL652" i="115"/>
  <c r="AM652" i="115"/>
  <c r="AO652" i="115" s="1"/>
  <c r="AD653" i="115"/>
  <c r="AE653" i="115" s="1"/>
  <c r="AJ653" i="115"/>
  <c r="AK653" i="115"/>
  <c r="AL653" i="115"/>
  <c r="AM653" i="115"/>
  <c r="AO653" i="115" s="1"/>
  <c r="AD654" i="115"/>
  <c r="AE654" i="115" s="1"/>
  <c r="AI654" i="115"/>
  <c r="AJ654" i="115"/>
  <c r="AK654" i="115"/>
  <c r="AL654" i="115"/>
  <c r="AM654" i="115"/>
  <c r="AO654" i="115" s="1"/>
  <c r="AD655" i="115"/>
  <c r="AE655" i="115" s="1"/>
  <c r="AJ655" i="115"/>
  <c r="AK655" i="115"/>
  <c r="AL655" i="115"/>
  <c r="AM655" i="115"/>
  <c r="AO655" i="115" s="1"/>
  <c r="AD656" i="115"/>
  <c r="AE656" i="115" s="1"/>
  <c r="AF656" i="115"/>
  <c r="AJ656" i="115"/>
  <c r="AK656" i="115"/>
  <c r="AL656" i="115"/>
  <c r="AM656" i="115"/>
  <c r="AO656" i="115" s="1"/>
  <c r="AD657" i="115"/>
  <c r="AJ657" i="115"/>
  <c r="AK657" i="115"/>
  <c r="AL657" i="115"/>
  <c r="AM657" i="115"/>
  <c r="AO657" i="115" s="1"/>
  <c r="AD658" i="115"/>
  <c r="AE658" i="115" s="1"/>
  <c r="AF658" i="115"/>
  <c r="AG658" i="115"/>
  <c r="AI658" i="115"/>
  <c r="AJ658" i="115"/>
  <c r="AK658" i="115"/>
  <c r="AL658" i="115"/>
  <c r="AM658" i="115"/>
  <c r="AO658" i="115" s="1"/>
  <c r="AD659" i="115"/>
  <c r="AE659" i="115" s="1"/>
  <c r="AJ659" i="115"/>
  <c r="AK659" i="115"/>
  <c r="AL659" i="115"/>
  <c r="AM659" i="115"/>
  <c r="AO659" i="115"/>
  <c r="AD660" i="115"/>
  <c r="AJ660" i="115"/>
  <c r="AK660" i="115"/>
  <c r="AL660" i="115"/>
  <c r="AM660" i="115"/>
  <c r="AO660" i="115" s="1"/>
  <c r="AD661" i="115"/>
  <c r="AE661" i="115" s="1"/>
  <c r="AJ661" i="115"/>
  <c r="AK661" i="115"/>
  <c r="AL661" i="115"/>
  <c r="AM661" i="115"/>
  <c r="AO661" i="115" s="1"/>
  <c r="AD662" i="115"/>
  <c r="AE662" i="115" s="1"/>
  <c r="AI662" i="115"/>
  <c r="AJ662" i="115"/>
  <c r="AK662" i="115"/>
  <c r="AL662" i="115"/>
  <c r="AM662" i="115"/>
  <c r="AO662" i="115" s="1"/>
  <c r="AD663" i="115"/>
  <c r="AE663" i="115" s="1"/>
  <c r="AJ663" i="115"/>
  <c r="AK663" i="115"/>
  <c r="AL663" i="115"/>
  <c r="AM663" i="115"/>
  <c r="AO663" i="115" s="1"/>
  <c r="AD664" i="115"/>
  <c r="AI664" i="115"/>
  <c r="AJ664" i="115"/>
  <c r="AK664" i="115"/>
  <c r="AL664" i="115"/>
  <c r="AM664" i="115"/>
  <c r="AO664" i="115" s="1"/>
  <c r="AD665" i="115"/>
  <c r="AJ665" i="115"/>
  <c r="AK665" i="115"/>
  <c r="AL665" i="115"/>
  <c r="AM665" i="115"/>
  <c r="AO665" i="115" s="1"/>
  <c r="AD666" i="115"/>
  <c r="AI666" i="115"/>
  <c r="AJ666" i="115"/>
  <c r="AK666" i="115"/>
  <c r="AL666" i="115"/>
  <c r="AM666" i="115"/>
  <c r="AO666" i="115" s="1"/>
  <c r="AD667" i="115"/>
  <c r="AE667" i="115" s="1"/>
  <c r="AJ667" i="115"/>
  <c r="AK667" i="115"/>
  <c r="AL667" i="115"/>
  <c r="AM667" i="115"/>
  <c r="AO667" i="115" s="1"/>
  <c r="AD668" i="115"/>
  <c r="AE668" i="115" s="1"/>
  <c r="AJ668" i="115"/>
  <c r="AK668" i="115"/>
  <c r="AL668" i="115"/>
  <c r="AM668" i="115"/>
  <c r="AO668" i="115" s="1"/>
  <c r="AD669" i="115"/>
  <c r="AJ669" i="115"/>
  <c r="AK669" i="115"/>
  <c r="AL669" i="115"/>
  <c r="AM669" i="115"/>
  <c r="AO669" i="115" s="1"/>
  <c r="AD670" i="115"/>
  <c r="AE670" i="115" s="1"/>
  <c r="AG670" i="115"/>
  <c r="AJ670" i="115"/>
  <c r="AK670" i="115"/>
  <c r="AL670" i="115"/>
  <c r="AM670" i="115"/>
  <c r="AO670" i="115" s="1"/>
  <c r="AD671" i="115"/>
  <c r="AE671" i="115" s="1"/>
  <c r="AG671" i="115"/>
  <c r="AJ671" i="115"/>
  <c r="AK671" i="115"/>
  <c r="AL671" i="115"/>
  <c r="AM671" i="115"/>
  <c r="AO671" i="115" s="1"/>
  <c r="AD672" i="115"/>
  <c r="AJ672" i="115"/>
  <c r="AK672" i="115"/>
  <c r="AL672" i="115"/>
  <c r="AM672" i="115"/>
  <c r="AO672" i="115" s="1"/>
  <c r="AD673" i="115"/>
  <c r="AI673" i="115"/>
  <c r="AJ673" i="115"/>
  <c r="AK673" i="115"/>
  <c r="AL673" i="115"/>
  <c r="AM673" i="115"/>
  <c r="AO673" i="115" s="1"/>
  <c r="AD674" i="115"/>
  <c r="AE674" i="115" s="1"/>
  <c r="AJ674" i="115"/>
  <c r="AK674" i="115"/>
  <c r="AL674" i="115"/>
  <c r="AM674" i="115"/>
  <c r="AO674" i="115" s="1"/>
  <c r="AD675" i="115"/>
  <c r="AE675" i="115" s="1"/>
  <c r="AJ675" i="115"/>
  <c r="AK675" i="115"/>
  <c r="AL675" i="115"/>
  <c r="AM675" i="115"/>
  <c r="AO675" i="115" s="1"/>
  <c r="AD676" i="115"/>
  <c r="AE676" i="115" s="1"/>
  <c r="AG676" i="115"/>
  <c r="AJ676" i="115"/>
  <c r="AK676" i="115"/>
  <c r="AL676" i="115"/>
  <c r="AM676" i="115"/>
  <c r="AO676" i="115" s="1"/>
  <c r="AD677" i="115"/>
  <c r="AJ677" i="115"/>
  <c r="AK677" i="115"/>
  <c r="AL677" i="115"/>
  <c r="AM677" i="115"/>
  <c r="AO677" i="115" s="1"/>
  <c r="AD678" i="115"/>
  <c r="AE678" i="115" s="1"/>
  <c r="AF678" i="115"/>
  <c r="AJ678" i="115"/>
  <c r="AK678" i="115"/>
  <c r="AL678" i="115"/>
  <c r="AM678" i="115"/>
  <c r="AO678" i="115" s="1"/>
  <c r="AD679" i="115"/>
  <c r="AE679" i="115" s="1"/>
  <c r="AG679" i="115"/>
  <c r="AJ679" i="115"/>
  <c r="AK679" i="115"/>
  <c r="AL679" i="115"/>
  <c r="AM679" i="115"/>
  <c r="AO679" i="115" s="1"/>
  <c r="AD680" i="115"/>
  <c r="AJ680" i="115"/>
  <c r="AK680" i="115"/>
  <c r="AL680" i="115"/>
  <c r="AM680" i="115"/>
  <c r="AO680" i="115"/>
  <c r="AD681" i="115"/>
  <c r="AJ681" i="115"/>
  <c r="AK681" i="115"/>
  <c r="AL681" i="115"/>
  <c r="AM681" i="115"/>
  <c r="AO681" i="115" s="1"/>
  <c r="AD682" i="115"/>
  <c r="AJ682" i="115"/>
  <c r="AK682" i="115"/>
  <c r="AL682" i="115"/>
  <c r="AM682" i="115"/>
  <c r="AO682" i="115" s="1"/>
  <c r="AD683" i="115"/>
  <c r="AE683" i="115" s="1"/>
  <c r="AJ683" i="115"/>
  <c r="AK683" i="115"/>
  <c r="AL683" i="115"/>
  <c r="AM683" i="115"/>
  <c r="AO683" i="115"/>
  <c r="AD684" i="115"/>
  <c r="AJ684" i="115"/>
  <c r="AK684" i="115"/>
  <c r="AL684" i="115"/>
  <c r="AM684" i="115"/>
  <c r="AO684" i="115" s="1"/>
  <c r="AD685" i="115"/>
  <c r="AJ685" i="115"/>
  <c r="AK685" i="115"/>
  <c r="AL685" i="115"/>
  <c r="AM685" i="115"/>
  <c r="AO685" i="115" s="1"/>
  <c r="AD686" i="115"/>
  <c r="AE686" i="115" s="1"/>
  <c r="AI686" i="115"/>
  <c r="AJ686" i="115"/>
  <c r="AK686" i="115"/>
  <c r="AL686" i="115"/>
  <c r="AM686" i="115"/>
  <c r="AO686" i="115" s="1"/>
  <c r="AD687" i="115"/>
  <c r="AE687" i="115" s="1"/>
  <c r="AJ687" i="115"/>
  <c r="AK687" i="115"/>
  <c r="AL687" i="115"/>
  <c r="AM687" i="115"/>
  <c r="AO687" i="115" s="1"/>
  <c r="AD688" i="115"/>
  <c r="AJ688" i="115"/>
  <c r="AK688" i="115"/>
  <c r="AL688" i="115"/>
  <c r="AM688" i="115"/>
  <c r="AO688" i="115" s="1"/>
  <c r="AD689" i="115"/>
  <c r="AE689" i="115" s="1"/>
  <c r="AI689" i="115"/>
  <c r="AJ689" i="115"/>
  <c r="AK689" i="115"/>
  <c r="AL689" i="115"/>
  <c r="AM689" i="115"/>
  <c r="AO689" i="115" s="1"/>
  <c r="AD690" i="115"/>
  <c r="AJ690" i="115"/>
  <c r="AK690" i="115"/>
  <c r="AL690" i="115"/>
  <c r="AM690" i="115"/>
  <c r="AO690" i="115"/>
  <c r="AD691" i="115"/>
  <c r="AE691" i="115" s="1"/>
  <c r="AJ691" i="115"/>
  <c r="AK691" i="115"/>
  <c r="AL691" i="115"/>
  <c r="AM691" i="115"/>
  <c r="AO691" i="115" s="1"/>
  <c r="AD692" i="115"/>
  <c r="AI692" i="115" s="1"/>
  <c r="AJ692" i="115"/>
  <c r="AK692" i="115"/>
  <c r="AL692" i="115"/>
  <c r="AM692" i="115"/>
  <c r="AO692" i="115" s="1"/>
  <c r="AD693" i="115"/>
  <c r="AE693" i="115" s="1"/>
  <c r="AG693" i="115"/>
  <c r="AJ693" i="115"/>
  <c r="AK693" i="115"/>
  <c r="AL693" i="115"/>
  <c r="AM693" i="115"/>
  <c r="AO693" i="115" s="1"/>
  <c r="AD694" i="115"/>
  <c r="AE694" i="115" s="1"/>
  <c r="AJ694" i="115"/>
  <c r="AK694" i="115"/>
  <c r="AL694" i="115"/>
  <c r="AM694" i="115"/>
  <c r="AO694" i="115" s="1"/>
  <c r="AD695" i="115"/>
  <c r="AE695" i="115" s="1"/>
  <c r="AJ695" i="115"/>
  <c r="AK695" i="115"/>
  <c r="AL695" i="115"/>
  <c r="AM695" i="115"/>
  <c r="AO695" i="115" s="1"/>
  <c r="AD696" i="115"/>
  <c r="AE696" i="115" s="1"/>
  <c r="AF696" i="115"/>
  <c r="AG696" i="115"/>
  <c r="AJ696" i="115"/>
  <c r="AK696" i="115"/>
  <c r="AL696" i="115"/>
  <c r="AM696" i="115"/>
  <c r="AO696" i="115" s="1"/>
  <c r="AD697" i="115"/>
  <c r="AE697" i="115" s="1"/>
  <c r="AJ697" i="115"/>
  <c r="AK697" i="115"/>
  <c r="AL697" i="115"/>
  <c r="AM697" i="115"/>
  <c r="AO697" i="115" s="1"/>
  <c r="AD698" i="115"/>
  <c r="AE698" i="115" s="1"/>
  <c r="AF698" i="115"/>
  <c r="AJ698" i="115"/>
  <c r="AK698" i="115"/>
  <c r="AL698" i="115"/>
  <c r="AM698" i="115"/>
  <c r="AO698" i="115" s="1"/>
  <c r="AD699" i="115"/>
  <c r="AE699" i="115" s="1"/>
  <c r="AJ699" i="115"/>
  <c r="AK699" i="115"/>
  <c r="AL699" i="115"/>
  <c r="AM699" i="115"/>
  <c r="AO699" i="115" s="1"/>
  <c r="AD700" i="115"/>
  <c r="AE700" i="115" s="1"/>
  <c r="AJ700" i="115"/>
  <c r="AK700" i="115"/>
  <c r="AL700" i="115"/>
  <c r="AM700" i="115"/>
  <c r="AO700" i="115"/>
  <c r="AD701" i="115"/>
  <c r="AJ701" i="115"/>
  <c r="AK701" i="115"/>
  <c r="AL701" i="115"/>
  <c r="AM701" i="115"/>
  <c r="AO701" i="115" s="1"/>
  <c r="AD702" i="115"/>
  <c r="AE702" i="115" s="1"/>
  <c r="AF702" i="115"/>
  <c r="AG702" i="115"/>
  <c r="AJ702" i="115"/>
  <c r="AK702" i="115"/>
  <c r="AL702" i="115"/>
  <c r="AM702" i="115"/>
  <c r="AO702" i="115" s="1"/>
  <c r="AD703" i="115"/>
  <c r="AE703" i="115" s="1"/>
  <c r="AG703" i="115"/>
  <c r="AJ703" i="115"/>
  <c r="AK703" i="115"/>
  <c r="AL703" i="115"/>
  <c r="AM703" i="115"/>
  <c r="AO703" i="115" s="1"/>
  <c r="AD704" i="115"/>
  <c r="AE704" i="115" s="1"/>
  <c r="AJ704" i="115"/>
  <c r="AK704" i="115"/>
  <c r="AL704" i="115"/>
  <c r="AM704" i="115"/>
  <c r="AO704" i="115" s="1"/>
  <c r="AD705" i="115"/>
  <c r="AE705" i="115" s="1"/>
  <c r="AJ705" i="115"/>
  <c r="AK705" i="115"/>
  <c r="AL705" i="115"/>
  <c r="AM705" i="115"/>
  <c r="AO705" i="115" s="1"/>
  <c r="AD706" i="115"/>
  <c r="AJ706" i="115"/>
  <c r="AK706" i="115"/>
  <c r="AL706" i="115"/>
  <c r="AM706" i="115"/>
  <c r="AO706" i="115"/>
  <c r="AD707" i="115"/>
  <c r="AE707" i="115" s="1"/>
  <c r="AJ707" i="115"/>
  <c r="AK707" i="115"/>
  <c r="AL707" i="115"/>
  <c r="AM707" i="115"/>
  <c r="AO707" i="115" s="1"/>
  <c r="AD708" i="115"/>
  <c r="AE708" i="115" s="1"/>
  <c r="AJ708" i="115"/>
  <c r="AK708" i="115"/>
  <c r="AL708" i="115"/>
  <c r="AM708" i="115"/>
  <c r="AO708" i="115" s="1"/>
  <c r="AD709" i="115"/>
  <c r="AE709" i="115" s="1"/>
  <c r="AJ709" i="115"/>
  <c r="AK709" i="115"/>
  <c r="AL709" i="115"/>
  <c r="AM709" i="115"/>
  <c r="AO709" i="115"/>
  <c r="AD710" i="115"/>
  <c r="AE710" i="115" s="1"/>
  <c r="AJ710" i="115"/>
  <c r="AK710" i="115"/>
  <c r="AL710" i="115"/>
  <c r="AM710" i="115"/>
  <c r="AO710" i="115" s="1"/>
  <c r="AD711" i="115"/>
  <c r="AE711" i="115" s="1"/>
  <c r="AF711" i="115"/>
  <c r="AG711" i="115"/>
  <c r="AJ711" i="115"/>
  <c r="AK711" i="115"/>
  <c r="AL711" i="115"/>
  <c r="AM711" i="115"/>
  <c r="AO711" i="115" s="1"/>
  <c r="AD712" i="115"/>
  <c r="AE712" i="115" s="1"/>
  <c r="AJ712" i="115"/>
  <c r="AK712" i="115"/>
  <c r="AL712" i="115"/>
  <c r="AM712" i="115"/>
  <c r="AO712" i="115"/>
  <c r="AD713" i="115"/>
  <c r="AE713" i="115" s="1"/>
  <c r="AJ713" i="115"/>
  <c r="AK713" i="115"/>
  <c r="AL713" i="115"/>
  <c r="AM713" i="115"/>
  <c r="AO713" i="115" s="1"/>
  <c r="AD714" i="115"/>
  <c r="AE714" i="115" s="1"/>
  <c r="AJ714" i="115"/>
  <c r="AK714" i="115"/>
  <c r="AL714" i="115"/>
  <c r="AM714" i="115"/>
  <c r="AO714" i="115" s="1"/>
  <c r="AD715" i="115"/>
  <c r="AJ715" i="115"/>
  <c r="AK715" i="115"/>
  <c r="AL715" i="115"/>
  <c r="AM715" i="115"/>
  <c r="AO715" i="115" s="1"/>
  <c r="AD716" i="115"/>
  <c r="AE716" i="115" s="1"/>
  <c r="AJ716" i="115"/>
  <c r="AK716" i="115"/>
  <c r="AL716" i="115"/>
  <c r="AM716" i="115"/>
  <c r="AO716" i="115" s="1"/>
  <c r="AD717" i="115"/>
  <c r="AE717" i="115" s="1"/>
  <c r="AJ717" i="115"/>
  <c r="AK717" i="115"/>
  <c r="AL717" i="115"/>
  <c r="AM717" i="115"/>
  <c r="AO717" i="115" s="1"/>
  <c r="AD718" i="115"/>
  <c r="AE718" i="115" s="1"/>
  <c r="AJ718" i="115"/>
  <c r="AK718" i="115"/>
  <c r="AL718" i="115"/>
  <c r="AM718" i="115"/>
  <c r="AO718" i="115" s="1"/>
  <c r="AD719" i="115"/>
  <c r="AE719" i="115" s="1"/>
  <c r="AF719" i="115"/>
  <c r="AJ719" i="115"/>
  <c r="AK719" i="115"/>
  <c r="AL719" i="115"/>
  <c r="AM719" i="115"/>
  <c r="AO719" i="115" s="1"/>
  <c r="AD720" i="115"/>
  <c r="AE720" i="115" s="1"/>
  <c r="AJ720" i="115"/>
  <c r="AK720" i="115"/>
  <c r="AL720" i="115"/>
  <c r="AM720" i="115"/>
  <c r="AO720" i="115"/>
  <c r="AD721" i="115"/>
  <c r="AE721" i="115" s="1"/>
  <c r="AJ721" i="115"/>
  <c r="AK721" i="115"/>
  <c r="AL721" i="115"/>
  <c r="AM721" i="115"/>
  <c r="AO721" i="115" s="1"/>
  <c r="AD722" i="115"/>
  <c r="AE722" i="115" s="1"/>
  <c r="AJ722" i="115"/>
  <c r="AK722" i="115"/>
  <c r="AL722" i="115"/>
  <c r="AM722" i="115"/>
  <c r="AO722" i="115"/>
  <c r="AD723" i="115"/>
  <c r="AJ723" i="115"/>
  <c r="AK723" i="115"/>
  <c r="AL723" i="115"/>
  <c r="AM723" i="115"/>
  <c r="AO723" i="115" s="1"/>
  <c r="AD724" i="115"/>
  <c r="AE724" i="115" s="1"/>
  <c r="AJ724" i="115"/>
  <c r="AK724" i="115"/>
  <c r="AL724" i="115"/>
  <c r="AM724" i="115"/>
  <c r="AO724" i="115" s="1"/>
  <c r="AD725" i="115"/>
  <c r="AE725" i="115" s="1"/>
  <c r="AJ725" i="115"/>
  <c r="AK725" i="115"/>
  <c r="AL725" i="115"/>
  <c r="AM725" i="115"/>
  <c r="AO725" i="115"/>
  <c r="AD726" i="115"/>
  <c r="AE726" i="115" s="1"/>
  <c r="AJ726" i="115"/>
  <c r="AK726" i="115"/>
  <c r="AL726" i="115"/>
  <c r="AM726" i="115"/>
  <c r="AO726" i="115" s="1"/>
  <c r="AD727" i="115"/>
  <c r="AJ727" i="115"/>
  <c r="AK727" i="115"/>
  <c r="AL727" i="115"/>
  <c r="AM727" i="115"/>
  <c r="AO727" i="115" s="1"/>
  <c r="AD728" i="115"/>
  <c r="AE728" i="115" s="1"/>
  <c r="AJ728" i="115"/>
  <c r="AK728" i="115"/>
  <c r="AL728" i="115"/>
  <c r="AM728" i="115"/>
  <c r="AO728" i="115"/>
  <c r="AD729" i="115"/>
  <c r="AE729" i="115" s="1"/>
  <c r="AJ729" i="115"/>
  <c r="AK729" i="115"/>
  <c r="AL729" i="115"/>
  <c r="AM729" i="115"/>
  <c r="AO729" i="115" s="1"/>
  <c r="AD730" i="115"/>
  <c r="AE730" i="115" s="1"/>
  <c r="AJ730" i="115"/>
  <c r="AK730" i="115"/>
  <c r="AL730" i="115"/>
  <c r="AM730" i="115"/>
  <c r="AO730" i="115"/>
  <c r="AD731" i="115"/>
  <c r="AJ731" i="115"/>
  <c r="AK731" i="115"/>
  <c r="AL731" i="115"/>
  <c r="AM731" i="115"/>
  <c r="AO731" i="115" s="1"/>
  <c r="AD732" i="115"/>
  <c r="AE732" i="115" s="1"/>
  <c r="AJ732" i="115"/>
  <c r="AK732" i="115"/>
  <c r="AL732" i="115"/>
  <c r="AM732" i="115"/>
  <c r="AO732" i="115" s="1"/>
  <c r="AD733" i="115"/>
  <c r="AE733" i="115" s="1"/>
  <c r="AJ733" i="115"/>
  <c r="AK733" i="115"/>
  <c r="AL733" i="115"/>
  <c r="AM733" i="115"/>
  <c r="AO733" i="115"/>
  <c r="AD734" i="115"/>
  <c r="AE734" i="115" s="1"/>
  <c r="AJ734" i="115"/>
  <c r="AK734" i="115"/>
  <c r="AL734" i="115"/>
  <c r="AM734" i="115"/>
  <c r="AO734" i="115" s="1"/>
  <c r="AD735" i="115"/>
  <c r="AE735" i="115" s="1"/>
  <c r="AF735" i="115"/>
  <c r="AG735" i="115"/>
  <c r="AJ735" i="115"/>
  <c r="AK735" i="115"/>
  <c r="AL735" i="115"/>
  <c r="AM735" i="115"/>
  <c r="AO735" i="115" s="1"/>
  <c r="AD736" i="115"/>
  <c r="AE736" i="115" s="1"/>
  <c r="AJ736" i="115"/>
  <c r="AK736" i="115"/>
  <c r="AL736" i="115"/>
  <c r="AM736" i="115"/>
  <c r="AO736" i="115" s="1"/>
  <c r="AD737" i="115"/>
  <c r="AE737" i="115" s="1"/>
  <c r="AJ737" i="115"/>
  <c r="AK737" i="115"/>
  <c r="AL737" i="115"/>
  <c r="AM737" i="115"/>
  <c r="AO737" i="115" s="1"/>
  <c r="AD738" i="115"/>
  <c r="AE738" i="115" s="1"/>
  <c r="AJ738" i="115"/>
  <c r="AK738" i="115"/>
  <c r="AL738" i="115"/>
  <c r="AM738" i="115"/>
  <c r="AO738" i="115"/>
  <c r="AD739" i="115"/>
  <c r="AJ739" i="115"/>
  <c r="AK739" i="115"/>
  <c r="AL739" i="115"/>
  <c r="AM739" i="115"/>
  <c r="AO739" i="115" s="1"/>
  <c r="AD740" i="115"/>
  <c r="AE740" i="115" s="1"/>
  <c r="AJ740" i="115"/>
  <c r="AK740" i="115"/>
  <c r="AL740" i="115"/>
  <c r="AM740" i="115"/>
  <c r="AO740" i="115" s="1"/>
  <c r="AD741" i="115"/>
  <c r="AE741" i="115" s="1"/>
  <c r="AJ741" i="115"/>
  <c r="AK741" i="115"/>
  <c r="AL741" i="115"/>
  <c r="AM741" i="115"/>
  <c r="AO741" i="115"/>
  <c r="AD742" i="115"/>
  <c r="AE742" i="115" s="1"/>
  <c r="AJ742" i="115"/>
  <c r="AK742" i="115"/>
  <c r="AL742" i="115"/>
  <c r="AM742" i="115"/>
  <c r="AO742" i="115" s="1"/>
  <c r="AD743" i="115"/>
  <c r="AE743" i="115" s="1"/>
  <c r="AF743" i="115"/>
  <c r="AG743" i="115"/>
  <c r="AJ743" i="115"/>
  <c r="AK743" i="115"/>
  <c r="AL743" i="115"/>
  <c r="AM743" i="115"/>
  <c r="AO743" i="115" s="1"/>
  <c r="AD744" i="115"/>
  <c r="AE744" i="115" s="1"/>
  <c r="AJ744" i="115"/>
  <c r="AK744" i="115"/>
  <c r="AL744" i="115"/>
  <c r="AM744" i="115"/>
  <c r="AO744" i="115"/>
  <c r="AD745" i="115"/>
  <c r="AE745" i="115" s="1"/>
  <c r="AJ745" i="115"/>
  <c r="AK745" i="115"/>
  <c r="AL745" i="115"/>
  <c r="AM745" i="115"/>
  <c r="AO745" i="115" s="1"/>
  <c r="AD746" i="115"/>
  <c r="AE746" i="115" s="1"/>
  <c r="AJ746" i="115"/>
  <c r="AK746" i="115"/>
  <c r="AL746" i="115"/>
  <c r="AM746" i="115"/>
  <c r="AO746" i="115" s="1"/>
  <c r="AD747" i="115"/>
  <c r="AJ747" i="115"/>
  <c r="AK747" i="115"/>
  <c r="AL747" i="115"/>
  <c r="AM747" i="115"/>
  <c r="AO747" i="115" s="1"/>
  <c r="AD748" i="115"/>
  <c r="AE748" i="115" s="1"/>
  <c r="AJ748" i="115"/>
  <c r="AK748" i="115"/>
  <c r="AL748" i="115"/>
  <c r="AM748" i="115"/>
  <c r="AO748" i="115" s="1"/>
  <c r="AD749" i="115"/>
  <c r="AE749" i="115" s="1"/>
  <c r="AJ749" i="115"/>
  <c r="AK749" i="115"/>
  <c r="AL749" i="115"/>
  <c r="AM749" i="115"/>
  <c r="AO749" i="115" s="1"/>
  <c r="AD750" i="115"/>
  <c r="AE750" i="115" s="1"/>
  <c r="AJ750" i="115"/>
  <c r="AK750" i="115"/>
  <c r="AL750" i="115"/>
  <c r="AM750" i="115"/>
  <c r="AO750" i="115" s="1"/>
  <c r="AD751" i="115"/>
  <c r="AE751" i="115" s="1"/>
  <c r="AF751" i="115"/>
  <c r="AJ751" i="115"/>
  <c r="AK751" i="115"/>
  <c r="AL751" i="115"/>
  <c r="AM751" i="115"/>
  <c r="AO751" i="115" s="1"/>
  <c r="AD752" i="115"/>
  <c r="AE752" i="115" s="1"/>
  <c r="AJ752" i="115"/>
  <c r="AK752" i="115"/>
  <c r="AL752" i="115"/>
  <c r="AM752" i="115"/>
  <c r="AO752" i="115"/>
  <c r="AD753" i="115"/>
  <c r="AE753" i="115" s="1"/>
  <c r="AJ753" i="115"/>
  <c r="AK753" i="115"/>
  <c r="AL753" i="115"/>
  <c r="AM753" i="115"/>
  <c r="AO753" i="115" s="1"/>
  <c r="AD754" i="115"/>
  <c r="AE754" i="115" s="1"/>
  <c r="AJ754" i="115"/>
  <c r="AK754" i="115"/>
  <c r="AL754" i="115"/>
  <c r="AM754" i="115"/>
  <c r="AO754" i="115"/>
  <c r="AD755" i="115"/>
  <c r="AJ755" i="115"/>
  <c r="AK755" i="115"/>
  <c r="AL755" i="115"/>
  <c r="AM755" i="115"/>
  <c r="AO755" i="115" s="1"/>
  <c r="AD756" i="115"/>
  <c r="AE756" i="115" s="1"/>
  <c r="AJ756" i="115"/>
  <c r="AK756" i="115"/>
  <c r="AL756" i="115"/>
  <c r="AM756" i="115"/>
  <c r="AO756" i="115" s="1"/>
  <c r="AD757" i="115"/>
  <c r="AE757" i="115" s="1"/>
  <c r="AJ757" i="115"/>
  <c r="AK757" i="115"/>
  <c r="AL757" i="115"/>
  <c r="AM757" i="115"/>
  <c r="AO757" i="115"/>
  <c r="AD758" i="115"/>
  <c r="AE758" i="115" s="1"/>
  <c r="AJ758" i="115"/>
  <c r="AK758" i="115"/>
  <c r="AL758" i="115"/>
  <c r="AM758" i="115"/>
  <c r="AO758" i="115" s="1"/>
  <c r="AD759" i="115"/>
  <c r="AJ759" i="115"/>
  <c r="AK759" i="115"/>
  <c r="AL759" i="115"/>
  <c r="AM759" i="115"/>
  <c r="AO759" i="115" s="1"/>
  <c r="AD760" i="115"/>
  <c r="AE760" i="115" s="1"/>
  <c r="AJ760" i="115"/>
  <c r="AK760" i="115"/>
  <c r="AL760" i="115"/>
  <c r="AM760" i="115"/>
  <c r="AO760" i="115"/>
  <c r="AD761" i="115"/>
  <c r="AE761" i="115" s="1"/>
  <c r="AJ761" i="115"/>
  <c r="AK761" i="115"/>
  <c r="AL761" i="115"/>
  <c r="AM761" i="115"/>
  <c r="AO761" i="115" s="1"/>
  <c r="AD762" i="115"/>
  <c r="AE762" i="115" s="1"/>
  <c r="AJ762" i="115"/>
  <c r="AK762" i="115"/>
  <c r="AL762" i="115"/>
  <c r="AM762" i="115"/>
  <c r="AO762" i="115"/>
  <c r="AD763" i="115"/>
  <c r="AJ763" i="115"/>
  <c r="AK763" i="115"/>
  <c r="AL763" i="115"/>
  <c r="AM763" i="115"/>
  <c r="AO763" i="115" s="1"/>
  <c r="AD764" i="115"/>
  <c r="AE764" i="115" s="1"/>
  <c r="AJ764" i="115"/>
  <c r="AK764" i="115"/>
  <c r="AL764" i="115"/>
  <c r="AM764" i="115"/>
  <c r="AO764" i="115" s="1"/>
  <c r="AD765" i="115"/>
  <c r="AE765" i="115" s="1"/>
  <c r="AJ765" i="115"/>
  <c r="AK765" i="115"/>
  <c r="AL765" i="115"/>
  <c r="AM765" i="115"/>
  <c r="AO765" i="115"/>
  <c r="AD766" i="115"/>
  <c r="AE766" i="115" s="1"/>
  <c r="AJ766" i="115"/>
  <c r="AK766" i="115"/>
  <c r="AL766" i="115"/>
  <c r="AM766" i="115"/>
  <c r="AO766" i="115" s="1"/>
  <c r="AD767" i="115"/>
  <c r="AE767" i="115" s="1"/>
  <c r="AF767" i="115"/>
  <c r="AG767" i="115"/>
  <c r="AJ767" i="115"/>
  <c r="AK767" i="115"/>
  <c r="AL767" i="115"/>
  <c r="AM767" i="115"/>
  <c r="AO767" i="115" s="1"/>
  <c r="AD768" i="115"/>
  <c r="AE768" i="115" s="1"/>
  <c r="AJ768" i="115"/>
  <c r="AK768" i="115"/>
  <c r="AL768" i="115"/>
  <c r="AM768" i="115"/>
  <c r="AO768" i="115" s="1"/>
  <c r="AD769" i="115"/>
  <c r="AE769" i="115" s="1"/>
  <c r="AJ769" i="115"/>
  <c r="AK769" i="115"/>
  <c r="AL769" i="115"/>
  <c r="AM769" i="115"/>
  <c r="AO769" i="115" s="1"/>
  <c r="AD770" i="115"/>
  <c r="AE770" i="115" s="1"/>
  <c r="AJ770" i="115"/>
  <c r="AK770" i="115"/>
  <c r="AL770" i="115"/>
  <c r="AM770" i="115"/>
  <c r="AO770" i="115"/>
  <c r="AD771" i="115"/>
  <c r="AJ771" i="115"/>
  <c r="AK771" i="115"/>
  <c r="AL771" i="115"/>
  <c r="AM771" i="115"/>
  <c r="AO771" i="115" s="1"/>
  <c r="AD772" i="115"/>
  <c r="AE772" i="115" s="1"/>
  <c r="AJ772" i="115"/>
  <c r="AK772" i="115"/>
  <c r="AL772" i="115"/>
  <c r="AM772" i="115"/>
  <c r="AO772" i="115" s="1"/>
  <c r="AD773" i="115"/>
  <c r="AE773" i="115" s="1"/>
  <c r="AJ773" i="115"/>
  <c r="AK773" i="115"/>
  <c r="AL773" i="115"/>
  <c r="AM773" i="115"/>
  <c r="AO773" i="115"/>
  <c r="AD774" i="115"/>
  <c r="AE774" i="115" s="1"/>
  <c r="AJ774" i="115"/>
  <c r="AK774" i="115"/>
  <c r="AL774" i="115"/>
  <c r="AM774" i="115"/>
  <c r="AO774" i="115" s="1"/>
  <c r="AD775" i="115"/>
  <c r="AE775" i="115" s="1"/>
  <c r="AF775" i="115"/>
  <c r="AG775" i="115"/>
  <c r="AJ775" i="115"/>
  <c r="AK775" i="115"/>
  <c r="AL775" i="115"/>
  <c r="AM775" i="115"/>
  <c r="AO775" i="115" s="1"/>
  <c r="AD776" i="115"/>
  <c r="AE776" i="115" s="1"/>
  <c r="AJ776" i="115"/>
  <c r="AK776" i="115"/>
  <c r="AL776" i="115"/>
  <c r="AM776" i="115"/>
  <c r="AO776" i="115"/>
  <c r="AD777" i="115"/>
  <c r="AE777" i="115" s="1"/>
  <c r="AJ777" i="115"/>
  <c r="AK777" i="115"/>
  <c r="AL777" i="115"/>
  <c r="AM777" i="115"/>
  <c r="AO777" i="115" s="1"/>
  <c r="AD778" i="115"/>
  <c r="AE778" i="115" s="1"/>
  <c r="AJ778" i="115"/>
  <c r="AK778" i="115"/>
  <c r="AL778" i="115"/>
  <c r="AM778" i="115"/>
  <c r="AO778" i="115" s="1"/>
  <c r="AD779" i="115"/>
  <c r="AJ779" i="115"/>
  <c r="AK779" i="115"/>
  <c r="AL779" i="115"/>
  <c r="AM779" i="115"/>
  <c r="AO779" i="115" s="1"/>
  <c r="AD780" i="115"/>
  <c r="AE780" i="115" s="1"/>
  <c r="AJ780" i="115"/>
  <c r="AK780" i="115"/>
  <c r="AL780" i="115"/>
  <c r="AM780" i="115"/>
  <c r="AO780" i="115" s="1"/>
  <c r="AD781" i="115"/>
  <c r="AE781" i="115" s="1"/>
  <c r="AJ781" i="115"/>
  <c r="AK781" i="115"/>
  <c r="AL781" i="115"/>
  <c r="AM781" i="115"/>
  <c r="AO781" i="115" s="1"/>
  <c r="AD782" i="115"/>
  <c r="AE782" i="115" s="1"/>
  <c r="AJ782" i="115"/>
  <c r="AK782" i="115"/>
  <c r="AL782" i="115"/>
  <c r="AM782" i="115"/>
  <c r="AO782" i="115" s="1"/>
  <c r="AD783" i="115"/>
  <c r="AE783" i="115" s="1"/>
  <c r="AF783" i="115"/>
  <c r="AJ783" i="115"/>
  <c r="AK783" i="115"/>
  <c r="AL783" i="115"/>
  <c r="AM783" i="115"/>
  <c r="AO783" i="115" s="1"/>
  <c r="AD784" i="115"/>
  <c r="AE784" i="115" s="1"/>
  <c r="AJ784" i="115"/>
  <c r="AK784" i="115"/>
  <c r="AL784" i="115"/>
  <c r="AM784" i="115"/>
  <c r="AO784" i="115"/>
  <c r="AD785" i="115"/>
  <c r="AE785" i="115" s="1"/>
  <c r="AJ785" i="115"/>
  <c r="AK785" i="115"/>
  <c r="AL785" i="115"/>
  <c r="AM785" i="115"/>
  <c r="AO785" i="115" s="1"/>
  <c r="AD786" i="115"/>
  <c r="AE786" i="115" s="1"/>
  <c r="AJ786" i="115"/>
  <c r="AK786" i="115"/>
  <c r="AL786" i="115"/>
  <c r="AM786" i="115"/>
  <c r="AO786" i="115"/>
  <c r="AD787" i="115"/>
  <c r="AJ787" i="115"/>
  <c r="AK787" i="115"/>
  <c r="AL787" i="115"/>
  <c r="AM787" i="115"/>
  <c r="AO787" i="115" s="1"/>
  <c r="AD788" i="115"/>
  <c r="AE788" i="115" s="1"/>
  <c r="AJ788" i="115"/>
  <c r="AK788" i="115"/>
  <c r="AL788" i="115"/>
  <c r="AM788" i="115"/>
  <c r="AO788" i="115" s="1"/>
  <c r="AD789" i="115"/>
  <c r="AE789" i="115" s="1"/>
  <c r="AJ789" i="115"/>
  <c r="AK789" i="115"/>
  <c r="AL789" i="115"/>
  <c r="AM789" i="115"/>
  <c r="AO789" i="115"/>
  <c r="AD790" i="115"/>
  <c r="AE790" i="115" s="1"/>
  <c r="AJ790" i="115"/>
  <c r="AK790" i="115"/>
  <c r="AL790" i="115"/>
  <c r="AM790" i="115"/>
  <c r="AO790" i="115" s="1"/>
  <c r="AD791" i="115"/>
  <c r="AJ791" i="115"/>
  <c r="AK791" i="115"/>
  <c r="AL791" i="115"/>
  <c r="AM791" i="115"/>
  <c r="AO791" i="115" s="1"/>
  <c r="AD792" i="115"/>
  <c r="AE792" i="115" s="1"/>
  <c r="AJ792" i="115"/>
  <c r="AK792" i="115"/>
  <c r="AL792" i="115"/>
  <c r="AM792" i="115"/>
  <c r="AO792" i="115"/>
  <c r="AD793" i="115"/>
  <c r="AE793" i="115" s="1"/>
  <c r="AJ793" i="115"/>
  <c r="AK793" i="115"/>
  <c r="AL793" i="115"/>
  <c r="AM793" i="115"/>
  <c r="AO793" i="115" s="1"/>
  <c r="AD794" i="115"/>
  <c r="AE794" i="115" s="1"/>
  <c r="AJ794" i="115"/>
  <c r="AK794" i="115"/>
  <c r="AL794" i="115"/>
  <c r="AM794" i="115"/>
  <c r="AO794" i="115"/>
  <c r="AD795" i="115"/>
  <c r="AJ795" i="115"/>
  <c r="AK795" i="115"/>
  <c r="AL795" i="115"/>
  <c r="AM795" i="115"/>
  <c r="AO795" i="115" s="1"/>
  <c r="AD796" i="115"/>
  <c r="AE796" i="115" s="1"/>
  <c r="AJ796" i="115"/>
  <c r="AK796" i="115"/>
  <c r="AL796" i="115"/>
  <c r="AM796" i="115"/>
  <c r="AO796" i="115" s="1"/>
  <c r="AD797" i="115"/>
  <c r="AE797" i="115" s="1"/>
  <c r="AJ797" i="115"/>
  <c r="AK797" i="115"/>
  <c r="AL797" i="115"/>
  <c r="AM797" i="115"/>
  <c r="AO797" i="115"/>
  <c r="AD798" i="115"/>
  <c r="AE798" i="115" s="1"/>
  <c r="AJ798" i="115"/>
  <c r="AK798" i="115"/>
  <c r="AL798" i="115"/>
  <c r="AM798" i="115"/>
  <c r="AO798" i="115" s="1"/>
  <c r="AD799" i="115"/>
  <c r="AE799" i="115" s="1"/>
  <c r="AF799" i="115"/>
  <c r="AG799" i="115"/>
  <c r="AJ799" i="115"/>
  <c r="AK799" i="115"/>
  <c r="AL799" i="115"/>
  <c r="AM799" i="115"/>
  <c r="AO799" i="115" s="1"/>
  <c r="AD800" i="115"/>
  <c r="AE800" i="115" s="1"/>
  <c r="AJ800" i="115"/>
  <c r="AK800" i="115"/>
  <c r="AL800" i="115"/>
  <c r="AM800" i="115"/>
  <c r="AO800" i="115" s="1"/>
  <c r="AD801" i="115"/>
  <c r="AE801" i="115" s="1"/>
  <c r="AJ801" i="115"/>
  <c r="AK801" i="115"/>
  <c r="AL801" i="115"/>
  <c r="AM801" i="115"/>
  <c r="AO801" i="115" s="1"/>
  <c r="AD802" i="115"/>
  <c r="AE802" i="115" s="1"/>
  <c r="AJ802" i="115"/>
  <c r="AK802" i="115"/>
  <c r="AL802" i="115"/>
  <c r="AM802" i="115"/>
  <c r="AO802" i="115"/>
  <c r="AD803" i="115"/>
  <c r="AJ803" i="115"/>
  <c r="AK803" i="115"/>
  <c r="AL803" i="115"/>
  <c r="AM803" i="115"/>
  <c r="AO803" i="115" s="1"/>
  <c r="AD804" i="115"/>
  <c r="AE804" i="115" s="1"/>
  <c r="AJ804" i="115"/>
  <c r="AK804" i="115"/>
  <c r="AL804" i="115"/>
  <c r="AM804" i="115"/>
  <c r="AO804" i="115" s="1"/>
  <c r="AD805" i="115"/>
  <c r="AE805" i="115" s="1"/>
  <c r="AJ805" i="115"/>
  <c r="AK805" i="115"/>
  <c r="AL805" i="115"/>
  <c r="AM805" i="115"/>
  <c r="AO805" i="115"/>
  <c r="AD806" i="115"/>
  <c r="AE806" i="115" s="1"/>
  <c r="AJ806" i="115"/>
  <c r="AK806" i="115"/>
  <c r="AL806" i="115"/>
  <c r="AM806" i="115"/>
  <c r="AO806" i="115" s="1"/>
  <c r="AD807" i="115"/>
  <c r="AE807" i="115" s="1"/>
  <c r="AF807" i="115"/>
  <c r="AG807" i="115"/>
  <c r="AJ807" i="115"/>
  <c r="AK807" i="115"/>
  <c r="AL807" i="115"/>
  <c r="AM807" i="115"/>
  <c r="AO807" i="115" s="1"/>
  <c r="AD808" i="115"/>
  <c r="AE808" i="115" s="1"/>
  <c r="AJ808" i="115"/>
  <c r="AK808" i="115"/>
  <c r="AL808" i="115"/>
  <c r="AM808" i="115"/>
  <c r="AO808" i="115"/>
  <c r="AD809" i="115"/>
  <c r="AE809" i="115" s="1"/>
  <c r="AJ809" i="115"/>
  <c r="AK809" i="115"/>
  <c r="AL809" i="115"/>
  <c r="AM809" i="115"/>
  <c r="AO809" i="115" s="1"/>
  <c r="AD810" i="115"/>
  <c r="AE810" i="115" s="1"/>
  <c r="AJ810" i="115"/>
  <c r="AK810" i="115"/>
  <c r="AL810" i="115"/>
  <c r="AM810" i="115"/>
  <c r="AO810" i="115" s="1"/>
  <c r="AD811" i="115"/>
  <c r="AJ811" i="115"/>
  <c r="AK811" i="115"/>
  <c r="AL811" i="115"/>
  <c r="AM811" i="115"/>
  <c r="AO811" i="115" s="1"/>
  <c r="AD812" i="115"/>
  <c r="AE812" i="115" s="1"/>
  <c r="AJ812" i="115"/>
  <c r="AK812" i="115"/>
  <c r="AL812" i="115"/>
  <c r="AM812" i="115"/>
  <c r="AO812" i="115" s="1"/>
  <c r="AD813" i="115"/>
  <c r="AE813" i="115" s="1"/>
  <c r="AJ813" i="115"/>
  <c r="AK813" i="115"/>
  <c r="AL813" i="115"/>
  <c r="AM813" i="115"/>
  <c r="AO813" i="115" s="1"/>
  <c r="AD814" i="115"/>
  <c r="AE814" i="115" s="1"/>
  <c r="AJ814" i="115"/>
  <c r="AK814" i="115"/>
  <c r="AL814" i="115"/>
  <c r="AM814" i="115"/>
  <c r="AO814" i="115" s="1"/>
  <c r="AD815" i="115"/>
  <c r="AE815" i="115" s="1"/>
  <c r="AF815" i="115"/>
  <c r="AJ815" i="115"/>
  <c r="AK815" i="115"/>
  <c r="AL815" i="115"/>
  <c r="AM815" i="115"/>
  <c r="AO815" i="115" s="1"/>
  <c r="AD816" i="115"/>
  <c r="AE816" i="115" s="1"/>
  <c r="AJ816" i="115"/>
  <c r="AK816" i="115"/>
  <c r="AL816" i="115"/>
  <c r="AM816" i="115"/>
  <c r="AO816" i="115"/>
  <c r="AD817" i="115"/>
  <c r="AE817" i="115" s="1"/>
  <c r="AJ817" i="115"/>
  <c r="AK817" i="115"/>
  <c r="AL817" i="115"/>
  <c r="AM817" i="115"/>
  <c r="AO817" i="115" s="1"/>
  <c r="AD818" i="115"/>
  <c r="AE818" i="115" s="1"/>
  <c r="AJ818" i="115"/>
  <c r="AK818" i="115"/>
  <c r="AL818" i="115"/>
  <c r="AM818" i="115"/>
  <c r="AO818" i="115"/>
  <c r="AD819" i="115"/>
  <c r="AJ819" i="115"/>
  <c r="AK819" i="115"/>
  <c r="AL819" i="115"/>
  <c r="AM819" i="115"/>
  <c r="AO819" i="115" s="1"/>
  <c r="AD820" i="115"/>
  <c r="AE820" i="115" s="1"/>
  <c r="AJ820" i="115"/>
  <c r="AK820" i="115"/>
  <c r="AL820" i="115"/>
  <c r="AM820" i="115"/>
  <c r="AO820" i="115" s="1"/>
  <c r="AD821" i="115"/>
  <c r="AE821" i="115" s="1"/>
  <c r="AJ821" i="115"/>
  <c r="AK821" i="115"/>
  <c r="AL821" i="115"/>
  <c r="AM821" i="115"/>
  <c r="AO821" i="115"/>
  <c r="AD822" i="115"/>
  <c r="AE822" i="115" s="1"/>
  <c r="AJ822" i="115"/>
  <c r="AK822" i="115"/>
  <c r="AL822" i="115"/>
  <c r="AM822" i="115"/>
  <c r="AO822" i="115" s="1"/>
  <c r="AD823" i="115"/>
  <c r="AJ823" i="115"/>
  <c r="AK823" i="115"/>
  <c r="AL823" i="115"/>
  <c r="AM823" i="115"/>
  <c r="AO823" i="115" s="1"/>
  <c r="AD824" i="115"/>
  <c r="AE824" i="115" s="1"/>
  <c r="AJ824" i="115"/>
  <c r="AK824" i="115"/>
  <c r="AL824" i="115"/>
  <c r="AM824" i="115"/>
  <c r="AO824" i="115"/>
  <c r="AD825" i="115"/>
  <c r="AE825" i="115" s="1"/>
  <c r="AJ825" i="115"/>
  <c r="AK825" i="115"/>
  <c r="AL825" i="115"/>
  <c r="AM825" i="115"/>
  <c r="AO825" i="115" s="1"/>
  <c r="AD826" i="115"/>
  <c r="AE826" i="115" s="1"/>
  <c r="AJ826" i="115"/>
  <c r="AK826" i="115"/>
  <c r="AL826" i="115"/>
  <c r="AM826" i="115"/>
  <c r="AO826" i="115"/>
  <c r="AD827" i="115"/>
  <c r="AJ827" i="115"/>
  <c r="AK827" i="115"/>
  <c r="AL827" i="115"/>
  <c r="AM827" i="115"/>
  <c r="AO827" i="115" s="1"/>
  <c r="AD828" i="115"/>
  <c r="AE828" i="115" s="1"/>
  <c r="AJ828" i="115"/>
  <c r="AK828" i="115"/>
  <c r="AL828" i="115"/>
  <c r="AM828" i="115"/>
  <c r="AO828" i="115" s="1"/>
  <c r="AD829" i="115"/>
  <c r="AE829" i="115" s="1"/>
  <c r="AJ829" i="115"/>
  <c r="AK829" i="115"/>
  <c r="AL829" i="115"/>
  <c r="AM829" i="115"/>
  <c r="AO829" i="115"/>
  <c r="AD830" i="115"/>
  <c r="AE830" i="115" s="1"/>
  <c r="AJ830" i="115"/>
  <c r="AK830" i="115"/>
  <c r="AL830" i="115"/>
  <c r="AM830" i="115"/>
  <c r="AO830" i="115" s="1"/>
  <c r="AD831" i="115"/>
  <c r="AE831" i="115" s="1"/>
  <c r="AF831" i="115"/>
  <c r="AG831" i="115"/>
  <c r="AJ831" i="115"/>
  <c r="AK831" i="115"/>
  <c r="AL831" i="115"/>
  <c r="AM831" i="115"/>
  <c r="AO831" i="115" s="1"/>
  <c r="AD832" i="115"/>
  <c r="AE832" i="115" s="1"/>
  <c r="AJ832" i="115"/>
  <c r="AK832" i="115"/>
  <c r="AL832" i="115"/>
  <c r="AM832" i="115"/>
  <c r="AO832" i="115" s="1"/>
  <c r="AD833" i="115"/>
  <c r="AE833" i="115" s="1"/>
  <c r="AJ833" i="115"/>
  <c r="AK833" i="115"/>
  <c r="AL833" i="115"/>
  <c r="AM833" i="115"/>
  <c r="AO833" i="115" s="1"/>
  <c r="AD834" i="115"/>
  <c r="AE834" i="115" s="1"/>
  <c r="AJ834" i="115"/>
  <c r="AK834" i="115"/>
  <c r="AL834" i="115"/>
  <c r="AM834" i="115"/>
  <c r="AO834" i="115"/>
  <c r="AD835" i="115"/>
  <c r="AJ835" i="115"/>
  <c r="AK835" i="115"/>
  <c r="AL835" i="115"/>
  <c r="AM835" i="115"/>
  <c r="AO835" i="115" s="1"/>
  <c r="AD836" i="115"/>
  <c r="AE836" i="115" s="1"/>
  <c r="AJ836" i="115"/>
  <c r="AK836" i="115"/>
  <c r="AL836" i="115"/>
  <c r="AM836" i="115"/>
  <c r="AO836" i="115" s="1"/>
  <c r="AD837" i="115"/>
  <c r="AE837" i="115" s="1"/>
  <c r="AJ837" i="115"/>
  <c r="AK837" i="115"/>
  <c r="AL837" i="115"/>
  <c r="AM837" i="115"/>
  <c r="AO837" i="115"/>
  <c r="AD838" i="115"/>
  <c r="AE838" i="115" s="1"/>
  <c r="AJ838" i="115"/>
  <c r="AK838" i="115"/>
  <c r="AL838" i="115"/>
  <c r="AM838" i="115"/>
  <c r="AO838" i="115" s="1"/>
  <c r="AD839" i="115"/>
  <c r="AE839" i="115" s="1"/>
  <c r="AF839" i="115"/>
  <c r="AG839" i="115"/>
  <c r="AJ839" i="115"/>
  <c r="AK839" i="115"/>
  <c r="AL839" i="115"/>
  <c r="AM839" i="115"/>
  <c r="AO839" i="115" s="1"/>
  <c r="AD840" i="115"/>
  <c r="AE840" i="115" s="1"/>
  <c r="AJ840" i="115"/>
  <c r="AK840" i="115"/>
  <c r="AL840" i="115"/>
  <c r="AM840" i="115"/>
  <c r="AO840" i="115"/>
  <c r="AD841" i="115"/>
  <c r="AE841" i="115" s="1"/>
  <c r="AJ841" i="115"/>
  <c r="AK841" i="115"/>
  <c r="AL841" i="115"/>
  <c r="AM841" i="115"/>
  <c r="AO841" i="115" s="1"/>
  <c r="AD842" i="115"/>
  <c r="AE842" i="115" s="1"/>
  <c r="AJ842" i="115"/>
  <c r="AK842" i="115"/>
  <c r="AL842" i="115"/>
  <c r="AM842" i="115"/>
  <c r="AO842" i="115" s="1"/>
  <c r="AD843" i="115"/>
  <c r="AJ843" i="115"/>
  <c r="AK843" i="115"/>
  <c r="AL843" i="115"/>
  <c r="AM843" i="115"/>
  <c r="AO843" i="115" s="1"/>
  <c r="AD844" i="115"/>
  <c r="AE844" i="115" s="1"/>
  <c r="AJ844" i="115"/>
  <c r="AK844" i="115"/>
  <c r="AL844" i="115"/>
  <c r="AM844" i="115"/>
  <c r="AO844" i="115" s="1"/>
  <c r="AD845" i="115"/>
  <c r="AE845" i="115" s="1"/>
  <c r="AJ845" i="115"/>
  <c r="AK845" i="115"/>
  <c r="AL845" i="115"/>
  <c r="AM845" i="115"/>
  <c r="AO845" i="115" s="1"/>
  <c r="AD846" i="115"/>
  <c r="AE846" i="115" s="1"/>
  <c r="AJ846" i="115"/>
  <c r="AK846" i="115"/>
  <c r="AL846" i="115"/>
  <c r="AM846" i="115"/>
  <c r="AO846" i="115" s="1"/>
  <c r="AD847" i="115"/>
  <c r="AE847" i="115" s="1"/>
  <c r="AF847" i="115"/>
  <c r="AJ847" i="115"/>
  <c r="AK847" i="115"/>
  <c r="AL847" i="115"/>
  <c r="AM847" i="115"/>
  <c r="AO847" i="115" s="1"/>
  <c r="AD848" i="115"/>
  <c r="AE848" i="115" s="1"/>
  <c r="AJ848" i="115"/>
  <c r="AK848" i="115"/>
  <c r="AL848" i="115"/>
  <c r="AM848" i="115"/>
  <c r="AO848" i="115"/>
  <c r="AD849" i="115"/>
  <c r="AE849" i="115" s="1"/>
  <c r="AJ849" i="115"/>
  <c r="AK849" i="115"/>
  <c r="AL849" i="115"/>
  <c r="AM849" i="115"/>
  <c r="AO849" i="115" s="1"/>
  <c r="AD850" i="115"/>
  <c r="AE850" i="115" s="1"/>
  <c r="AJ850" i="115"/>
  <c r="AK850" i="115"/>
  <c r="AL850" i="115"/>
  <c r="AM850" i="115"/>
  <c r="AO850" i="115"/>
  <c r="AD851" i="115"/>
  <c r="AJ851" i="115"/>
  <c r="AK851" i="115"/>
  <c r="AL851" i="115"/>
  <c r="AM851" i="115"/>
  <c r="AO851" i="115" s="1"/>
  <c r="AD852" i="115"/>
  <c r="AE852" i="115" s="1"/>
  <c r="AJ852" i="115"/>
  <c r="AK852" i="115"/>
  <c r="AL852" i="115"/>
  <c r="AM852" i="115"/>
  <c r="AO852" i="115" s="1"/>
  <c r="AD853" i="115"/>
  <c r="AE853" i="115" s="1"/>
  <c r="AJ853" i="115"/>
  <c r="AK853" i="115"/>
  <c r="AL853" i="115"/>
  <c r="AM853" i="115"/>
  <c r="AO853" i="115"/>
  <c r="AD854" i="115"/>
  <c r="AE854" i="115" s="1"/>
  <c r="AJ854" i="115"/>
  <c r="AK854" i="115"/>
  <c r="AL854" i="115"/>
  <c r="AM854" i="115"/>
  <c r="AO854" i="115" s="1"/>
  <c r="AD855" i="115"/>
  <c r="AJ855" i="115"/>
  <c r="AK855" i="115"/>
  <c r="AL855" i="115"/>
  <c r="AM855" i="115"/>
  <c r="AO855" i="115" s="1"/>
  <c r="AD856" i="115"/>
  <c r="AE856" i="115" s="1"/>
  <c r="AJ856" i="115"/>
  <c r="AK856" i="115"/>
  <c r="AL856" i="115"/>
  <c r="AM856" i="115"/>
  <c r="AO856" i="115"/>
  <c r="AD857" i="115"/>
  <c r="AE857" i="115" s="1"/>
  <c r="AJ857" i="115"/>
  <c r="AK857" i="115"/>
  <c r="AL857" i="115"/>
  <c r="AM857" i="115"/>
  <c r="AO857" i="115" s="1"/>
  <c r="AD858" i="115"/>
  <c r="AE858" i="115" s="1"/>
  <c r="AJ858" i="115"/>
  <c r="AK858" i="115"/>
  <c r="AL858" i="115"/>
  <c r="AM858" i="115"/>
  <c r="AO858" i="115"/>
  <c r="AD859" i="115"/>
  <c r="AJ859" i="115"/>
  <c r="AK859" i="115"/>
  <c r="AL859" i="115"/>
  <c r="AM859" i="115"/>
  <c r="AO859" i="115" s="1"/>
  <c r="AD860" i="115"/>
  <c r="AE860" i="115" s="1"/>
  <c r="AJ860" i="115"/>
  <c r="AK860" i="115"/>
  <c r="AL860" i="115"/>
  <c r="AM860" i="115"/>
  <c r="AO860" i="115" s="1"/>
  <c r="AD861" i="115"/>
  <c r="AE861" i="115" s="1"/>
  <c r="AJ861" i="115"/>
  <c r="AK861" i="115"/>
  <c r="AL861" i="115"/>
  <c r="AM861" i="115"/>
  <c r="AO861" i="115"/>
  <c r="AD862" i="115"/>
  <c r="AE862" i="115" s="1"/>
  <c r="AJ862" i="115"/>
  <c r="AK862" i="115"/>
  <c r="AL862" i="115"/>
  <c r="AM862" i="115"/>
  <c r="AO862" i="115" s="1"/>
  <c r="AD863" i="115"/>
  <c r="AE863" i="115" s="1"/>
  <c r="AF863" i="115"/>
  <c r="AG863" i="115"/>
  <c r="AJ863" i="115"/>
  <c r="AK863" i="115"/>
  <c r="AL863" i="115"/>
  <c r="AM863" i="115"/>
  <c r="AO863" i="115" s="1"/>
  <c r="AD864" i="115"/>
  <c r="AE864" i="115" s="1"/>
  <c r="AJ864" i="115"/>
  <c r="AK864" i="115"/>
  <c r="AL864" i="115"/>
  <c r="AM864" i="115"/>
  <c r="AO864" i="115" s="1"/>
  <c r="AD865" i="115"/>
  <c r="AE865" i="115" s="1"/>
  <c r="AJ865" i="115"/>
  <c r="AK865" i="115"/>
  <c r="AL865" i="115"/>
  <c r="AM865" i="115"/>
  <c r="AO865" i="115" s="1"/>
  <c r="AD866" i="115"/>
  <c r="AE866" i="115" s="1"/>
  <c r="AJ866" i="115"/>
  <c r="AK866" i="115"/>
  <c r="AL866" i="115"/>
  <c r="AM866" i="115"/>
  <c r="AO866" i="115"/>
  <c r="AD867" i="115"/>
  <c r="AJ867" i="115"/>
  <c r="AK867" i="115"/>
  <c r="AL867" i="115"/>
  <c r="AM867" i="115"/>
  <c r="AO867" i="115" s="1"/>
  <c r="AD868" i="115"/>
  <c r="AE868" i="115" s="1"/>
  <c r="AJ868" i="115"/>
  <c r="AK868" i="115"/>
  <c r="AL868" i="115"/>
  <c r="AM868" i="115"/>
  <c r="AO868" i="115" s="1"/>
  <c r="AD869" i="115"/>
  <c r="AE869" i="115" s="1"/>
  <c r="AJ869" i="115"/>
  <c r="AK869" i="115"/>
  <c r="AL869" i="115"/>
  <c r="AM869" i="115"/>
  <c r="AO869" i="115"/>
  <c r="AD870" i="115"/>
  <c r="AE870" i="115" s="1"/>
  <c r="AJ870" i="115"/>
  <c r="AK870" i="115"/>
  <c r="AL870" i="115"/>
  <c r="AM870" i="115"/>
  <c r="AO870" i="115" s="1"/>
  <c r="AD871" i="115"/>
  <c r="AE871" i="115" s="1"/>
  <c r="AF871" i="115" s="1"/>
  <c r="AG871" i="115"/>
  <c r="AJ871" i="115"/>
  <c r="AK871" i="115"/>
  <c r="AL871" i="115"/>
  <c r="AM871" i="115"/>
  <c r="AO871" i="115" s="1"/>
  <c r="AD872" i="115"/>
  <c r="AE872" i="115" s="1"/>
  <c r="AJ872" i="115"/>
  <c r="AK872" i="115"/>
  <c r="AL872" i="115"/>
  <c r="AM872" i="115"/>
  <c r="AO872" i="115"/>
  <c r="AD873" i="115"/>
  <c r="AE873" i="115" s="1"/>
  <c r="AJ873" i="115"/>
  <c r="AK873" i="115"/>
  <c r="AL873" i="115"/>
  <c r="AM873" i="115"/>
  <c r="AO873" i="115" s="1"/>
  <c r="AD874" i="115"/>
  <c r="AE874" i="115" s="1"/>
  <c r="AJ874" i="115"/>
  <c r="AK874" i="115"/>
  <c r="AL874" i="115"/>
  <c r="AM874" i="115"/>
  <c r="AO874" i="115" s="1"/>
  <c r="AD875" i="115"/>
  <c r="AE875" i="115" s="1"/>
  <c r="AF875" i="115"/>
  <c r="AG875" i="115"/>
  <c r="AJ875" i="115"/>
  <c r="AK875" i="115"/>
  <c r="AL875" i="115"/>
  <c r="AM875" i="115"/>
  <c r="AO875" i="115" s="1"/>
  <c r="AD876" i="115"/>
  <c r="AE876" i="115" s="1"/>
  <c r="AJ876" i="115"/>
  <c r="AK876" i="115"/>
  <c r="AL876" i="115"/>
  <c r="AM876" i="115"/>
  <c r="AO876" i="115" s="1"/>
  <c r="AD877" i="115"/>
  <c r="AE877" i="115" s="1"/>
  <c r="AJ877" i="115"/>
  <c r="AK877" i="115"/>
  <c r="AL877" i="115"/>
  <c r="AM877" i="115"/>
  <c r="AO877" i="115" s="1"/>
  <c r="AD878" i="115"/>
  <c r="AE878" i="115" s="1"/>
  <c r="AJ878" i="115"/>
  <c r="AK878" i="115"/>
  <c r="AL878" i="115"/>
  <c r="AM878" i="115"/>
  <c r="AO878" i="115" s="1"/>
  <c r="AD879" i="115"/>
  <c r="AJ879" i="115"/>
  <c r="AK879" i="115"/>
  <c r="AL879" i="115"/>
  <c r="AM879" i="115"/>
  <c r="AO879" i="115" s="1"/>
  <c r="AD880" i="115"/>
  <c r="AE880" i="115" s="1"/>
  <c r="AJ880" i="115"/>
  <c r="AK880" i="115"/>
  <c r="AL880" i="115"/>
  <c r="AM880" i="115"/>
  <c r="AO880" i="115"/>
  <c r="AD881" i="115"/>
  <c r="AE881" i="115" s="1"/>
  <c r="AJ881" i="115"/>
  <c r="AK881" i="115"/>
  <c r="AL881" i="115"/>
  <c r="AM881" i="115"/>
  <c r="AO881" i="115" s="1"/>
  <c r="AD882" i="115"/>
  <c r="AE882" i="115" s="1"/>
  <c r="AJ882" i="115"/>
  <c r="AK882" i="115"/>
  <c r="AL882" i="115"/>
  <c r="AM882" i="115"/>
  <c r="AO882" i="115" s="1"/>
  <c r="AD883" i="115"/>
  <c r="AE883" i="115" s="1"/>
  <c r="AF883" i="115"/>
  <c r="AJ883" i="115"/>
  <c r="AK883" i="115"/>
  <c r="AL883" i="115"/>
  <c r="AM883" i="115"/>
  <c r="AO883" i="115" s="1"/>
  <c r="AD884" i="115"/>
  <c r="AE884" i="115" s="1"/>
  <c r="AJ884" i="115"/>
  <c r="AK884" i="115"/>
  <c r="AL884" i="115"/>
  <c r="AM884" i="115"/>
  <c r="AO884" i="115" s="1"/>
  <c r="AD885" i="115"/>
  <c r="AE885" i="115" s="1"/>
  <c r="AJ885" i="115"/>
  <c r="AK885" i="115"/>
  <c r="AL885" i="115"/>
  <c r="AM885" i="115"/>
  <c r="AO885" i="115" s="1"/>
  <c r="AD886" i="115"/>
  <c r="AE886" i="115" s="1"/>
  <c r="AJ886" i="115"/>
  <c r="AK886" i="115"/>
  <c r="AL886" i="115"/>
  <c r="AM886" i="115"/>
  <c r="AO886" i="115" s="1"/>
  <c r="AD887" i="115"/>
  <c r="AE887" i="115" s="1"/>
  <c r="AG887" i="115"/>
  <c r="AJ887" i="115"/>
  <c r="AK887" i="115"/>
  <c r="AL887" i="115"/>
  <c r="AM887" i="115"/>
  <c r="AO887" i="115" s="1"/>
  <c r="AD888" i="115"/>
  <c r="AE888" i="115" s="1"/>
  <c r="AJ888" i="115"/>
  <c r="AK888" i="115"/>
  <c r="AL888" i="115"/>
  <c r="AM888" i="115"/>
  <c r="AO888" i="115"/>
  <c r="AD889" i="115"/>
  <c r="AE889" i="115" s="1"/>
  <c r="AJ889" i="115"/>
  <c r="AK889" i="115"/>
  <c r="AL889" i="115"/>
  <c r="AM889" i="115"/>
  <c r="AO889" i="115" s="1"/>
  <c r="AD890" i="115"/>
  <c r="AE890" i="115" s="1"/>
  <c r="AJ890" i="115"/>
  <c r="AK890" i="115"/>
  <c r="AL890" i="115"/>
  <c r="AM890" i="115"/>
  <c r="AO890" i="115" s="1"/>
  <c r="AD891" i="115"/>
  <c r="AE891" i="115" s="1"/>
  <c r="AF891" i="115"/>
  <c r="AG891" i="115"/>
  <c r="AJ891" i="115"/>
  <c r="AK891" i="115"/>
  <c r="AL891" i="115"/>
  <c r="AM891" i="115"/>
  <c r="AO891" i="115" s="1"/>
  <c r="AD892" i="115"/>
  <c r="AE892" i="115" s="1"/>
  <c r="AJ892" i="115"/>
  <c r="AK892" i="115"/>
  <c r="AL892" i="115"/>
  <c r="AM892" i="115"/>
  <c r="AO892" i="115" s="1"/>
  <c r="AD893" i="115"/>
  <c r="AE893" i="115" s="1"/>
  <c r="AJ893" i="115"/>
  <c r="AK893" i="115"/>
  <c r="AL893" i="115"/>
  <c r="AM893" i="115"/>
  <c r="AO893" i="115" s="1"/>
  <c r="AD894" i="115"/>
  <c r="AE894" i="115" s="1"/>
  <c r="AJ894" i="115"/>
  <c r="AK894" i="115"/>
  <c r="AL894" i="115"/>
  <c r="AM894" i="115"/>
  <c r="AO894" i="115" s="1"/>
  <c r="AD895" i="115"/>
  <c r="AJ895" i="115"/>
  <c r="AK895" i="115"/>
  <c r="AL895" i="115"/>
  <c r="AM895" i="115"/>
  <c r="AO895" i="115" s="1"/>
  <c r="AD896" i="115"/>
  <c r="AE896" i="115" s="1"/>
  <c r="AJ896" i="115"/>
  <c r="AK896" i="115"/>
  <c r="AL896" i="115"/>
  <c r="AM896" i="115"/>
  <c r="AO896" i="115"/>
  <c r="AD897" i="115"/>
  <c r="AE897" i="115" s="1"/>
  <c r="AJ897" i="115"/>
  <c r="AK897" i="115"/>
  <c r="AL897" i="115"/>
  <c r="AM897" i="115"/>
  <c r="AO897" i="115" s="1"/>
  <c r="AD898" i="115"/>
  <c r="AE898" i="115" s="1"/>
  <c r="AJ898" i="115"/>
  <c r="AK898" i="115"/>
  <c r="AL898" i="115"/>
  <c r="AM898" i="115"/>
  <c r="AO898" i="115" s="1"/>
  <c r="AD899" i="115"/>
  <c r="AE899" i="115" s="1"/>
  <c r="AF899" i="115"/>
  <c r="AJ899" i="115"/>
  <c r="AK899" i="115"/>
  <c r="AL899" i="115"/>
  <c r="AM899" i="115"/>
  <c r="AO899" i="115" s="1"/>
  <c r="AD900" i="115"/>
  <c r="AE900" i="115" s="1"/>
  <c r="AJ900" i="115"/>
  <c r="AK900" i="115"/>
  <c r="AL900" i="115"/>
  <c r="AM900" i="115"/>
  <c r="AO900" i="115" s="1"/>
  <c r="AD901" i="115"/>
  <c r="AE901" i="115" s="1"/>
  <c r="AJ901" i="115"/>
  <c r="AK901" i="115"/>
  <c r="AL901" i="115"/>
  <c r="AM901" i="115"/>
  <c r="AO901" i="115" s="1"/>
  <c r="AD902" i="115"/>
  <c r="AE902" i="115" s="1"/>
  <c r="AJ902" i="115"/>
  <c r="AK902" i="115"/>
  <c r="AL902" i="115"/>
  <c r="AM902" i="115"/>
  <c r="AO902" i="115" s="1"/>
  <c r="AD903" i="115"/>
  <c r="AE903" i="115" s="1"/>
  <c r="AG903" i="115"/>
  <c r="AJ903" i="115"/>
  <c r="AK903" i="115"/>
  <c r="AL903" i="115"/>
  <c r="AM903" i="115"/>
  <c r="AO903" i="115" s="1"/>
  <c r="AD904" i="115"/>
  <c r="AE904" i="115" s="1"/>
  <c r="AJ904" i="115"/>
  <c r="AK904" i="115"/>
  <c r="AL904" i="115"/>
  <c r="AM904" i="115"/>
  <c r="AO904" i="115"/>
  <c r="AD905" i="115"/>
  <c r="AE905" i="115" s="1"/>
  <c r="AJ905" i="115"/>
  <c r="AK905" i="115"/>
  <c r="AL905" i="115"/>
  <c r="AM905" i="115"/>
  <c r="AO905" i="115" s="1"/>
  <c r="AD906" i="115"/>
  <c r="AE906" i="115" s="1"/>
  <c r="AJ906" i="115"/>
  <c r="AK906" i="115"/>
  <c r="AL906" i="115"/>
  <c r="AM906" i="115"/>
  <c r="AO906" i="115" s="1"/>
  <c r="AD907" i="115"/>
  <c r="AE907" i="115" s="1"/>
  <c r="AF907" i="115"/>
  <c r="AG907" i="115"/>
  <c r="AJ907" i="115"/>
  <c r="AK907" i="115"/>
  <c r="AL907" i="115"/>
  <c r="AM907" i="115"/>
  <c r="AO907" i="115" s="1"/>
  <c r="AD908" i="115"/>
  <c r="AE908" i="115" s="1"/>
  <c r="AJ908" i="115"/>
  <c r="AK908" i="115"/>
  <c r="AL908" i="115"/>
  <c r="AM908" i="115"/>
  <c r="AO908" i="115" s="1"/>
  <c r="AD909" i="115"/>
  <c r="AE909" i="115" s="1"/>
  <c r="AJ909" i="115"/>
  <c r="AK909" i="115"/>
  <c r="AL909" i="115"/>
  <c r="AM909" i="115"/>
  <c r="AO909" i="115" s="1"/>
  <c r="AD910" i="115"/>
  <c r="AE910" i="115" s="1"/>
  <c r="AJ910" i="115"/>
  <c r="AK910" i="115"/>
  <c r="AL910" i="115"/>
  <c r="AM910" i="115"/>
  <c r="AO910" i="115" s="1"/>
  <c r="AD911" i="115"/>
  <c r="AJ911" i="115"/>
  <c r="AK911" i="115"/>
  <c r="AL911" i="115"/>
  <c r="AM911" i="115"/>
  <c r="AO911" i="115" s="1"/>
  <c r="AD912" i="115"/>
  <c r="AE912" i="115" s="1"/>
  <c r="AJ912" i="115"/>
  <c r="AK912" i="115"/>
  <c r="AL912" i="115"/>
  <c r="AM912" i="115"/>
  <c r="AO912" i="115"/>
  <c r="AD913" i="115"/>
  <c r="AE913" i="115" s="1"/>
  <c r="AJ913" i="115"/>
  <c r="AK913" i="115"/>
  <c r="AL913" i="115"/>
  <c r="AM913" i="115"/>
  <c r="AO913" i="115" s="1"/>
  <c r="AD914" i="115"/>
  <c r="AE914" i="115" s="1"/>
  <c r="AJ914" i="115"/>
  <c r="AK914" i="115"/>
  <c r="AL914" i="115"/>
  <c r="AM914" i="115"/>
  <c r="AO914" i="115" s="1"/>
  <c r="AD915" i="115"/>
  <c r="AE915" i="115" s="1"/>
  <c r="AF915" i="115"/>
  <c r="AJ915" i="115"/>
  <c r="AK915" i="115"/>
  <c r="AL915" i="115"/>
  <c r="AM915" i="115"/>
  <c r="AO915" i="115" s="1"/>
  <c r="AD916" i="115"/>
  <c r="AE916" i="115" s="1"/>
  <c r="AJ916" i="115"/>
  <c r="AK916" i="115"/>
  <c r="AL916" i="115"/>
  <c r="AM916" i="115"/>
  <c r="AO916" i="115" s="1"/>
  <c r="AD917" i="115"/>
  <c r="AE917" i="115" s="1"/>
  <c r="AJ917" i="115"/>
  <c r="AK917" i="115"/>
  <c r="AL917" i="115"/>
  <c r="AM917" i="115"/>
  <c r="AO917" i="115" s="1"/>
  <c r="AD918" i="115"/>
  <c r="AE918" i="115" s="1"/>
  <c r="AJ918" i="115"/>
  <c r="AK918" i="115"/>
  <c r="AL918" i="115"/>
  <c r="AM918" i="115"/>
  <c r="AO918" i="115" s="1"/>
  <c r="AD919" i="115"/>
  <c r="AE919" i="115" s="1"/>
  <c r="AG919" i="115"/>
  <c r="AJ919" i="115"/>
  <c r="AK919" i="115"/>
  <c r="AL919" i="115"/>
  <c r="AM919" i="115"/>
  <c r="AO919" i="115" s="1"/>
  <c r="AD920" i="115"/>
  <c r="AE920" i="115" s="1"/>
  <c r="AJ920" i="115"/>
  <c r="AK920" i="115"/>
  <c r="AL920" i="115"/>
  <c r="AM920" i="115"/>
  <c r="AO920" i="115"/>
  <c r="AD921" i="115"/>
  <c r="AE921" i="115" s="1"/>
  <c r="AJ921" i="115"/>
  <c r="AK921" i="115"/>
  <c r="AL921" i="115"/>
  <c r="AM921" i="115"/>
  <c r="AO921" i="115" s="1"/>
  <c r="AD922" i="115"/>
  <c r="AE922" i="115" s="1"/>
  <c r="AJ922" i="115"/>
  <c r="AK922" i="115"/>
  <c r="AL922" i="115"/>
  <c r="AM922" i="115"/>
  <c r="AO922" i="115" s="1"/>
  <c r="AD923" i="115"/>
  <c r="AE923" i="115" s="1"/>
  <c r="AF923" i="115"/>
  <c r="AG923" i="115"/>
  <c r="AJ923" i="115"/>
  <c r="AK923" i="115"/>
  <c r="AL923" i="115"/>
  <c r="AM923" i="115"/>
  <c r="AO923" i="115" s="1"/>
  <c r="AD924" i="115"/>
  <c r="AE924" i="115" s="1"/>
  <c r="AJ924" i="115"/>
  <c r="AK924" i="115"/>
  <c r="AL924" i="115"/>
  <c r="AM924" i="115"/>
  <c r="AO924" i="115" s="1"/>
  <c r="AD925" i="115"/>
  <c r="AE925" i="115" s="1"/>
  <c r="AJ925" i="115"/>
  <c r="AK925" i="115"/>
  <c r="AL925" i="115"/>
  <c r="AM925" i="115"/>
  <c r="AO925" i="115" s="1"/>
  <c r="AD926" i="115"/>
  <c r="AE926" i="115" s="1"/>
  <c r="AJ926" i="115"/>
  <c r="AK926" i="115"/>
  <c r="AL926" i="115"/>
  <c r="AM926" i="115"/>
  <c r="AO926" i="115" s="1"/>
  <c r="AD927" i="115"/>
  <c r="AJ927" i="115"/>
  <c r="AK927" i="115"/>
  <c r="AL927" i="115"/>
  <c r="AM927" i="115"/>
  <c r="AO927" i="115" s="1"/>
  <c r="AD928" i="115"/>
  <c r="AE928" i="115" s="1"/>
  <c r="AJ928" i="115"/>
  <c r="AK928" i="115"/>
  <c r="AL928" i="115"/>
  <c r="AM928" i="115"/>
  <c r="AO928" i="115"/>
  <c r="AD929" i="115"/>
  <c r="AE929" i="115" s="1"/>
  <c r="AJ929" i="115"/>
  <c r="AK929" i="115"/>
  <c r="AL929" i="115"/>
  <c r="AM929" i="115"/>
  <c r="AO929" i="115" s="1"/>
  <c r="AD930" i="115"/>
  <c r="AE930" i="115" s="1"/>
  <c r="AJ930" i="115"/>
  <c r="AK930" i="115"/>
  <c r="AL930" i="115"/>
  <c r="AM930" i="115"/>
  <c r="AO930" i="115" s="1"/>
  <c r="AD931" i="115"/>
  <c r="AE931" i="115" s="1"/>
  <c r="AF931" i="115"/>
  <c r="AJ931" i="115"/>
  <c r="AK931" i="115"/>
  <c r="AL931" i="115"/>
  <c r="AM931" i="115"/>
  <c r="AO931" i="115" s="1"/>
  <c r="AD932" i="115"/>
  <c r="AE932" i="115" s="1"/>
  <c r="AJ932" i="115"/>
  <c r="AK932" i="115"/>
  <c r="AL932" i="115"/>
  <c r="AM932" i="115"/>
  <c r="AO932" i="115" s="1"/>
  <c r="AD933" i="115"/>
  <c r="AJ933" i="115"/>
  <c r="AK933" i="115"/>
  <c r="AL933" i="115"/>
  <c r="AM933" i="115"/>
  <c r="AO933" i="115" s="1"/>
  <c r="AD934" i="115"/>
  <c r="AJ934" i="115"/>
  <c r="AK934" i="115"/>
  <c r="AL934" i="115"/>
  <c r="AM934" i="115"/>
  <c r="AO934" i="115"/>
  <c r="AD935" i="115"/>
  <c r="AJ935" i="115"/>
  <c r="AK935" i="115"/>
  <c r="AL935" i="115"/>
  <c r="AM935" i="115"/>
  <c r="AO935" i="115" s="1"/>
  <c r="AD936" i="115"/>
  <c r="AE936" i="115" s="1"/>
  <c r="AJ936" i="115"/>
  <c r="AK936" i="115"/>
  <c r="AL936" i="115"/>
  <c r="AM936" i="115"/>
  <c r="AO936" i="115" s="1"/>
  <c r="AD937" i="115"/>
  <c r="AJ937" i="115"/>
  <c r="AK937" i="115"/>
  <c r="AL937" i="115"/>
  <c r="AM937" i="115"/>
  <c r="AO937" i="115" s="1"/>
  <c r="AD938" i="115"/>
  <c r="AJ938" i="115"/>
  <c r="AK938" i="115"/>
  <c r="AL938" i="115"/>
  <c r="AM938" i="115"/>
  <c r="AO938" i="115"/>
  <c r="AD939" i="115"/>
  <c r="AJ939" i="115"/>
  <c r="AK939" i="115"/>
  <c r="AL939" i="115"/>
  <c r="AM939" i="115"/>
  <c r="AO939" i="115" s="1"/>
  <c r="AD940" i="115"/>
  <c r="AE940" i="115" s="1"/>
  <c r="AJ940" i="115"/>
  <c r="AK940" i="115"/>
  <c r="AL940" i="115"/>
  <c r="AM940" i="115"/>
  <c r="AO940" i="115" s="1"/>
  <c r="AD941" i="115"/>
  <c r="AJ941" i="115"/>
  <c r="AK941" i="115"/>
  <c r="AL941" i="115"/>
  <c r="AM941" i="115"/>
  <c r="AO941" i="115" s="1"/>
  <c r="AD942" i="115"/>
  <c r="AJ942" i="115"/>
  <c r="AK942" i="115"/>
  <c r="AL942" i="115"/>
  <c r="AM942" i="115"/>
  <c r="AO942" i="115"/>
  <c r="AD943" i="115"/>
  <c r="AJ943" i="115"/>
  <c r="AK943" i="115"/>
  <c r="AL943" i="115"/>
  <c r="AM943" i="115"/>
  <c r="AO943" i="115" s="1"/>
  <c r="AD944" i="115"/>
  <c r="AE944" i="115" s="1"/>
  <c r="AJ944" i="115"/>
  <c r="AK944" i="115"/>
  <c r="AL944" i="115"/>
  <c r="AM944" i="115"/>
  <c r="AO944" i="115" s="1"/>
  <c r="AD945" i="115"/>
  <c r="AJ945" i="115"/>
  <c r="AK945" i="115"/>
  <c r="AL945" i="115"/>
  <c r="AM945" i="115"/>
  <c r="AO945" i="115" s="1"/>
  <c r="AD946" i="115"/>
  <c r="AJ946" i="115"/>
  <c r="AK946" i="115"/>
  <c r="AL946" i="115"/>
  <c r="AM946" i="115"/>
  <c r="AO946" i="115"/>
  <c r="AD947" i="115"/>
  <c r="AJ947" i="115"/>
  <c r="AK947" i="115"/>
  <c r="AL947" i="115"/>
  <c r="AM947" i="115"/>
  <c r="AO947" i="115" s="1"/>
  <c r="AD948" i="115"/>
  <c r="AE948" i="115" s="1"/>
  <c r="AJ948" i="115"/>
  <c r="AK948" i="115"/>
  <c r="AL948" i="115"/>
  <c r="AM948" i="115"/>
  <c r="AO948" i="115" s="1"/>
  <c r="AD949" i="115"/>
  <c r="AJ949" i="115"/>
  <c r="AK949" i="115"/>
  <c r="AL949" i="115"/>
  <c r="AM949" i="115"/>
  <c r="AO949" i="115" s="1"/>
  <c r="AD950" i="115"/>
  <c r="AJ950" i="115"/>
  <c r="AK950" i="115"/>
  <c r="AL950" i="115"/>
  <c r="AM950" i="115"/>
  <c r="AO950" i="115"/>
  <c r="AD951" i="115"/>
  <c r="AJ951" i="115"/>
  <c r="AK951" i="115"/>
  <c r="AL951" i="115"/>
  <c r="AM951" i="115"/>
  <c r="AO951" i="115" s="1"/>
  <c r="AD952" i="115"/>
  <c r="AE952" i="115" s="1"/>
  <c r="AJ952" i="115"/>
  <c r="AK952" i="115"/>
  <c r="AL952" i="115"/>
  <c r="AM952" i="115"/>
  <c r="AO952" i="115" s="1"/>
  <c r="AD953" i="115"/>
  <c r="AJ953" i="115"/>
  <c r="AK953" i="115"/>
  <c r="AL953" i="115"/>
  <c r="AM953" i="115"/>
  <c r="AO953" i="115" s="1"/>
  <c r="AD954" i="115"/>
  <c r="AJ954" i="115"/>
  <c r="AK954" i="115"/>
  <c r="AL954" i="115"/>
  <c r="AM954" i="115"/>
  <c r="AO954" i="115"/>
  <c r="AD955" i="115"/>
  <c r="AJ955" i="115"/>
  <c r="AK955" i="115"/>
  <c r="AL955" i="115"/>
  <c r="AM955" i="115"/>
  <c r="AO955" i="115" s="1"/>
  <c r="AD956" i="115"/>
  <c r="AE956" i="115" s="1"/>
  <c r="AJ956" i="115"/>
  <c r="AK956" i="115"/>
  <c r="AL956" i="115"/>
  <c r="AM956" i="115"/>
  <c r="AO956" i="115" s="1"/>
  <c r="AD957" i="115"/>
  <c r="AJ957" i="115"/>
  <c r="AK957" i="115"/>
  <c r="AL957" i="115"/>
  <c r="AM957" i="115"/>
  <c r="AO957" i="115" s="1"/>
  <c r="AD958" i="115"/>
  <c r="AJ958" i="115"/>
  <c r="AK958" i="115"/>
  <c r="AL958" i="115"/>
  <c r="AM958" i="115"/>
  <c r="AO958" i="115"/>
  <c r="AD959" i="115"/>
  <c r="AJ959" i="115"/>
  <c r="AK959" i="115"/>
  <c r="AL959" i="115"/>
  <c r="AM959" i="115"/>
  <c r="AO959" i="115" s="1"/>
  <c r="AD960" i="115"/>
  <c r="AE960" i="115" s="1"/>
  <c r="AJ960" i="115"/>
  <c r="AK960" i="115"/>
  <c r="AL960" i="115"/>
  <c r="AM960" i="115"/>
  <c r="AO960" i="115" s="1"/>
  <c r="AD961" i="115"/>
  <c r="AJ961" i="115"/>
  <c r="AK961" i="115"/>
  <c r="AL961" i="115"/>
  <c r="AM961" i="115"/>
  <c r="AO961" i="115" s="1"/>
  <c r="AD962" i="115"/>
  <c r="AJ962" i="115"/>
  <c r="AK962" i="115"/>
  <c r="AL962" i="115"/>
  <c r="AM962" i="115"/>
  <c r="AO962" i="115"/>
  <c r="AD963" i="115"/>
  <c r="AJ963" i="115"/>
  <c r="AK963" i="115"/>
  <c r="AL963" i="115"/>
  <c r="AM963" i="115"/>
  <c r="AO963" i="115" s="1"/>
  <c r="AD964" i="115"/>
  <c r="AE964" i="115" s="1"/>
  <c r="AJ964" i="115"/>
  <c r="AK964" i="115"/>
  <c r="AL964" i="115"/>
  <c r="AM964" i="115"/>
  <c r="AO964" i="115" s="1"/>
  <c r="AD965" i="115"/>
  <c r="AJ965" i="115"/>
  <c r="AK965" i="115"/>
  <c r="AL965" i="115"/>
  <c r="AM965" i="115"/>
  <c r="AO965" i="115" s="1"/>
  <c r="AD966" i="115"/>
  <c r="AJ966" i="115"/>
  <c r="AK966" i="115"/>
  <c r="AL966" i="115"/>
  <c r="AM966" i="115"/>
  <c r="AO966" i="115"/>
  <c r="AD967" i="115"/>
  <c r="AJ967" i="115"/>
  <c r="AK967" i="115"/>
  <c r="AL967" i="115"/>
  <c r="AM967" i="115"/>
  <c r="AO967" i="115" s="1"/>
  <c r="AD968" i="115"/>
  <c r="AE968" i="115" s="1"/>
  <c r="AJ968" i="115"/>
  <c r="AK968" i="115"/>
  <c r="AL968" i="115"/>
  <c r="AM968" i="115"/>
  <c r="AO968" i="115" s="1"/>
  <c r="AD969" i="115"/>
  <c r="AJ969" i="115"/>
  <c r="AK969" i="115"/>
  <c r="AL969" i="115"/>
  <c r="AM969" i="115"/>
  <c r="AO969" i="115" s="1"/>
  <c r="AD970" i="115"/>
  <c r="AJ970" i="115"/>
  <c r="AK970" i="115"/>
  <c r="AL970" i="115"/>
  <c r="AM970" i="115"/>
  <c r="AO970" i="115"/>
  <c r="AD971" i="115"/>
  <c r="AJ971" i="115"/>
  <c r="AK971" i="115"/>
  <c r="AL971" i="115"/>
  <c r="AM971" i="115"/>
  <c r="AO971" i="115" s="1"/>
  <c r="AD972" i="115"/>
  <c r="AE972" i="115" s="1"/>
  <c r="AJ972" i="115"/>
  <c r="AK972" i="115"/>
  <c r="AL972" i="115"/>
  <c r="AM972" i="115"/>
  <c r="AO972" i="115" s="1"/>
  <c r="AD973" i="115"/>
  <c r="AJ973" i="115"/>
  <c r="AK973" i="115"/>
  <c r="AL973" i="115"/>
  <c r="AM973" i="115"/>
  <c r="AO973" i="115" s="1"/>
  <c r="AD974" i="115"/>
  <c r="AJ974" i="115"/>
  <c r="AK974" i="115"/>
  <c r="AL974" i="115"/>
  <c r="AM974" i="115"/>
  <c r="AO974" i="115"/>
  <c r="AD975" i="115"/>
  <c r="AJ975" i="115"/>
  <c r="AK975" i="115"/>
  <c r="AL975" i="115"/>
  <c r="AM975" i="115"/>
  <c r="AO975" i="115" s="1"/>
  <c r="AD976" i="115"/>
  <c r="AE976" i="115" s="1"/>
  <c r="AJ976" i="115"/>
  <c r="AK976" i="115"/>
  <c r="AL976" i="115"/>
  <c r="AM976" i="115"/>
  <c r="AO976" i="115" s="1"/>
  <c r="AD977" i="115"/>
  <c r="AJ977" i="115"/>
  <c r="AK977" i="115"/>
  <c r="AL977" i="115"/>
  <c r="AM977" i="115"/>
  <c r="AO977" i="115" s="1"/>
  <c r="AD978" i="115"/>
  <c r="AJ978" i="115"/>
  <c r="AK978" i="115"/>
  <c r="AL978" i="115"/>
  <c r="AM978" i="115"/>
  <c r="AO978" i="115"/>
  <c r="AD979" i="115"/>
  <c r="AJ979" i="115"/>
  <c r="AK979" i="115"/>
  <c r="AL979" i="115"/>
  <c r="AM979" i="115"/>
  <c r="AO979" i="115" s="1"/>
  <c r="AD980" i="115"/>
  <c r="AE980" i="115" s="1"/>
  <c r="AJ980" i="115"/>
  <c r="AK980" i="115"/>
  <c r="AL980" i="115"/>
  <c r="AM980" i="115"/>
  <c r="AO980" i="115" s="1"/>
  <c r="AD981" i="115"/>
  <c r="AJ981" i="115"/>
  <c r="AK981" i="115"/>
  <c r="AL981" i="115"/>
  <c r="AM981" i="115"/>
  <c r="AO981" i="115" s="1"/>
  <c r="AD982" i="115"/>
  <c r="AJ982" i="115"/>
  <c r="AK982" i="115"/>
  <c r="AL982" i="115"/>
  <c r="AM982" i="115"/>
  <c r="AO982" i="115"/>
  <c r="AD983" i="115"/>
  <c r="AJ983" i="115"/>
  <c r="AK983" i="115"/>
  <c r="AL983" i="115"/>
  <c r="AM983" i="115"/>
  <c r="AO983" i="115" s="1"/>
  <c r="AD984" i="115"/>
  <c r="AJ984" i="115"/>
  <c r="AK984" i="115"/>
  <c r="AL984" i="115"/>
  <c r="AM984" i="115"/>
  <c r="AO984" i="115" s="1"/>
  <c r="AD985" i="115"/>
  <c r="AJ985" i="115"/>
  <c r="AK985" i="115"/>
  <c r="AL985" i="115"/>
  <c r="AM985" i="115"/>
  <c r="AO985" i="115" s="1"/>
  <c r="AD986" i="115"/>
  <c r="AE986" i="115" s="1"/>
  <c r="AJ986" i="115"/>
  <c r="AK986" i="115"/>
  <c r="AL986" i="115"/>
  <c r="AM986" i="115"/>
  <c r="AO986" i="115" s="1"/>
  <c r="AD987" i="115"/>
  <c r="AI987" i="115" s="1"/>
  <c r="AJ987" i="115"/>
  <c r="AK987" i="115"/>
  <c r="AL987" i="115"/>
  <c r="AM987" i="115"/>
  <c r="AO987" i="115" s="1"/>
  <c r="AD988" i="115"/>
  <c r="AE988" i="115" s="1"/>
  <c r="AJ988" i="115"/>
  <c r="AK988" i="115"/>
  <c r="AL988" i="115"/>
  <c r="AM988" i="115"/>
  <c r="AO988" i="115"/>
  <c r="AD989" i="115"/>
  <c r="AJ989" i="115"/>
  <c r="AK989" i="115"/>
  <c r="AL989" i="115"/>
  <c r="AM989" i="115"/>
  <c r="AO989" i="115" s="1"/>
  <c r="AD990" i="115"/>
  <c r="AJ990" i="115"/>
  <c r="AK990" i="115"/>
  <c r="AL990" i="115"/>
  <c r="AM990" i="115"/>
  <c r="AO990" i="115" s="1"/>
  <c r="AD991" i="115"/>
  <c r="AI991" i="115"/>
  <c r="AJ991" i="115"/>
  <c r="AK991" i="115"/>
  <c r="AL991" i="115"/>
  <c r="AM991" i="115"/>
  <c r="AO991" i="115" s="1"/>
  <c r="AD992" i="115"/>
  <c r="AE992" i="115" s="1"/>
  <c r="AG992" i="115"/>
  <c r="AI992" i="115"/>
  <c r="AJ992" i="115"/>
  <c r="AK992" i="115"/>
  <c r="AL992" i="115"/>
  <c r="AM992" i="115"/>
  <c r="AO992" i="115" s="1"/>
  <c r="AD993" i="115"/>
  <c r="AJ993" i="115"/>
  <c r="AK993" i="115"/>
  <c r="AL993" i="115"/>
  <c r="AM993" i="115"/>
  <c r="AO993" i="115" s="1"/>
  <c r="AD994" i="115"/>
  <c r="AJ994" i="115"/>
  <c r="AK994" i="115"/>
  <c r="AL994" i="115"/>
  <c r="AM994" i="115"/>
  <c r="AO994" i="115"/>
  <c r="AD995" i="115"/>
  <c r="AJ995" i="115"/>
  <c r="AK995" i="115"/>
  <c r="AL995" i="115"/>
  <c r="AM995" i="115"/>
  <c r="AO995" i="115" s="1"/>
  <c r="AD996" i="115"/>
  <c r="AI996" i="115"/>
  <c r="AJ996" i="115"/>
  <c r="AK996" i="115"/>
  <c r="AL996" i="115"/>
  <c r="AM996" i="115"/>
  <c r="AO996" i="115" s="1"/>
  <c r="AD997" i="115"/>
  <c r="AE997" i="115" s="1"/>
  <c r="AF997" i="115"/>
  <c r="AI997" i="115"/>
  <c r="AJ997" i="115"/>
  <c r="AK997" i="115"/>
  <c r="AL997" i="115"/>
  <c r="AM997" i="115"/>
  <c r="AO997" i="115" s="1"/>
  <c r="AD998" i="115"/>
  <c r="AG998" i="115"/>
  <c r="AJ998" i="115"/>
  <c r="AK998" i="115"/>
  <c r="AL998" i="115"/>
  <c r="AM998" i="115"/>
  <c r="AO998" i="115" s="1"/>
  <c r="AD999" i="115"/>
  <c r="AJ999" i="115"/>
  <c r="AK999" i="115"/>
  <c r="AL999" i="115"/>
  <c r="AM999" i="115"/>
  <c r="AO999" i="115" s="1"/>
  <c r="AD1000" i="115"/>
  <c r="AE1000" i="115" s="1"/>
  <c r="AG1000" i="115"/>
  <c r="AJ1000" i="115"/>
  <c r="AK1000" i="115"/>
  <c r="AL1000" i="115"/>
  <c r="AM1000" i="115"/>
  <c r="AO1000" i="115" s="1"/>
  <c r="AD1001" i="115"/>
  <c r="AE1001" i="115" s="1"/>
  <c r="AF1001" i="115"/>
  <c r="AG1001" i="115"/>
  <c r="AJ1001" i="115"/>
  <c r="AK1001" i="115"/>
  <c r="AL1001" i="115"/>
  <c r="AM1001" i="115"/>
  <c r="AO1001" i="115" s="1"/>
  <c r="AD1002" i="115"/>
  <c r="AG1002" i="115" s="1"/>
  <c r="AJ1002" i="115"/>
  <c r="AK1002" i="115"/>
  <c r="AL1002" i="115"/>
  <c r="AM1002" i="115"/>
  <c r="AO1002" i="115"/>
  <c r="AD1003" i="115"/>
  <c r="AI1003" i="115"/>
  <c r="AJ1003" i="115"/>
  <c r="AK1003" i="115"/>
  <c r="AL1003" i="115"/>
  <c r="AM1003" i="115"/>
  <c r="AO1003" i="115" s="1"/>
  <c r="AD1004" i="115"/>
  <c r="AJ1004" i="115"/>
  <c r="AK1004" i="115"/>
  <c r="AL1004" i="115"/>
  <c r="AM1004" i="115"/>
  <c r="AO1004" i="115" s="1"/>
  <c r="AD1005" i="115"/>
  <c r="AJ1005" i="115"/>
  <c r="AK1005" i="115"/>
  <c r="AL1005" i="115"/>
  <c r="AM1005" i="115"/>
  <c r="AO1005" i="115" s="1"/>
  <c r="AD1006" i="115"/>
  <c r="AG1006" i="115" s="1"/>
  <c r="AJ1006" i="115"/>
  <c r="AK1006" i="115"/>
  <c r="AL1006" i="115"/>
  <c r="AM1006" i="115"/>
  <c r="AO1006" i="115" s="1"/>
  <c r="AD1007" i="115"/>
  <c r="AI1007" i="115" s="1"/>
  <c r="AJ1007" i="115"/>
  <c r="AK1007" i="115"/>
  <c r="AL1007" i="115"/>
  <c r="AM1007" i="115"/>
  <c r="AO1007" i="115" s="1"/>
  <c r="AD1008" i="115"/>
  <c r="AJ1008" i="115"/>
  <c r="AK1008" i="115"/>
  <c r="AL1008" i="115"/>
  <c r="AM1008" i="115"/>
  <c r="AO1008" i="115" s="1"/>
  <c r="AD1009" i="115"/>
  <c r="AJ1009" i="115"/>
  <c r="AK1009" i="115"/>
  <c r="AL1009" i="115"/>
  <c r="AM1009" i="115"/>
  <c r="AO1009" i="115" s="1"/>
  <c r="AD1010" i="115"/>
  <c r="AJ1010" i="115"/>
  <c r="AK1010" i="115"/>
  <c r="AL1010" i="115"/>
  <c r="AM1010" i="115"/>
  <c r="AO1010" i="115" s="1"/>
  <c r="AD1011" i="115"/>
  <c r="AJ1011" i="115"/>
  <c r="AK1011" i="115"/>
  <c r="AL1011" i="115"/>
  <c r="AM1011" i="115"/>
  <c r="AO1011" i="115" s="1"/>
  <c r="AD1012" i="115"/>
  <c r="AE1012" i="115" s="1"/>
  <c r="AG1012" i="115"/>
  <c r="AJ1012" i="115"/>
  <c r="AK1012" i="115"/>
  <c r="AL1012" i="115"/>
  <c r="AM1012" i="115"/>
  <c r="AO1012" i="115" s="1"/>
  <c r="AD1013" i="115"/>
  <c r="AG1013" i="115"/>
  <c r="AJ1013" i="115"/>
  <c r="AK1013" i="115"/>
  <c r="AL1013" i="115"/>
  <c r="AM1013" i="115"/>
  <c r="AO1013" i="115" s="1"/>
  <c r="AD1014" i="115"/>
  <c r="AG1014" i="115" s="1"/>
  <c r="AJ1014" i="115"/>
  <c r="AK1014" i="115"/>
  <c r="AL1014" i="115"/>
  <c r="AM1014" i="115"/>
  <c r="AO1014" i="115"/>
  <c r="AD1015" i="115"/>
  <c r="AJ1015" i="115"/>
  <c r="AK1015" i="115"/>
  <c r="AL1015" i="115"/>
  <c r="AM1015" i="115"/>
  <c r="AO1015" i="115" s="1"/>
  <c r="AD1016" i="115"/>
  <c r="AJ1016" i="115"/>
  <c r="AK1016" i="115"/>
  <c r="AL1016" i="115"/>
  <c r="AM1016" i="115"/>
  <c r="AO1016" i="115" s="1"/>
  <c r="AD1017" i="115"/>
  <c r="AG1017" i="115"/>
  <c r="AJ1017" i="115"/>
  <c r="AK1017" i="115"/>
  <c r="AL1017" i="115"/>
  <c r="AM1017" i="115"/>
  <c r="AO1017" i="115" s="1"/>
  <c r="AD1018" i="115"/>
  <c r="AG1018" i="115"/>
  <c r="AJ1018" i="115"/>
  <c r="AK1018" i="115"/>
  <c r="AL1018" i="115"/>
  <c r="AM1018" i="115"/>
  <c r="AO1018" i="115" s="1"/>
  <c r="AD1019" i="115"/>
  <c r="AI1019" i="115" s="1"/>
  <c r="AJ1019" i="115"/>
  <c r="AK1019" i="115"/>
  <c r="AL1019" i="115"/>
  <c r="AM1019" i="115"/>
  <c r="AO1019" i="115" s="1"/>
  <c r="AD1020" i="115"/>
  <c r="AJ1020" i="115"/>
  <c r="AK1020" i="115"/>
  <c r="AL1020" i="115"/>
  <c r="AM1020" i="115"/>
  <c r="AO1020" i="115" s="1"/>
  <c r="AD1021" i="115"/>
  <c r="AE1021" i="115" s="1"/>
  <c r="AF1021" i="115"/>
  <c r="AJ1021" i="115"/>
  <c r="AK1021" i="115"/>
  <c r="AL1021" i="115"/>
  <c r="AM1021" i="115"/>
  <c r="AO1021" i="115" s="1"/>
  <c r="AD1022" i="115"/>
  <c r="AG1022" i="115"/>
  <c r="AJ1022" i="115"/>
  <c r="AK1022" i="115"/>
  <c r="AL1022" i="115"/>
  <c r="AM1022" i="115"/>
  <c r="AO1022" i="115" s="1"/>
  <c r="AD1023" i="115"/>
  <c r="AI1023" i="115"/>
  <c r="AJ1023" i="115"/>
  <c r="AK1023" i="115"/>
  <c r="AL1023" i="115"/>
  <c r="AM1023" i="115"/>
  <c r="AO1023" i="115" s="1"/>
  <c r="AD1024" i="115"/>
  <c r="AE1024" i="115" s="1"/>
  <c r="AG1024" i="115"/>
  <c r="AJ1024" i="115"/>
  <c r="AK1024" i="115"/>
  <c r="AL1024" i="115"/>
  <c r="AM1024" i="115"/>
  <c r="AO1024" i="115" s="1"/>
  <c r="AD1025" i="115"/>
  <c r="AJ1025" i="115"/>
  <c r="AK1025" i="115"/>
  <c r="AL1025" i="115"/>
  <c r="AM1025" i="115"/>
  <c r="AO1025" i="115" s="1"/>
  <c r="AD1026" i="115"/>
  <c r="AJ1026" i="115"/>
  <c r="AK1026" i="115"/>
  <c r="AL1026" i="115"/>
  <c r="AM1026" i="115"/>
  <c r="AO1026" i="115"/>
  <c r="AD1027" i="115"/>
  <c r="AJ1027" i="115"/>
  <c r="AK1027" i="115"/>
  <c r="AL1027" i="115"/>
  <c r="AM1027" i="115"/>
  <c r="AO1027" i="115" s="1"/>
  <c r="AD1028" i="115"/>
  <c r="AI1028" i="115"/>
  <c r="AJ1028" i="115"/>
  <c r="AK1028" i="115"/>
  <c r="AL1028" i="115"/>
  <c r="AM1028" i="115"/>
  <c r="AO1028" i="115" s="1"/>
  <c r="AD1029" i="115"/>
  <c r="AE1029" i="115" s="1"/>
  <c r="AF1029" i="115"/>
  <c r="AG1029" i="115"/>
  <c r="AI1029" i="115"/>
  <c r="AJ1029" i="115"/>
  <c r="AK1029" i="115"/>
  <c r="AL1029" i="115"/>
  <c r="AM1029" i="115"/>
  <c r="AO1029" i="115" s="1"/>
  <c r="AD1030" i="115"/>
  <c r="AG1030" i="115"/>
  <c r="AJ1030" i="115"/>
  <c r="AK1030" i="115"/>
  <c r="AL1030" i="115"/>
  <c r="AM1030" i="115"/>
  <c r="AO1030" i="115" s="1"/>
  <c r="AD1031" i="115"/>
  <c r="AJ1031" i="115"/>
  <c r="AK1031" i="115"/>
  <c r="AL1031" i="115"/>
  <c r="AM1031" i="115"/>
  <c r="AO1031" i="115" s="1"/>
  <c r="AD1032" i="115"/>
  <c r="AE1032" i="115" s="1"/>
  <c r="AG1032" i="115"/>
  <c r="AJ1032" i="115"/>
  <c r="AK1032" i="115"/>
  <c r="AL1032" i="115"/>
  <c r="AM1032" i="115"/>
  <c r="AO1032" i="115" s="1"/>
  <c r="AD1033" i="115"/>
  <c r="AJ1033" i="115"/>
  <c r="AK1033" i="115"/>
  <c r="AL1033" i="115"/>
  <c r="AM1033" i="115"/>
  <c r="AO1033" i="115" s="1"/>
  <c r="AD1034" i="115"/>
  <c r="AE1034" i="115" s="1"/>
  <c r="AG1034" i="115"/>
  <c r="AJ1034" i="115"/>
  <c r="AK1034" i="115"/>
  <c r="AL1034" i="115"/>
  <c r="AM1034" i="115"/>
  <c r="AO1034" i="115" s="1"/>
  <c r="AD1035" i="115"/>
  <c r="AI1035" i="115"/>
  <c r="AJ1035" i="115"/>
  <c r="AK1035" i="115"/>
  <c r="AL1035" i="115"/>
  <c r="AM1035" i="115"/>
  <c r="AO1035" i="115" s="1"/>
  <c r="AD1036" i="115"/>
  <c r="AJ1036" i="115"/>
  <c r="AK1036" i="115"/>
  <c r="AL1036" i="115"/>
  <c r="AM1036" i="115"/>
  <c r="AO1036" i="115" s="1"/>
  <c r="AD1037" i="115"/>
  <c r="AJ1037" i="115"/>
  <c r="AK1037" i="115"/>
  <c r="AL1037" i="115"/>
  <c r="AM1037" i="115"/>
  <c r="AO1037" i="115" s="1"/>
  <c r="AD1038" i="115"/>
  <c r="AE1038" i="115" s="1"/>
  <c r="AJ1038" i="115"/>
  <c r="AK1038" i="115"/>
  <c r="AL1038" i="115"/>
  <c r="AM1038" i="115"/>
  <c r="AO1038" i="115" s="1"/>
  <c r="AD1039" i="115"/>
  <c r="AI1039" i="115" s="1"/>
  <c r="AJ1039" i="115"/>
  <c r="AK1039" i="115"/>
  <c r="AL1039" i="115"/>
  <c r="AM1039" i="115"/>
  <c r="AO1039" i="115" s="1"/>
  <c r="AD1040" i="115"/>
  <c r="AE1040" i="115" s="1"/>
  <c r="AG1040" i="115"/>
  <c r="AI1040" i="115"/>
  <c r="AJ1040" i="115"/>
  <c r="AK1040" i="115"/>
  <c r="AL1040" i="115"/>
  <c r="AM1040" i="115"/>
  <c r="AO1040" i="115" s="1"/>
  <c r="AD1041" i="115"/>
  <c r="AJ1041" i="115"/>
  <c r="AK1041" i="115"/>
  <c r="AL1041" i="115"/>
  <c r="AM1041" i="115"/>
  <c r="AO1041" i="115" s="1"/>
  <c r="AD1042" i="115"/>
  <c r="AJ1042" i="115"/>
  <c r="AK1042" i="115"/>
  <c r="AL1042" i="115"/>
  <c r="AM1042" i="115"/>
  <c r="AO1042" i="115"/>
  <c r="AD1043" i="115"/>
  <c r="AJ1043" i="115"/>
  <c r="AK1043" i="115"/>
  <c r="AL1043" i="115"/>
  <c r="AM1043" i="115"/>
  <c r="AO1043" i="115" s="1"/>
  <c r="AD1044" i="115"/>
  <c r="AE1044" i="115" s="1"/>
  <c r="AG1044" i="115"/>
  <c r="AI1044" i="115"/>
  <c r="AJ1044" i="115"/>
  <c r="AK1044" i="115"/>
  <c r="AL1044" i="115"/>
  <c r="AM1044" i="115"/>
  <c r="AO1044" i="115" s="1"/>
  <c r="AD1045" i="115"/>
  <c r="AI1045" i="115" s="1"/>
  <c r="AG1045" i="115"/>
  <c r="AJ1045" i="115"/>
  <c r="AK1045" i="115"/>
  <c r="AL1045" i="115"/>
  <c r="AM1045" i="115"/>
  <c r="AO1045" i="115" s="1"/>
  <c r="AD1046" i="115"/>
  <c r="AJ1046" i="115"/>
  <c r="AK1046" i="115"/>
  <c r="AL1046" i="115"/>
  <c r="AM1046" i="115"/>
  <c r="AO1046" i="115"/>
  <c r="AD1047" i="115"/>
  <c r="AJ1047" i="115"/>
  <c r="AK1047" i="115"/>
  <c r="AL1047" i="115"/>
  <c r="AM1047" i="115"/>
  <c r="AO1047" i="115" s="1"/>
  <c r="AD1048" i="115"/>
  <c r="AJ1048" i="115"/>
  <c r="AK1048" i="115"/>
  <c r="AL1048" i="115"/>
  <c r="AM1048" i="115"/>
  <c r="AO1048" i="115" s="1"/>
  <c r="AD1049" i="115"/>
  <c r="AE1049" i="115" s="1"/>
  <c r="AJ1049" i="115"/>
  <c r="AK1049" i="115"/>
  <c r="AL1049" i="115"/>
  <c r="AM1049" i="115"/>
  <c r="AO1049" i="115" s="1"/>
  <c r="AD1050" i="115"/>
  <c r="AE1050" i="115" s="1"/>
  <c r="AG1050" i="115"/>
  <c r="AJ1050" i="115"/>
  <c r="AK1050" i="115"/>
  <c r="AL1050" i="115"/>
  <c r="AM1050" i="115"/>
  <c r="AO1050" i="115" s="1"/>
  <c r="AD1051" i="115"/>
  <c r="AI1051" i="115" s="1"/>
  <c r="AJ1051" i="115"/>
  <c r="AK1051" i="115"/>
  <c r="AL1051" i="115"/>
  <c r="AM1051" i="115"/>
  <c r="AO1051" i="115" s="1"/>
  <c r="AD1052" i="115"/>
  <c r="AJ1052" i="115"/>
  <c r="AK1052" i="115"/>
  <c r="AL1052" i="115"/>
  <c r="AM1052" i="115"/>
  <c r="AO1052" i="115" s="1"/>
  <c r="AD1053" i="115"/>
  <c r="AE1053" i="115" s="1"/>
  <c r="AJ1053" i="115"/>
  <c r="AK1053" i="115"/>
  <c r="AL1053" i="115"/>
  <c r="AM1053" i="115"/>
  <c r="AO1053" i="115" s="1"/>
  <c r="AD1054" i="115"/>
  <c r="AE1054" i="115" s="1"/>
  <c r="AG1054" i="115"/>
  <c r="AJ1054" i="115"/>
  <c r="AK1054" i="115"/>
  <c r="AL1054" i="115"/>
  <c r="AM1054" i="115"/>
  <c r="AO1054" i="115" s="1"/>
  <c r="AD1055" i="115"/>
  <c r="AI1055" i="115" s="1"/>
  <c r="AJ1055" i="115"/>
  <c r="AK1055" i="115"/>
  <c r="AL1055" i="115"/>
  <c r="AM1055" i="115"/>
  <c r="AO1055" i="115" s="1"/>
  <c r="AD1056" i="115"/>
  <c r="AE1056" i="115" s="1"/>
  <c r="AG1056" i="115"/>
  <c r="AI1056" i="115"/>
  <c r="AJ1056" i="115"/>
  <c r="AK1056" i="115"/>
  <c r="AL1056" i="115"/>
  <c r="AM1056" i="115"/>
  <c r="AO1056" i="115" s="1"/>
  <c r="AD1057" i="115"/>
  <c r="AJ1057" i="115"/>
  <c r="AK1057" i="115"/>
  <c r="AL1057" i="115"/>
  <c r="AM1057" i="115"/>
  <c r="AO1057" i="115" s="1"/>
  <c r="AD1058" i="115"/>
  <c r="AJ1058" i="115"/>
  <c r="AK1058" i="115"/>
  <c r="AL1058" i="115"/>
  <c r="AM1058" i="115"/>
  <c r="AO1058" i="115"/>
  <c r="AD1059" i="115"/>
  <c r="AJ1059" i="115"/>
  <c r="AK1059" i="115"/>
  <c r="AL1059" i="115"/>
  <c r="AM1059" i="115"/>
  <c r="AO1059" i="115" s="1"/>
  <c r="AD1060" i="115"/>
  <c r="AI1060" i="115"/>
  <c r="AJ1060" i="115"/>
  <c r="AK1060" i="115"/>
  <c r="AL1060" i="115"/>
  <c r="AM1060" i="115"/>
  <c r="AO1060" i="115" s="1"/>
  <c r="AD1061" i="115"/>
  <c r="AJ1061" i="115"/>
  <c r="AK1061" i="115"/>
  <c r="AL1061" i="115"/>
  <c r="AM1061" i="115"/>
  <c r="AO1061" i="115" s="1"/>
  <c r="AD1062" i="115"/>
  <c r="AE1062" i="115" s="1"/>
  <c r="AJ1062" i="115"/>
  <c r="AK1062" i="115"/>
  <c r="AL1062" i="115"/>
  <c r="AM1062" i="115"/>
  <c r="AO1062" i="115" s="1"/>
  <c r="AD1063" i="115"/>
  <c r="AJ1063" i="115"/>
  <c r="AK1063" i="115"/>
  <c r="AL1063" i="115"/>
  <c r="AM1063" i="115"/>
  <c r="AO1063" i="115" s="1"/>
  <c r="AD1064" i="115"/>
  <c r="AE1064" i="115" s="1"/>
  <c r="AG1064" i="115"/>
  <c r="AJ1064" i="115"/>
  <c r="AK1064" i="115"/>
  <c r="AL1064" i="115"/>
  <c r="AM1064" i="115"/>
  <c r="AO1064" i="115" s="1"/>
  <c r="AD1065" i="115"/>
  <c r="AE1065" i="115" s="1"/>
  <c r="AF1065" i="115"/>
  <c r="AG1065" i="115"/>
  <c r="AJ1065" i="115"/>
  <c r="AK1065" i="115"/>
  <c r="AL1065" i="115"/>
  <c r="AM1065" i="115"/>
  <c r="AO1065" i="115" s="1"/>
  <c r="AD1066" i="115"/>
  <c r="AJ1066" i="115"/>
  <c r="AK1066" i="115"/>
  <c r="AL1066" i="115"/>
  <c r="AM1066" i="115"/>
  <c r="AO1066" i="115"/>
  <c r="AD1067" i="115"/>
  <c r="AI1067" i="115" s="1"/>
  <c r="AJ1067" i="115"/>
  <c r="AK1067" i="115"/>
  <c r="AL1067" i="115"/>
  <c r="AM1067" i="115"/>
  <c r="AO1067" i="115" s="1"/>
  <c r="AD1068" i="115"/>
  <c r="AJ1068" i="115"/>
  <c r="AK1068" i="115"/>
  <c r="AL1068" i="115"/>
  <c r="AM1068" i="115"/>
  <c r="AO1068" i="115" s="1"/>
  <c r="AD1069" i="115"/>
  <c r="AE1069" i="115" s="1"/>
  <c r="AF1069" i="115"/>
  <c r="AJ1069" i="115"/>
  <c r="AK1069" i="115"/>
  <c r="AL1069" i="115"/>
  <c r="AM1069" i="115"/>
  <c r="AO1069" i="115" s="1"/>
  <c r="AD1070" i="115"/>
  <c r="AJ1070" i="115"/>
  <c r="AK1070" i="115"/>
  <c r="AL1070" i="115"/>
  <c r="AM1070" i="115"/>
  <c r="AO1070" i="115" s="1"/>
  <c r="AD1071" i="115"/>
  <c r="AI1071" i="115" s="1"/>
  <c r="AJ1071" i="115"/>
  <c r="AK1071" i="115"/>
  <c r="AL1071" i="115"/>
  <c r="AM1071" i="115"/>
  <c r="AO1071" i="115" s="1"/>
  <c r="AD1072" i="115"/>
  <c r="AJ1072" i="115"/>
  <c r="AK1072" i="115"/>
  <c r="AL1072" i="115"/>
  <c r="AM1072" i="115"/>
  <c r="AO1072" i="115" s="1"/>
  <c r="AD1073" i="115"/>
  <c r="AJ1073" i="115"/>
  <c r="AK1073" i="115"/>
  <c r="AL1073" i="115"/>
  <c r="AM1073" i="115"/>
  <c r="AO1073" i="115" s="1"/>
  <c r="AD1074" i="115"/>
  <c r="AJ1074" i="115"/>
  <c r="AK1074" i="115"/>
  <c r="AL1074" i="115"/>
  <c r="AM1074" i="115"/>
  <c r="AO1074" i="115" s="1"/>
  <c r="AD1075" i="115"/>
  <c r="AJ1075" i="115"/>
  <c r="AK1075" i="115"/>
  <c r="AL1075" i="115"/>
  <c r="AM1075" i="115"/>
  <c r="AO1075" i="115" s="1"/>
  <c r="AD1076" i="115"/>
  <c r="AG1076" i="115"/>
  <c r="AJ1076" i="115"/>
  <c r="AK1076" i="115"/>
  <c r="AL1076" i="115"/>
  <c r="AM1076" i="115"/>
  <c r="AO1076" i="115" s="1"/>
  <c r="AD1077" i="115"/>
  <c r="AG1077" i="115"/>
  <c r="AJ1077" i="115"/>
  <c r="AK1077" i="115"/>
  <c r="AL1077" i="115"/>
  <c r="AM1077" i="115"/>
  <c r="AO1077" i="115" s="1"/>
  <c r="AD1078" i="115"/>
  <c r="AE1078" i="115" s="1"/>
  <c r="AJ1078" i="115"/>
  <c r="AK1078" i="115"/>
  <c r="AL1078" i="115"/>
  <c r="AM1078" i="115"/>
  <c r="AO1078" i="115"/>
  <c r="AD1079" i="115"/>
  <c r="AJ1079" i="115"/>
  <c r="AK1079" i="115"/>
  <c r="AL1079" i="115"/>
  <c r="AM1079" i="115"/>
  <c r="AO1079" i="115" s="1"/>
  <c r="AD1080" i="115"/>
  <c r="AE1080" i="115" s="1"/>
  <c r="AJ1080" i="115"/>
  <c r="AK1080" i="115"/>
  <c r="AL1080" i="115"/>
  <c r="AM1080" i="115"/>
  <c r="AO1080" i="115" s="1"/>
  <c r="AD1081" i="115"/>
  <c r="AJ1081" i="115"/>
  <c r="AK1081" i="115"/>
  <c r="AL1081" i="115"/>
  <c r="AM1081" i="115"/>
  <c r="AO1081" i="115" s="1"/>
  <c r="AD1082" i="115"/>
  <c r="AE1082" i="115" s="1"/>
  <c r="AJ1082" i="115"/>
  <c r="AK1082" i="115"/>
  <c r="AL1082" i="115"/>
  <c r="AM1082" i="115"/>
  <c r="AO1082" i="115" s="1"/>
  <c r="AD1083" i="115"/>
  <c r="AI1083" i="115" s="1"/>
  <c r="AJ1083" i="115"/>
  <c r="AK1083" i="115"/>
  <c r="AL1083" i="115"/>
  <c r="AM1083" i="115"/>
  <c r="AO1083" i="115" s="1"/>
  <c r="AD1084" i="115"/>
  <c r="AJ1084" i="115"/>
  <c r="AK1084" i="115"/>
  <c r="AL1084" i="115"/>
  <c r="AM1084" i="115"/>
  <c r="AO1084" i="115" s="1"/>
  <c r="AD1085" i="115"/>
  <c r="AE1085" i="115" s="1"/>
  <c r="AF1085" i="115"/>
  <c r="AJ1085" i="115"/>
  <c r="AK1085" i="115"/>
  <c r="AL1085" i="115"/>
  <c r="AM1085" i="115"/>
  <c r="AO1085" i="115" s="1"/>
  <c r="AD1086" i="115"/>
  <c r="AE1086" i="115" s="1"/>
  <c r="AG1086" i="115"/>
  <c r="AJ1086" i="115"/>
  <c r="AK1086" i="115"/>
  <c r="AL1086" i="115"/>
  <c r="AM1086" i="115"/>
  <c r="AO1086" i="115" s="1"/>
  <c r="AD1087" i="115"/>
  <c r="AI1087" i="115"/>
  <c r="AJ1087" i="115"/>
  <c r="AK1087" i="115"/>
  <c r="AL1087" i="115"/>
  <c r="AM1087" i="115"/>
  <c r="AO1087" i="115" s="1"/>
  <c r="AD1088" i="115"/>
  <c r="AG1088" i="115"/>
  <c r="AJ1088" i="115"/>
  <c r="AK1088" i="115"/>
  <c r="AL1088" i="115"/>
  <c r="AM1088" i="115"/>
  <c r="AO1088" i="115" s="1"/>
  <c r="AD1089" i="115"/>
  <c r="AJ1089" i="115"/>
  <c r="AK1089" i="115"/>
  <c r="AL1089" i="115"/>
  <c r="AM1089" i="115"/>
  <c r="AO1089" i="115" s="1"/>
  <c r="AD1090" i="115"/>
  <c r="AJ1090" i="115"/>
  <c r="AK1090" i="115"/>
  <c r="AL1090" i="115"/>
  <c r="AM1090" i="115"/>
  <c r="AO1090" i="115" s="1"/>
  <c r="AD1091" i="115"/>
  <c r="AJ1091" i="115"/>
  <c r="AK1091" i="115"/>
  <c r="AL1091" i="115"/>
  <c r="AM1091" i="115"/>
  <c r="AO1091" i="115" s="1"/>
  <c r="AD1092" i="115"/>
  <c r="AE1092" i="115" s="1"/>
  <c r="AG1092" i="115"/>
  <c r="AI1092" i="115"/>
  <c r="AJ1092" i="115"/>
  <c r="AK1092" i="115"/>
  <c r="AL1092" i="115"/>
  <c r="AM1092" i="115"/>
  <c r="AO1092" i="115" s="1"/>
  <c r="AD1093" i="115"/>
  <c r="AE1093" i="115" s="1"/>
  <c r="AF1093" i="115"/>
  <c r="AG1093" i="115"/>
  <c r="AI1093" i="115"/>
  <c r="AJ1093" i="115"/>
  <c r="AK1093" i="115"/>
  <c r="AL1093" i="115"/>
  <c r="AM1093" i="115"/>
  <c r="AO1093" i="115" s="1"/>
  <c r="AD1094" i="115"/>
  <c r="AE1094" i="115" s="1"/>
  <c r="AG1094" i="115"/>
  <c r="AJ1094" i="115"/>
  <c r="AK1094" i="115"/>
  <c r="AL1094" i="115"/>
  <c r="AM1094" i="115"/>
  <c r="AO1094" i="115"/>
  <c r="AD1095" i="115"/>
  <c r="AJ1095" i="115"/>
  <c r="AK1095" i="115"/>
  <c r="AL1095" i="115"/>
  <c r="AM1095" i="115"/>
  <c r="AO1095" i="115" s="1"/>
  <c r="AD1096" i="115"/>
  <c r="AE1096" i="115" s="1"/>
  <c r="AG1096" i="115"/>
  <c r="AJ1096" i="115"/>
  <c r="AK1096" i="115"/>
  <c r="AL1096" i="115"/>
  <c r="AM1096" i="115"/>
  <c r="AO1096" i="115" s="1"/>
  <c r="AD1097" i="115"/>
  <c r="AJ1097" i="115"/>
  <c r="AK1097" i="115"/>
  <c r="AL1097" i="115"/>
  <c r="AM1097" i="115"/>
  <c r="AO1097" i="115" s="1"/>
  <c r="AD1098" i="115"/>
  <c r="AE1098" i="115" s="1"/>
  <c r="AJ1098" i="115"/>
  <c r="AK1098" i="115"/>
  <c r="AL1098" i="115"/>
  <c r="AM1098" i="115"/>
  <c r="AO1098" i="115"/>
  <c r="AD1099" i="115"/>
  <c r="AI1099" i="115"/>
  <c r="AJ1099" i="115"/>
  <c r="AK1099" i="115"/>
  <c r="AL1099" i="115"/>
  <c r="AM1099" i="115"/>
  <c r="AO1099" i="115" s="1"/>
  <c r="AD1100" i="115"/>
  <c r="AJ1100" i="115"/>
  <c r="AK1100" i="115"/>
  <c r="AL1100" i="115"/>
  <c r="AM1100" i="115"/>
  <c r="AO1100" i="115" s="1"/>
  <c r="AD1101" i="115"/>
  <c r="AJ1101" i="115"/>
  <c r="AK1101" i="115"/>
  <c r="AL1101" i="115"/>
  <c r="AM1101" i="115"/>
  <c r="AO1101" i="115" s="1"/>
  <c r="AD1102" i="115"/>
  <c r="AE1102" i="115" s="1"/>
  <c r="AG1102" i="115"/>
  <c r="AJ1102" i="115"/>
  <c r="AK1102" i="115"/>
  <c r="AL1102" i="115"/>
  <c r="AM1102" i="115"/>
  <c r="AO1102" i="115" s="1"/>
  <c r="AD1103" i="115"/>
  <c r="AI1103" i="115" s="1"/>
  <c r="AJ1103" i="115"/>
  <c r="AK1103" i="115"/>
  <c r="AL1103" i="115"/>
  <c r="AM1103" i="115"/>
  <c r="AO1103" i="115" s="1"/>
  <c r="AD1104" i="115"/>
  <c r="AE1104" i="115" s="1"/>
  <c r="AJ1104" i="115"/>
  <c r="AK1104" i="115"/>
  <c r="AL1104" i="115"/>
  <c r="AM1104" i="115"/>
  <c r="AO1104" i="115" s="1"/>
  <c r="AD1105" i="115"/>
  <c r="AJ1105" i="115"/>
  <c r="AK1105" i="115"/>
  <c r="AL1105" i="115"/>
  <c r="AM1105" i="115"/>
  <c r="AO1105" i="115" s="1"/>
  <c r="AD1106" i="115"/>
  <c r="AJ1106" i="115"/>
  <c r="AK1106" i="115"/>
  <c r="AL1106" i="115"/>
  <c r="AM1106" i="115"/>
  <c r="AO1106" i="115" s="1"/>
  <c r="AD1107" i="115"/>
  <c r="AJ1107" i="115"/>
  <c r="AK1107" i="115"/>
  <c r="AL1107" i="115"/>
  <c r="AM1107" i="115"/>
  <c r="AO1107" i="115" s="1"/>
  <c r="AD1108" i="115"/>
  <c r="AE1108" i="115" s="1"/>
  <c r="AG1108" i="115"/>
  <c r="AI1108" i="115"/>
  <c r="AJ1108" i="115"/>
  <c r="AK1108" i="115"/>
  <c r="AL1108" i="115"/>
  <c r="AM1108" i="115"/>
  <c r="AO1108" i="115" s="1"/>
  <c r="AD1109" i="115"/>
  <c r="AG1109" i="115" s="1"/>
  <c r="AI1109" i="115"/>
  <c r="AJ1109" i="115"/>
  <c r="AK1109" i="115"/>
  <c r="AL1109" i="115"/>
  <c r="AM1109" i="115"/>
  <c r="AO1109" i="115" s="1"/>
  <c r="AD1110" i="115"/>
  <c r="AJ1110" i="115"/>
  <c r="AK1110" i="115"/>
  <c r="AL1110" i="115"/>
  <c r="AM1110" i="115"/>
  <c r="AO1110" i="115"/>
  <c r="AD1111" i="115"/>
  <c r="AJ1111" i="115"/>
  <c r="AK1111" i="115"/>
  <c r="AL1111" i="115"/>
  <c r="AM1111" i="115"/>
  <c r="AO1111" i="115" s="1"/>
  <c r="AD1112" i="115"/>
  <c r="AJ1112" i="115"/>
  <c r="AK1112" i="115"/>
  <c r="AL1112" i="115"/>
  <c r="AM1112" i="115"/>
  <c r="AO1112" i="115" s="1"/>
  <c r="AD1113" i="115"/>
  <c r="AE1113" i="115" s="1"/>
  <c r="AF1113" i="115"/>
  <c r="AG1113" i="115"/>
  <c r="AJ1113" i="115"/>
  <c r="AK1113" i="115"/>
  <c r="AL1113" i="115"/>
  <c r="AM1113" i="115"/>
  <c r="AO1113" i="115" s="1"/>
  <c r="AD1114" i="115"/>
  <c r="AE1114" i="115" s="1"/>
  <c r="AG1114" i="115"/>
  <c r="AJ1114" i="115"/>
  <c r="AK1114" i="115"/>
  <c r="AL1114" i="115"/>
  <c r="AM1114" i="115"/>
  <c r="AO1114" i="115"/>
  <c r="AD1115" i="115"/>
  <c r="AI1115" i="115" s="1"/>
  <c r="AJ1115" i="115"/>
  <c r="AK1115" i="115"/>
  <c r="AL1115" i="115"/>
  <c r="AM1115" i="115"/>
  <c r="AO1115" i="115" s="1"/>
  <c r="AD1116" i="115"/>
  <c r="AJ1116" i="115"/>
  <c r="AK1116" i="115"/>
  <c r="AL1116" i="115"/>
  <c r="AM1116" i="115"/>
  <c r="AO1116" i="115" s="1"/>
  <c r="AD1117" i="115"/>
  <c r="AE1117" i="115" s="1"/>
  <c r="AF1117" i="115"/>
  <c r="AJ1117" i="115"/>
  <c r="AK1117" i="115"/>
  <c r="AL1117" i="115"/>
  <c r="AM1117" i="115"/>
  <c r="AO1117" i="115" s="1"/>
  <c r="AD1118" i="115"/>
  <c r="AE1118" i="115" s="1"/>
  <c r="AG1118" i="115"/>
  <c r="AJ1118" i="115"/>
  <c r="AK1118" i="115"/>
  <c r="AL1118" i="115"/>
  <c r="AM1118" i="115"/>
  <c r="AO1118" i="115" s="1"/>
  <c r="AD1119" i="115"/>
  <c r="AI1119" i="115"/>
  <c r="AJ1119" i="115"/>
  <c r="AK1119" i="115"/>
  <c r="AL1119" i="115"/>
  <c r="AM1119" i="115"/>
  <c r="AO1119" i="115" s="1"/>
  <c r="AD1120" i="115"/>
  <c r="AE1120" i="115" s="1"/>
  <c r="AG1120" i="115"/>
  <c r="AI1120" i="115"/>
  <c r="AJ1120" i="115"/>
  <c r="AK1120" i="115"/>
  <c r="AL1120" i="115"/>
  <c r="AM1120" i="115"/>
  <c r="AO1120" i="115" s="1"/>
  <c r="AD1121" i="115"/>
  <c r="AJ1121" i="115"/>
  <c r="AK1121" i="115"/>
  <c r="AL1121" i="115"/>
  <c r="AM1121" i="115"/>
  <c r="AO1121" i="115" s="1"/>
  <c r="AD1122" i="115"/>
  <c r="AJ1122" i="115"/>
  <c r="AK1122" i="115"/>
  <c r="AL1122" i="115"/>
  <c r="AM1122" i="115"/>
  <c r="AO1122" i="115"/>
  <c r="AD1123" i="115"/>
  <c r="AJ1123" i="115"/>
  <c r="AK1123" i="115"/>
  <c r="AL1123" i="115"/>
  <c r="AM1123" i="115"/>
  <c r="AO1123" i="115" s="1"/>
  <c r="AD1124" i="115"/>
  <c r="AI1124" i="115" s="1"/>
  <c r="AJ1124" i="115"/>
  <c r="AK1124" i="115"/>
  <c r="AL1124" i="115"/>
  <c r="AM1124" i="115"/>
  <c r="AO1124" i="115" s="1"/>
  <c r="AD1125" i="115"/>
  <c r="AJ1125" i="115"/>
  <c r="AK1125" i="115"/>
  <c r="AL1125" i="115"/>
  <c r="AM1125" i="115"/>
  <c r="AO1125" i="115" s="1"/>
  <c r="AD1126" i="115"/>
  <c r="AE1126" i="115" s="1"/>
  <c r="AG1126" i="115"/>
  <c r="AJ1126" i="115"/>
  <c r="AK1126" i="115"/>
  <c r="AL1126" i="115"/>
  <c r="AM1126" i="115"/>
  <c r="AO1126" i="115" s="1"/>
  <c r="AD1127" i="115"/>
  <c r="AJ1127" i="115"/>
  <c r="AK1127" i="115"/>
  <c r="AL1127" i="115"/>
  <c r="AM1127" i="115"/>
  <c r="AO1127" i="115" s="1"/>
  <c r="AD1128" i="115"/>
  <c r="AE1128" i="115" s="1"/>
  <c r="AJ1128" i="115"/>
  <c r="AK1128" i="115"/>
  <c r="AL1128" i="115"/>
  <c r="AM1128" i="115"/>
  <c r="AO1128" i="115" s="1"/>
  <c r="AD1129" i="115"/>
  <c r="AE1129" i="115" s="1"/>
  <c r="AF1129" i="115"/>
  <c r="AG1129" i="115"/>
  <c r="AJ1129" i="115"/>
  <c r="AK1129" i="115"/>
  <c r="AL1129" i="115"/>
  <c r="AM1129" i="115"/>
  <c r="AO1129" i="115" s="1"/>
  <c r="AD1130" i="115"/>
  <c r="AJ1130" i="115"/>
  <c r="AK1130" i="115"/>
  <c r="AL1130" i="115"/>
  <c r="AM1130" i="115"/>
  <c r="AO1130" i="115" s="1"/>
  <c r="AD1131" i="115"/>
  <c r="AJ1131" i="115"/>
  <c r="AK1131" i="115"/>
  <c r="AL1131" i="115"/>
  <c r="AM1131" i="115"/>
  <c r="AO1131" i="115" s="1"/>
  <c r="AD1132" i="115"/>
  <c r="AJ1132" i="115"/>
  <c r="AK1132" i="115"/>
  <c r="AL1132" i="115"/>
  <c r="AM1132" i="115"/>
  <c r="AO1132" i="115" s="1"/>
  <c r="AD1133" i="115"/>
  <c r="AE1133" i="115" s="1"/>
  <c r="AF1133" i="115"/>
  <c r="AG1133" i="115"/>
  <c r="AJ1133" i="115"/>
  <c r="AK1133" i="115"/>
  <c r="AL1133" i="115"/>
  <c r="AM1133" i="115"/>
  <c r="AO1133" i="115" s="1"/>
  <c r="AD1134" i="115"/>
  <c r="AJ1134" i="115"/>
  <c r="AK1134" i="115"/>
  <c r="AL1134" i="115"/>
  <c r="AM1134" i="115"/>
  <c r="AO1134" i="115" s="1"/>
  <c r="AD1135" i="115"/>
  <c r="AE1135" i="115" s="1"/>
  <c r="AF1135" i="115"/>
  <c r="AJ1135" i="115"/>
  <c r="AK1135" i="115"/>
  <c r="AL1135" i="115"/>
  <c r="AM1135" i="115"/>
  <c r="AO1135" i="115" s="1"/>
  <c r="AD1136" i="115"/>
  <c r="AG1136" i="115"/>
  <c r="AJ1136" i="115"/>
  <c r="AK1136" i="115"/>
  <c r="AL1136" i="115"/>
  <c r="AM1136" i="115"/>
  <c r="AO1136" i="115" s="1"/>
  <c r="AD1137" i="115"/>
  <c r="AG1137" i="115"/>
  <c r="AJ1137" i="115"/>
  <c r="AK1137" i="115"/>
  <c r="AL1137" i="115"/>
  <c r="AM1137" i="115"/>
  <c r="AO1137" i="115" s="1"/>
  <c r="AD1138" i="115"/>
  <c r="AJ1138" i="115"/>
  <c r="AK1138" i="115"/>
  <c r="AL1138" i="115"/>
  <c r="AM1138" i="115"/>
  <c r="AO1138" i="115" s="1"/>
  <c r="AD1139" i="115"/>
  <c r="AJ1139" i="115"/>
  <c r="AK1139" i="115"/>
  <c r="AL1139" i="115"/>
  <c r="AM1139" i="115"/>
  <c r="AO1139" i="115"/>
  <c r="AD1140" i="115"/>
  <c r="AJ1140" i="115"/>
  <c r="AK1140" i="115"/>
  <c r="AL1140" i="115"/>
  <c r="AM1140" i="115"/>
  <c r="AO1140" i="115" s="1"/>
  <c r="AD1141" i="115"/>
  <c r="AJ1141" i="115"/>
  <c r="AK1141" i="115"/>
  <c r="AL1141" i="115"/>
  <c r="AM1141" i="115"/>
  <c r="AO1141" i="115" s="1"/>
  <c r="AD1142" i="115"/>
  <c r="AE1142" i="115" s="1"/>
  <c r="AJ1142" i="115"/>
  <c r="AK1142" i="115"/>
  <c r="AL1142" i="115"/>
  <c r="AM1142" i="115"/>
  <c r="AO1142" i="115"/>
  <c r="AD1143" i="115"/>
  <c r="AJ1143" i="115"/>
  <c r="AK1143" i="115"/>
  <c r="AL1143" i="115"/>
  <c r="AM1143" i="115"/>
  <c r="AO1143" i="115" s="1"/>
  <c r="AD1144" i="115"/>
  <c r="AE1144" i="115" s="1"/>
  <c r="AJ1144" i="115"/>
  <c r="AK1144" i="115"/>
  <c r="AL1144" i="115"/>
  <c r="AM1144" i="115"/>
  <c r="AO1144" i="115" s="1"/>
  <c r="AD1145" i="115"/>
  <c r="AE1145" i="115" s="1"/>
  <c r="AJ1145" i="115"/>
  <c r="AK1145" i="115"/>
  <c r="AL1145" i="115"/>
  <c r="AM1145" i="115"/>
  <c r="AO1145" i="115" s="1"/>
  <c r="AD1146" i="115"/>
  <c r="AJ1146" i="115"/>
  <c r="AK1146" i="115"/>
  <c r="AL1146" i="115"/>
  <c r="AM1146" i="115"/>
  <c r="AO1146" i="115" s="1"/>
  <c r="AD1147" i="115"/>
  <c r="AJ1147" i="115"/>
  <c r="AK1147" i="115"/>
  <c r="AL1147" i="115"/>
  <c r="AM1147" i="115"/>
  <c r="AO1147" i="115"/>
  <c r="AD1148" i="115"/>
  <c r="AJ1148" i="115"/>
  <c r="AK1148" i="115"/>
  <c r="AL1148" i="115"/>
  <c r="AM1148" i="115"/>
  <c r="AO1148" i="115" s="1"/>
  <c r="AD1149" i="115"/>
  <c r="AJ1149" i="115"/>
  <c r="AK1149" i="115"/>
  <c r="AL1149" i="115"/>
  <c r="AM1149" i="115"/>
  <c r="AO1149" i="115" s="1"/>
  <c r="AD1150" i="115"/>
  <c r="AJ1150" i="115"/>
  <c r="AK1150" i="115"/>
  <c r="AL1150" i="115"/>
  <c r="AM1150" i="115"/>
  <c r="AO1150" i="115" s="1"/>
  <c r="AD1151" i="115"/>
  <c r="AJ1151" i="115"/>
  <c r="AK1151" i="115"/>
  <c r="AL1151" i="115"/>
  <c r="AM1151" i="115"/>
  <c r="AO1151" i="115" s="1"/>
  <c r="AD1152" i="115"/>
  <c r="AG1152" i="115" s="1"/>
  <c r="AJ1152" i="115"/>
  <c r="AK1152" i="115"/>
  <c r="AL1152" i="115"/>
  <c r="AM1152" i="115"/>
  <c r="AO1152" i="115" s="1"/>
  <c r="AD1153" i="115"/>
  <c r="AJ1153" i="115"/>
  <c r="AK1153" i="115"/>
  <c r="AL1153" i="115"/>
  <c r="AM1153" i="115"/>
  <c r="AO1153" i="115" s="1"/>
  <c r="AD1154" i="115"/>
  <c r="AJ1154" i="115"/>
  <c r="AK1154" i="115"/>
  <c r="AL1154" i="115"/>
  <c r="AM1154" i="115"/>
  <c r="AO1154" i="115"/>
  <c r="AD1155" i="115"/>
  <c r="AJ1155" i="115"/>
  <c r="AK1155" i="115"/>
  <c r="AL1155" i="115"/>
  <c r="AM1155" i="115"/>
  <c r="AO1155" i="115" s="1"/>
  <c r="AD1156" i="115"/>
  <c r="AE1156" i="115" s="1"/>
  <c r="AJ1156" i="115"/>
  <c r="AK1156" i="115"/>
  <c r="AL1156" i="115"/>
  <c r="AM1156" i="115"/>
  <c r="AO1156" i="115" s="1"/>
  <c r="AD1157" i="115"/>
  <c r="AJ1157" i="115"/>
  <c r="AK1157" i="115"/>
  <c r="AL1157" i="115"/>
  <c r="AM1157" i="115"/>
  <c r="AO1157" i="115" s="1"/>
  <c r="AD1158" i="115"/>
  <c r="AE1158" i="115" s="1"/>
  <c r="AJ1158" i="115"/>
  <c r="AK1158" i="115"/>
  <c r="AL1158" i="115"/>
  <c r="AM1158" i="115"/>
  <c r="AO1158" i="115" s="1"/>
  <c r="AD1159" i="115"/>
  <c r="AE1159" i="115" s="1"/>
  <c r="AF1159" i="115"/>
  <c r="AG1159" i="115"/>
  <c r="AI1159" i="115"/>
  <c r="AJ1159" i="115"/>
  <c r="AK1159" i="115"/>
  <c r="AL1159" i="115"/>
  <c r="AM1159" i="115"/>
  <c r="AO1159" i="115" s="1"/>
  <c r="AD1160" i="115"/>
  <c r="AG1160" i="115"/>
  <c r="AJ1160" i="115"/>
  <c r="AK1160" i="115"/>
  <c r="AL1160" i="115"/>
  <c r="AM1160" i="115"/>
  <c r="AO1160" i="115" s="1"/>
  <c r="AD1161" i="115"/>
  <c r="AJ1161" i="115"/>
  <c r="AK1161" i="115"/>
  <c r="AL1161" i="115"/>
  <c r="AM1161" i="115"/>
  <c r="AO1161" i="115" s="1"/>
  <c r="AD1162" i="115"/>
  <c r="AE1162" i="115" s="1"/>
  <c r="AJ1162" i="115"/>
  <c r="AK1162" i="115"/>
  <c r="AL1162" i="115"/>
  <c r="AM1162" i="115"/>
  <c r="AO1162" i="115" s="1"/>
  <c r="AD1163" i="115"/>
  <c r="AJ1163" i="115"/>
  <c r="AK1163" i="115"/>
  <c r="AL1163" i="115"/>
  <c r="AM1163" i="115"/>
  <c r="AO1163" i="115" s="1"/>
  <c r="AD1164" i="115"/>
  <c r="AE1164" i="115" s="1"/>
  <c r="AJ1164" i="115"/>
  <c r="AK1164" i="115"/>
  <c r="AL1164" i="115"/>
  <c r="AM1164" i="115"/>
  <c r="AO1164" i="115" s="1"/>
  <c r="AD1165" i="115"/>
  <c r="AJ1165" i="115"/>
  <c r="AK1165" i="115"/>
  <c r="AL1165" i="115"/>
  <c r="AM1165" i="115"/>
  <c r="AO1165" i="115" s="1"/>
  <c r="AD1166" i="115"/>
  <c r="AE1166" i="115" s="1"/>
  <c r="AJ1166" i="115"/>
  <c r="AK1166" i="115"/>
  <c r="AL1166" i="115"/>
  <c r="AM1166" i="115"/>
  <c r="AO1166" i="115" s="1"/>
  <c r="AD1167" i="115"/>
  <c r="AJ1167" i="115"/>
  <c r="AK1167" i="115"/>
  <c r="AL1167" i="115"/>
  <c r="AM1167" i="115"/>
  <c r="AO1167" i="115"/>
  <c r="AD1168" i="115"/>
  <c r="AI1168" i="115" s="1"/>
  <c r="AJ1168" i="115"/>
  <c r="AK1168" i="115"/>
  <c r="AL1168" i="115"/>
  <c r="AM1168" i="115"/>
  <c r="AO1168" i="115" s="1"/>
  <c r="AD1169" i="115"/>
  <c r="AJ1169" i="115"/>
  <c r="AK1169" i="115"/>
  <c r="AL1169" i="115"/>
  <c r="AM1169" i="115"/>
  <c r="AO1169" i="115" s="1"/>
  <c r="AD1170" i="115"/>
  <c r="AJ1170" i="115"/>
  <c r="AK1170" i="115"/>
  <c r="AL1170" i="115"/>
  <c r="AM1170" i="115"/>
  <c r="AO1170" i="115" s="1"/>
  <c r="AD1171" i="115"/>
  <c r="AI1171" i="115"/>
  <c r="AJ1171" i="115"/>
  <c r="AK1171" i="115"/>
  <c r="AL1171" i="115"/>
  <c r="AM1171" i="115"/>
  <c r="AO1171" i="115" s="1"/>
  <c r="AD1172" i="115"/>
  <c r="AJ1172" i="115"/>
  <c r="AK1172" i="115"/>
  <c r="AL1172" i="115"/>
  <c r="AM1172" i="115"/>
  <c r="AO1172" i="115" s="1"/>
  <c r="AD1173" i="115"/>
  <c r="AG1173" i="115"/>
  <c r="AI1173" i="115"/>
  <c r="AJ1173" i="115"/>
  <c r="AK1173" i="115"/>
  <c r="AL1173" i="115"/>
  <c r="AM1173" i="115"/>
  <c r="AO1173" i="115" s="1"/>
  <c r="AD1174" i="115"/>
  <c r="AE1174" i="115" s="1"/>
  <c r="AJ1174" i="115"/>
  <c r="AK1174" i="115"/>
  <c r="AL1174" i="115"/>
  <c r="AM1174" i="115"/>
  <c r="AO1174" i="115" s="1"/>
  <c r="AD1175" i="115"/>
  <c r="AJ1175" i="115"/>
  <c r="AK1175" i="115"/>
  <c r="AL1175" i="115"/>
  <c r="AM1175" i="115"/>
  <c r="AO1175" i="115" s="1"/>
  <c r="AD1176" i="115"/>
  <c r="AI1176" i="115" s="1"/>
  <c r="AJ1176" i="115"/>
  <c r="AK1176" i="115"/>
  <c r="AL1176" i="115"/>
  <c r="AM1176" i="115"/>
  <c r="AO1176" i="115" s="1"/>
  <c r="AD1177" i="115"/>
  <c r="AJ1177" i="115"/>
  <c r="AK1177" i="115"/>
  <c r="AL1177" i="115"/>
  <c r="AM1177" i="115"/>
  <c r="AO1177" i="115" s="1"/>
  <c r="AD1178" i="115"/>
  <c r="AE1178" i="115" s="1"/>
  <c r="AI1178" i="115"/>
  <c r="AJ1178" i="115"/>
  <c r="AK1178" i="115"/>
  <c r="AL1178" i="115"/>
  <c r="AM1178" i="115"/>
  <c r="AO1178" i="115" s="1"/>
  <c r="AD1179" i="115"/>
  <c r="AE1179" i="115" s="1"/>
  <c r="AJ1179" i="115"/>
  <c r="AK1179" i="115"/>
  <c r="AL1179" i="115"/>
  <c r="AM1179" i="115"/>
  <c r="AO1179" i="115" s="1"/>
  <c r="AD1180" i="115"/>
  <c r="AJ1180" i="115"/>
  <c r="AK1180" i="115"/>
  <c r="AL1180" i="115"/>
  <c r="AM1180" i="115"/>
  <c r="AO1180" i="115" s="1"/>
  <c r="AD1181" i="115"/>
  <c r="AJ1181" i="115"/>
  <c r="AK1181" i="115"/>
  <c r="AL1181" i="115"/>
  <c r="AM1181" i="115"/>
  <c r="AO1181" i="115"/>
  <c r="AD1182" i="115"/>
  <c r="AE1182" i="115" s="1"/>
  <c r="AJ1182" i="115"/>
  <c r="AK1182" i="115"/>
  <c r="AL1182" i="115"/>
  <c r="AM1182" i="115"/>
  <c r="AO1182" i="115" s="1"/>
  <c r="AD1183" i="115"/>
  <c r="AJ1183" i="115"/>
  <c r="AK1183" i="115"/>
  <c r="AL1183" i="115"/>
  <c r="AM1183" i="115"/>
  <c r="AO1183" i="115"/>
  <c r="AD1184" i="115"/>
  <c r="AJ1184" i="115"/>
  <c r="AK1184" i="115"/>
  <c r="AL1184" i="115"/>
  <c r="AM1184" i="115"/>
  <c r="AO1184" i="115" s="1"/>
  <c r="AD1185" i="115"/>
  <c r="AJ1185" i="115"/>
  <c r="AK1185" i="115"/>
  <c r="AL1185" i="115"/>
  <c r="AM1185" i="115"/>
  <c r="AO1185" i="115" s="1"/>
  <c r="AD1186" i="115"/>
  <c r="AJ1186" i="115"/>
  <c r="AK1186" i="115"/>
  <c r="AL1186" i="115"/>
  <c r="AM1186" i="115"/>
  <c r="AO1186" i="115" s="1"/>
  <c r="AD1187" i="115"/>
  <c r="AG1187" i="115"/>
  <c r="AJ1187" i="115"/>
  <c r="AK1187" i="115"/>
  <c r="AL1187" i="115"/>
  <c r="AM1187" i="115"/>
  <c r="AO1187" i="115" s="1"/>
  <c r="AD1188" i="115"/>
  <c r="AE1188" i="115" s="1"/>
  <c r="AJ1188" i="115"/>
  <c r="AK1188" i="115"/>
  <c r="AL1188" i="115"/>
  <c r="AM1188" i="115"/>
  <c r="AO1188" i="115" s="1"/>
  <c r="AD1189" i="115"/>
  <c r="AE1189" i="115" s="1"/>
  <c r="AF1189" i="115"/>
  <c r="AJ1189" i="115"/>
  <c r="AK1189" i="115"/>
  <c r="AL1189" i="115"/>
  <c r="AM1189" i="115"/>
  <c r="AO1189" i="115" s="1"/>
  <c r="AD1190" i="115"/>
  <c r="AE1190" i="115" s="1"/>
  <c r="AJ1190" i="115"/>
  <c r="AK1190" i="115"/>
  <c r="AL1190" i="115"/>
  <c r="AM1190" i="115"/>
  <c r="AO1190" i="115" s="1"/>
  <c r="AD1191" i="115"/>
  <c r="AJ1191" i="115"/>
  <c r="AK1191" i="115"/>
  <c r="AL1191" i="115"/>
  <c r="AM1191" i="115"/>
  <c r="AO1191" i="115"/>
  <c r="AD1192" i="115"/>
  <c r="AJ1192" i="115"/>
  <c r="AK1192" i="115"/>
  <c r="AL1192" i="115"/>
  <c r="AM1192" i="115"/>
  <c r="AO1192" i="115" s="1"/>
  <c r="AD1193" i="115"/>
  <c r="AJ1193" i="115"/>
  <c r="AK1193" i="115"/>
  <c r="AL1193" i="115"/>
  <c r="AM1193" i="115"/>
  <c r="AO1193" i="115" s="1"/>
  <c r="AD1194" i="115"/>
  <c r="AJ1194" i="115"/>
  <c r="AK1194" i="115"/>
  <c r="AL1194" i="115"/>
  <c r="AM1194" i="115"/>
  <c r="AO1194" i="115" s="1"/>
  <c r="AD1195" i="115"/>
  <c r="AJ1195" i="115"/>
  <c r="AK1195" i="115"/>
  <c r="AL1195" i="115"/>
  <c r="AM1195" i="115"/>
  <c r="AO1195" i="115"/>
  <c r="AD1196" i="115"/>
  <c r="AJ1196" i="115"/>
  <c r="AK1196" i="115"/>
  <c r="AL1196" i="115"/>
  <c r="AM1196" i="115"/>
  <c r="AO1196" i="115" s="1"/>
  <c r="AD1197" i="115"/>
  <c r="AE1197" i="115" s="1"/>
  <c r="AF1197" i="115"/>
  <c r="AG1197" i="115"/>
  <c r="AJ1197" i="115"/>
  <c r="AK1197" i="115"/>
  <c r="AL1197" i="115"/>
  <c r="AM1197" i="115"/>
  <c r="AO1197" i="115" s="1"/>
  <c r="AD1198" i="115"/>
  <c r="AJ1198" i="115"/>
  <c r="AK1198" i="115"/>
  <c r="AL1198" i="115"/>
  <c r="AM1198" i="115"/>
  <c r="AO1198" i="115" s="1"/>
  <c r="AD1199" i="115"/>
  <c r="AJ1199" i="115"/>
  <c r="AK1199" i="115"/>
  <c r="AL1199" i="115"/>
  <c r="AM1199" i="115"/>
  <c r="AO1199" i="115" s="1"/>
  <c r="AD1200" i="115"/>
  <c r="AJ1200" i="115"/>
  <c r="AK1200" i="115"/>
  <c r="AL1200" i="115"/>
  <c r="AM1200" i="115"/>
  <c r="AO1200" i="115" s="1"/>
  <c r="AD1201" i="115"/>
  <c r="AJ1201" i="115"/>
  <c r="AK1201" i="115"/>
  <c r="AL1201" i="115"/>
  <c r="AM1201" i="115"/>
  <c r="AO1201" i="115" s="1"/>
  <c r="AD1202" i="115"/>
  <c r="AJ1202" i="115"/>
  <c r="AK1202" i="115"/>
  <c r="AL1202" i="115"/>
  <c r="AM1202" i="115"/>
  <c r="AO1202" i="115" s="1"/>
  <c r="AD1203" i="115"/>
  <c r="AG1203" i="115" s="1"/>
  <c r="AJ1203" i="115"/>
  <c r="AK1203" i="115"/>
  <c r="AL1203" i="115"/>
  <c r="AM1203" i="115"/>
  <c r="AO1203" i="115" s="1"/>
  <c r="AD1204" i="115"/>
  <c r="AJ1204" i="115"/>
  <c r="AK1204" i="115"/>
  <c r="AL1204" i="115"/>
  <c r="AM1204" i="115"/>
  <c r="AO1204" i="115" s="1"/>
  <c r="AD1205" i="115"/>
  <c r="AJ1205" i="115"/>
  <c r="AK1205" i="115"/>
  <c r="AL1205" i="115"/>
  <c r="AM1205" i="115"/>
  <c r="AO1205" i="115" s="1"/>
  <c r="AD1206" i="115"/>
  <c r="AJ1206" i="115"/>
  <c r="AK1206" i="115"/>
  <c r="AL1206" i="115"/>
  <c r="AM1206" i="115"/>
  <c r="AO1206" i="115" s="1"/>
  <c r="AD1207" i="115"/>
  <c r="AE1207" i="115" s="1"/>
  <c r="AJ1207" i="115"/>
  <c r="AK1207" i="115"/>
  <c r="AL1207" i="115"/>
  <c r="AM1207" i="115"/>
  <c r="AO1207" i="115" s="1"/>
  <c r="AD1208" i="115"/>
  <c r="AE1208" i="115" s="1"/>
  <c r="AJ1208" i="115"/>
  <c r="AK1208" i="115"/>
  <c r="AL1208" i="115"/>
  <c r="AM1208" i="115"/>
  <c r="AO1208" i="115" s="1"/>
  <c r="AD1209" i="115"/>
  <c r="AE1209" i="115" s="1"/>
  <c r="AF1209" i="115"/>
  <c r="AI1209" i="115"/>
  <c r="AJ1209" i="115"/>
  <c r="AK1209" i="115"/>
  <c r="AL1209" i="115"/>
  <c r="AM1209" i="115"/>
  <c r="AO1209" i="115" s="1"/>
  <c r="AD1210" i="115"/>
  <c r="AJ1210" i="115"/>
  <c r="AK1210" i="115"/>
  <c r="AL1210" i="115"/>
  <c r="AM1210" i="115"/>
  <c r="AO1210" i="115" s="1"/>
  <c r="AD1211" i="115"/>
  <c r="AJ1211" i="115"/>
  <c r="AK1211" i="115"/>
  <c r="AL1211" i="115"/>
  <c r="AM1211" i="115"/>
  <c r="AO1211" i="115" s="1"/>
  <c r="AD1212" i="115"/>
  <c r="AE1212" i="115" s="1"/>
  <c r="AJ1212" i="115"/>
  <c r="AK1212" i="115"/>
  <c r="AL1212" i="115"/>
  <c r="AM1212" i="115"/>
  <c r="AO1212" i="115" s="1"/>
  <c r="AD1213" i="115"/>
  <c r="AE1213" i="115" s="1"/>
  <c r="AI1213" i="115"/>
  <c r="AJ1213" i="115"/>
  <c r="AK1213" i="115"/>
  <c r="AL1213" i="115"/>
  <c r="AM1213" i="115"/>
  <c r="AO1213" i="115" s="1"/>
  <c r="AD1214" i="115"/>
  <c r="AE1214" i="115" s="1"/>
  <c r="AJ1214" i="115"/>
  <c r="AK1214" i="115"/>
  <c r="AL1214" i="115"/>
  <c r="AM1214" i="115"/>
  <c r="AO1214" i="115" s="1"/>
  <c r="AD1215" i="115"/>
  <c r="AJ1215" i="115"/>
  <c r="AK1215" i="115"/>
  <c r="AL1215" i="115"/>
  <c r="AM1215" i="115"/>
  <c r="AO1215" i="115" s="1"/>
  <c r="AD1216" i="115"/>
  <c r="AE1216" i="115" s="1"/>
  <c r="AJ1216" i="115"/>
  <c r="AK1216" i="115"/>
  <c r="AL1216" i="115"/>
  <c r="AM1216" i="115"/>
  <c r="AO1216" i="115" s="1"/>
  <c r="AD1217" i="115"/>
  <c r="AI1217" i="115" s="1"/>
  <c r="AJ1217" i="115"/>
  <c r="AK1217" i="115"/>
  <c r="AL1217" i="115"/>
  <c r="AM1217" i="115"/>
  <c r="AO1217" i="115" s="1"/>
  <c r="AD1218" i="115"/>
  <c r="AE1218" i="115" s="1"/>
  <c r="AJ1218" i="115"/>
  <c r="AK1218" i="115"/>
  <c r="AL1218" i="115"/>
  <c r="AM1218" i="115"/>
  <c r="AO1218" i="115" s="1"/>
  <c r="AD1219" i="115"/>
  <c r="AE1219" i="115" s="1"/>
  <c r="AG1219" i="115"/>
  <c r="AJ1219" i="115"/>
  <c r="AK1219" i="115"/>
  <c r="AL1219" i="115"/>
  <c r="AM1219" i="115"/>
  <c r="AO1219" i="115" s="1"/>
  <c r="AD1220" i="115"/>
  <c r="AE1220" i="115" s="1"/>
  <c r="AJ1220" i="115"/>
  <c r="AK1220" i="115"/>
  <c r="AL1220" i="115"/>
  <c r="AM1220" i="115"/>
  <c r="AO1220" i="115" s="1"/>
  <c r="AD1221" i="115"/>
  <c r="AE1221" i="115" s="1"/>
  <c r="AG1221" i="115"/>
  <c r="AJ1221" i="115"/>
  <c r="AK1221" i="115"/>
  <c r="AL1221" i="115"/>
  <c r="AM1221" i="115"/>
  <c r="AO1221" i="115" s="1"/>
  <c r="AD1222" i="115"/>
  <c r="AJ1222" i="115"/>
  <c r="AK1222" i="115"/>
  <c r="AL1222" i="115"/>
  <c r="AM1222" i="115"/>
  <c r="AO1222" i="115" s="1"/>
  <c r="AD1223" i="115"/>
  <c r="AJ1223" i="115"/>
  <c r="AK1223" i="115"/>
  <c r="AL1223" i="115"/>
  <c r="AM1223" i="115"/>
  <c r="AO1223" i="115" s="1"/>
  <c r="AD1224" i="115"/>
  <c r="AE1224" i="115" s="1"/>
  <c r="AJ1224" i="115"/>
  <c r="AK1224" i="115"/>
  <c r="AL1224" i="115"/>
  <c r="AM1224" i="115"/>
  <c r="AO1224" i="115"/>
  <c r="AD1225" i="115"/>
  <c r="AJ1225" i="115"/>
  <c r="AK1225" i="115"/>
  <c r="AL1225" i="115"/>
  <c r="AM1225" i="115"/>
  <c r="AO1225" i="115" s="1"/>
  <c r="AD1226" i="115"/>
  <c r="AJ1226" i="115"/>
  <c r="AK1226" i="115"/>
  <c r="AL1226" i="115"/>
  <c r="AM1226" i="115"/>
  <c r="AO1226" i="115" s="1"/>
  <c r="AD1227" i="115"/>
  <c r="AE1227" i="115" s="1"/>
  <c r="AJ1227" i="115"/>
  <c r="AK1227" i="115"/>
  <c r="AL1227" i="115"/>
  <c r="AM1227" i="115"/>
  <c r="AO1227" i="115" s="1"/>
  <c r="AD1228" i="115"/>
  <c r="AE1228" i="115" s="1"/>
  <c r="AJ1228" i="115"/>
  <c r="AK1228" i="115"/>
  <c r="AL1228" i="115"/>
  <c r="AM1228" i="115"/>
  <c r="AO1228" i="115" s="1"/>
  <c r="AD1229" i="115"/>
  <c r="AJ1229" i="115"/>
  <c r="AK1229" i="115"/>
  <c r="AL1229" i="115"/>
  <c r="AM1229" i="115"/>
  <c r="AO1229" i="115" s="1"/>
  <c r="AD1230" i="115"/>
  <c r="AI1230" i="115"/>
  <c r="AJ1230" i="115"/>
  <c r="AK1230" i="115"/>
  <c r="AL1230" i="115"/>
  <c r="AM1230" i="115"/>
  <c r="AO1230" i="115" s="1"/>
  <c r="AD1231" i="115"/>
  <c r="AE1231" i="115" s="1"/>
  <c r="AJ1231" i="115"/>
  <c r="AK1231" i="115"/>
  <c r="AL1231" i="115"/>
  <c r="AM1231" i="115"/>
  <c r="AO1231" i="115" s="1"/>
  <c r="AD1232" i="115"/>
  <c r="AE1232" i="115" s="1"/>
  <c r="AJ1232" i="115"/>
  <c r="AK1232" i="115"/>
  <c r="AL1232" i="115"/>
  <c r="AM1232" i="115"/>
  <c r="AO1232" i="115"/>
  <c r="AD1233" i="115"/>
  <c r="AE1233" i="115" s="1"/>
  <c r="AJ1233" i="115"/>
  <c r="AK1233" i="115"/>
  <c r="AL1233" i="115"/>
  <c r="AM1233" i="115"/>
  <c r="AO1233" i="115" s="1"/>
  <c r="AD1234" i="115"/>
  <c r="AJ1234" i="115"/>
  <c r="AK1234" i="115"/>
  <c r="AL1234" i="115"/>
  <c r="AM1234" i="115"/>
  <c r="AO1234" i="115" s="1"/>
  <c r="AD1235" i="115"/>
  <c r="AE1235" i="115" s="1"/>
  <c r="AG1235" i="115"/>
  <c r="AJ1235" i="115"/>
  <c r="AK1235" i="115"/>
  <c r="AL1235" i="115"/>
  <c r="AM1235" i="115"/>
  <c r="AO1235" i="115" s="1"/>
  <c r="AD1236" i="115"/>
  <c r="AE1236" i="115" s="1"/>
  <c r="AJ1236" i="115"/>
  <c r="AK1236" i="115"/>
  <c r="AL1236" i="115"/>
  <c r="AM1236" i="115"/>
  <c r="AO1236" i="115" s="1"/>
  <c r="AD1237" i="115"/>
  <c r="AE1237" i="115" s="1"/>
  <c r="AF1237" i="115"/>
  <c r="AG1237" i="115"/>
  <c r="AI1237" i="115"/>
  <c r="AJ1237" i="115"/>
  <c r="AK1237" i="115"/>
  <c r="AL1237" i="115"/>
  <c r="AM1237" i="115"/>
  <c r="AO1237" i="115" s="1"/>
  <c r="AD1238" i="115"/>
  <c r="AI1238" i="115"/>
  <c r="AJ1238" i="115"/>
  <c r="AK1238" i="115"/>
  <c r="AL1238" i="115"/>
  <c r="AM1238" i="115"/>
  <c r="AO1238" i="115" s="1"/>
  <c r="AD1239" i="115"/>
  <c r="AJ1239" i="115"/>
  <c r="AK1239" i="115"/>
  <c r="AL1239" i="115"/>
  <c r="AM1239" i="115"/>
  <c r="AO1239" i="115" s="1"/>
  <c r="AD1240" i="115"/>
  <c r="AE1240" i="115" s="1"/>
  <c r="AJ1240" i="115"/>
  <c r="AK1240" i="115"/>
  <c r="AL1240" i="115"/>
  <c r="AM1240" i="115"/>
  <c r="AO1240" i="115" s="1"/>
  <c r="AD1241" i="115"/>
  <c r="AE1241" i="115" s="1"/>
  <c r="AI1241" i="115"/>
  <c r="AJ1241" i="115"/>
  <c r="AK1241" i="115"/>
  <c r="AL1241" i="115"/>
  <c r="AM1241" i="115"/>
  <c r="AO1241" i="115" s="1"/>
  <c r="AD1242" i="115"/>
  <c r="AE1242" i="115" s="1"/>
  <c r="AJ1242" i="115"/>
  <c r="AK1242" i="115"/>
  <c r="AL1242" i="115"/>
  <c r="AM1242" i="115"/>
  <c r="AO1242" i="115" s="1"/>
  <c r="AD1243" i="115"/>
  <c r="AJ1243" i="115"/>
  <c r="AK1243" i="115"/>
  <c r="AL1243" i="115"/>
  <c r="AM1243" i="115"/>
  <c r="AO1243" i="115" s="1"/>
  <c r="AD1244" i="115"/>
  <c r="AE1244" i="115" s="1"/>
  <c r="AJ1244" i="115"/>
  <c r="AK1244" i="115"/>
  <c r="AL1244" i="115"/>
  <c r="AM1244" i="115"/>
  <c r="AO1244" i="115"/>
  <c r="AD1245" i="115"/>
  <c r="AJ1245" i="115"/>
  <c r="AK1245" i="115"/>
  <c r="AL1245" i="115"/>
  <c r="AM1245" i="115"/>
  <c r="AO1245" i="115" s="1"/>
  <c r="AD1246" i="115"/>
  <c r="AJ1246" i="115"/>
  <c r="AK1246" i="115"/>
  <c r="AL1246" i="115"/>
  <c r="AM1246" i="115"/>
  <c r="AO1246" i="115" s="1"/>
  <c r="AD1247" i="115"/>
  <c r="AJ1247" i="115"/>
  <c r="AK1247" i="115"/>
  <c r="AL1247" i="115"/>
  <c r="AM1247" i="115"/>
  <c r="AO1247" i="115" s="1"/>
  <c r="AD1248" i="115"/>
  <c r="AE1248" i="115" s="1"/>
  <c r="AJ1248" i="115"/>
  <c r="AK1248" i="115"/>
  <c r="AL1248" i="115"/>
  <c r="AM1248" i="115"/>
  <c r="AO1248" i="115" s="1"/>
  <c r="AD1249" i="115"/>
  <c r="AI1249" i="115" s="1"/>
  <c r="AJ1249" i="115"/>
  <c r="AK1249" i="115"/>
  <c r="AL1249" i="115"/>
  <c r="AM1249" i="115"/>
  <c r="AO1249" i="115" s="1"/>
  <c r="AD1250" i="115"/>
  <c r="AJ1250" i="115"/>
  <c r="AK1250" i="115"/>
  <c r="AL1250" i="115"/>
  <c r="AM1250" i="115"/>
  <c r="AO1250" i="115" s="1"/>
  <c r="AD1251" i="115"/>
  <c r="AJ1251" i="115"/>
  <c r="AK1251" i="115"/>
  <c r="AL1251" i="115"/>
  <c r="AM1251" i="115"/>
  <c r="AO1251" i="115" s="1"/>
  <c r="AD1252" i="115"/>
  <c r="AE1252" i="115" s="1"/>
  <c r="AJ1252" i="115"/>
  <c r="AK1252" i="115"/>
  <c r="AL1252" i="115"/>
  <c r="AM1252" i="115"/>
  <c r="AO1252" i="115" s="1"/>
  <c r="AD1253" i="115"/>
  <c r="AJ1253" i="115"/>
  <c r="AK1253" i="115"/>
  <c r="AL1253" i="115"/>
  <c r="AM1253" i="115"/>
  <c r="AO1253" i="115" s="1"/>
  <c r="AD1254" i="115"/>
  <c r="AJ1254" i="115"/>
  <c r="AK1254" i="115"/>
  <c r="AL1254" i="115"/>
  <c r="AM1254" i="115"/>
  <c r="AO1254" i="115" s="1"/>
  <c r="AD1255" i="115"/>
  <c r="AE1255" i="115" s="1"/>
  <c r="AG1255" i="115"/>
  <c r="AJ1255" i="115"/>
  <c r="AK1255" i="115"/>
  <c r="AL1255" i="115"/>
  <c r="AM1255" i="115"/>
  <c r="AO1255" i="115" s="1"/>
  <c r="AD1256" i="115"/>
  <c r="AE1256" i="115" s="1"/>
  <c r="AJ1256" i="115"/>
  <c r="AK1256" i="115"/>
  <c r="AL1256" i="115"/>
  <c r="AM1256" i="115"/>
  <c r="AO1256" i="115" s="1"/>
  <c r="AD1257" i="115"/>
  <c r="AE1257" i="115" s="1"/>
  <c r="AF1257" i="115"/>
  <c r="AI1257" i="115"/>
  <c r="AJ1257" i="115"/>
  <c r="AK1257" i="115"/>
  <c r="AL1257" i="115"/>
  <c r="AM1257" i="115"/>
  <c r="AO1257" i="115" s="1"/>
  <c r="AD1258" i="115"/>
  <c r="AI1258" i="115" s="1"/>
  <c r="AJ1258" i="115"/>
  <c r="AK1258" i="115"/>
  <c r="AL1258" i="115"/>
  <c r="AM1258" i="115"/>
  <c r="AO1258" i="115" s="1"/>
  <c r="AD1259" i="115"/>
  <c r="AE1259" i="115" s="1"/>
  <c r="AJ1259" i="115"/>
  <c r="AK1259" i="115"/>
  <c r="AL1259" i="115"/>
  <c r="AM1259" i="115"/>
  <c r="AO1259" i="115" s="1"/>
  <c r="AD1260" i="115"/>
  <c r="AE1260" i="115" s="1"/>
  <c r="AJ1260" i="115"/>
  <c r="AK1260" i="115"/>
  <c r="AL1260" i="115"/>
  <c r="AM1260" i="115"/>
  <c r="AO1260" i="115" s="1"/>
  <c r="AD1261" i="115"/>
  <c r="AJ1261" i="115"/>
  <c r="AK1261" i="115"/>
  <c r="AL1261" i="115"/>
  <c r="AM1261" i="115"/>
  <c r="AO1261" i="115" s="1"/>
  <c r="AD1262" i="115"/>
  <c r="AJ1262" i="115"/>
  <c r="AK1262" i="115"/>
  <c r="AL1262" i="115"/>
  <c r="AM1262" i="115"/>
  <c r="AO1262" i="115" s="1"/>
  <c r="AD1263" i="115"/>
  <c r="AE1263" i="115" s="1"/>
  <c r="AJ1263" i="115"/>
  <c r="AK1263" i="115"/>
  <c r="AL1263" i="115"/>
  <c r="AM1263" i="115"/>
  <c r="AO1263" i="115" s="1"/>
  <c r="AD1264" i="115"/>
  <c r="AE1264" i="115" s="1"/>
  <c r="AJ1264" i="115"/>
  <c r="AK1264" i="115"/>
  <c r="AL1264" i="115"/>
  <c r="AM1264" i="115"/>
  <c r="AO1264" i="115" s="1"/>
  <c r="AD1265" i="115"/>
  <c r="AE1265" i="115" s="1"/>
  <c r="AJ1265" i="115"/>
  <c r="AK1265" i="115"/>
  <c r="AL1265" i="115"/>
  <c r="AM1265" i="115"/>
  <c r="AO1265" i="115" s="1"/>
  <c r="AD1266" i="115"/>
  <c r="AJ1266" i="115"/>
  <c r="AK1266" i="115"/>
  <c r="AL1266" i="115"/>
  <c r="AM1266" i="115"/>
  <c r="AO1266" i="115" s="1"/>
  <c r="AD1267" i="115"/>
  <c r="AE1267" i="115" s="1"/>
  <c r="AJ1267" i="115"/>
  <c r="AK1267" i="115"/>
  <c r="AL1267" i="115"/>
  <c r="AM1267" i="115"/>
  <c r="AO1267" i="115" s="1"/>
  <c r="AD1268" i="115"/>
  <c r="AE1268" i="115" s="1"/>
  <c r="AJ1268" i="115"/>
  <c r="AK1268" i="115"/>
  <c r="AL1268" i="115"/>
  <c r="AM1268" i="115"/>
  <c r="AO1268" i="115" s="1"/>
  <c r="AD1269" i="115"/>
  <c r="AJ1269" i="115"/>
  <c r="AK1269" i="115"/>
  <c r="AL1269" i="115"/>
  <c r="AM1269" i="115"/>
  <c r="AO1269" i="115" s="1"/>
  <c r="AD1270" i="115"/>
  <c r="AJ1270" i="115"/>
  <c r="AK1270" i="115"/>
  <c r="AL1270" i="115"/>
  <c r="AM1270" i="115"/>
  <c r="AO1270" i="115" s="1"/>
  <c r="AD1271" i="115"/>
  <c r="AJ1271" i="115"/>
  <c r="AK1271" i="115"/>
  <c r="AL1271" i="115"/>
  <c r="AM1271" i="115"/>
  <c r="AO1271" i="115" s="1"/>
  <c r="AD1272" i="115"/>
  <c r="AE1272" i="115" s="1"/>
  <c r="AJ1272" i="115"/>
  <c r="AK1272" i="115"/>
  <c r="AL1272" i="115"/>
  <c r="AM1272" i="115"/>
  <c r="AO1272" i="115" s="1"/>
  <c r="AD1273" i="115"/>
  <c r="AJ1273" i="115"/>
  <c r="AK1273" i="115"/>
  <c r="AL1273" i="115"/>
  <c r="AM1273" i="115"/>
  <c r="AO1273" i="115" s="1"/>
  <c r="AD1274" i="115"/>
  <c r="AE1274" i="115" s="1"/>
  <c r="AJ1274" i="115"/>
  <c r="AK1274" i="115"/>
  <c r="AL1274" i="115"/>
  <c r="AM1274" i="115"/>
  <c r="AO1274" i="115" s="1"/>
  <c r="AD1275" i="115"/>
  <c r="AJ1275" i="115"/>
  <c r="AK1275" i="115"/>
  <c r="AL1275" i="115"/>
  <c r="AM1275" i="115"/>
  <c r="AO1275" i="115" s="1"/>
  <c r="AD1276" i="115"/>
  <c r="AE1276" i="115" s="1"/>
  <c r="AJ1276" i="115"/>
  <c r="AK1276" i="115"/>
  <c r="AL1276" i="115"/>
  <c r="AM1276" i="115"/>
  <c r="AO1276" i="115" s="1"/>
  <c r="AD1277" i="115"/>
  <c r="AE1277" i="115" s="1"/>
  <c r="AJ1277" i="115"/>
  <c r="AK1277" i="115"/>
  <c r="AL1277" i="115"/>
  <c r="AM1277" i="115"/>
  <c r="AO1277" i="115" s="1"/>
  <c r="AD1278" i="115"/>
  <c r="AJ1278" i="115"/>
  <c r="AK1278" i="115"/>
  <c r="AL1278" i="115"/>
  <c r="AM1278" i="115"/>
  <c r="AO1278" i="115" s="1"/>
  <c r="AD1279" i="115"/>
  <c r="AJ1279" i="115"/>
  <c r="AK1279" i="115"/>
  <c r="AL1279" i="115"/>
  <c r="AM1279" i="115"/>
  <c r="AO1279" i="115" s="1"/>
  <c r="AD1280" i="115"/>
  <c r="AE1280" i="115" s="1"/>
  <c r="AJ1280" i="115"/>
  <c r="AK1280" i="115"/>
  <c r="AL1280" i="115"/>
  <c r="AM1280" i="115"/>
  <c r="AO1280" i="115" s="1"/>
  <c r="AD1281" i="115"/>
  <c r="AI1281" i="115" s="1"/>
  <c r="AJ1281" i="115"/>
  <c r="AK1281" i="115"/>
  <c r="AL1281" i="115"/>
  <c r="AM1281" i="115"/>
  <c r="AO1281" i="115" s="1"/>
  <c r="AD1282" i="115"/>
  <c r="AI1282" i="115" s="1"/>
  <c r="AJ1282" i="115"/>
  <c r="AK1282" i="115"/>
  <c r="AL1282" i="115"/>
  <c r="AM1282" i="115"/>
  <c r="AO1282" i="115" s="1"/>
  <c r="AD1283" i="115"/>
  <c r="AJ1283" i="115"/>
  <c r="AK1283" i="115"/>
  <c r="AL1283" i="115"/>
  <c r="AM1283" i="115"/>
  <c r="AO1283" i="115" s="1"/>
  <c r="AD1284" i="115"/>
  <c r="AE1284" i="115" s="1"/>
  <c r="AJ1284" i="115"/>
  <c r="AK1284" i="115"/>
  <c r="AL1284" i="115"/>
  <c r="AM1284" i="115"/>
  <c r="AO1284" i="115" s="1"/>
  <c r="AD1285" i="115"/>
  <c r="AE1285" i="115" s="1"/>
  <c r="AJ1285" i="115"/>
  <c r="AK1285" i="115"/>
  <c r="AL1285" i="115"/>
  <c r="AM1285" i="115"/>
  <c r="AO1285" i="115" s="1"/>
  <c r="AD1286" i="115"/>
  <c r="AE1286" i="115" s="1"/>
  <c r="AJ1286" i="115"/>
  <c r="AK1286" i="115"/>
  <c r="AL1286" i="115"/>
  <c r="AM1286" i="115"/>
  <c r="AO1286" i="115" s="1"/>
  <c r="AD1287" i="115"/>
  <c r="AE1287" i="115" s="1"/>
  <c r="AG1287" i="115"/>
  <c r="AJ1287" i="115"/>
  <c r="AK1287" i="115"/>
  <c r="AL1287" i="115"/>
  <c r="AM1287" i="115"/>
  <c r="AO1287" i="115" s="1"/>
  <c r="AD1288" i="115"/>
  <c r="AE1288" i="115" s="1"/>
  <c r="AJ1288" i="115"/>
  <c r="AK1288" i="115"/>
  <c r="AL1288" i="115"/>
  <c r="AM1288" i="115"/>
  <c r="AO1288" i="115" s="1"/>
  <c r="AD1289" i="115"/>
  <c r="AE1289" i="115" s="1"/>
  <c r="AJ1289" i="115"/>
  <c r="AK1289" i="115"/>
  <c r="AL1289" i="115"/>
  <c r="AM1289" i="115"/>
  <c r="AO1289" i="115" s="1"/>
  <c r="AD1290" i="115"/>
  <c r="AI1290" i="115"/>
  <c r="AJ1290" i="115"/>
  <c r="AK1290" i="115"/>
  <c r="AL1290" i="115"/>
  <c r="AM1290" i="115"/>
  <c r="AO1290" i="115" s="1"/>
  <c r="AD1291" i="115"/>
  <c r="AE1291" i="115" s="1"/>
  <c r="AJ1291" i="115"/>
  <c r="AK1291" i="115"/>
  <c r="AL1291" i="115"/>
  <c r="AM1291" i="115"/>
  <c r="AO1291" i="115" s="1"/>
  <c r="AD1292" i="115"/>
  <c r="AE1292" i="115" s="1"/>
  <c r="AJ1292" i="115"/>
  <c r="AK1292" i="115"/>
  <c r="AL1292" i="115"/>
  <c r="AM1292" i="115"/>
  <c r="AO1292" i="115" s="1"/>
  <c r="AD1293" i="115"/>
  <c r="AE1293" i="115" s="1"/>
  <c r="AJ1293" i="115"/>
  <c r="AK1293" i="115"/>
  <c r="AL1293" i="115"/>
  <c r="AM1293" i="115"/>
  <c r="AO1293" i="115" s="1"/>
  <c r="AD1294" i="115"/>
  <c r="AJ1294" i="115"/>
  <c r="AK1294" i="115"/>
  <c r="AL1294" i="115"/>
  <c r="AM1294" i="115"/>
  <c r="AO1294" i="115" s="1"/>
  <c r="AD1295" i="115"/>
  <c r="AE1295" i="115" s="1"/>
  <c r="AJ1295" i="115"/>
  <c r="AK1295" i="115"/>
  <c r="AL1295" i="115"/>
  <c r="AM1295" i="115"/>
  <c r="AO1295" i="115" s="1"/>
  <c r="AD1296" i="115"/>
  <c r="AE1296" i="115" s="1"/>
  <c r="AJ1296" i="115"/>
  <c r="AK1296" i="115"/>
  <c r="AL1296" i="115"/>
  <c r="AM1296" i="115"/>
  <c r="AO1296" i="115" s="1"/>
  <c r="AD1297" i="115"/>
  <c r="AE1297" i="115" s="1"/>
  <c r="AJ1297" i="115"/>
  <c r="AK1297" i="115"/>
  <c r="AL1297" i="115"/>
  <c r="AM1297" i="115"/>
  <c r="AO1297" i="115" s="1"/>
  <c r="AD1298" i="115"/>
  <c r="AI1298" i="115" s="1"/>
  <c r="AJ1298" i="115"/>
  <c r="AK1298" i="115"/>
  <c r="AL1298" i="115"/>
  <c r="AM1298" i="115"/>
  <c r="AO1298" i="115" s="1"/>
  <c r="AD1299" i="115"/>
  <c r="AE1299" i="115" s="1"/>
  <c r="AJ1299" i="115"/>
  <c r="AK1299" i="115"/>
  <c r="AL1299" i="115"/>
  <c r="AM1299" i="115"/>
  <c r="AO1299" i="115" s="1"/>
  <c r="AD1300" i="115"/>
  <c r="AE1300" i="115" s="1"/>
  <c r="AJ1300" i="115"/>
  <c r="AK1300" i="115"/>
  <c r="AL1300" i="115"/>
  <c r="AM1300" i="115"/>
  <c r="AO1300" i="115" s="1"/>
  <c r="AD1301" i="115"/>
  <c r="AE1301" i="115" s="1"/>
  <c r="AF1301" i="115"/>
  <c r="AG1301" i="115"/>
  <c r="AJ1301" i="115"/>
  <c r="AK1301" i="115"/>
  <c r="AL1301" i="115"/>
  <c r="AM1301" i="115"/>
  <c r="AO1301" i="115" s="1"/>
  <c r="AD1302" i="115"/>
  <c r="AI1302" i="115" s="1"/>
  <c r="AJ1302" i="115"/>
  <c r="AK1302" i="115"/>
  <c r="AL1302" i="115"/>
  <c r="AM1302" i="115"/>
  <c r="AO1302" i="115" s="1"/>
  <c r="AD1303" i="115"/>
  <c r="AJ1303" i="115"/>
  <c r="AK1303" i="115"/>
  <c r="AL1303" i="115"/>
  <c r="AM1303" i="115"/>
  <c r="AO1303" i="115" s="1"/>
  <c r="AD1304" i="115"/>
  <c r="AE1304" i="115" s="1"/>
  <c r="AJ1304" i="115"/>
  <c r="AK1304" i="115"/>
  <c r="AL1304" i="115"/>
  <c r="AM1304" i="115"/>
  <c r="AO1304" i="115"/>
  <c r="AD1305" i="115"/>
  <c r="AE1305" i="115" s="1"/>
  <c r="AJ1305" i="115"/>
  <c r="AK1305" i="115"/>
  <c r="AL1305" i="115"/>
  <c r="AM1305" i="115"/>
  <c r="AO1305" i="115" s="1"/>
  <c r="AD1306" i="115"/>
  <c r="AE1306" i="115" s="1"/>
  <c r="AJ1306" i="115"/>
  <c r="AK1306" i="115"/>
  <c r="AL1306" i="115"/>
  <c r="AM1306" i="115"/>
  <c r="AO1306" i="115" s="1"/>
  <c r="AD1307" i="115"/>
  <c r="AJ1307" i="115"/>
  <c r="AK1307" i="115"/>
  <c r="AL1307" i="115"/>
  <c r="AM1307" i="115"/>
  <c r="AO1307" i="115" s="1"/>
  <c r="AD1308" i="115"/>
  <c r="AE1308" i="115" s="1"/>
  <c r="AJ1308" i="115"/>
  <c r="AK1308" i="115"/>
  <c r="AL1308" i="115"/>
  <c r="AM1308" i="115"/>
  <c r="AO1308" i="115" s="1"/>
  <c r="AD1309" i="115"/>
  <c r="AJ1309" i="115"/>
  <c r="AK1309" i="115"/>
  <c r="AL1309" i="115"/>
  <c r="AM1309" i="115"/>
  <c r="AO1309" i="115" s="1"/>
  <c r="AD1310" i="115"/>
  <c r="AJ1310" i="115"/>
  <c r="AK1310" i="115"/>
  <c r="AL1310" i="115"/>
  <c r="AM1310" i="115"/>
  <c r="AO1310" i="115" s="1"/>
  <c r="AD1311" i="115"/>
  <c r="AJ1311" i="115"/>
  <c r="AK1311" i="115"/>
  <c r="AL1311" i="115"/>
  <c r="AM1311" i="115"/>
  <c r="AO1311" i="115" s="1"/>
  <c r="AD1312" i="115"/>
  <c r="AE1312" i="115" s="1"/>
  <c r="AJ1312" i="115"/>
  <c r="AK1312" i="115"/>
  <c r="AL1312" i="115"/>
  <c r="AM1312" i="115"/>
  <c r="AO1312" i="115" s="1"/>
  <c r="AD1313" i="115"/>
  <c r="AJ1313" i="115"/>
  <c r="AK1313" i="115"/>
  <c r="AL1313" i="115"/>
  <c r="AM1313" i="115"/>
  <c r="AO1313" i="115" s="1"/>
  <c r="AD1314" i="115"/>
  <c r="AI1314" i="115" s="1"/>
  <c r="AJ1314" i="115"/>
  <c r="AK1314" i="115"/>
  <c r="AL1314" i="115"/>
  <c r="AM1314" i="115"/>
  <c r="AO1314" i="115" s="1"/>
  <c r="AD1315" i="115"/>
  <c r="AJ1315" i="115"/>
  <c r="AK1315" i="115"/>
  <c r="AL1315" i="115"/>
  <c r="AM1315" i="115"/>
  <c r="AO1315" i="115" s="1"/>
  <c r="AD1316" i="115"/>
  <c r="AE1316" i="115" s="1"/>
  <c r="AJ1316" i="115"/>
  <c r="AK1316" i="115"/>
  <c r="AL1316" i="115"/>
  <c r="AM1316" i="115"/>
  <c r="AO1316" i="115"/>
  <c r="AD1317" i="115"/>
  <c r="AJ1317" i="115"/>
  <c r="AK1317" i="115"/>
  <c r="AL1317" i="115"/>
  <c r="AM1317" i="115"/>
  <c r="AO1317" i="115" s="1"/>
  <c r="AD1318" i="115"/>
  <c r="AE1318" i="115" s="1"/>
  <c r="AJ1318" i="115"/>
  <c r="AK1318" i="115"/>
  <c r="AL1318" i="115"/>
  <c r="AM1318" i="115"/>
  <c r="AO1318" i="115" s="1"/>
  <c r="AD1319" i="115"/>
  <c r="AJ1319" i="115"/>
  <c r="AK1319" i="115"/>
  <c r="AL1319" i="115"/>
  <c r="AM1319" i="115"/>
  <c r="AO1319" i="115" s="1"/>
  <c r="AD1320" i="115"/>
  <c r="AE1320" i="115" s="1"/>
  <c r="AJ1320" i="115"/>
  <c r="AK1320" i="115"/>
  <c r="AL1320" i="115"/>
  <c r="AM1320" i="115"/>
  <c r="AO1320" i="115" s="1"/>
  <c r="AD1321" i="115"/>
  <c r="AE1321" i="115" s="1"/>
  <c r="AJ1321" i="115"/>
  <c r="AK1321" i="115"/>
  <c r="AL1321" i="115"/>
  <c r="AM1321" i="115"/>
  <c r="AO1321" i="115" s="1"/>
  <c r="AD1322" i="115"/>
  <c r="AI1322" i="115"/>
  <c r="AJ1322" i="115"/>
  <c r="AK1322" i="115"/>
  <c r="AL1322" i="115"/>
  <c r="AM1322" i="115"/>
  <c r="AO1322" i="115" s="1"/>
  <c r="AD1323" i="115"/>
  <c r="AE1323" i="115" s="1"/>
  <c r="AJ1323" i="115"/>
  <c r="AK1323" i="115"/>
  <c r="AL1323" i="115"/>
  <c r="AM1323" i="115"/>
  <c r="AO1323" i="115" s="1"/>
  <c r="AD1324" i="115"/>
  <c r="AE1324" i="115" s="1"/>
  <c r="AJ1324" i="115"/>
  <c r="AK1324" i="115"/>
  <c r="AL1324" i="115"/>
  <c r="AM1324" i="115"/>
  <c r="AO1324" i="115" s="1"/>
  <c r="AD1325" i="115"/>
  <c r="AJ1325" i="115"/>
  <c r="AK1325" i="115"/>
  <c r="AL1325" i="115"/>
  <c r="AM1325" i="115"/>
  <c r="AO1325" i="115" s="1"/>
  <c r="AD1326" i="115"/>
  <c r="AJ1326" i="115"/>
  <c r="AK1326" i="115"/>
  <c r="AL1326" i="115"/>
  <c r="AM1326" i="115"/>
  <c r="AO1326" i="115" s="1"/>
  <c r="AD1327" i="115"/>
  <c r="AE1327" i="115" s="1"/>
  <c r="AJ1327" i="115"/>
  <c r="AK1327" i="115"/>
  <c r="AL1327" i="115"/>
  <c r="AM1327" i="115"/>
  <c r="AO1327" i="115" s="1"/>
  <c r="AD1328" i="115"/>
  <c r="AE1328" i="115" s="1"/>
  <c r="AJ1328" i="115"/>
  <c r="AK1328" i="115"/>
  <c r="AL1328" i="115"/>
  <c r="AM1328" i="115"/>
  <c r="AO1328" i="115" s="1"/>
  <c r="AD1329" i="115"/>
  <c r="AE1329" i="115" s="1"/>
  <c r="AJ1329" i="115"/>
  <c r="AK1329" i="115"/>
  <c r="AL1329" i="115"/>
  <c r="AM1329" i="115"/>
  <c r="AO1329" i="115" s="1"/>
  <c r="AD1330" i="115"/>
  <c r="AI1330" i="115"/>
  <c r="AJ1330" i="115"/>
  <c r="AK1330" i="115"/>
  <c r="AL1330" i="115"/>
  <c r="AM1330" i="115"/>
  <c r="AO1330" i="115" s="1"/>
  <c r="AD1331" i="115"/>
  <c r="AE1331" i="115" s="1"/>
  <c r="AG1331" i="115"/>
  <c r="AJ1331" i="115"/>
  <c r="AK1331" i="115"/>
  <c r="AL1331" i="115"/>
  <c r="AM1331" i="115"/>
  <c r="AO1331" i="115" s="1"/>
  <c r="AD1332" i="115"/>
  <c r="AE1332" i="115" s="1"/>
  <c r="AJ1332" i="115"/>
  <c r="AK1332" i="115"/>
  <c r="AL1332" i="115"/>
  <c r="AM1332" i="115"/>
  <c r="AO1332" i="115"/>
  <c r="AD1333" i="115"/>
  <c r="AE1333" i="115" s="1"/>
  <c r="AF1333" i="115"/>
  <c r="AG1333" i="115"/>
  <c r="AI1333" i="115"/>
  <c r="AJ1333" i="115"/>
  <c r="AK1333" i="115"/>
  <c r="AL1333" i="115"/>
  <c r="AM1333" i="115"/>
  <c r="AO1333" i="115" s="1"/>
  <c r="AD1334" i="115"/>
  <c r="AI1334" i="115"/>
  <c r="AJ1334" i="115"/>
  <c r="AK1334" i="115"/>
  <c r="AL1334" i="115"/>
  <c r="AM1334" i="115"/>
  <c r="AO1334" i="115" s="1"/>
  <c r="AD1335" i="115"/>
  <c r="AJ1335" i="115"/>
  <c r="AK1335" i="115"/>
  <c r="AL1335" i="115"/>
  <c r="AM1335" i="115"/>
  <c r="AO1335" i="115" s="1"/>
  <c r="AD1336" i="115"/>
  <c r="AE1336" i="115" s="1"/>
  <c r="AJ1336" i="115"/>
  <c r="AK1336" i="115"/>
  <c r="AL1336" i="115"/>
  <c r="AM1336" i="115"/>
  <c r="AO1336" i="115" s="1"/>
  <c r="AD1337" i="115"/>
  <c r="AE1337" i="115" s="1"/>
  <c r="AI1337" i="115"/>
  <c r="AJ1337" i="115"/>
  <c r="AK1337" i="115"/>
  <c r="AL1337" i="115"/>
  <c r="AM1337" i="115"/>
  <c r="AO1337" i="115" s="1"/>
  <c r="AD1338" i="115"/>
  <c r="AE1338" i="115" s="1"/>
  <c r="AJ1338" i="115"/>
  <c r="AK1338" i="115"/>
  <c r="AL1338" i="115"/>
  <c r="AM1338" i="115"/>
  <c r="AO1338" i="115" s="1"/>
  <c r="AD1339" i="115"/>
  <c r="AJ1339" i="115"/>
  <c r="AK1339" i="115"/>
  <c r="AL1339" i="115"/>
  <c r="AM1339" i="115"/>
  <c r="AO1339" i="115" s="1"/>
  <c r="AD1340" i="115"/>
  <c r="AE1340" i="115" s="1"/>
  <c r="AJ1340" i="115"/>
  <c r="AK1340" i="115"/>
  <c r="AL1340" i="115"/>
  <c r="AM1340" i="115"/>
  <c r="AO1340" i="115" s="1"/>
  <c r="AD1341" i="115"/>
  <c r="AE1341" i="115" s="1"/>
  <c r="AJ1341" i="115"/>
  <c r="AK1341" i="115"/>
  <c r="AL1341" i="115"/>
  <c r="AM1341" i="115"/>
  <c r="AO1341" i="115" s="1"/>
  <c r="AD1342" i="115"/>
  <c r="AJ1342" i="115"/>
  <c r="AK1342" i="115"/>
  <c r="AL1342" i="115"/>
  <c r="AM1342" i="115"/>
  <c r="AO1342" i="115" s="1"/>
  <c r="AD1343" i="115"/>
  <c r="AJ1343" i="115"/>
  <c r="AK1343" i="115"/>
  <c r="AL1343" i="115"/>
  <c r="AM1343" i="115"/>
  <c r="AO1343" i="115" s="1"/>
  <c r="AD1344" i="115"/>
  <c r="AE1344" i="115" s="1"/>
  <c r="AJ1344" i="115"/>
  <c r="AK1344" i="115"/>
  <c r="AL1344" i="115"/>
  <c r="AM1344" i="115"/>
  <c r="AO1344" i="115" s="1"/>
  <c r="AD1345" i="115"/>
  <c r="AJ1345" i="115"/>
  <c r="AK1345" i="115"/>
  <c r="AL1345" i="115"/>
  <c r="AM1345" i="115"/>
  <c r="AO1345" i="115" s="1"/>
  <c r="AD1346" i="115"/>
  <c r="AI1346" i="115"/>
  <c r="AJ1346" i="115"/>
  <c r="AK1346" i="115"/>
  <c r="AL1346" i="115"/>
  <c r="AM1346" i="115"/>
  <c r="AO1346" i="115" s="1"/>
  <c r="AD1347" i="115"/>
  <c r="AJ1347" i="115"/>
  <c r="AK1347" i="115"/>
  <c r="AL1347" i="115"/>
  <c r="AM1347" i="115"/>
  <c r="AO1347" i="115" s="1"/>
  <c r="AD1348" i="115"/>
  <c r="AE1348" i="115" s="1"/>
  <c r="AJ1348" i="115"/>
  <c r="AK1348" i="115"/>
  <c r="AL1348" i="115"/>
  <c r="AM1348" i="115"/>
  <c r="AO1348" i="115" s="1"/>
  <c r="AD1349" i="115"/>
  <c r="AE1349" i="115" s="1"/>
  <c r="AJ1349" i="115"/>
  <c r="AK1349" i="115"/>
  <c r="AL1349" i="115"/>
  <c r="AM1349" i="115"/>
  <c r="AO1349" i="115" s="1"/>
  <c r="AD1350" i="115"/>
  <c r="AJ1350" i="115"/>
  <c r="AK1350" i="115"/>
  <c r="AL1350" i="115"/>
  <c r="AM1350" i="115"/>
  <c r="AO1350" i="115" s="1"/>
  <c r="AD1351" i="115"/>
  <c r="AJ1351" i="115"/>
  <c r="AK1351" i="115"/>
  <c r="AL1351" i="115"/>
  <c r="AM1351" i="115"/>
  <c r="AO1351" i="115" s="1"/>
  <c r="AD1352" i="115"/>
  <c r="AE1352" i="115" s="1"/>
  <c r="AJ1352" i="115"/>
  <c r="AK1352" i="115"/>
  <c r="AL1352" i="115"/>
  <c r="AM1352" i="115"/>
  <c r="AO1352" i="115" s="1"/>
  <c r="AD1353" i="115"/>
  <c r="AJ1353" i="115"/>
  <c r="AK1353" i="115"/>
  <c r="AL1353" i="115"/>
  <c r="AM1353" i="115"/>
  <c r="AO1353" i="115" s="1"/>
  <c r="AD1354" i="115"/>
  <c r="AJ1354" i="115"/>
  <c r="AK1354" i="115"/>
  <c r="AL1354" i="115"/>
  <c r="AM1354" i="115"/>
  <c r="AO1354" i="115" s="1"/>
  <c r="AD1355" i="115"/>
  <c r="AE1355" i="115" s="1"/>
  <c r="AJ1355" i="115"/>
  <c r="AK1355" i="115"/>
  <c r="AL1355" i="115"/>
  <c r="AM1355" i="115"/>
  <c r="AO1355" i="115" s="1"/>
  <c r="AD1356" i="115"/>
  <c r="AJ1356" i="115"/>
  <c r="AK1356" i="115"/>
  <c r="AL1356" i="115"/>
  <c r="AM1356" i="115"/>
  <c r="AO1356" i="115" s="1"/>
  <c r="AD1357" i="115"/>
  <c r="AJ1357" i="115"/>
  <c r="AK1357" i="115"/>
  <c r="AL1357" i="115"/>
  <c r="AM1357" i="115"/>
  <c r="AO1357" i="115" s="1"/>
  <c r="AD1358" i="115"/>
  <c r="AI1358" i="115"/>
  <c r="AJ1358" i="115"/>
  <c r="AK1358" i="115"/>
  <c r="AL1358" i="115"/>
  <c r="AM1358" i="115"/>
  <c r="AO1358" i="115" s="1"/>
  <c r="AD1359" i="115"/>
  <c r="AE1359" i="115" s="1"/>
  <c r="AG1359" i="115"/>
  <c r="AJ1359" i="115"/>
  <c r="AK1359" i="115"/>
  <c r="AL1359" i="115"/>
  <c r="AM1359" i="115"/>
  <c r="AO1359" i="115" s="1"/>
  <c r="AD1360" i="115"/>
  <c r="AJ1360" i="115"/>
  <c r="AK1360" i="115"/>
  <c r="AL1360" i="115"/>
  <c r="AM1360" i="115"/>
  <c r="AO1360" i="115"/>
  <c r="AD1361" i="115"/>
  <c r="AE1361" i="115" s="1"/>
  <c r="AI1361" i="115"/>
  <c r="AJ1361" i="115"/>
  <c r="AK1361" i="115"/>
  <c r="AL1361" i="115"/>
  <c r="AM1361" i="115"/>
  <c r="AO1361" i="115" s="1"/>
  <c r="AD1362" i="115"/>
  <c r="AJ1362" i="115"/>
  <c r="AK1362" i="115"/>
  <c r="AL1362" i="115"/>
  <c r="AM1362" i="115"/>
  <c r="AO1362" i="115" s="1"/>
  <c r="AD1363" i="115"/>
  <c r="AJ1363" i="115"/>
  <c r="AK1363" i="115"/>
  <c r="AL1363" i="115"/>
  <c r="AM1363" i="115"/>
  <c r="AO1363" i="115" s="1"/>
  <c r="AD1364" i="115"/>
  <c r="AJ1364" i="115"/>
  <c r="AK1364" i="115"/>
  <c r="AL1364" i="115"/>
  <c r="AM1364" i="115"/>
  <c r="AO1364" i="115" s="1"/>
  <c r="AD1365" i="115"/>
  <c r="AG1365" i="115" s="1"/>
  <c r="AI1365" i="115"/>
  <c r="AJ1365" i="115"/>
  <c r="AK1365" i="115"/>
  <c r="AL1365" i="115"/>
  <c r="AM1365" i="115"/>
  <c r="AO1365" i="115" s="1"/>
  <c r="AD1366" i="115"/>
  <c r="AE1366" i="115" s="1"/>
  <c r="AI1366" i="115"/>
  <c r="AJ1366" i="115"/>
  <c r="AK1366" i="115"/>
  <c r="AL1366" i="115"/>
  <c r="AM1366" i="115"/>
  <c r="AO1366" i="115" s="1"/>
  <c r="AD1367" i="115"/>
  <c r="AE1367" i="115" s="1"/>
  <c r="AJ1367" i="115"/>
  <c r="AK1367" i="115"/>
  <c r="AL1367" i="115"/>
  <c r="AM1367" i="115"/>
  <c r="AO1367" i="115" s="1"/>
  <c r="AD1368" i="115"/>
  <c r="AJ1368" i="115"/>
  <c r="AK1368" i="115"/>
  <c r="AL1368" i="115"/>
  <c r="AM1368" i="115"/>
  <c r="AO1368" i="115" s="1"/>
  <c r="AD1369" i="115"/>
  <c r="AJ1369" i="115"/>
  <c r="AK1369" i="115"/>
  <c r="AL1369" i="115"/>
  <c r="AM1369" i="115"/>
  <c r="AO1369" i="115" s="1"/>
  <c r="AD1370" i="115"/>
  <c r="AE1370" i="115" s="1"/>
  <c r="AJ1370" i="115"/>
  <c r="AK1370" i="115"/>
  <c r="AL1370" i="115"/>
  <c r="AM1370" i="115"/>
  <c r="AO1370" i="115" s="1"/>
  <c r="AD1371" i="115"/>
  <c r="AE1371" i="115" s="1"/>
  <c r="AJ1371" i="115"/>
  <c r="AK1371" i="115"/>
  <c r="AL1371" i="115"/>
  <c r="AM1371" i="115"/>
  <c r="AO1371" i="115" s="1"/>
  <c r="AD1372" i="115"/>
  <c r="AJ1372" i="115"/>
  <c r="AK1372" i="115"/>
  <c r="AL1372" i="115"/>
  <c r="AM1372" i="115"/>
  <c r="AO1372" i="115"/>
  <c r="AD1373" i="115"/>
  <c r="AE1373" i="115" s="1"/>
  <c r="AJ1373" i="115"/>
  <c r="AK1373" i="115"/>
  <c r="AL1373" i="115"/>
  <c r="AM1373" i="115"/>
  <c r="AO1373" i="115" s="1"/>
  <c r="AD1374" i="115"/>
  <c r="AE1374" i="115" s="1"/>
  <c r="AJ1374" i="115"/>
  <c r="AK1374" i="115"/>
  <c r="AL1374" i="115"/>
  <c r="AM1374" i="115"/>
  <c r="AO1374" i="115" s="1"/>
  <c r="AD1375" i="115"/>
  <c r="AJ1375" i="115"/>
  <c r="AK1375" i="115"/>
  <c r="AL1375" i="115"/>
  <c r="AM1375" i="115"/>
  <c r="AO1375" i="115" s="1"/>
  <c r="AD1376" i="115"/>
  <c r="AE1376" i="115" s="1"/>
  <c r="AJ1376" i="115"/>
  <c r="AK1376" i="115"/>
  <c r="AL1376" i="115"/>
  <c r="AM1376" i="115"/>
  <c r="AO1376" i="115" s="1"/>
  <c r="AD1377" i="115"/>
  <c r="AE1377" i="115" s="1"/>
  <c r="AJ1377" i="115"/>
  <c r="AK1377" i="115"/>
  <c r="AL1377" i="115"/>
  <c r="AM1377" i="115"/>
  <c r="AO1377" i="115" s="1"/>
  <c r="AD1378" i="115"/>
  <c r="AE1378" i="115" s="1"/>
  <c r="AJ1378" i="115"/>
  <c r="AK1378" i="115"/>
  <c r="AL1378" i="115"/>
  <c r="AM1378" i="115"/>
  <c r="AO1378" i="115" s="1"/>
  <c r="AD1379" i="115"/>
  <c r="AE1379" i="115" s="1"/>
  <c r="AJ1379" i="115"/>
  <c r="AK1379" i="115"/>
  <c r="AL1379" i="115"/>
  <c r="AM1379" i="115"/>
  <c r="AO1379" i="115" s="1"/>
  <c r="AD1380" i="115"/>
  <c r="AE1380" i="115" s="1"/>
  <c r="AJ1380" i="115"/>
  <c r="AK1380" i="115"/>
  <c r="AL1380" i="115"/>
  <c r="AM1380" i="115"/>
  <c r="AO1380" i="115" s="1"/>
  <c r="AD1381" i="115"/>
  <c r="AE1381" i="115" s="1"/>
  <c r="AJ1381" i="115"/>
  <c r="AK1381" i="115"/>
  <c r="AL1381" i="115"/>
  <c r="AM1381" i="115"/>
  <c r="AO1381" i="115" s="1"/>
  <c r="AD1382" i="115"/>
  <c r="AE1382" i="115" s="1"/>
  <c r="AF1382" i="115"/>
  <c r="AJ1382" i="115"/>
  <c r="AK1382" i="115"/>
  <c r="AL1382" i="115"/>
  <c r="AM1382" i="115"/>
  <c r="AO1382" i="115" s="1"/>
  <c r="AD1383" i="115"/>
  <c r="AJ1383" i="115"/>
  <c r="AK1383" i="115"/>
  <c r="AL1383" i="115"/>
  <c r="AM1383" i="115"/>
  <c r="AO1383" i="115" s="1"/>
  <c r="AD1384" i="115"/>
  <c r="AE1384" i="115" s="1"/>
  <c r="AJ1384" i="115"/>
  <c r="AK1384" i="115"/>
  <c r="AL1384" i="115"/>
  <c r="AM1384" i="115"/>
  <c r="AO1384" i="115" s="1"/>
  <c r="AD1385" i="115"/>
  <c r="AJ1385" i="115"/>
  <c r="AK1385" i="115"/>
  <c r="AL1385" i="115"/>
  <c r="AM1385" i="115"/>
  <c r="AO1385" i="115" s="1"/>
  <c r="AD1386" i="115"/>
  <c r="AE1386" i="115" s="1"/>
  <c r="AJ1386" i="115"/>
  <c r="AK1386" i="115"/>
  <c r="AL1386" i="115"/>
  <c r="AM1386" i="115"/>
  <c r="AO1386" i="115" s="1"/>
  <c r="AD1387" i="115"/>
  <c r="AE1387" i="115" s="1"/>
  <c r="AJ1387" i="115"/>
  <c r="AK1387" i="115"/>
  <c r="AL1387" i="115"/>
  <c r="AM1387" i="115"/>
  <c r="AO1387" i="115" s="1"/>
  <c r="AD1388" i="115"/>
  <c r="AJ1388" i="115"/>
  <c r="AK1388" i="115"/>
  <c r="AL1388" i="115"/>
  <c r="AM1388" i="115"/>
  <c r="AO1388" i="115" s="1"/>
  <c r="AD1389" i="115"/>
  <c r="AI1389" i="115" s="1"/>
  <c r="AG1389" i="115"/>
  <c r="AJ1389" i="115"/>
  <c r="AK1389" i="115"/>
  <c r="AL1389" i="115"/>
  <c r="AM1389" i="115"/>
  <c r="AO1389" i="115" s="1"/>
  <c r="AD1390" i="115"/>
  <c r="AE1390" i="115" s="1"/>
  <c r="AJ1390" i="115"/>
  <c r="AK1390" i="115"/>
  <c r="AL1390" i="115"/>
  <c r="AM1390" i="115"/>
  <c r="AO1390" i="115" s="1"/>
  <c r="AD1391" i="115"/>
  <c r="AJ1391" i="115"/>
  <c r="AK1391" i="115"/>
  <c r="AL1391" i="115"/>
  <c r="AM1391" i="115"/>
  <c r="AO1391" i="115" s="1"/>
  <c r="AD1392" i="115"/>
  <c r="AJ1392" i="115"/>
  <c r="AK1392" i="115"/>
  <c r="AL1392" i="115"/>
  <c r="AM1392" i="115"/>
  <c r="AO1392" i="115" s="1"/>
  <c r="AD1393" i="115"/>
  <c r="AJ1393" i="115"/>
  <c r="AK1393" i="115"/>
  <c r="AL1393" i="115"/>
  <c r="AM1393" i="115"/>
  <c r="AO1393" i="115" s="1"/>
  <c r="AD1394" i="115"/>
  <c r="AJ1394" i="115"/>
  <c r="AK1394" i="115"/>
  <c r="AL1394" i="115"/>
  <c r="AM1394" i="115"/>
  <c r="AO1394" i="115"/>
  <c r="AD1395" i="115"/>
  <c r="AE1395" i="115" s="1"/>
  <c r="AJ1395" i="115"/>
  <c r="AK1395" i="115"/>
  <c r="AL1395" i="115"/>
  <c r="AM1395" i="115"/>
  <c r="AO1395" i="115" s="1"/>
  <c r="AD1396" i="115"/>
  <c r="AI1396" i="115" s="1"/>
  <c r="AJ1396" i="115"/>
  <c r="AK1396" i="115"/>
  <c r="AL1396" i="115"/>
  <c r="AM1396" i="115"/>
  <c r="AO1396" i="115" s="1"/>
  <c r="AD1397" i="115"/>
  <c r="AJ1397" i="115"/>
  <c r="AK1397" i="115"/>
  <c r="AL1397" i="115"/>
  <c r="AM1397" i="115"/>
  <c r="AO1397" i="115" s="1"/>
  <c r="AD1398" i="115"/>
  <c r="AJ1398" i="115"/>
  <c r="AK1398" i="115"/>
  <c r="AL1398" i="115"/>
  <c r="AM1398" i="115"/>
  <c r="AO1398" i="115"/>
  <c r="AD1399" i="115"/>
  <c r="AJ1399" i="115"/>
  <c r="AK1399" i="115"/>
  <c r="AL1399" i="115"/>
  <c r="AM1399" i="115"/>
  <c r="AO1399" i="115" s="1"/>
  <c r="AD1400" i="115"/>
  <c r="AJ1400" i="115"/>
  <c r="AK1400" i="115"/>
  <c r="AL1400" i="115"/>
  <c r="AM1400" i="115"/>
  <c r="AO1400" i="115" s="1"/>
  <c r="AD1401" i="115"/>
  <c r="AE1401" i="115" s="1"/>
  <c r="AJ1401" i="115"/>
  <c r="AK1401" i="115"/>
  <c r="AL1401" i="115"/>
  <c r="AM1401" i="115"/>
  <c r="AO1401" i="115" s="1"/>
  <c r="AD1402" i="115"/>
  <c r="AJ1402" i="115"/>
  <c r="AK1402" i="115"/>
  <c r="AL1402" i="115"/>
  <c r="AM1402" i="115"/>
  <c r="AO1402" i="115" s="1"/>
  <c r="AD1403" i="115"/>
  <c r="AI1403" i="115"/>
  <c r="AJ1403" i="115"/>
  <c r="AK1403" i="115"/>
  <c r="AL1403" i="115"/>
  <c r="AM1403" i="115"/>
  <c r="AO1403" i="115" s="1"/>
  <c r="AD1404" i="115"/>
  <c r="AJ1404" i="115"/>
  <c r="AK1404" i="115"/>
  <c r="AL1404" i="115"/>
  <c r="AM1404" i="115"/>
  <c r="AO1404" i="115" s="1"/>
  <c r="AD1405" i="115"/>
  <c r="AE1405" i="115" s="1"/>
  <c r="AJ1405" i="115"/>
  <c r="AK1405" i="115"/>
  <c r="AL1405" i="115"/>
  <c r="AM1405" i="115"/>
  <c r="AO1405" i="115" s="1"/>
  <c r="AD1406" i="115"/>
  <c r="AJ1406" i="115"/>
  <c r="AK1406" i="115"/>
  <c r="AL1406" i="115"/>
  <c r="AM1406" i="115"/>
  <c r="AO1406" i="115" s="1"/>
  <c r="AD1407" i="115"/>
  <c r="AJ1407" i="115"/>
  <c r="AK1407" i="115"/>
  <c r="AL1407" i="115"/>
  <c r="AM1407" i="115"/>
  <c r="AO1407" i="115" s="1"/>
  <c r="AD1408" i="115"/>
  <c r="AE1408" i="115" s="1"/>
  <c r="AI1408" i="115"/>
  <c r="AJ1408" i="115"/>
  <c r="AK1408" i="115"/>
  <c r="AL1408" i="115"/>
  <c r="AM1408" i="115"/>
  <c r="AO1408" i="115" s="1"/>
  <c r="AD1409" i="115"/>
  <c r="AE1409" i="115" s="1"/>
  <c r="AJ1409" i="115"/>
  <c r="AK1409" i="115"/>
  <c r="AL1409" i="115"/>
  <c r="AM1409" i="115"/>
  <c r="AO1409" i="115" s="1"/>
  <c r="AD1410" i="115"/>
  <c r="AJ1410" i="115"/>
  <c r="AK1410" i="115"/>
  <c r="AL1410" i="115"/>
  <c r="AM1410" i="115"/>
  <c r="AO1410" i="115" s="1"/>
  <c r="AD1411" i="115"/>
  <c r="AI1411" i="115"/>
  <c r="AJ1411" i="115"/>
  <c r="AK1411" i="115"/>
  <c r="AL1411" i="115"/>
  <c r="AM1411" i="115"/>
  <c r="AO1411" i="115" s="1"/>
  <c r="AD1412" i="115"/>
  <c r="AE1412" i="115" s="1"/>
  <c r="AJ1412" i="115"/>
  <c r="AK1412" i="115"/>
  <c r="AL1412" i="115"/>
  <c r="AM1412" i="115"/>
  <c r="AO1412" i="115" s="1"/>
  <c r="AD1413" i="115"/>
  <c r="AE1413" i="115" s="1"/>
  <c r="AJ1413" i="115"/>
  <c r="AK1413" i="115"/>
  <c r="AL1413" i="115"/>
  <c r="AM1413" i="115"/>
  <c r="AO1413" i="115" s="1"/>
  <c r="AD1414" i="115"/>
  <c r="AJ1414" i="115"/>
  <c r="AK1414" i="115"/>
  <c r="AL1414" i="115"/>
  <c r="AM1414" i="115"/>
  <c r="AO1414" i="115" s="1"/>
  <c r="AD1415" i="115"/>
  <c r="AE1415" i="115" s="1"/>
  <c r="AI1415" i="115"/>
  <c r="AJ1415" i="115"/>
  <c r="AK1415" i="115"/>
  <c r="AL1415" i="115"/>
  <c r="AM1415" i="115"/>
  <c r="AO1415" i="115" s="1"/>
  <c r="AD1416" i="115"/>
  <c r="AJ1416" i="115"/>
  <c r="AK1416" i="115"/>
  <c r="AL1416" i="115"/>
  <c r="AM1416" i="115"/>
  <c r="AO1416" i="115" s="1"/>
  <c r="AD1417" i="115"/>
  <c r="AE1417" i="115" s="1"/>
  <c r="AJ1417" i="115"/>
  <c r="AK1417" i="115"/>
  <c r="AL1417" i="115"/>
  <c r="AM1417" i="115"/>
  <c r="AO1417" i="115" s="1"/>
  <c r="AD1418" i="115"/>
  <c r="AJ1418" i="115"/>
  <c r="AK1418" i="115"/>
  <c r="AL1418" i="115"/>
  <c r="AM1418" i="115"/>
  <c r="AO1418" i="115" s="1"/>
  <c r="AD1419" i="115"/>
  <c r="AI1419" i="115" s="1"/>
  <c r="AJ1419" i="115"/>
  <c r="AK1419" i="115"/>
  <c r="AL1419" i="115"/>
  <c r="AM1419" i="115"/>
  <c r="AO1419" i="115" s="1"/>
  <c r="AD1420" i="115"/>
  <c r="AE1420" i="115" s="1"/>
  <c r="AJ1420" i="115"/>
  <c r="AK1420" i="115"/>
  <c r="AL1420" i="115"/>
  <c r="AM1420" i="115"/>
  <c r="AO1420" i="115" s="1"/>
  <c r="AD1421" i="115"/>
  <c r="AE1421" i="115" s="1"/>
  <c r="AG1421" i="115"/>
  <c r="AJ1421" i="115"/>
  <c r="AK1421" i="115"/>
  <c r="AL1421" i="115"/>
  <c r="AM1421" i="115"/>
  <c r="AO1421" i="115" s="1"/>
  <c r="AD1422" i="115"/>
  <c r="AJ1422" i="115"/>
  <c r="AK1422" i="115"/>
  <c r="AL1422" i="115"/>
  <c r="AM1422" i="115"/>
  <c r="AO1422" i="115" s="1"/>
  <c r="AD1423" i="115"/>
  <c r="AE1423" i="115" s="1"/>
  <c r="AJ1423" i="115"/>
  <c r="AK1423" i="115"/>
  <c r="AL1423" i="115"/>
  <c r="AM1423" i="115"/>
  <c r="AO1423" i="115" s="1"/>
  <c r="AD1424" i="115"/>
  <c r="AJ1424" i="115"/>
  <c r="AK1424" i="115"/>
  <c r="AL1424" i="115"/>
  <c r="AM1424" i="115"/>
  <c r="AO1424" i="115" s="1"/>
  <c r="AD1425" i="115"/>
  <c r="AE1425" i="115" s="1"/>
  <c r="AJ1425" i="115"/>
  <c r="AK1425" i="115"/>
  <c r="AL1425" i="115"/>
  <c r="AM1425" i="115"/>
  <c r="AO1425" i="115" s="1"/>
  <c r="AD1426" i="115"/>
  <c r="AJ1426" i="115"/>
  <c r="AK1426" i="115"/>
  <c r="AL1426" i="115"/>
  <c r="AM1426" i="115"/>
  <c r="AO1426" i="115" s="1"/>
  <c r="AD1427" i="115"/>
  <c r="AE1427" i="115" s="1"/>
  <c r="AJ1427" i="115"/>
  <c r="AK1427" i="115"/>
  <c r="AL1427" i="115"/>
  <c r="AM1427" i="115"/>
  <c r="AO1427" i="115" s="1"/>
  <c r="AD1428" i="115"/>
  <c r="AI1428" i="115"/>
  <c r="AJ1428" i="115"/>
  <c r="AK1428" i="115"/>
  <c r="AL1428" i="115"/>
  <c r="AM1428" i="115"/>
  <c r="AO1428" i="115" s="1"/>
  <c r="AD1429" i="115"/>
  <c r="AJ1429" i="115"/>
  <c r="AK1429" i="115"/>
  <c r="AL1429" i="115"/>
  <c r="AM1429" i="115"/>
  <c r="AO1429" i="115" s="1"/>
  <c r="AD1430" i="115"/>
  <c r="AJ1430" i="115"/>
  <c r="AK1430" i="115"/>
  <c r="AL1430" i="115"/>
  <c r="AM1430" i="115"/>
  <c r="AO1430" i="115" s="1"/>
  <c r="AD1431" i="115"/>
  <c r="AE1431" i="115" s="1"/>
  <c r="AF1431" i="115"/>
  <c r="AJ1431" i="115"/>
  <c r="AK1431" i="115"/>
  <c r="AL1431" i="115"/>
  <c r="AM1431" i="115"/>
  <c r="AO1431" i="115" s="1"/>
  <c r="AD1432" i="115"/>
  <c r="AJ1432" i="115"/>
  <c r="AK1432" i="115"/>
  <c r="AL1432" i="115"/>
  <c r="AM1432" i="115"/>
  <c r="AO1432" i="115" s="1"/>
  <c r="AD1433" i="115"/>
  <c r="AE1433" i="115" s="1"/>
  <c r="AJ1433" i="115"/>
  <c r="AK1433" i="115"/>
  <c r="AL1433" i="115"/>
  <c r="AM1433" i="115"/>
  <c r="AO1433" i="115" s="1"/>
  <c r="AD1434" i="115"/>
  <c r="AJ1434" i="115"/>
  <c r="AK1434" i="115"/>
  <c r="AL1434" i="115"/>
  <c r="AM1434" i="115"/>
  <c r="AO1434" i="115"/>
  <c r="AD1435" i="115"/>
  <c r="AJ1435" i="115"/>
  <c r="AK1435" i="115"/>
  <c r="AL1435" i="115"/>
  <c r="AM1435" i="115"/>
  <c r="AO1435" i="115" s="1"/>
  <c r="AD1436" i="115"/>
  <c r="AI1436" i="115" s="1"/>
  <c r="AJ1436" i="115"/>
  <c r="AK1436" i="115"/>
  <c r="AL1436" i="115"/>
  <c r="AM1436" i="115"/>
  <c r="AO1436" i="115" s="1"/>
  <c r="AD1437" i="115"/>
  <c r="AE1437" i="115" s="1"/>
  <c r="AJ1437" i="115"/>
  <c r="AK1437" i="115"/>
  <c r="AL1437" i="115"/>
  <c r="AM1437" i="115"/>
  <c r="AO1437" i="115" s="1"/>
  <c r="AD1438" i="115"/>
  <c r="AJ1438" i="115"/>
  <c r="AK1438" i="115"/>
  <c r="AL1438" i="115"/>
  <c r="AM1438" i="115"/>
  <c r="AO1438" i="115"/>
  <c r="AD1439" i="115"/>
  <c r="AE1439" i="115" s="1"/>
  <c r="AI1439" i="115"/>
  <c r="AJ1439" i="115"/>
  <c r="AK1439" i="115"/>
  <c r="AL1439" i="115"/>
  <c r="AM1439" i="115"/>
  <c r="AO1439" i="115" s="1"/>
  <c r="AD1440" i="115"/>
  <c r="AJ1440" i="115"/>
  <c r="AK1440" i="115"/>
  <c r="AL1440" i="115"/>
  <c r="AM1440" i="115"/>
  <c r="AO1440" i="115" s="1"/>
  <c r="AD1441" i="115"/>
  <c r="AE1441" i="115" s="1"/>
  <c r="AJ1441" i="115"/>
  <c r="AK1441" i="115"/>
  <c r="AL1441" i="115"/>
  <c r="AM1441" i="115"/>
  <c r="AO1441" i="115" s="1"/>
  <c r="AD1442" i="115"/>
  <c r="AJ1442" i="115"/>
  <c r="AK1442" i="115"/>
  <c r="AL1442" i="115"/>
  <c r="AM1442" i="115"/>
  <c r="AO1442" i="115" s="1"/>
  <c r="AD1443" i="115"/>
  <c r="AJ1443" i="115"/>
  <c r="AK1443" i="115"/>
  <c r="AL1443" i="115"/>
  <c r="AM1443" i="115"/>
  <c r="AO1443" i="115" s="1"/>
  <c r="AD1444" i="115"/>
  <c r="AJ1444" i="115"/>
  <c r="AK1444" i="115"/>
  <c r="AL1444" i="115"/>
  <c r="AM1444" i="115"/>
  <c r="AO1444" i="115" s="1"/>
  <c r="AD1445" i="115"/>
  <c r="AE1445" i="115" s="1"/>
  <c r="AJ1445" i="115"/>
  <c r="AK1445" i="115"/>
  <c r="AL1445" i="115"/>
  <c r="AM1445" i="115"/>
  <c r="AO1445" i="115" s="1"/>
  <c r="AD1446" i="115"/>
  <c r="AJ1446" i="115"/>
  <c r="AK1446" i="115"/>
  <c r="AL1446" i="115"/>
  <c r="AM1446" i="115"/>
  <c r="AO1446" i="115" s="1"/>
  <c r="AD1447" i="115"/>
  <c r="AE1447" i="115" s="1"/>
  <c r="AJ1447" i="115"/>
  <c r="AK1447" i="115"/>
  <c r="AL1447" i="115"/>
  <c r="AM1447" i="115"/>
  <c r="AO1447" i="115" s="1"/>
  <c r="AD1448" i="115"/>
  <c r="AJ1448" i="115"/>
  <c r="AK1448" i="115"/>
  <c r="AL1448" i="115"/>
  <c r="AM1448" i="115"/>
  <c r="AO1448" i="115" s="1"/>
  <c r="AD1449" i="115"/>
  <c r="AE1449" i="115" s="1"/>
  <c r="AJ1449" i="115"/>
  <c r="AK1449" i="115"/>
  <c r="AL1449" i="115"/>
  <c r="AM1449" i="115"/>
  <c r="AO1449" i="115" s="1"/>
  <c r="AD1450" i="115"/>
  <c r="AJ1450" i="115"/>
  <c r="AK1450" i="115"/>
  <c r="AL1450" i="115"/>
  <c r="AM1450" i="115"/>
  <c r="AO1450" i="115" s="1"/>
  <c r="AD1451" i="115"/>
  <c r="AI1451" i="115" s="1"/>
  <c r="AJ1451" i="115"/>
  <c r="AK1451" i="115"/>
  <c r="AL1451" i="115"/>
  <c r="AM1451" i="115"/>
  <c r="AO1451" i="115" s="1"/>
  <c r="AD1452" i="115"/>
  <c r="AJ1452" i="115"/>
  <c r="AK1452" i="115"/>
  <c r="AL1452" i="115"/>
  <c r="AM1452" i="115"/>
  <c r="AO1452" i="115" s="1"/>
  <c r="AD1453" i="115"/>
  <c r="AE1453" i="115" s="1"/>
  <c r="AG1453" i="115"/>
  <c r="AJ1453" i="115"/>
  <c r="AK1453" i="115"/>
  <c r="AL1453" i="115"/>
  <c r="AM1453" i="115"/>
  <c r="AO1453" i="115" s="1"/>
  <c r="AD1454" i="115"/>
  <c r="AJ1454" i="115"/>
  <c r="AK1454" i="115"/>
  <c r="AL1454" i="115"/>
  <c r="AM1454" i="115"/>
  <c r="AO1454" i="115" s="1"/>
  <c r="AD1455" i="115"/>
  <c r="AJ1455" i="115"/>
  <c r="AK1455" i="115"/>
  <c r="AL1455" i="115"/>
  <c r="AM1455" i="115"/>
  <c r="AO1455" i="115" s="1"/>
  <c r="AD1456" i="115"/>
  <c r="AJ1456" i="115"/>
  <c r="AK1456" i="115"/>
  <c r="AL1456" i="115"/>
  <c r="AM1456" i="115"/>
  <c r="AO1456" i="115" s="1"/>
  <c r="AD1457" i="115"/>
  <c r="AE1457" i="115" s="1"/>
  <c r="AJ1457" i="115"/>
  <c r="AK1457" i="115"/>
  <c r="AL1457" i="115"/>
  <c r="AM1457" i="115"/>
  <c r="AO1457" i="115" s="1"/>
  <c r="AD1458" i="115"/>
  <c r="AJ1458" i="115"/>
  <c r="AK1458" i="115"/>
  <c r="AL1458" i="115"/>
  <c r="AM1458" i="115"/>
  <c r="AO1458" i="115"/>
  <c r="AD1459" i="115"/>
  <c r="AJ1459" i="115"/>
  <c r="AK1459" i="115"/>
  <c r="AL1459" i="115"/>
  <c r="AM1459" i="115"/>
  <c r="AO1459" i="115" s="1"/>
  <c r="AD1460" i="115"/>
  <c r="AI1460" i="115" s="1"/>
  <c r="AJ1460" i="115"/>
  <c r="AK1460" i="115"/>
  <c r="AL1460" i="115"/>
  <c r="AM1460" i="115"/>
  <c r="AO1460" i="115" s="1"/>
  <c r="AD1461" i="115"/>
  <c r="AJ1461" i="115"/>
  <c r="AK1461" i="115"/>
  <c r="AL1461" i="115"/>
  <c r="AM1461" i="115"/>
  <c r="AO1461" i="115" s="1"/>
  <c r="AD1462" i="115"/>
  <c r="AJ1462" i="115"/>
  <c r="AK1462" i="115"/>
  <c r="AL1462" i="115"/>
  <c r="AM1462" i="115"/>
  <c r="AO1462" i="115" s="1"/>
  <c r="AD1463" i="115"/>
  <c r="AE1463" i="115" s="1"/>
  <c r="AJ1463" i="115"/>
  <c r="AK1463" i="115"/>
  <c r="AL1463" i="115"/>
  <c r="AM1463" i="115"/>
  <c r="AO1463" i="115" s="1"/>
  <c r="AD1464" i="115"/>
  <c r="AJ1464" i="115"/>
  <c r="AK1464" i="115"/>
  <c r="AL1464" i="115"/>
  <c r="AM1464" i="115"/>
  <c r="AO1464" i="115" s="1"/>
  <c r="AD1465" i="115"/>
  <c r="AE1465" i="115" s="1"/>
  <c r="AJ1465" i="115"/>
  <c r="AK1465" i="115"/>
  <c r="AL1465" i="115"/>
  <c r="AM1465" i="115"/>
  <c r="AO1465" i="115" s="1"/>
  <c r="AD1466" i="115"/>
  <c r="AJ1466" i="115"/>
  <c r="AK1466" i="115"/>
  <c r="AL1466" i="115"/>
  <c r="AM1466" i="115"/>
  <c r="AO1466" i="115" s="1"/>
  <c r="AD1467" i="115"/>
  <c r="AJ1467" i="115"/>
  <c r="AK1467" i="115"/>
  <c r="AL1467" i="115"/>
  <c r="AM1467" i="115"/>
  <c r="AO1467" i="115" s="1"/>
  <c r="AD1468" i="115"/>
  <c r="AI1468" i="115"/>
  <c r="AJ1468" i="115"/>
  <c r="AK1468" i="115"/>
  <c r="AL1468" i="115"/>
  <c r="AM1468" i="115"/>
  <c r="AO1468" i="115" s="1"/>
  <c r="AD1469" i="115"/>
  <c r="AE1469" i="115" s="1"/>
  <c r="AJ1469" i="115"/>
  <c r="AK1469" i="115"/>
  <c r="AL1469" i="115"/>
  <c r="AM1469" i="115"/>
  <c r="AO1469" i="115" s="1"/>
  <c r="AD1470" i="115"/>
  <c r="AJ1470" i="115"/>
  <c r="AK1470" i="115"/>
  <c r="AL1470" i="115"/>
  <c r="AM1470" i="115"/>
  <c r="AO1470" i="115" s="1"/>
  <c r="AD1471" i="115"/>
  <c r="AE1471" i="115" s="1"/>
  <c r="AJ1471" i="115"/>
  <c r="AK1471" i="115"/>
  <c r="AL1471" i="115"/>
  <c r="AM1471" i="115"/>
  <c r="AO1471" i="115" s="1"/>
  <c r="AD1472" i="115"/>
  <c r="AJ1472" i="115"/>
  <c r="AK1472" i="115"/>
  <c r="AL1472" i="115"/>
  <c r="AM1472" i="115"/>
  <c r="AO1472" i="115" s="1"/>
  <c r="AD1473" i="115"/>
  <c r="AE1473" i="115" s="1"/>
  <c r="AJ1473" i="115"/>
  <c r="AK1473" i="115"/>
  <c r="AL1473" i="115"/>
  <c r="AM1473" i="115"/>
  <c r="AO1473" i="115" s="1"/>
  <c r="AD1474" i="115"/>
  <c r="AJ1474" i="115"/>
  <c r="AK1474" i="115"/>
  <c r="AL1474" i="115"/>
  <c r="AM1474" i="115"/>
  <c r="AO1474" i="115" s="1"/>
  <c r="AD1475" i="115"/>
  <c r="AJ1475" i="115"/>
  <c r="AK1475" i="115"/>
  <c r="AL1475" i="115"/>
  <c r="AM1475" i="115"/>
  <c r="AO1475" i="115" s="1"/>
  <c r="AD1476" i="115"/>
  <c r="AJ1476" i="115"/>
  <c r="AK1476" i="115"/>
  <c r="AL1476" i="115"/>
  <c r="AM1476" i="115"/>
  <c r="AO1476" i="115" s="1"/>
  <c r="AD1477" i="115"/>
  <c r="AE1477" i="115" s="1"/>
  <c r="AJ1477" i="115"/>
  <c r="AK1477" i="115"/>
  <c r="AL1477" i="115"/>
  <c r="AM1477" i="115"/>
  <c r="AO1477" i="115" s="1"/>
  <c r="AD1478" i="115"/>
  <c r="AJ1478" i="115"/>
  <c r="AK1478" i="115"/>
  <c r="AL1478" i="115"/>
  <c r="AM1478" i="115"/>
  <c r="AO1478" i="115" s="1"/>
  <c r="AD1479" i="115"/>
  <c r="AE1479" i="115" s="1"/>
  <c r="AJ1479" i="115"/>
  <c r="AK1479" i="115"/>
  <c r="AL1479" i="115"/>
  <c r="AM1479" i="115"/>
  <c r="AO1479" i="115" s="1"/>
  <c r="AD1480" i="115"/>
  <c r="AJ1480" i="115"/>
  <c r="AK1480" i="115"/>
  <c r="AL1480" i="115"/>
  <c r="AM1480" i="115"/>
  <c r="AO1480" i="115" s="1"/>
  <c r="AD1481" i="115"/>
  <c r="AE1481" i="115" s="1"/>
  <c r="AJ1481" i="115"/>
  <c r="AK1481" i="115"/>
  <c r="AL1481" i="115"/>
  <c r="AM1481" i="115"/>
  <c r="AO1481" i="115" s="1"/>
  <c r="AD1482" i="115"/>
  <c r="AJ1482" i="115"/>
  <c r="AK1482" i="115"/>
  <c r="AL1482" i="115"/>
  <c r="AM1482" i="115"/>
  <c r="AO1482" i="115" s="1"/>
  <c r="AD1483" i="115"/>
  <c r="AI1483" i="115"/>
  <c r="AJ1483" i="115"/>
  <c r="AK1483" i="115"/>
  <c r="AL1483" i="115"/>
  <c r="AM1483" i="115"/>
  <c r="AO1483" i="115" s="1"/>
  <c r="AD1484" i="115"/>
  <c r="AJ1484" i="115"/>
  <c r="AK1484" i="115"/>
  <c r="AL1484" i="115"/>
  <c r="AM1484" i="115"/>
  <c r="AO1484" i="115" s="1"/>
  <c r="AD1485" i="115"/>
  <c r="AE1485" i="115" s="1"/>
  <c r="AJ1485" i="115"/>
  <c r="AK1485" i="115"/>
  <c r="AL1485" i="115"/>
  <c r="AM1485" i="115"/>
  <c r="AO1485" i="115" s="1"/>
  <c r="AD1486" i="115"/>
  <c r="AJ1486" i="115"/>
  <c r="AK1486" i="115"/>
  <c r="AL1486" i="115"/>
  <c r="AM1486" i="115"/>
  <c r="AO1486" i="115" s="1"/>
  <c r="AD1487" i="115"/>
  <c r="AJ1487" i="115"/>
  <c r="AK1487" i="115"/>
  <c r="AL1487" i="115"/>
  <c r="AM1487" i="115"/>
  <c r="AO1487" i="115" s="1"/>
  <c r="AD1488" i="115"/>
  <c r="AE1488" i="115" s="1"/>
  <c r="AJ1488" i="115"/>
  <c r="AK1488" i="115"/>
  <c r="AL1488" i="115"/>
  <c r="AM1488" i="115"/>
  <c r="AO1488" i="115" s="1"/>
  <c r="AD1489" i="115"/>
  <c r="AJ1489" i="115"/>
  <c r="AK1489" i="115"/>
  <c r="AL1489" i="115"/>
  <c r="AM1489" i="115"/>
  <c r="AO1489" i="115" s="1"/>
  <c r="AD1490" i="115"/>
  <c r="AE1490" i="115" s="1"/>
  <c r="AI1490" i="115"/>
  <c r="AJ1490" i="115"/>
  <c r="AK1490" i="115"/>
  <c r="AL1490" i="115"/>
  <c r="AM1490" i="115"/>
  <c r="AO1490" i="115" s="1"/>
  <c r="AD1491" i="115"/>
  <c r="AJ1491" i="115"/>
  <c r="AK1491" i="115"/>
  <c r="AL1491" i="115"/>
  <c r="AM1491" i="115"/>
  <c r="AO1491" i="115" s="1"/>
  <c r="AD1492" i="115"/>
  <c r="AE1492" i="115" s="1"/>
  <c r="AJ1492" i="115"/>
  <c r="AK1492" i="115"/>
  <c r="AL1492" i="115"/>
  <c r="AM1492" i="115"/>
  <c r="AO1492" i="115" s="1"/>
  <c r="AD1493" i="115"/>
  <c r="AJ1493" i="115"/>
  <c r="AK1493" i="115"/>
  <c r="AL1493" i="115"/>
  <c r="AM1493" i="115"/>
  <c r="AO1493" i="115" s="1"/>
  <c r="AD1494" i="115"/>
  <c r="AE1494" i="115" s="1"/>
  <c r="AJ1494" i="115"/>
  <c r="AK1494" i="115"/>
  <c r="AL1494" i="115"/>
  <c r="AM1494" i="115"/>
  <c r="AO1494" i="115" s="1"/>
  <c r="AD1495" i="115"/>
  <c r="AJ1495" i="115"/>
  <c r="AK1495" i="115"/>
  <c r="AL1495" i="115"/>
  <c r="AM1495" i="115"/>
  <c r="AO1495" i="115" s="1"/>
  <c r="AD1496" i="115"/>
  <c r="AE1496" i="115" s="1"/>
  <c r="AJ1496" i="115"/>
  <c r="AK1496" i="115"/>
  <c r="AL1496" i="115"/>
  <c r="AM1496" i="115"/>
  <c r="AO1496" i="115" s="1"/>
  <c r="AD1497" i="115"/>
  <c r="AI1497" i="115"/>
  <c r="AJ1497" i="115"/>
  <c r="AK1497" i="115"/>
  <c r="AL1497" i="115"/>
  <c r="AM1497" i="115"/>
  <c r="AO1497" i="115" s="1"/>
  <c r="AD1498" i="115"/>
  <c r="AE1498" i="115" s="1"/>
  <c r="AJ1498" i="115"/>
  <c r="AK1498" i="115"/>
  <c r="AL1498" i="115"/>
  <c r="AM1498" i="115"/>
  <c r="AO1498" i="115" s="1"/>
  <c r="AD1499" i="115"/>
  <c r="AJ1499" i="115"/>
  <c r="AK1499" i="115"/>
  <c r="AL1499" i="115"/>
  <c r="AM1499" i="115"/>
  <c r="AO1499" i="115" s="1"/>
  <c r="AD1500" i="115"/>
  <c r="AE1500" i="115" s="1"/>
  <c r="AJ1500" i="115"/>
  <c r="AK1500" i="115"/>
  <c r="AL1500" i="115"/>
  <c r="AM1500" i="115"/>
  <c r="AO1500" i="115" s="1"/>
  <c r="AD1501" i="115"/>
  <c r="AJ1501" i="115"/>
  <c r="AK1501" i="115"/>
  <c r="AL1501" i="115"/>
  <c r="AM1501" i="115"/>
  <c r="AO1501" i="115" s="1"/>
  <c r="AD1502" i="115"/>
  <c r="AE1502" i="115" s="1"/>
  <c r="AJ1502" i="115"/>
  <c r="AK1502" i="115"/>
  <c r="AL1502" i="115"/>
  <c r="AM1502" i="115"/>
  <c r="AO1502" i="115" s="1"/>
  <c r="AD1503" i="115"/>
  <c r="AI1503" i="115" s="1"/>
  <c r="AJ1503" i="115"/>
  <c r="AK1503" i="115"/>
  <c r="AL1503" i="115"/>
  <c r="AM1503" i="115"/>
  <c r="AO1503" i="115" s="1"/>
  <c r="AD1504" i="115"/>
  <c r="AE1504" i="115" s="1"/>
  <c r="AJ1504" i="115"/>
  <c r="AK1504" i="115"/>
  <c r="AL1504" i="115"/>
  <c r="AM1504" i="115"/>
  <c r="AO1504" i="115" s="1"/>
  <c r="AD1505" i="115"/>
  <c r="AI1505" i="115"/>
  <c r="AJ1505" i="115"/>
  <c r="AK1505" i="115"/>
  <c r="AL1505" i="115"/>
  <c r="AM1505" i="115"/>
  <c r="AO1505" i="115" s="1"/>
  <c r="AD1506" i="115"/>
  <c r="AE1506" i="115" s="1"/>
  <c r="AJ1506" i="115"/>
  <c r="AK1506" i="115"/>
  <c r="AL1506" i="115"/>
  <c r="AM1506" i="115"/>
  <c r="AO1506" i="115" s="1"/>
  <c r="AD1507" i="115"/>
  <c r="AJ1507" i="115"/>
  <c r="AK1507" i="115"/>
  <c r="AL1507" i="115"/>
  <c r="AM1507" i="115"/>
  <c r="AO1507" i="115" s="1"/>
  <c r="AD1508" i="115"/>
  <c r="AE1508" i="115" s="1"/>
  <c r="AJ1508" i="115"/>
  <c r="AK1508" i="115"/>
  <c r="AL1508" i="115"/>
  <c r="AM1508" i="115"/>
  <c r="AO1508" i="115" s="1"/>
  <c r="AD1509" i="115"/>
  <c r="AJ1509" i="115"/>
  <c r="AK1509" i="115"/>
  <c r="AL1509" i="115"/>
  <c r="AM1509" i="115"/>
  <c r="AO1509" i="115" s="1"/>
  <c r="AD1510" i="115"/>
  <c r="AE1510" i="115" s="1"/>
  <c r="AJ1510" i="115"/>
  <c r="AK1510" i="115"/>
  <c r="AL1510" i="115"/>
  <c r="AM1510" i="115"/>
  <c r="AO1510" i="115" s="1"/>
  <c r="AD1511" i="115"/>
  <c r="AJ1511" i="115"/>
  <c r="AK1511" i="115"/>
  <c r="AL1511" i="115"/>
  <c r="AM1511" i="115"/>
  <c r="AO1511" i="115" s="1"/>
  <c r="AD1512" i="115"/>
  <c r="AE1512" i="115" s="1"/>
  <c r="AJ1512" i="115"/>
  <c r="AK1512" i="115"/>
  <c r="AL1512" i="115"/>
  <c r="AM1512" i="115"/>
  <c r="AO1512" i="115" s="1"/>
  <c r="AD1513" i="115"/>
  <c r="AI1513" i="115" s="1"/>
  <c r="AJ1513" i="115"/>
  <c r="AK1513" i="115"/>
  <c r="AL1513" i="115"/>
  <c r="AM1513" i="115"/>
  <c r="AO1513" i="115" s="1"/>
  <c r="AD1514" i="115"/>
  <c r="AE1514" i="115" s="1"/>
  <c r="AJ1514" i="115"/>
  <c r="AK1514" i="115"/>
  <c r="AL1514" i="115"/>
  <c r="AM1514" i="115"/>
  <c r="AO1514" i="115" s="1"/>
  <c r="AD1515" i="115"/>
  <c r="AJ1515" i="115"/>
  <c r="AK1515" i="115"/>
  <c r="AL1515" i="115"/>
  <c r="AM1515" i="115"/>
  <c r="AO1515" i="115" s="1"/>
  <c r="AD1516" i="115"/>
  <c r="AE1516" i="115" s="1"/>
  <c r="AJ1516" i="115"/>
  <c r="AK1516" i="115"/>
  <c r="AL1516" i="115"/>
  <c r="AM1516" i="115"/>
  <c r="AO1516" i="115" s="1"/>
  <c r="AD1517" i="115"/>
  <c r="AJ1517" i="115"/>
  <c r="AK1517" i="115"/>
  <c r="AL1517" i="115"/>
  <c r="AM1517" i="115"/>
  <c r="AO1517" i="115" s="1"/>
  <c r="AD1518" i="115"/>
  <c r="AE1518" i="115" s="1"/>
  <c r="AJ1518" i="115"/>
  <c r="AK1518" i="115"/>
  <c r="AL1518" i="115"/>
  <c r="AM1518" i="115"/>
  <c r="AO1518" i="115" s="1"/>
  <c r="AD1519" i="115"/>
  <c r="AI1519" i="115"/>
  <c r="AJ1519" i="115"/>
  <c r="AK1519" i="115"/>
  <c r="AL1519" i="115"/>
  <c r="AM1519" i="115"/>
  <c r="AO1519" i="115" s="1"/>
  <c r="AD1520" i="115"/>
  <c r="AE1520" i="115" s="1"/>
  <c r="AJ1520" i="115"/>
  <c r="AK1520" i="115"/>
  <c r="AL1520" i="115"/>
  <c r="AM1520" i="115"/>
  <c r="AO1520" i="115" s="1"/>
  <c r="AD1521" i="115"/>
  <c r="AI1521" i="115" s="1"/>
  <c r="AJ1521" i="115"/>
  <c r="AK1521" i="115"/>
  <c r="AL1521" i="115"/>
  <c r="AM1521" i="115"/>
  <c r="AO1521" i="115" s="1"/>
  <c r="AD1522" i="115"/>
  <c r="AE1522" i="115" s="1"/>
  <c r="AJ1522" i="115"/>
  <c r="AK1522" i="115"/>
  <c r="AL1522" i="115"/>
  <c r="AM1522" i="115"/>
  <c r="AO1522" i="115" s="1"/>
  <c r="AD1523" i="115"/>
  <c r="AJ1523" i="115"/>
  <c r="AK1523" i="115"/>
  <c r="AL1523" i="115"/>
  <c r="AM1523" i="115"/>
  <c r="AO1523" i="115" s="1"/>
  <c r="AD1524" i="115"/>
  <c r="AE1524" i="115" s="1"/>
  <c r="AJ1524" i="115"/>
  <c r="AK1524" i="115"/>
  <c r="AL1524" i="115"/>
  <c r="AM1524" i="115"/>
  <c r="AO1524" i="115" s="1"/>
  <c r="AD1525" i="115"/>
  <c r="AJ1525" i="115"/>
  <c r="AK1525" i="115"/>
  <c r="AL1525" i="115"/>
  <c r="AM1525" i="115"/>
  <c r="AO1525" i="115" s="1"/>
  <c r="AD1526" i="115"/>
  <c r="AE1526" i="115" s="1"/>
  <c r="AJ1526" i="115"/>
  <c r="AK1526" i="115"/>
  <c r="AL1526" i="115"/>
  <c r="AM1526" i="115"/>
  <c r="AO1526" i="115" s="1"/>
  <c r="AD1527" i="115"/>
  <c r="AJ1527" i="115"/>
  <c r="AK1527" i="115"/>
  <c r="AL1527" i="115"/>
  <c r="AM1527" i="115"/>
  <c r="AO1527" i="115" s="1"/>
  <c r="AD1528" i="115"/>
  <c r="AE1528" i="115" s="1"/>
  <c r="AJ1528" i="115"/>
  <c r="AK1528" i="115"/>
  <c r="AL1528" i="115"/>
  <c r="AM1528" i="115"/>
  <c r="AO1528" i="115" s="1"/>
  <c r="AD1529" i="115"/>
  <c r="AI1529" i="115"/>
  <c r="AJ1529" i="115"/>
  <c r="AK1529" i="115"/>
  <c r="AL1529" i="115"/>
  <c r="AM1529" i="115"/>
  <c r="AO1529" i="115" s="1"/>
  <c r="AD1530" i="115"/>
  <c r="AE1530" i="115" s="1"/>
  <c r="AJ1530" i="115"/>
  <c r="AK1530" i="115"/>
  <c r="AL1530" i="115"/>
  <c r="AM1530" i="115"/>
  <c r="AO1530" i="115" s="1"/>
  <c r="AD1531" i="115"/>
  <c r="AJ1531" i="115"/>
  <c r="AK1531" i="115"/>
  <c r="AL1531" i="115"/>
  <c r="AM1531" i="115"/>
  <c r="AO1531" i="115" s="1"/>
  <c r="AD1532" i="115"/>
  <c r="AE1532" i="115" s="1"/>
  <c r="AJ1532" i="115"/>
  <c r="AK1532" i="115"/>
  <c r="AL1532" i="115"/>
  <c r="AM1532" i="115"/>
  <c r="AO1532" i="115" s="1"/>
  <c r="AD1533" i="115"/>
  <c r="AJ1533" i="115"/>
  <c r="AK1533" i="115"/>
  <c r="AL1533" i="115"/>
  <c r="AM1533" i="115"/>
  <c r="AO1533" i="115" s="1"/>
  <c r="AD1534" i="115"/>
  <c r="AE1534" i="115" s="1"/>
  <c r="AJ1534" i="115"/>
  <c r="AK1534" i="115"/>
  <c r="AL1534" i="115"/>
  <c r="AM1534" i="115"/>
  <c r="AO1534" i="115" s="1"/>
  <c r="AD1535" i="115"/>
  <c r="AI1535" i="115" s="1"/>
  <c r="AJ1535" i="115"/>
  <c r="AK1535" i="115"/>
  <c r="AL1535" i="115"/>
  <c r="AM1535" i="115"/>
  <c r="AO1535" i="115" s="1"/>
  <c r="AD1536" i="115"/>
  <c r="AE1536" i="115" s="1"/>
  <c r="AJ1536" i="115"/>
  <c r="AK1536" i="115"/>
  <c r="AL1536" i="115"/>
  <c r="AM1536" i="115"/>
  <c r="AO1536" i="115" s="1"/>
  <c r="AD1537" i="115"/>
  <c r="AI1537" i="115"/>
  <c r="AJ1537" i="115"/>
  <c r="AK1537" i="115"/>
  <c r="AL1537" i="115"/>
  <c r="AM1537" i="115"/>
  <c r="AO1537" i="115" s="1"/>
  <c r="AD1538" i="115"/>
  <c r="AE1538" i="115" s="1"/>
  <c r="AJ1538" i="115"/>
  <c r="AK1538" i="115"/>
  <c r="AL1538" i="115"/>
  <c r="AM1538" i="115"/>
  <c r="AO1538" i="115" s="1"/>
  <c r="AD1539" i="115"/>
  <c r="AJ1539" i="115"/>
  <c r="AK1539" i="115"/>
  <c r="AL1539" i="115"/>
  <c r="AM1539" i="115"/>
  <c r="AO1539" i="115" s="1"/>
  <c r="AD1540" i="115"/>
  <c r="AE1540" i="115" s="1"/>
  <c r="AJ1540" i="115"/>
  <c r="AK1540" i="115"/>
  <c r="AL1540" i="115"/>
  <c r="AM1540" i="115"/>
  <c r="AO1540" i="115" s="1"/>
  <c r="AD1541" i="115"/>
  <c r="AJ1541" i="115"/>
  <c r="AK1541" i="115"/>
  <c r="AL1541" i="115"/>
  <c r="AM1541" i="115"/>
  <c r="AO1541" i="115" s="1"/>
  <c r="AD1542" i="115"/>
  <c r="AE1542" i="115" s="1"/>
  <c r="AJ1542" i="115"/>
  <c r="AK1542" i="115"/>
  <c r="AL1542" i="115"/>
  <c r="AM1542" i="115"/>
  <c r="AO1542" i="115" s="1"/>
  <c r="AD1543" i="115"/>
  <c r="AJ1543" i="115"/>
  <c r="AK1543" i="115"/>
  <c r="AL1543" i="115"/>
  <c r="AM1543" i="115"/>
  <c r="AO1543" i="115" s="1"/>
  <c r="AD1544" i="115"/>
  <c r="AE1544" i="115" s="1"/>
  <c r="AJ1544" i="115"/>
  <c r="AK1544" i="115"/>
  <c r="AL1544" i="115"/>
  <c r="AM1544" i="115"/>
  <c r="AO1544" i="115" s="1"/>
  <c r="AD1545" i="115"/>
  <c r="AI1545" i="115" s="1"/>
  <c r="AJ1545" i="115"/>
  <c r="AK1545" i="115"/>
  <c r="AL1545" i="115"/>
  <c r="AM1545" i="115"/>
  <c r="AO1545" i="115" s="1"/>
  <c r="AD1546" i="115"/>
  <c r="AE1546" i="115" s="1"/>
  <c r="AJ1546" i="115"/>
  <c r="AK1546" i="115"/>
  <c r="AL1546" i="115"/>
  <c r="AM1546" i="115"/>
  <c r="AO1546" i="115" s="1"/>
  <c r="AD1547" i="115"/>
  <c r="AJ1547" i="115"/>
  <c r="AK1547" i="115"/>
  <c r="AL1547" i="115"/>
  <c r="AM1547" i="115"/>
  <c r="AO1547" i="115" s="1"/>
  <c r="AD1548" i="115"/>
  <c r="AE1548" i="115" s="1"/>
  <c r="AJ1548" i="115"/>
  <c r="AK1548" i="115"/>
  <c r="AL1548" i="115"/>
  <c r="AM1548" i="115"/>
  <c r="AO1548" i="115" s="1"/>
  <c r="AD1549" i="115"/>
  <c r="AJ1549" i="115"/>
  <c r="AK1549" i="115"/>
  <c r="AL1549" i="115"/>
  <c r="AM1549" i="115"/>
  <c r="AO1549" i="115" s="1"/>
  <c r="AD1550" i="115"/>
  <c r="AE1550" i="115" s="1"/>
  <c r="AJ1550" i="115"/>
  <c r="AK1550" i="115"/>
  <c r="AL1550" i="115"/>
  <c r="AM1550" i="115"/>
  <c r="AO1550" i="115" s="1"/>
  <c r="AD1551" i="115"/>
  <c r="AI1551" i="115"/>
  <c r="AJ1551" i="115"/>
  <c r="AK1551" i="115"/>
  <c r="AL1551" i="115"/>
  <c r="AM1551" i="115"/>
  <c r="AO1551" i="115" s="1"/>
  <c r="AD1552" i="115"/>
  <c r="AE1552" i="115" s="1"/>
  <c r="AJ1552" i="115"/>
  <c r="AK1552" i="115"/>
  <c r="AL1552" i="115"/>
  <c r="AM1552" i="115"/>
  <c r="AO1552" i="115" s="1"/>
  <c r="AD1553" i="115"/>
  <c r="AI1553" i="115" s="1"/>
  <c r="AJ1553" i="115"/>
  <c r="AK1553" i="115"/>
  <c r="AL1553" i="115"/>
  <c r="AM1553" i="115"/>
  <c r="AO1553" i="115" s="1"/>
  <c r="AD1554" i="115"/>
  <c r="AE1554" i="115" s="1"/>
  <c r="AJ1554" i="115"/>
  <c r="AK1554" i="115"/>
  <c r="AL1554" i="115"/>
  <c r="AM1554" i="115"/>
  <c r="AO1554" i="115" s="1"/>
  <c r="AD1555" i="115"/>
  <c r="AJ1555" i="115"/>
  <c r="AK1555" i="115"/>
  <c r="AL1555" i="115"/>
  <c r="AM1555" i="115"/>
  <c r="AO1555" i="115" s="1"/>
  <c r="AD1556" i="115"/>
  <c r="AE1556" i="115" s="1"/>
  <c r="AJ1556" i="115"/>
  <c r="AK1556" i="115"/>
  <c r="AL1556" i="115"/>
  <c r="AM1556" i="115"/>
  <c r="AO1556" i="115" s="1"/>
  <c r="AD1557" i="115"/>
  <c r="AJ1557" i="115"/>
  <c r="AK1557" i="115"/>
  <c r="AL1557" i="115"/>
  <c r="AM1557" i="115"/>
  <c r="AO1557" i="115" s="1"/>
  <c r="AD1558" i="115"/>
  <c r="AE1558" i="115" s="1"/>
  <c r="AJ1558" i="115"/>
  <c r="AK1558" i="115"/>
  <c r="AL1558" i="115"/>
  <c r="AM1558" i="115"/>
  <c r="AO1558" i="115" s="1"/>
  <c r="AD1559" i="115"/>
  <c r="AJ1559" i="115"/>
  <c r="AK1559" i="115"/>
  <c r="AL1559" i="115"/>
  <c r="AM1559" i="115"/>
  <c r="AO1559" i="115" s="1"/>
  <c r="AD1560" i="115"/>
  <c r="AE1560" i="115" s="1"/>
  <c r="AJ1560" i="115"/>
  <c r="AK1560" i="115"/>
  <c r="AL1560" i="115"/>
  <c r="AM1560" i="115"/>
  <c r="AO1560" i="115" s="1"/>
  <c r="AD1561" i="115"/>
  <c r="AI1561" i="115"/>
  <c r="AJ1561" i="115"/>
  <c r="AK1561" i="115"/>
  <c r="AL1561" i="115"/>
  <c r="AM1561" i="115"/>
  <c r="AO1561" i="115" s="1"/>
  <c r="AD1562" i="115"/>
  <c r="AE1562" i="115" s="1"/>
  <c r="AJ1562" i="115"/>
  <c r="AK1562" i="115"/>
  <c r="AL1562" i="115"/>
  <c r="AM1562" i="115"/>
  <c r="AO1562" i="115" s="1"/>
  <c r="AD1563" i="115"/>
  <c r="AJ1563" i="115"/>
  <c r="AK1563" i="115"/>
  <c r="AL1563" i="115"/>
  <c r="AM1563" i="115"/>
  <c r="AO1563" i="115" s="1"/>
  <c r="AD1564" i="115"/>
  <c r="AE1564" i="115" s="1"/>
  <c r="AJ1564" i="115"/>
  <c r="AK1564" i="115"/>
  <c r="AL1564" i="115"/>
  <c r="AM1564" i="115"/>
  <c r="AO1564" i="115" s="1"/>
  <c r="AD1565" i="115"/>
  <c r="AJ1565" i="115"/>
  <c r="AK1565" i="115"/>
  <c r="AL1565" i="115"/>
  <c r="AM1565" i="115"/>
  <c r="AO1565" i="115" s="1"/>
  <c r="AD1566" i="115"/>
  <c r="AE1566" i="115" s="1"/>
  <c r="AJ1566" i="115"/>
  <c r="AK1566" i="115"/>
  <c r="AL1566" i="115"/>
  <c r="AM1566" i="115"/>
  <c r="AO1566" i="115" s="1"/>
  <c r="AD1567" i="115"/>
  <c r="AI1567" i="115" s="1"/>
  <c r="AJ1567" i="115"/>
  <c r="AK1567" i="115"/>
  <c r="AL1567" i="115"/>
  <c r="AM1567" i="115"/>
  <c r="AO1567" i="115" s="1"/>
  <c r="AD1568" i="115"/>
  <c r="AE1568" i="115" s="1"/>
  <c r="AJ1568" i="115"/>
  <c r="AK1568" i="115"/>
  <c r="AL1568" i="115"/>
  <c r="AM1568" i="115"/>
  <c r="AO1568" i="115" s="1"/>
  <c r="AD1569" i="115"/>
  <c r="AI1569" i="115"/>
  <c r="AJ1569" i="115"/>
  <c r="AK1569" i="115"/>
  <c r="AL1569" i="115"/>
  <c r="AM1569" i="115"/>
  <c r="AO1569" i="115" s="1"/>
  <c r="AD1570" i="115"/>
  <c r="AE1570" i="115" s="1"/>
  <c r="AJ1570" i="115"/>
  <c r="AK1570" i="115"/>
  <c r="AL1570" i="115"/>
  <c r="AM1570" i="115"/>
  <c r="AO1570" i="115" s="1"/>
  <c r="AD1571" i="115"/>
  <c r="AJ1571" i="115"/>
  <c r="AK1571" i="115"/>
  <c r="AL1571" i="115"/>
  <c r="AM1571" i="115"/>
  <c r="AO1571" i="115" s="1"/>
  <c r="AD1572" i="115"/>
  <c r="AE1572" i="115" s="1"/>
  <c r="AJ1572" i="115"/>
  <c r="AK1572" i="115"/>
  <c r="AL1572" i="115"/>
  <c r="AM1572" i="115"/>
  <c r="AO1572" i="115" s="1"/>
  <c r="AD1573" i="115"/>
  <c r="AJ1573" i="115"/>
  <c r="AK1573" i="115"/>
  <c r="AL1573" i="115"/>
  <c r="AM1573" i="115"/>
  <c r="AO1573" i="115" s="1"/>
  <c r="AD1574" i="115"/>
  <c r="AE1574" i="115" s="1"/>
  <c r="AJ1574" i="115"/>
  <c r="AK1574" i="115"/>
  <c r="AL1574" i="115"/>
  <c r="AM1574" i="115"/>
  <c r="AO1574" i="115" s="1"/>
  <c r="AD1575" i="115"/>
  <c r="AJ1575" i="115"/>
  <c r="AK1575" i="115"/>
  <c r="AL1575" i="115"/>
  <c r="AM1575" i="115"/>
  <c r="AO1575" i="115" s="1"/>
  <c r="AD1576" i="115"/>
  <c r="AE1576" i="115" s="1"/>
  <c r="AJ1576" i="115"/>
  <c r="AK1576" i="115"/>
  <c r="AL1576" i="115"/>
  <c r="AM1576" i="115"/>
  <c r="AO1576" i="115" s="1"/>
  <c r="AD1577" i="115"/>
  <c r="AI1577" i="115"/>
  <c r="AJ1577" i="115"/>
  <c r="AK1577" i="115"/>
  <c r="AL1577" i="115"/>
  <c r="AM1577" i="115"/>
  <c r="AO1577" i="115" s="1"/>
  <c r="AD1578" i="115"/>
  <c r="AE1578" i="115" s="1"/>
  <c r="AJ1578" i="115"/>
  <c r="AK1578" i="115"/>
  <c r="AL1578" i="115"/>
  <c r="AM1578" i="115"/>
  <c r="AO1578" i="115" s="1"/>
  <c r="AD1579" i="115"/>
  <c r="AJ1579" i="115"/>
  <c r="AK1579" i="115"/>
  <c r="AL1579" i="115"/>
  <c r="AM1579" i="115"/>
  <c r="AO1579" i="115" s="1"/>
  <c r="AD1580" i="115"/>
  <c r="AE1580" i="115" s="1"/>
  <c r="AJ1580" i="115"/>
  <c r="AK1580" i="115"/>
  <c r="AL1580" i="115"/>
  <c r="AM1580" i="115"/>
  <c r="AO1580" i="115" s="1"/>
  <c r="AD1581" i="115"/>
  <c r="AJ1581" i="115"/>
  <c r="AK1581" i="115"/>
  <c r="AL1581" i="115"/>
  <c r="AM1581" i="115"/>
  <c r="AO1581" i="115" s="1"/>
  <c r="AD1582" i="115"/>
  <c r="AE1582" i="115" s="1"/>
  <c r="AJ1582" i="115"/>
  <c r="AK1582" i="115"/>
  <c r="AL1582" i="115"/>
  <c r="AM1582" i="115"/>
  <c r="AO1582" i="115" s="1"/>
  <c r="AD1583" i="115"/>
  <c r="AI1583" i="115"/>
  <c r="AJ1583" i="115"/>
  <c r="AK1583" i="115"/>
  <c r="AL1583" i="115"/>
  <c r="AM1583" i="115"/>
  <c r="AO1583" i="115" s="1"/>
  <c r="AD1584" i="115"/>
  <c r="AE1584" i="115" s="1"/>
  <c r="AJ1584" i="115"/>
  <c r="AK1584" i="115"/>
  <c r="AL1584" i="115"/>
  <c r="AM1584" i="115"/>
  <c r="AO1584" i="115" s="1"/>
  <c r="AD1585" i="115"/>
  <c r="AI1585" i="115" s="1"/>
  <c r="AJ1585" i="115"/>
  <c r="AK1585" i="115"/>
  <c r="AL1585" i="115"/>
  <c r="AM1585" i="115"/>
  <c r="AO1585" i="115" s="1"/>
  <c r="AD1586" i="115"/>
  <c r="AE1586" i="115" s="1"/>
  <c r="AJ1586" i="115"/>
  <c r="AK1586" i="115"/>
  <c r="AL1586" i="115"/>
  <c r="AM1586" i="115"/>
  <c r="AO1586" i="115" s="1"/>
  <c r="AD1587" i="115"/>
  <c r="AJ1587" i="115"/>
  <c r="AK1587" i="115"/>
  <c r="AL1587" i="115"/>
  <c r="AM1587" i="115"/>
  <c r="AO1587" i="115" s="1"/>
  <c r="AD1588" i="115"/>
  <c r="AE1588" i="115" s="1"/>
  <c r="AJ1588" i="115"/>
  <c r="AK1588" i="115"/>
  <c r="AL1588" i="115"/>
  <c r="AM1588" i="115"/>
  <c r="AO1588" i="115" s="1"/>
  <c r="AD1589" i="115"/>
  <c r="AJ1589" i="115"/>
  <c r="AK1589" i="115"/>
  <c r="AL1589" i="115"/>
  <c r="AM1589" i="115"/>
  <c r="AO1589" i="115" s="1"/>
  <c r="AD1590" i="115"/>
  <c r="AE1590" i="115" s="1"/>
  <c r="AJ1590" i="115"/>
  <c r="AK1590" i="115"/>
  <c r="AL1590" i="115"/>
  <c r="AM1590" i="115"/>
  <c r="AO1590" i="115" s="1"/>
  <c r="AD1591" i="115"/>
  <c r="AJ1591" i="115"/>
  <c r="AK1591" i="115"/>
  <c r="AL1591" i="115"/>
  <c r="AM1591" i="115"/>
  <c r="AO1591" i="115" s="1"/>
  <c r="AD1592" i="115"/>
  <c r="AE1592" i="115" s="1"/>
  <c r="AJ1592" i="115"/>
  <c r="AK1592" i="115"/>
  <c r="AL1592" i="115"/>
  <c r="AM1592" i="115"/>
  <c r="AO1592" i="115" s="1"/>
  <c r="AD1593" i="115"/>
  <c r="AI1593" i="115"/>
  <c r="AJ1593" i="115"/>
  <c r="AK1593" i="115"/>
  <c r="AL1593" i="115"/>
  <c r="AM1593" i="115"/>
  <c r="AO1593" i="115" s="1"/>
  <c r="AD1594" i="115"/>
  <c r="AE1594" i="115" s="1"/>
  <c r="AJ1594" i="115"/>
  <c r="AK1594" i="115"/>
  <c r="AL1594" i="115"/>
  <c r="AM1594" i="115"/>
  <c r="AO1594" i="115" s="1"/>
  <c r="AD1595" i="115"/>
  <c r="AJ1595" i="115"/>
  <c r="AK1595" i="115"/>
  <c r="AL1595" i="115"/>
  <c r="AM1595" i="115"/>
  <c r="AO1595" i="115" s="1"/>
  <c r="AD1596" i="115"/>
  <c r="AE1596" i="115" s="1"/>
  <c r="AJ1596" i="115"/>
  <c r="AK1596" i="115"/>
  <c r="AL1596" i="115"/>
  <c r="AM1596" i="115"/>
  <c r="AO1596" i="115" s="1"/>
  <c r="AD1597" i="115"/>
  <c r="AJ1597" i="115"/>
  <c r="AK1597" i="115"/>
  <c r="AL1597" i="115"/>
  <c r="AM1597" i="115"/>
  <c r="AO1597" i="115" s="1"/>
  <c r="AD1598" i="115"/>
  <c r="AE1598" i="115" s="1"/>
  <c r="AJ1598" i="115"/>
  <c r="AK1598" i="115"/>
  <c r="AL1598" i="115"/>
  <c r="AM1598" i="115"/>
  <c r="AO1598" i="115" s="1"/>
  <c r="AD1599" i="115"/>
  <c r="AI1599" i="115" s="1"/>
  <c r="AJ1599" i="115"/>
  <c r="AK1599" i="115"/>
  <c r="AL1599" i="115"/>
  <c r="AM1599" i="115"/>
  <c r="AO1599" i="115" s="1"/>
  <c r="AN1600" i="115"/>
  <c r="AD8" i="114"/>
  <c r="AJ8" i="114"/>
  <c r="AK8" i="114"/>
  <c r="AL8" i="114"/>
  <c r="AM8" i="114"/>
  <c r="AO8" i="114" s="1"/>
  <c r="AD9" i="114"/>
  <c r="AE9" i="114" s="1"/>
  <c r="AJ9" i="114"/>
  <c r="AK9" i="114"/>
  <c r="AL9" i="114"/>
  <c r="AM9" i="114"/>
  <c r="AO9" i="114" s="1"/>
  <c r="AD10" i="114"/>
  <c r="AJ10" i="114"/>
  <c r="AK10" i="114"/>
  <c r="AL10" i="114"/>
  <c r="AM10" i="114"/>
  <c r="AO10" i="114" s="1"/>
  <c r="AD11" i="114"/>
  <c r="AE11" i="114" s="1"/>
  <c r="AJ11" i="114"/>
  <c r="AK11" i="114"/>
  <c r="AL11" i="114"/>
  <c r="AM11" i="114"/>
  <c r="AO11" i="114" s="1"/>
  <c r="AD12" i="114"/>
  <c r="AJ12" i="114"/>
  <c r="AK12" i="114"/>
  <c r="AL12" i="114"/>
  <c r="AM12" i="114"/>
  <c r="AO12" i="114" s="1"/>
  <c r="AD13" i="114"/>
  <c r="AI13" i="114" s="1"/>
  <c r="AJ13" i="114"/>
  <c r="AK13" i="114"/>
  <c r="AL13" i="114"/>
  <c r="AM13" i="114"/>
  <c r="AO13" i="114" s="1"/>
  <c r="AD14" i="114"/>
  <c r="AJ14" i="114"/>
  <c r="AK14" i="114"/>
  <c r="AL14" i="114"/>
  <c r="AM14" i="114"/>
  <c r="AO14" i="114" s="1"/>
  <c r="AD15" i="114"/>
  <c r="AJ15" i="114"/>
  <c r="AK15" i="114"/>
  <c r="AL15" i="114"/>
  <c r="AM15" i="114"/>
  <c r="AO15" i="114" s="1"/>
  <c r="AD16" i="114"/>
  <c r="AJ16" i="114"/>
  <c r="AK16" i="114"/>
  <c r="AL16" i="114"/>
  <c r="AM16" i="114"/>
  <c r="AO16" i="114" s="1"/>
  <c r="AD17" i="114"/>
  <c r="AE17" i="114" s="1"/>
  <c r="AF17" i="114" s="1"/>
  <c r="AJ17" i="114"/>
  <c r="AK17" i="114"/>
  <c r="AL17" i="114"/>
  <c r="AM17" i="114"/>
  <c r="AO17" i="114" s="1"/>
  <c r="AD18" i="114"/>
  <c r="AJ18" i="114"/>
  <c r="AK18" i="114"/>
  <c r="AL18" i="114"/>
  <c r="AM18" i="114"/>
  <c r="AO18" i="114" s="1"/>
  <c r="AD19" i="114"/>
  <c r="AJ19" i="114"/>
  <c r="AK19" i="114"/>
  <c r="AL19" i="114"/>
  <c r="AM19" i="114"/>
  <c r="AO19" i="114" s="1"/>
  <c r="AD20" i="114"/>
  <c r="AJ20" i="114"/>
  <c r="AK20" i="114"/>
  <c r="AL20" i="114"/>
  <c r="AM20" i="114"/>
  <c r="AO20" i="114" s="1"/>
  <c r="AD21" i="114"/>
  <c r="AE21" i="114" s="1"/>
  <c r="AJ21" i="114"/>
  <c r="AK21" i="114"/>
  <c r="AL21" i="114"/>
  <c r="AM21" i="114"/>
  <c r="AO21" i="114"/>
  <c r="AD22" i="114"/>
  <c r="AJ22" i="114"/>
  <c r="AK22" i="114"/>
  <c r="AL22" i="114"/>
  <c r="AM22" i="114"/>
  <c r="AO22" i="114" s="1"/>
  <c r="AD23" i="114"/>
  <c r="AJ23" i="114"/>
  <c r="AK23" i="114"/>
  <c r="AL23" i="114"/>
  <c r="AM23" i="114"/>
  <c r="AO23" i="114" s="1"/>
  <c r="AD24" i="114"/>
  <c r="AJ24" i="114"/>
  <c r="AK24" i="114"/>
  <c r="AL24" i="114"/>
  <c r="AM24" i="114"/>
  <c r="AO24" i="114" s="1"/>
  <c r="AD25" i="114"/>
  <c r="AJ25" i="114"/>
  <c r="AK25" i="114"/>
  <c r="AL25" i="114"/>
  <c r="AM25" i="114"/>
  <c r="AO25" i="114" s="1"/>
  <c r="AD26" i="114"/>
  <c r="AJ26" i="114"/>
  <c r="AK26" i="114"/>
  <c r="AL26" i="114"/>
  <c r="AM26" i="114"/>
  <c r="AO26" i="114" s="1"/>
  <c r="AD27" i="114"/>
  <c r="AJ27" i="114"/>
  <c r="AK27" i="114"/>
  <c r="AL27" i="114"/>
  <c r="AM27" i="114"/>
  <c r="AO27" i="114" s="1"/>
  <c r="AD28" i="114"/>
  <c r="AJ28" i="114"/>
  <c r="AK28" i="114"/>
  <c r="AL28" i="114"/>
  <c r="AM28" i="114"/>
  <c r="AO28" i="114" s="1"/>
  <c r="AD29" i="114"/>
  <c r="AJ29" i="114"/>
  <c r="AK29" i="114"/>
  <c r="AL29" i="114"/>
  <c r="AM29" i="114"/>
  <c r="AO29" i="114" s="1"/>
  <c r="AD30" i="114"/>
  <c r="AJ30" i="114"/>
  <c r="AK30" i="114"/>
  <c r="AL30" i="114"/>
  <c r="AM30" i="114"/>
  <c r="AO30" i="114" s="1"/>
  <c r="AD31" i="114"/>
  <c r="AE31" i="114" s="1"/>
  <c r="AJ31" i="114"/>
  <c r="AK31" i="114"/>
  <c r="AL31" i="114"/>
  <c r="AM31" i="114"/>
  <c r="AO31" i="114" s="1"/>
  <c r="AD32" i="114"/>
  <c r="AJ32" i="114"/>
  <c r="AK32" i="114"/>
  <c r="AL32" i="114"/>
  <c r="AM32" i="114"/>
  <c r="AO32" i="114" s="1"/>
  <c r="AD33" i="114"/>
  <c r="AE33" i="114" s="1"/>
  <c r="AJ33" i="114"/>
  <c r="AK33" i="114"/>
  <c r="AL33" i="114"/>
  <c r="AM33" i="114"/>
  <c r="AO33" i="114" s="1"/>
  <c r="AD34" i="114"/>
  <c r="AJ34" i="114"/>
  <c r="AK34" i="114"/>
  <c r="AL34" i="114"/>
  <c r="AM34" i="114"/>
  <c r="AO34" i="114" s="1"/>
  <c r="AD35" i="114"/>
  <c r="AE35" i="114" s="1"/>
  <c r="AJ35" i="114"/>
  <c r="AK35" i="114"/>
  <c r="AL35" i="114"/>
  <c r="AM35" i="114"/>
  <c r="AO35" i="114" s="1"/>
  <c r="AD36" i="114"/>
  <c r="AJ36" i="114"/>
  <c r="AK36" i="114"/>
  <c r="AL36" i="114"/>
  <c r="AM36" i="114"/>
  <c r="AO36" i="114" s="1"/>
  <c r="AD37" i="114"/>
  <c r="AE37" i="114" s="1"/>
  <c r="AJ37" i="114"/>
  <c r="AK37" i="114"/>
  <c r="AL37" i="114"/>
  <c r="AM37" i="114"/>
  <c r="AO37" i="114" s="1"/>
  <c r="AD38" i="114"/>
  <c r="AJ38" i="114"/>
  <c r="AK38" i="114"/>
  <c r="AL38" i="114"/>
  <c r="AM38" i="114"/>
  <c r="AO38" i="114" s="1"/>
  <c r="AD39" i="114"/>
  <c r="AJ39" i="114"/>
  <c r="AK39" i="114"/>
  <c r="AL39" i="114"/>
  <c r="AM39" i="114"/>
  <c r="AO39" i="114" s="1"/>
  <c r="AD40" i="114"/>
  <c r="AJ40" i="114"/>
  <c r="AK40" i="114"/>
  <c r="AL40" i="114"/>
  <c r="AM40" i="114"/>
  <c r="AO40" i="114" s="1"/>
  <c r="AD41" i="114"/>
  <c r="AE41" i="114" s="1"/>
  <c r="AJ41" i="114"/>
  <c r="AK41" i="114"/>
  <c r="AL41" i="114"/>
  <c r="AM41" i="114"/>
  <c r="AO41" i="114" s="1"/>
  <c r="AD42" i="114"/>
  <c r="AE42" i="114" s="1"/>
  <c r="AJ42" i="114"/>
  <c r="AK42" i="114"/>
  <c r="AL42" i="114"/>
  <c r="AM42" i="114"/>
  <c r="AO42" i="114" s="1"/>
  <c r="AD43" i="114"/>
  <c r="AJ43" i="114"/>
  <c r="AK43" i="114"/>
  <c r="AL43" i="114"/>
  <c r="AM43" i="114"/>
  <c r="AO43" i="114" s="1"/>
  <c r="AD44" i="114"/>
  <c r="AJ44" i="114"/>
  <c r="AK44" i="114"/>
  <c r="AL44" i="114"/>
  <c r="AM44" i="114"/>
  <c r="AO44" i="114" s="1"/>
  <c r="AD45" i="114"/>
  <c r="AE45" i="114" s="1"/>
  <c r="AJ45" i="114"/>
  <c r="AK45" i="114"/>
  <c r="AL45" i="114"/>
  <c r="AM45" i="114"/>
  <c r="AO45" i="114" s="1"/>
  <c r="AD46" i="114"/>
  <c r="AE46" i="114" s="1"/>
  <c r="AJ46" i="114"/>
  <c r="AK46" i="114"/>
  <c r="AL46" i="114"/>
  <c r="AM46" i="114"/>
  <c r="AO46" i="114" s="1"/>
  <c r="AD47" i="114"/>
  <c r="AJ47" i="114"/>
  <c r="AK47" i="114"/>
  <c r="AL47" i="114"/>
  <c r="AM47" i="114"/>
  <c r="AO47" i="114" s="1"/>
  <c r="AD48" i="114"/>
  <c r="AJ48" i="114"/>
  <c r="AK48" i="114"/>
  <c r="AL48" i="114"/>
  <c r="AM48" i="114"/>
  <c r="AO48" i="114" s="1"/>
  <c r="AD49" i="114"/>
  <c r="AE49" i="114" s="1"/>
  <c r="AJ49" i="114"/>
  <c r="AK49" i="114"/>
  <c r="AL49" i="114"/>
  <c r="AM49" i="114"/>
  <c r="AO49" i="114" s="1"/>
  <c r="AD50" i="114"/>
  <c r="AE50" i="114" s="1"/>
  <c r="AJ50" i="114"/>
  <c r="AK50" i="114"/>
  <c r="AL50" i="114"/>
  <c r="AM50" i="114"/>
  <c r="AO50" i="114" s="1"/>
  <c r="AD51" i="114"/>
  <c r="AE51" i="114" s="1"/>
  <c r="AJ51" i="114"/>
  <c r="AK51" i="114"/>
  <c r="AL51" i="114"/>
  <c r="AM51" i="114"/>
  <c r="AO51" i="114" s="1"/>
  <c r="AD52" i="114"/>
  <c r="AJ52" i="114"/>
  <c r="AK52" i="114"/>
  <c r="AL52" i="114"/>
  <c r="AM52" i="114"/>
  <c r="AO52" i="114" s="1"/>
  <c r="AD53" i="114"/>
  <c r="AE53" i="114" s="1"/>
  <c r="AJ53" i="114"/>
  <c r="AK53" i="114"/>
  <c r="AL53" i="114"/>
  <c r="AM53" i="114"/>
  <c r="AO53" i="114" s="1"/>
  <c r="AD54" i="114"/>
  <c r="AJ54" i="114"/>
  <c r="AK54" i="114"/>
  <c r="AL54" i="114"/>
  <c r="AM54" i="114"/>
  <c r="AO54" i="114" s="1"/>
  <c r="AD55" i="114"/>
  <c r="AG55" i="114"/>
  <c r="AJ55" i="114"/>
  <c r="AK55" i="114"/>
  <c r="AL55" i="114"/>
  <c r="AM55" i="114"/>
  <c r="AO55" i="114" s="1"/>
  <c r="AD56" i="114"/>
  <c r="AE56" i="114" s="1"/>
  <c r="AJ56" i="114"/>
  <c r="AK56" i="114"/>
  <c r="AL56" i="114"/>
  <c r="AM56" i="114"/>
  <c r="AO56" i="114" s="1"/>
  <c r="AD57" i="114"/>
  <c r="AE57" i="114" s="1"/>
  <c r="AJ57" i="114"/>
  <c r="AK57" i="114"/>
  <c r="AL57" i="114"/>
  <c r="AM57" i="114"/>
  <c r="AO57" i="114" s="1"/>
  <c r="AD58" i="114"/>
  <c r="AJ58" i="114"/>
  <c r="AK58" i="114"/>
  <c r="AL58" i="114"/>
  <c r="AM58" i="114"/>
  <c r="AO58" i="114" s="1"/>
  <c r="AD59" i="114"/>
  <c r="AJ59" i="114"/>
  <c r="AK59" i="114"/>
  <c r="AL59" i="114"/>
  <c r="AM59" i="114"/>
  <c r="AO59" i="114" s="1"/>
  <c r="AD60" i="114"/>
  <c r="AE60" i="114" s="1"/>
  <c r="AJ60" i="114"/>
  <c r="AK60" i="114"/>
  <c r="AL60" i="114"/>
  <c r="AM60" i="114"/>
  <c r="AO60" i="114" s="1"/>
  <c r="AD61" i="114"/>
  <c r="AJ61" i="114"/>
  <c r="AK61" i="114"/>
  <c r="AL61" i="114"/>
  <c r="AM61" i="114"/>
  <c r="AO61" i="114" s="1"/>
  <c r="AD62" i="114"/>
  <c r="AJ62" i="114"/>
  <c r="AK62" i="114"/>
  <c r="AL62" i="114"/>
  <c r="AM62" i="114"/>
  <c r="AO62" i="114" s="1"/>
  <c r="AD63" i="114"/>
  <c r="AJ63" i="114"/>
  <c r="AK63" i="114"/>
  <c r="AL63" i="114"/>
  <c r="AM63" i="114"/>
  <c r="AO63" i="114" s="1"/>
  <c r="AD64" i="114"/>
  <c r="AJ64" i="114"/>
  <c r="AK64" i="114"/>
  <c r="AL64" i="114"/>
  <c r="AM64" i="114"/>
  <c r="AO64" i="114" s="1"/>
  <c r="AD65" i="114"/>
  <c r="AJ65" i="114"/>
  <c r="AK65" i="114"/>
  <c r="AL65" i="114"/>
  <c r="AM65" i="114"/>
  <c r="AO65" i="114" s="1"/>
  <c r="AD66" i="114"/>
  <c r="AE66" i="114" s="1"/>
  <c r="AJ66" i="114"/>
  <c r="AK66" i="114"/>
  <c r="AL66" i="114"/>
  <c r="AM66" i="114"/>
  <c r="AO66" i="114" s="1"/>
  <c r="AD67" i="114"/>
  <c r="AE67" i="114" s="1"/>
  <c r="AJ67" i="114"/>
  <c r="AK67" i="114"/>
  <c r="AL67" i="114"/>
  <c r="AM67" i="114"/>
  <c r="AO67" i="114" s="1"/>
  <c r="AD68" i="114"/>
  <c r="AE68" i="114" s="1"/>
  <c r="AJ68" i="114"/>
  <c r="AK68" i="114"/>
  <c r="AL68" i="114"/>
  <c r="AM68" i="114"/>
  <c r="AO68" i="114" s="1"/>
  <c r="AD69" i="114"/>
  <c r="AJ69" i="114"/>
  <c r="AK69" i="114"/>
  <c r="AL69" i="114"/>
  <c r="AM69" i="114"/>
  <c r="AO69" i="114" s="1"/>
  <c r="AD70" i="114"/>
  <c r="AE70" i="114" s="1"/>
  <c r="AJ70" i="114"/>
  <c r="AK70" i="114"/>
  <c r="AL70" i="114"/>
  <c r="AM70" i="114"/>
  <c r="AO70" i="114" s="1"/>
  <c r="AD71" i="114"/>
  <c r="AE71" i="114" s="1"/>
  <c r="AJ71" i="114"/>
  <c r="AK71" i="114"/>
  <c r="AL71" i="114"/>
  <c r="AM71" i="114"/>
  <c r="AO71" i="114" s="1"/>
  <c r="AD72" i="114"/>
  <c r="AE72" i="114" s="1"/>
  <c r="AJ72" i="114"/>
  <c r="AK72" i="114"/>
  <c r="AL72" i="114"/>
  <c r="AM72" i="114"/>
  <c r="AO72" i="114" s="1"/>
  <c r="AD73" i="114"/>
  <c r="AJ73" i="114"/>
  <c r="AK73" i="114"/>
  <c r="AL73" i="114"/>
  <c r="AM73" i="114"/>
  <c r="AO73" i="114" s="1"/>
  <c r="AD74" i="114"/>
  <c r="AE74" i="114" s="1"/>
  <c r="AJ74" i="114"/>
  <c r="AK74" i="114"/>
  <c r="AL74" i="114"/>
  <c r="AM74" i="114"/>
  <c r="AO74" i="114" s="1"/>
  <c r="AD75" i="114"/>
  <c r="AE75" i="114" s="1"/>
  <c r="AJ75" i="114"/>
  <c r="AK75" i="114"/>
  <c r="AL75" i="114"/>
  <c r="AM75" i="114"/>
  <c r="AO75" i="114" s="1"/>
  <c r="AD76" i="114"/>
  <c r="AJ76" i="114"/>
  <c r="AK76" i="114"/>
  <c r="AL76" i="114"/>
  <c r="AM76" i="114"/>
  <c r="AO76" i="114" s="1"/>
  <c r="AD77" i="114"/>
  <c r="AJ77" i="114"/>
  <c r="AK77" i="114"/>
  <c r="AL77" i="114"/>
  <c r="AM77" i="114"/>
  <c r="AO77" i="114" s="1"/>
  <c r="AD78" i="114"/>
  <c r="AE78" i="114" s="1"/>
  <c r="AJ78" i="114"/>
  <c r="AK78" i="114"/>
  <c r="AL78" i="114"/>
  <c r="AM78" i="114"/>
  <c r="AO78" i="114" s="1"/>
  <c r="AD79" i="114"/>
  <c r="AE79" i="114" s="1"/>
  <c r="AJ79" i="114"/>
  <c r="AK79" i="114"/>
  <c r="AL79" i="114"/>
  <c r="AM79" i="114"/>
  <c r="AO79" i="114" s="1"/>
  <c r="AD80" i="114"/>
  <c r="AE80" i="114" s="1"/>
  <c r="AJ80" i="114"/>
  <c r="AK80" i="114"/>
  <c r="AL80" i="114"/>
  <c r="AM80" i="114"/>
  <c r="AO80" i="114" s="1"/>
  <c r="AD81" i="114"/>
  <c r="AJ81" i="114"/>
  <c r="AK81" i="114"/>
  <c r="AL81" i="114"/>
  <c r="AM81" i="114"/>
  <c r="AO81" i="114" s="1"/>
  <c r="AD82" i="114"/>
  <c r="AE82" i="114" s="1"/>
  <c r="AJ82" i="114"/>
  <c r="AK82" i="114"/>
  <c r="AL82" i="114"/>
  <c r="AM82" i="114"/>
  <c r="AO82" i="114" s="1"/>
  <c r="AD83" i="114"/>
  <c r="AE83" i="114" s="1"/>
  <c r="AJ83" i="114"/>
  <c r="AK83" i="114"/>
  <c r="AL83" i="114"/>
  <c r="AM83" i="114"/>
  <c r="AO83" i="114" s="1"/>
  <c r="AD84" i="114"/>
  <c r="AE84" i="114" s="1"/>
  <c r="AJ84" i="114"/>
  <c r="AK84" i="114"/>
  <c r="AL84" i="114"/>
  <c r="AM84" i="114"/>
  <c r="AO84" i="114" s="1"/>
  <c r="AD85" i="114"/>
  <c r="AJ85" i="114"/>
  <c r="AK85" i="114"/>
  <c r="AL85" i="114"/>
  <c r="AM85" i="114"/>
  <c r="AO85" i="114" s="1"/>
  <c r="AD86" i="114"/>
  <c r="AE86" i="114" s="1"/>
  <c r="AJ86" i="114"/>
  <c r="AK86" i="114"/>
  <c r="AL86" i="114"/>
  <c r="AM86" i="114"/>
  <c r="AO86" i="114" s="1"/>
  <c r="AD87" i="114"/>
  <c r="AJ87" i="114"/>
  <c r="AK87" i="114"/>
  <c r="AL87" i="114"/>
  <c r="AM87" i="114"/>
  <c r="AO87" i="114" s="1"/>
  <c r="AD88" i="114"/>
  <c r="AE88" i="114" s="1"/>
  <c r="AJ88" i="114"/>
  <c r="AK88" i="114"/>
  <c r="AL88" i="114"/>
  <c r="AM88" i="114"/>
  <c r="AO88" i="114" s="1"/>
  <c r="AD89" i="114"/>
  <c r="AE89" i="114" s="1"/>
  <c r="AJ89" i="114"/>
  <c r="AK89" i="114"/>
  <c r="AL89" i="114"/>
  <c r="AM89" i="114"/>
  <c r="AO89" i="114" s="1"/>
  <c r="AD90" i="114"/>
  <c r="AE90" i="114" s="1"/>
  <c r="AJ90" i="114"/>
  <c r="AK90" i="114"/>
  <c r="AL90" i="114"/>
  <c r="AM90" i="114"/>
  <c r="AO90" i="114" s="1"/>
  <c r="AD91" i="114"/>
  <c r="AE91" i="114" s="1"/>
  <c r="AJ91" i="114"/>
  <c r="AK91" i="114"/>
  <c r="AL91" i="114"/>
  <c r="AM91" i="114"/>
  <c r="AO91" i="114" s="1"/>
  <c r="AD92" i="114"/>
  <c r="AJ92" i="114"/>
  <c r="AK92" i="114"/>
  <c r="AL92" i="114"/>
  <c r="AM92" i="114"/>
  <c r="AO92" i="114" s="1"/>
  <c r="AD93" i="114"/>
  <c r="AE93" i="114" s="1"/>
  <c r="AJ93" i="114"/>
  <c r="AK93" i="114"/>
  <c r="AL93" i="114"/>
  <c r="AM93" i="114"/>
  <c r="AO93" i="114" s="1"/>
  <c r="AD94" i="114"/>
  <c r="AJ94" i="114"/>
  <c r="AK94" i="114"/>
  <c r="AL94" i="114"/>
  <c r="AM94" i="114"/>
  <c r="AO94" i="114" s="1"/>
  <c r="AD95" i="114"/>
  <c r="AE95" i="114" s="1"/>
  <c r="AJ95" i="114"/>
  <c r="AK95" i="114"/>
  <c r="AL95" i="114"/>
  <c r="AM95" i="114"/>
  <c r="AO95" i="114" s="1"/>
  <c r="AD96" i="114"/>
  <c r="AE96" i="114" s="1"/>
  <c r="AJ96" i="114"/>
  <c r="AK96" i="114"/>
  <c r="AL96" i="114"/>
  <c r="AM96" i="114"/>
  <c r="AO96" i="114" s="1"/>
  <c r="AD97" i="114"/>
  <c r="AE97" i="114" s="1"/>
  <c r="AJ97" i="114"/>
  <c r="AK97" i="114"/>
  <c r="AL97" i="114"/>
  <c r="AM97" i="114"/>
  <c r="AO97" i="114" s="1"/>
  <c r="AD98" i="114"/>
  <c r="AE98" i="114" s="1"/>
  <c r="AI98" i="114"/>
  <c r="AJ98" i="114"/>
  <c r="AK98" i="114"/>
  <c r="AL98" i="114"/>
  <c r="AM98" i="114"/>
  <c r="AO98" i="114" s="1"/>
  <c r="AD99" i="114"/>
  <c r="AE99" i="114" s="1"/>
  <c r="AJ99" i="114"/>
  <c r="AK99" i="114"/>
  <c r="AL99" i="114"/>
  <c r="AM99" i="114"/>
  <c r="AO99" i="114" s="1"/>
  <c r="AD100" i="114"/>
  <c r="AE100" i="114" s="1"/>
  <c r="AJ100" i="114"/>
  <c r="AK100" i="114"/>
  <c r="AL100" i="114"/>
  <c r="AM100" i="114"/>
  <c r="AO100" i="114" s="1"/>
  <c r="AD101" i="114"/>
  <c r="AE101" i="114" s="1"/>
  <c r="AJ101" i="114"/>
  <c r="AK101" i="114"/>
  <c r="AL101" i="114"/>
  <c r="AM101" i="114"/>
  <c r="AO101" i="114" s="1"/>
  <c r="AD102" i="114"/>
  <c r="AE102" i="114" s="1"/>
  <c r="AJ102" i="114"/>
  <c r="AK102" i="114"/>
  <c r="AL102" i="114"/>
  <c r="AM102" i="114"/>
  <c r="AO102" i="114" s="1"/>
  <c r="AD103" i="114"/>
  <c r="AE103" i="114" s="1"/>
  <c r="AJ103" i="114"/>
  <c r="AK103" i="114"/>
  <c r="AL103" i="114"/>
  <c r="AM103" i="114"/>
  <c r="AO103" i="114" s="1"/>
  <c r="AD104" i="114"/>
  <c r="AE104" i="114" s="1"/>
  <c r="AJ104" i="114"/>
  <c r="AK104" i="114"/>
  <c r="AL104" i="114"/>
  <c r="AM104" i="114"/>
  <c r="AO104" i="114" s="1"/>
  <c r="AD105" i="114"/>
  <c r="AJ105" i="114"/>
  <c r="AK105" i="114"/>
  <c r="AL105" i="114"/>
  <c r="AM105" i="114"/>
  <c r="AO105" i="114" s="1"/>
  <c r="AD106" i="114"/>
  <c r="AE106" i="114" s="1"/>
  <c r="AJ106" i="114"/>
  <c r="AK106" i="114"/>
  <c r="AL106" i="114"/>
  <c r="AM106" i="114"/>
  <c r="AO106" i="114" s="1"/>
  <c r="AD107" i="114"/>
  <c r="AE107" i="114" s="1"/>
  <c r="AJ107" i="114"/>
  <c r="AK107" i="114"/>
  <c r="AL107" i="114"/>
  <c r="AM107" i="114"/>
  <c r="AO107" i="114" s="1"/>
  <c r="AD108" i="114"/>
  <c r="AE108" i="114" s="1"/>
  <c r="AI108" i="114"/>
  <c r="AJ108" i="114"/>
  <c r="AK108" i="114"/>
  <c r="AL108" i="114"/>
  <c r="AM108" i="114"/>
  <c r="AO108" i="114" s="1"/>
  <c r="AD109" i="114"/>
  <c r="AG109" i="114" s="1"/>
  <c r="AJ109" i="114"/>
  <c r="AK109" i="114"/>
  <c r="AL109" i="114"/>
  <c r="AM109" i="114"/>
  <c r="AO109" i="114" s="1"/>
  <c r="AD110" i="114"/>
  <c r="AJ110" i="114"/>
  <c r="AK110" i="114"/>
  <c r="AL110" i="114"/>
  <c r="AM110" i="114"/>
  <c r="AO110" i="114" s="1"/>
  <c r="AD111" i="114"/>
  <c r="AE111" i="114" s="1"/>
  <c r="AJ111" i="114"/>
  <c r="AK111" i="114"/>
  <c r="AL111" i="114"/>
  <c r="AM111" i="114"/>
  <c r="AO111" i="114" s="1"/>
  <c r="AD112" i="114"/>
  <c r="AE112" i="114" s="1"/>
  <c r="AJ112" i="114"/>
  <c r="AK112" i="114"/>
  <c r="AL112" i="114"/>
  <c r="AM112" i="114"/>
  <c r="AO112" i="114" s="1"/>
  <c r="AD113" i="114"/>
  <c r="AJ113" i="114"/>
  <c r="AK113" i="114"/>
  <c r="AL113" i="114"/>
  <c r="AM113" i="114"/>
  <c r="AO113" i="114" s="1"/>
  <c r="AD114" i="114"/>
  <c r="AE114" i="114" s="1"/>
  <c r="AJ114" i="114"/>
  <c r="AK114" i="114"/>
  <c r="AL114" i="114"/>
  <c r="AM114" i="114"/>
  <c r="AO114" i="114" s="1"/>
  <c r="AD115" i="114"/>
  <c r="AJ115" i="114"/>
  <c r="AK115" i="114"/>
  <c r="AL115" i="114"/>
  <c r="AM115" i="114"/>
  <c r="AO115" i="114" s="1"/>
  <c r="AD116" i="114"/>
  <c r="AJ116" i="114"/>
  <c r="AK116" i="114"/>
  <c r="AL116" i="114"/>
  <c r="AM116" i="114"/>
  <c r="AO116" i="114" s="1"/>
  <c r="AD117" i="114"/>
  <c r="AE117" i="114" s="1"/>
  <c r="AJ117" i="114"/>
  <c r="AK117" i="114"/>
  <c r="AL117" i="114"/>
  <c r="AM117" i="114"/>
  <c r="AO117" i="114" s="1"/>
  <c r="AD118" i="114"/>
  <c r="AJ118" i="114"/>
  <c r="AK118" i="114"/>
  <c r="AL118" i="114"/>
  <c r="AM118" i="114"/>
  <c r="AO118" i="114" s="1"/>
  <c r="AD119" i="114"/>
  <c r="AJ119" i="114"/>
  <c r="AK119" i="114"/>
  <c r="AL119" i="114"/>
  <c r="AM119" i="114"/>
  <c r="AO119" i="114" s="1"/>
  <c r="AD120" i="114"/>
  <c r="AE120" i="114" s="1"/>
  <c r="AJ120" i="114"/>
  <c r="AK120" i="114"/>
  <c r="AL120" i="114"/>
  <c r="AM120" i="114"/>
  <c r="AO120" i="114" s="1"/>
  <c r="AD121" i="114"/>
  <c r="AE121" i="114" s="1"/>
  <c r="AJ121" i="114"/>
  <c r="AK121" i="114"/>
  <c r="AL121" i="114"/>
  <c r="AM121" i="114"/>
  <c r="AO121" i="114" s="1"/>
  <c r="AD122" i="114"/>
  <c r="AE122" i="114" s="1"/>
  <c r="AJ122" i="114"/>
  <c r="AK122" i="114"/>
  <c r="AL122" i="114"/>
  <c r="AM122" i="114"/>
  <c r="AO122" i="114" s="1"/>
  <c r="AD123" i="114"/>
  <c r="AJ123" i="114"/>
  <c r="AK123" i="114"/>
  <c r="AL123" i="114"/>
  <c r="AM123" i="114"/>
  <c r="AO123" i="114" s="1"/>
  <c r="AD124" i="114"/>
  <c r="AJ124" i="114"/>
  <c r="AK124" i="114"/>
  <c r="AL124" i="114"/>
  <c r="AM124" i="114"/>
  <c r="AO124" i="114" s="1"/>
  <c r="AD125" i="114"/>
  <c r="AJ125" i="114"/>
  <c r="AK125" i="114"/>
  <c r="AL125" i="114"/>
  <c r="AM125" i="114"/>
  <c r="AO125" i="114" s="1"/>
  <c r="AD126" i="114"/>
  <c r="AE126" i="114" s="1"/>
  <c r="AJ126" i="114"/>
  <c r="AK126" i="114"/>
  <c r="AL126" i="114"/>
  <c r="AM126" i="114"/>
  <c r="AO126" i="114" s="1"/>
  <c r="AD127" i="114"/>
  <c r="AE127" i="114" s="1"/>
  <c r="AJ127" i="114"/>
  <c r="AK127" i="114"/>
  <c r="AL127" i="114"/>
  <c r="AM127" i="114"/>
  <c r="AO127" i="114" s="1"/>
  <c r="AD128" i="114"/>
  <c r="AE128" i="114" s="1"/>
  <c r="AJ128" i="114"/>
  <c r="AK128" i="114"/>
  <c r="AL128" i="114"/>
  <c r="AM128" i="114"/>
  <c r="AO128" i="114" s="1"/>
  <c r="AD129" i="114"/>
  <c r="AE129" i="114" s="1"/>
  <c r="AJ129" i="114"/>
  <c r="AK129" i="114"/>
  <c r="AL129" i="114"/>
  <c r="AM129" i="114"/>
  <c r="AO129" i="114" s="1"/>
  <c r="AD130" i="114"/>
  <c r="AE130" i="114" s="1"/>
  <c r="AJ130" i="114"/>
  <c r="AK130" i="114"/>
  <c r="AL130" i="114"/>
  <c r="AM130" i="114"/>
  <c r="AO130" i="114" s="1"/>
  <c r="AD131" i="114"/>
  <c r="AE131" i="114" s="1"/>
  <c r="AJ131" i="114"/>
  <c r="AK131" i="114"/>
  <c r="AL131" i="114"/>
  <c r="AM131" i="114"/>
  <c r="AO131" i="114" s="1"/>
  <c r="AD132" i="114"/>
  <c r="AE132" i="114" s="1"/>
  <c r="AJ132" i="114"/>
  <c r="AK132" i="114"/>
  <c r="AL132" i="114"/>
  <c r="AM132" i="114"/>
  <c r="AO132" i="114" s="1"/>
  <c r="AD133" i="114"/>
  <c r="AI133" i="114" s="1"/>
  <c r="AJ133" i="114"/>
  <c r="AK133" i="114"/>
  <c r="AL133" i="114"/>
  <c r="AM133" i="114"/>
  <c r="AO133" i="114" s="1"/>
  <c r="AD134" i="114"/>
  <c r="AE134" i="114" s="1"/>
  <c r="AJ134" i="114"/>
  <c r="AK134" i="114"/>
  <c r="AL134" i="114"/>
  <c r="AM134" i="114"/>
  <c r="AO134" i="114" s="1"/>
  <c r="AD135" i="114"/>
  <c r="AE135" i="114" s="1"/>
  <c r="AJ135" i="114"/>
  <c r="AK135" i="114"/>
  <c r="AL135" i="114"/>
  <c r="AM135" i="114"/>
  <c r="AO135" i="114" s="1"/>
  <c r="AD136" i="114"/>
  <c r="AG136" i="114" s="1"/>
  <c r="AJ136" i="114"/>
  <c r="AK136" i="114"/>
  <c r="AL136" i="114"/>
  <c r="AM136" i="114"/>
  <c r="AO136" i="114" s="1"/>
  <c r="AD137" i="114"/>
  <c r="AE137" i="114" s="1"/>
  <c r="AJ137" i="114"/>
  <c r="AK137" i="114"/>
  <c r="AL137" i="114"/>
  <c r="AM137" i="114"/>
  <c r="AO137" i="114" s="1"/>
  <c r="AD138" i="114"/>
  <c r="AE138" i="114" s="1"/>
  <c r="AJ138" i="114"/>
  <c r="AK138" i="114"/>
  <c r="AL138" i="114"/>
  <c r="AM138" i="114"/>
  <c r="AO138" i="114" s="1"/>
  <c r="AD139" i="114"/>
  <c r="AE139" i="114" s="1"/>
  <c r="AJ139" i="114"/>
  <c r="AK139" i="114"/>
  <c r="AL139" i="114"/>
  <c r="AM139" i="114"/>
  <c r="AO139" i="114" s="1"/>
  <c r="AD140" i="114"/>
  <c r="AE140" i="114" s="1"/>
  <c r="AJ140" i="114"/>
  <c r="AK140" i="114"/>
  <c r="AL140" i="114"/>
  <c r="AM140" i="114"/>
  <c r="AO140" i="114" s="1"/>
  <c r="AD141" i="114"/>
  <c r="AE141" i="114" s="1"/>
  <c r="AJ141" i="114"/>
  <c r="AK141" i="114"/>
  <c r="AL141" i="114"/>
  <c r="AM141" i="114"/>
  <c r="AO141" i="114" s="1"/>
  <c r="AD142" i="114"/>
  <c r="AJ142" i="114"/>
  <c r="AK142" i="114"/>
  <c r="AL142" i="114"/>
  <c r="AM142" i="114"/>
  <c r="AO142" i="114" s="1"/>
  <c r="AD143" i="114"/>
  <c r="AE143" i="114" s="1"/>
  <c r="AJ143" i="114"/>
  <c r="AK143" i="114"/>
  <c r="AL143" i="114"/>
  <c r="AM143" i="114"/>
  <c r="AO143" i="114" s="1"/>
  <c r="AD144" i="114"/>
  <c r="AJ144" i="114"/>
  <c r="AK144" i="114"/>
  <c r="AL144" i="114"/>
  <c r="AM144" i="114"/>
  <c r="AO144" i="114" s="1"/>
  <c r="AD145" i="114"/>
  <c r="AE145" i="114" s="1"/>
  <c r="AJ145" i="114"/>
  <c r="AK145" i="114"/>
  <c r="AL145" i="114"/>
  <c r="AM145" i="114"/>
  <c r="AO145" i="114" s="1"/>
  <c r="AD146" i="114"/>
  <c r="AE146" i="114" s="1"/>
  <c r="AJ146" i="114"/>
  <c r="AK146" i="114"/>
  <c r="AL146" i="114"/>
  <c r="AM146" i="114"/>
  <c r="AO146" i="114" s="1"/>
  <c r="AD147" i="114"/>
  <c r="AE147" i="114" s="1"/>
  <c r="AJ147" i="114"/>
  <c r="AK147" i="114"/>
  <c r="AL147" i="114"/>
  <c r="AM147" i="114"/>
  <c r="AO147" i="114" s="1"/>
  <c r="AD148" i="114"/>
  <c r="AJ148" i="114"/>
  <c r="AK148" i="114"/>
  <c r="AL148" i="114"/>
  <c r="AM148" i="114"/>
  <c r="AO148" i="114" s="1"/>
  <c r="AD149" i="114"/>
  <c r="AE149" i="114" s="1"/>
  <c r="AJ149" i="114"/>
  <c r="AK149" i="114"/>
  <c r="AL149" i="114"/>
  <c r="AM149" i="114"/>
  <c r="AO149" i="114" s="1"/>
  <c r="AD150" i="114"/>
  <c r="AE150" i="114" s="1"/>
  <c r="AJ150" i="114"/>
  <c r="AK150" i="114"/>
  <c r="AL150" i="114"/>
  <c r="AM150" i="114"/>
  <c r="AO150" i="114" s="1"/>
  <c r="AD151" i="114"/>
  <c r="AE151" i="114" s="1"/>
  <c r="AJ151" i="114"/>
  <c r="AK151" i="114"/>
  <c r="AL151" i="114"/>
  <c r="AM151" i="114"/>
  <c r="AO151" i="114" s="1"/>
  <c r="AD152" i="114"/>
  <c r="AJ152" i="114"/>
  <c r="AK152" i="114"/>
  <c r="AL152" i="114"/>
  <c r="AM152" i="114"/>
  <c r="AO152" i="114" s="1"/>
  <c r="AD153" i="114"/>
  <c r="AE153" i="114" s="1"/>
  <c r="AJ153" i="114"/>
  <c r="AK153" i="114"/>
  <c r="AL153" i="114"/>
  <c r="AM153" i="114"/>
  <c r="AO153" i="114" s="1"/>
  <c r="AD154" i="114"/>
  <c r="AE154" i="114" s="1"/>
  <c r="AJ154" i="114"/>
  <c r="AK154" i="114"/>
  <c r="AL154" i="114"/>
  <c r="AM154" i="114"/>
  <c r="AO154" i="114" s="1"/>
  <c r="AD155" i="114"/>
  <c r="AE155" i="114" s="1"/>
  <c r="AJ155" i="114"/>
  <c r="AK155" i="114"/>
  <c r="AL155" i="114"/>
  <c r="AM155" i="114"/>
  <c r="AO155" i="114" s="1"/>
  <c r="AD156" i="114"/>
  <c r="AJ156" i="114"/>
  <c r="AK156" i="114"/>
  <c r="AL156" i="114"/>
  <c r="AM156" i="114"/>
  <c r="AO156" i="114" s="1"/>
  <c r="AD157" i="114"/>
  <c r="AJ157" i="114"/>
  <c r="AK157" i="114"/>
  <c r="AL157" i="114"/>
  <c r="AM157" i="114"/>
  <c r="AO157" i="114" s="1"/>
  <c r="AD158" i="114"/>
  <c r="AJ158" i="114"/>
  <c r="AK158" i="114"/>
  <c r="AL158" i="114"/>
  <c r="AM158" i="114"/>
  <c r="AO158" i="114" s="1"/>
  <c r="AD159" i="114"/>
  <c r="AE159" i="114" s="1"/>
  <c r="AJ159" i="114"/>
  <c r="AK159" i="114"/>
  <c r="AL159" i="114"/>
  <c r="AM159" i="114"/>
  <c r="AO159" i="114" s="1"/>
  <c r="AD160" i="114"/>
  <c r="AE160" i="114" s="1"/>
  <c r="AJ160" i="114"/>
  <c r="AK160" i="114"/>
  <c r="AL160" i="114"/>
  <c r="AM160" i="114"/>
  <c r="AO160" i="114" s="1"/>
  <c r="AD161" i="114"/>
  <c r="AE161" i="114" s="1"/>
  <c r="AJ161" i="114"/>
  <c r="AK161" i="114"/>
  <c r="AL161" i="114"/>
  <c r="AM161" i="114"/>
  <c r="AO161" i="114" s="1"/>
  <c r="AD162" i="114"/>
  <c r="AE162" i="114" s="1"/>
  <c r="AJ162" i="114"/>
  <c r="AK162" i="114"/>
  <c r="AL162" i="114"/>
  <c r="AM162" i="114"/>
  <c r="AO162" i="114" s="1"/>
  <c r="AD163" i="114"/>
  <c r="AE163" i="114" s="1"/>
  <c r="AJ163" i="114"/>
  <c r="AK163" i="114"/>
  <c r="AL163" i="114"/>
  <c r="AM163" i="114"/>
  <c r="AO163" i="114" s="1"/>
  <c r="AD164" i="114"/>
  <c r="AE164" i="114" s="1"/>
  <c r="AJ164" i="114"/>
  <c r="AK164" i="114"/>
  <c r="AL164" i="114"/>
  <c r="AM164" i="114"/>
  <c r="AO164" i="114" s="1"/>
  <c r="AD165" i="114"/>
  <c r="AJ165" i="114"/>
  <c r="AK165" i="114"/>
  <c r="AL165" i="114"/>
  <c r="AM165" i="114"/>
  <c r="AO165" i="114" s="1"/>
  <c r="AD166" i="114"/>
  <c r="AE166" i="114" s="1"/>
  <c r="AJ166" i="114"/>
  <c r="AK166" i="114"/>
  <c r="AL166" i="114"/>
  <c r="AM166" i="114"/>
  <c r="AO166" i="114" s="1"/>
  <c r="AD167" i="114"/>
  <c r="AE167" i="114" s="1"/>
  <c r="AI167" i="114"/>
  <c r="AJ167" i="114"/>
  <c r="AK167" i="114"/>
  <c r="AL167" i="114"/>
  <c r="AM167" i="114"/>
  <c r="AO167" i="114" s="1"/>
  <c r="AD168" i="114"/>
  <c r="AE168" i="114" s="1"/>
  <c r="AJ168" i="114"/>
  <c r="AK168" i="114"/>
  <c r="AL168" i="114"/>
  <c r="AM168" i="114"/>
  <c r="AO168" i="114" s="1"/>
  <c r="AD169" i="114"/>
  <c r="AE169" i="114" s="1"/>
  <c r="AJ169" i="114"/>
  <c r="AK169" i="114"/>
  <c r="AL169" i="114"/>
  <c r="AM169" i="114"/>
  <c r="AO169" i="114" s="1"/>
  <c r="AD170" i="114"/>
  <c r="AE170" i="114" s="1"/>
  <c r="AJ170" i="114"/>
  <c r="AK170" i="114"/>
  <c r="AL170" i="114"/>
  <c r="AM170" i="114"/>
  <c r="AO170" i="114" s="1"/>
  <c r="AD171" i="114"/>
  <c r="AE171" i="114" s="1"/>
  <c r="AJ171" i="114"/>
  <c r="AK171" i="114"/>
  <c r="AL171" i="114"/>
  <c r="AM171" i="114"/>
  <c r="AO171" i="114" s="1"/>
  <c r="AD172" i="114"/>
  <c r="AJ172" i="114"/>
  <c r="AK172" i="114"/>
  <c r="AL172" i="114"/>
  <c r="AM172" i="114"/>
  <c r="AO172" i="114" s="1"/>
  <c r="AD173" i="114"/>
  <c r="AJ173" i="114"/>
  <c r="AK173" i="114"/>
  <c r="AL173" i="114"/>
  <c r="AM173" i="114"/>
  <c r="AO173" i="114" s="1"/>
  <c r="AD174" i="114"/>
  <c r="AE174" i="114" s="1"/>
  <c r="AJ174" i="114"/>
  <c r="AK174" i="114"/>
  <c r="AL174" i="114"/>
  <c r="AM174" i="114"/>
  <c r="AO174" i="114" s="1"/>
  <c r="AD175" i="114"/>
  <c r="AJ175" i="114"/>
  <c r="AK175" i="114"/>
  <c r="AL175" i="114"/>
  <c r="AM175" i="114"/>
  <c r="AO175" i="114" s="1"/>
  <c r="AD176" i="114"/>
  <c r="AG176" i="114" s="1"/>
  <c r="AJ176" i="114"/>
  <c r="AK176" i="114"/>
  <c r="AL176" i="114"/>
  <c r="AM176" i="114"/>
  <c r="AO176" i="114" s="1"/>
  <c r="AD177" i="114"/>
  <c r="AJ177" i="114"/>
  <c r="AK177" i="114"/>
  <c r="AL177" i="114"/>
  <c r="AM177" i="114"/>
  <c r="AO177" i="114" s="1"/>
  <c r="AD178" i="114"/>
  <c r="AE178" i="114" s="1"/>
  <c r="AJ178" i="114"/>
  <c r="AK178" i="114"/>
  <c r="AL178" i="114"/>
  <c r="AM178" i="114"/>
  <c r="AO178" i="114" s="1"/>
  <c r="AD179" i="114"/>
  <c r="AE179" i="114" s="1"/>
  <c r="AJ179" i="114"/>
  <c r="AK179" i="114"/>
  <c r="AL179" i="114"/>
  <c r="AM179" i="114"/>
  <c r="AO179" i="114" s="1"/>
  <c r="AD180" i="114"/>
  <c r="AJ180" i="114"/>
  <c r="AK180" i="114"/>
  <c r="AL180" i="114"/>
  <c r="AM180" i="114"/>
  <c r="AO180" i="114" s="1"/>
  <c r="AD181" i="114"/>
  <c r="AE181" i="114" s="1"/>
  <c r="AJ181" i="114"/>
  <c r="AK181" i="114"/>
  <c r="AL181" i="114"/>
  <c r="AM181" i="114"/>
  <c r="AO181" i="114" s="1"/>
  <c r="AD182" i="114"/>
  <c r="AJ182" i="114"/>
  <c r="AK182" i="114"/>
  <c r="AL182" i="114"/>
  <c r="AM182" i="114"/>
  <c r="AO182" i="114" s="1"/>
  <c r="AD183" i="114"/>
  <c r="AE183" i="114" s="1"/>
  <c r="AJ183" i="114"/>
  <c r="AK183" i="114"/>
  <c r="AL183" i="114"/>
  <c r="AM183" i="114"/>
  <c r="AO183" i="114" s="1"/>
  <c r="AD184" i="114"/>
  <c r="AE184" i="114" s="1"/>
  <c r="AJ184" i="114"/>
  <c r="AK184" i="114"/>
  <c r="AL184" i="114"/>
  <c r="AM184" i="114"/>
  <c r="AO184" i="114" s="1"/>
  <c r="AD185" i="114"/>
  <c r="AE185" i="114" s="1"/>
  <c r="AJ185" i="114"/>
  <c r="AK185" i="114"/>
  <c r="AL185" i="114"/>
  <c r="AM185" i="114"/>
  <c r="AO185" i="114" s="1"/>
  <c r="AD186" i="114"/>
  <c r="AJ186" i="114"/>
  <c r="AK186" i="114"/>
  <c r="AL186" i="114"/>
  <c r="AM186" i="114"/>
  <c r="AO186" i="114" s="1"/>
  <c r="AD187" i="114"/>
  <c r="AJ187" i="114"/>
  <c r="AK187" i="114"/>
  <c r="AL187" i="114"/>
  <c r="AM187" i="114"/>
  <c r="AO187" i="114" s="1"/>
  <c r="AD188" i="114"/>
  <c r="AE188" i="114" s="1"/>
  <c r="AJ188" i="114"/>
  <c r="AK188" i="114"/>
  <c r="AL188" i="114"/>
  <c r="AM188" i="114"/>
  <c r="AO188" i="114" s="1"/>
  <c r="AD189" i="114"/>
  <c r="AJ189" i="114"/>
  <c r="AK189" i="114"/>
  <c r="AL189" i="114"/>
  <c r="AM189" i="114"/>
  <c r="AO189" i="114" s="1"/>
  <c r="AD190" i="114"/>
  <c r="AE190" i="114" s="1"/>
  <c r="AJ190" i="114"/>
  <c r="AK190" i="114"/>
  <c r="AL190" i="114"/>
  <c r="AM190" i="114"/>
  <c r="AO190" i="114" s="1"/>
  <c r="AD191" i="114"/>
  <c r="AJ191" i="114"/>
  <c r="AK191" i="114"/>
  <c r="AL191" i="114"/>
  <c r="AM191" i="114"/>
  <c r="AO191" i="114" s="1"/>
  <c r="AD192" i="114"/>
  <c r="AJ192" i="114"/>
  <c r="AK192" i="114"/>
  <c r="AL192" i="114"/>
  <c r="AM192" i="114"/>
  <c r="AO192" i="114" s="1"/>
  <c r="AD193" i="114"/>
  <c r="AJ193" i="114"/>
  <c r="AK193" i="114"/>
  <c r="AL193" i="114"/>
  <c r="AM193" i="114"/>
  <c r="AO193" i="114" s="1"/>
  <c r="AD194" i="114"/>
  <c r="AJ194" i="114"/>
  <c r="AK194" i="114"/>
  <c r="AL194" i="114"/>
  <c r="AM194" i="114"/>
  <c r="AO194" i="114" s="1"/>
  <c r="AD195" i="114"/>
  <c r="AE195" i="114" s="1"/>
  <c r="AJ195" i="114"/>
  <c r="AK195" i="114"/>
  <c r="AL195" i="114"/>
  <c r="AM195" i="114"/>
  <c r="AO195" i="114" s="1"/>
  <c r="AD196" i="114"/>
  <c r="AJ196" i="114"/>
  <c r="AK196" i="114"/>
  <c r="AL196" i="114"/>
  <c r="AM196" i="114"/>
  <c r="AO196" i="114" s="1"/>
  <c r="AD197" i="114"/>
  <c r="AJ197" i="114"/>
  <c r="AK197" i="114"/>
  <c r="AL197" i="114"/>
  <c r="AM197" i="114"/>
  <c r="AO197" i="114" s="1"/>
  <c r="AD198" i="114"/>
  <c r="AJ198" i="114"/>
  <c r="AK198" i="114"/>
  <c r="AL198" i="114"/>
  <c r="AM198" i="114"/>
  <c r="AO198" i="114" s="1"/>
  <c r="AD199" i="114"/>
  <c r="AJ199" i="114"/>
  <c r="AK199" i="114"/>
  <c r="AL199" i="114"/>
  <c r="AM199" i="114"/>
  <c r="AO199" i="114" s="1"/>
  <c r="AD200" i="114"/>
  <c r="AJ200" i="114"/>
  <c r="AK200" i="114"/>
  <c r="AL200" i="114"/>
  <c r="AM200" i="114"/>
  <c r="AO200" i="114" s="1"/>
  <c r="AD201" i="114"/>
  <c r="AE201" i="114" s="1"/>
  <c r="AJ201" i="114"/>
  <c r="AK201" i="114"/>
  <c r="AL201" i="114"/>
  <c r="AM201" i="114"/>
  <c r="AO201" i="114" s="1"/>
  <c r="AD202" i="114"/>
  <c r="AJ202" i="114"/>
  <c r="AK202" i="114"/>
  <c r="AL202" i="114"/>
  <c r="AM202" i="114"/>
  <c r="AO202" i="114" s="1"/>
  <c r="AD203" i="114"/>
  <c r="AE203" i="114" s="1"/>
  <c r="AJ203" i="114"/>
  <c r="AK203" i="114"/>
  <c r="AL203" i="114"/>
  <c r="AM203" i="114"/>
  <c r="AO203" i="114" s="1"/>
  <c r="AD204" i="114"/>
  <c r="AE204" i="114" s="1"/>
  <c r="AG204" i="114"/>
  <c r="AJ204" i="114"/>
  <c r="AK204" i="114"/>
  <c r="AL204" i="114"/>
  <c r="AM204" i="114"/>
  <c r="AO204" i="114" s="1"/>
  <c r="AD205" i="114"/>
  <c r="AE205" i="114" s="1"/>
  <c r="AJ205" i="114"/>
  <c r="AK205" i="114"/>
  <c r="AL205" i="114"/>
  <c r="AM205" i="114"/>
  <c r="AO205" i="114" s="1"/>
  <c r="AD206" i="114"/>
  <c r="AJ206" i="114"/>
  <c r="AK206" i="114"/>
  <c r="AL206" i="114"/>
  <c r="AM206" i="114"/>
  <c r="AO206" i="114" s="1"/>
  <c r="AD207" i="114"/>
  <c r="AE207" i="114" s="1"/>
  <c r="AI207" i="114"/>
  <c r="AJ207" i="114"/>
  <c r="AK207" i="114"/>
  <c r="AL207" i="114"/>
  <c r="AM207" i="114"/>
  <c r="AO207" i="114" s="1"/>
  <c r="AD208" i="114"/>
  <c r="AE208" i="114" s="1"/>
  <c r="AJ208" i="114"/>
  <c r="AK208" i="114"/>
  <c r="AL208" i="114"/>
  <c r="AM208" i="114"/>
  <c r="AO208" i="114" s="1"/>
  <c r="AD209" i="114"/>
  <c r="AE209" i="114" s="1"/>
  <c r="AF209" i="114"/>
  <c r="AJ209" i="114"/>
  <c r="AK209" i="114"/>
  <c r="AL209" i="114"/>
  <c r="AM209" i="114"/>
  <c r="AO209" i="114" s="1"/>
  <c r="AD210" i="114"/>
  <c r="AJ210" i="114"/>
  <c r="AK210" i="114"/>
  <c r="AL210" i="114"/>
  <c r="AM210" i="114"/>
  <c r="AO210" i="114" s="1"/>
  <c r="AD211" i="114"/>
  <c r="AE211" i="114" s="1"/>
  <c r="AJ211" i="114"/>
  <c r="AK211" i="114"/>
  <c r="AL211" i="114"/>
  <c r="AM211" i="114"/>
  <c r="AO211" i="114" s="1"/>
  <c r="AD212" i="114"/>
  <c r="AE212" i="114" s="1"/>
  <c r="AJ212" i="114"/>
  <c r="AK212" i="114"/>
  <c r="AL212" i="114"/>
  <c r="AM212" i="114"/>
  <c r="AO212" i="114" s="1"/>
  <c r="AD213" i="114"/>
  <c r="AE213" i="114" s="1"/>
  <c r="AJ213" i="114"/>
  <c r="AK213" i="114"/>
  <c r="AL213" i="114"/>
  <c r="AM213" i="114"/>
  <c r="AO213" i="114" s="1"/>
  <c r="AD214" i="114"/>
  <c r="AJ214" i="114"/>
  <c r="AK214" i="114"/>
  <c r="AL214" i="114"/>
  <c r="AM214" i="114"/>
  <c r="AO214" i="114" s="1"/>
  <c r="AD215" i="114"/>
  <c r="AE215" i="114" s="1"/>
  <c r="AJ215" i="114"/>
  <c r="AK215" i="114"/>
  <c r="AL215" i="114"/>
  <c r="AM215" i="114"/>
  <c r="AO215" i="114" s="1"/>
  <c r="AD216" i="114"/>
  <c r="AJ216" i="114"/>
  <c r="AK216" i="114"/>
  <c r="AL216" i="114"/>
  <c r="AM216" i="114"/>
  <c r="AO216" i="114" s="1"/>
  <c r="AD217" i="114"/>
  <c r="AE217" i="114" s="1"/>
  <c r="AJ217" i="114"/>
  <c r="AK217" i="114"/>
  <c r="AL217" i="114"/>
  <c r="AM217" i="114"/>
  <c r="AO217" i="114" s="1"/>
  <c r="AD218" i="114"/>
  <c r="AE218" i="114" s="1"/>
  <c r="AJ218" i="114"/>
  <c r="AK218" i="114"/>
  <c r="AL218" i="114"/>
  <c r="AM218" i="114"/>
  <c r="AO218" i="114" s="1"/>
  <c r="AD219" i="114"/>
  <c r="AE219" i="114" s="1"/>
  <c r="AJ219" i="114"/>
  <c r="AK219" i="114"/>
  <c r="AL219" i="114"/>
  <c r="AM219" i="114"/>
  <c r="AO219" i="114" s="1"/>
  <c r="AD220" i="114"/>
  <c r="AJ220" i="114"/>
  <c r="AK220" i="114"/>
  <c r="AL220" i="114"/>
  <c r="AM220" i="114"/>
  <c r="AO220" i="114" s="1"/>
  <c r="AD221" i="114"/>
  <c r="AE221" i="114" s="1"/>
  <c r="AJ221" i="114"/>
  <c r="AK221" i="114"/>
  <c r="AL221" i="114"/>
  <c r="AM221" i="114"/>
  <c r="AO221" i="114" s="1"/>
  <c r="AD222" i="114"/>
  <c r="AJ222" i="114"/>
  <c r="AK222" i="114"/>
  <c r="AL222" i="114"/>
  <c r="AM222" i="114"/>
  <c r="AO222" i="114" s="1"/>
  <c r="AD223" i="114"/>
  <c r="AE223" i="114" s="1"/>
  <c r="AJ223" i="114"/>
  <c r="AK223" i="114"/>
  <c r="AL223" i="114"/>
  <c r="AM223" i="114"/>
  <c r="AO223" i="114" s="1"/>
  <c r="AD224" i="114"/>
  <c r="AJ224" i="114"/>
  <c r="AK224" i="114"/>
  <c r="AL224" i="114"/>
  <c r="AM224" i="114"/>
  <c r="AO224" i="114" s="1"/>
  <c r="AD225" i="114"/>
  <c r="AJ225" i="114"/>
  <c r="AK225" i="114"/>
  <c r="AL225" i="114"/>
  <c r="AM225" i="114"/>
  <c r="AO225" i="114" s="1"/>
  <c r="AD226" i="114"/>
  <c r="AE226" i="114" s="1"/>
  <c r="AJ226" i="114"/>
  <c r="AK226" i="114"/>
  <c r="AL226" i="114"/>
  <c r="AM226" i="114"/>
  <c r="AO226" i="114" s="1"/>
  <c r="AD227" i="114"/>
  <c r="AE227" i="114" s="1"/>
  <c r="AJ227" i="114"/>
  <c r="AK227" i="114"/>
  <c r="AL227" i="114"/>
  <c r="AM227" i="114"/>
  <c r="AO227" i="114" s="1"/>
  <c r="AD228" i="114"/>
  <c r="AJ228" i="114"/>
  <c r="AK228" i="114"/>
  <c r="AL228" i="114"/>
  <c r="AM228" i="114"/>
  <c r="AO228" i="114" s="1"/>
  <c r="AD229" i="114"/>
  <c r="AE229" i="114" s="1"/>
  <c r="AJ229" i="114"/>
  <c r="AK229" i="114"/>
  <c r="AL229" i="114"/>
  <c r="AM229" i="114"/>
  <c r="AO229" i="114" s="1"/>
  <c r="AD230" i="114"/>
  <c r="AE230" i="114" s="1"/>
  <c r="AJ230" i="114"/>
  <c r="AK230" i="114"/>
  <c r="AL230" i="114"/>
  <c r="AM230" i="114"/>
  <c r="AO230" i="114" s="1"/>
  <c r="AD231" i="114"/>
  <c r="AE231" i="114" s="1"/>
  <c r="AJ231" i="114"/>
  <c r="AK231" i="114"/>
  <c r="AL231" i="114"/>
  <c r="AM231" i="114"/>
  <c r="AO231" i="114" s="1"/>
  <c r="AD232" i="114"/>
  <c r="AJ232" i="114"/>
  <c r="AK232" i="114"/>
  <c r="AL232" i="114"/>
  <c r="AM232" i="114"/>
  <c r="AO232" i="114" s="1"/>
  <c r="AD233" i="114"/>
  <c r="AJ233" i="114"/>
  <c r="AK233" i="114"/>
  <c r="AL233" i="114"/>
  <c r="AM233" i="114"/>
  <c r="AO233" i="114" s="1"/>
  <c r="AD234" i="114"/>
  <c r="AE234" i="114" s="1"/>
  <c r="AJ234" i="114"/>
  <c r="AK234" i="114"/>
  <c r="AL234" i="114"/>
  <c r="AM234" i="114"/>
  <c r="AO234" i="114" s="1"/>
  <c r="AD235" i="114"/>
  <c r="AJ235" i="114"/>
  <c r="AK235" i="114"/>
  <c r="AL235" i="114"/>
  <c r="AM235" i="114"/>
  <c r="AO235" i="114" s="1"/>
  <c r="AD236" i="114"/>
  <c r="AE236" i="114" s="1"/>
  <c r="AJ236" i="114"/>
  <c r="AK236" i="114"/>
  <c r="AL236" i="114"/>
  <c r="AM236" i="114"/>
  <c r="AO236" i="114"/>
  <c r="AD237" i="114"/>
  <c r="AE237" i="114" s="1"/>
  <c r="AJ237" i="114"/>
  <c r="AK237" i="114"/>
  <c r="AL237" i="114"/>
  <c r="AM237" i="114"/>
  <c r="AO237" i="114" s="1"/>
  <c r="AD238" i="114"/>
  <c r="AJ238" i="114"/>
  <c r="AK238" i="114"/>
  <c r="AL238" i="114"/>
  <c r="AM238" i="114"/>
  <c r="AO238" i="114" s="1"/>
  <c r="AD239" i="114"/>
  <c r="AE239" i="114" s="1"/>
  <c r="AJ239" i="114"/>
  <c r="AK239" i="114"/>
  <c r="AL239" i="114"/>
  <c r="AM239" i="114"/>
  <c r="AO239" i="114" s="1"/>
  <c r="AD240" i="114"/>
  <c r="AJ240" i="114"/>
  <c r="AK240" i="114"/>
  <c r="AL240" i="114"/>
  <c r="AM240" i="114"/>
  <c r="AO240" i="114" s="1"/>
  <c r="AD241" i="114"/>
  <c r="AE241" i="114" s="1"/>
  <c r="AJ241" i="114"/>
  <c r="AK241" i="114"/>
  <c r="AL241" i="114"/>
  <c r="AM241" i="114"/>
  <c r="AO241" i="114" s="1"/>
  <c r="AD242" i="114"/>
  <c r="AE242" i="114" s="1"/>
  <c r="AJ242" i="114"/>
  <c r="AK242" i="114"/>
  <c r="AL242" i="114"/>
  <c r="AM242" i="114"/>
  <c r="AO242" i="114" s="1"/>
  <c r="AD243" i="114"/>
  <c r="AE243" i="114" s="1"/>
  <c r="AF243" i="114"/>
  <c r="AJ243" i="114"/>
  <c r="AK243" i="114"/>
  <c r="AL243" i="114"/>
  <c r="AM243" i="114"/>
  <c r="AO243" i="114" s="1"/>
  <c r="AD244" i="114"/>
  <c r="AE244" i="114" s="1"/>
  <c r="AJ244" i="114"/>
  <c r="AK244" i="114"/>
  <c r="AL244" i="114"/>
  <c r="AM244" i="114"/>
  <c r="AO244" i="114" s="1"/>
  <c r="AD245" i="114"/>
  <c r="AJ245" i="114"/>
  <c r="AK245" i="114"/>
  <c r="AL245" i="114"/>
  <c r="AM245" i="114"/>
  <c r="AO245" i="114" s="1"/>
  <c r="AD246" i="114"/>
  <c r="AE246" i="114" s="1"/>
  <c r="AJ246" i="114"/>
  <c r="AK246" i="114"/>
  <c r="AL246" i="114"/>
  <c r="AM246" i="114"/>
  <c r="AO246" i="114" s="1"/>
  <c r="AD247" i="114"/>
  <c r="AE247" i="114" s="1"/>
  <c r="AJ247" i="114"/>
  <c r="AK247" i="114"/>
  <c r="AL247" i="114"/>
  <c r="AM247" i="114"/>
  <c r="AO247" i="114" s="1"/>
  <c r="AD248" i="114"/>
  <c r="AJ248" i="114"/>
  <c r="AK248" i="114"/>
  <c r="AL248" i="114"/>
  <c r="AM248" i="114"/>
  <c r="AO248" i="114" s="1"/>
  <c r="AD249" i="114"/>
  <c r="AE249" i="114" s="1"/>
  <c r="AJ249" i="114"/>
  <c r="AK249" i="114"/>
  <c r="AL249" i="114"/>
  <c r="AM249" i="114"/>
  <c r="AO249" i="114" s="1"/>
  <c r="AD250" i="114"/>
  <c r="AE250" i="114" s="1"/>
  <c r="AI250" i="114"/>
  <c r="AJ250" i="114"/>
  <c r="AK250" i="114"/>
  <c r="AL250" i="114"/>
  <c r="AM250" i="114"/>
  <c r="AO250" i="114" s="1"/>
  <c r="AD251" i="114"/>
  <c r="AE251" i="114" s="1"/>
  <c r="AJ251" i="114"/>
  <c r="AK251" i="114"/>
  <c r="AL251" i="114"/>
  <c r="AM251" i="114"/>
  <c r="AO251" i="114" s="1"/>
  <c r="AD252" i="114"/>
  <c r="AE252" i="114" s="1"/>
  <c r="AJ252" i="114"/>
  <c r="AK252" i="114"/>
  <c r="AL252" i="114"/>
  <c r="AM252" i="114"/>
  <c r="AO252" i="114" s="1"/>
  <c r="AD253" i="114"/>
  <c r="AI253" i="114"/>
  <c r="AJ253" i="114"/>
  <c r="AK253" i="114"/>
  <c r="AL253" i="114"/>
  <c r="AM253" i="114"/>
  <c r="AO253" i="114" s="1"/>
  <c r="AD254" i="114"/>
  <c r="AE254" i="114" s="1"/>
  <c r="AJ254" i="114"/>
  <c r="AK254" i="114"/>
  <c r="AL254" i="114"/>
  <c r="AM254" i="114"/>
  <c r="AO254" i="114" s="1"/>
  <c r="AD255" i="114"/>
  <c r="AE255" i="114" s="1"/>
  <c r="AJ255" i="114"/>
  <c r="AK255" i="114"/>
  <c r="AL255" i="114"/>
  <c r="AM255" i="114"/>
  <c r="AO255" i="114" s="1"/>
  <c r="AD256" i="114"/>
  <c r="AJ256" i="114"/>
  <c r="AK256" i="114"/>
  <c r="AL256" i="114"/>
  <c r="AM256" i="114"/>
  <c r="AO256" i="114"/>
  <c r="AD257" i="114"/>
  <c r="AE257" i="114" s="1"/>
  <c r="AJ257" i="114"/>
  <c r="AK257" i="114"/>
  <c r="AL257" i="114"/>
  <c r="AM257" i="114"/>
  <c r="AO257" i="114" s="1"/>
  <c r="AD258" i="114"/>
  <c r="AE258" i="114" s="1"/>
  <c r="AF258" i="114"/>
  <c r="AJ258" i="114"/>
  <c r="AK258" i="114"/>
  <c r="AL258" i="114"/>
  <c r="AM258" i="114"/>
  <c r="AO258" i="114" s="1"/>
  <c r="AD259" i="114"/>
  <c r="AE259" i="114" s="1"/>
  <c r="AJ259" i="114"/>
  <c r="AK259" i="114"/>
  <c r="AL259" i="114"/>
  <c r="AM259" i="114"/>
  <c r="AO259" i="114" s="1"/>
  <c r="AD260" i="114"/>
  <c r="AE260" i="114" s="1"/>
  <c r="AJ260" i="114"/>
  <c r="AK260" i="114"/>
  <c r="AL260" i="114"/>
  <c r="AM260" i="114"/>
  <c r="AO260" i="114" s="1"/>
  <c r="AD261" i="114"/>
  <c r="AI261" i="114"/>
  <c r="AJ261" i="114"/>
  <c r="AK261" i="114"/>
  <c r="AL261" i="114"/>
  <c r="AM261" i="114"/>
  <c r="AO261" i="114" s="1"/>
  <c r="AD262" i="114"/>
  <c r="AE262" i="114" s="1"/>
  <c r="AJ262" i="114"/>
  <c r="AK262" i="114"/>
  <c r="AL262" i="114"/>
  <c r="AM262" i="114"/>
  <c r="AO262" i="114" s="1"/>
  <c r="AD263" i="114"/>
  <c r="AE263" i="114" s="1"/>
  <c r="AJ263" i="114"/>
  <c r="AK263" i="114"/>
  <c r="AL263" i="114"/>
  <c r="AM263" i="114"/>
  <c r="AO263" i="114" s="1"/>
  <c r="AD264" i="114"/>
  <c r="AJ264" i="114"/>
  <c r="AK264" i="114"/>
  <c r="AL264" i="114"/>
  <c r="AM264" i="114"/>
  <c r="AO264" i="114" s="1"/>
  <c r="AD265" i="114"/>
  <c r="AJ265" i="114"/>
  <c r="AK265" i="114"/>
  <c r="AL265" i="114"/>
  <c r="AM265" i="114"/>
  <c r="AO265" i="114" s="1"/>
  <c r="AD266" i="114"/>
  <c r="AJ266" i="114"/>
  <c r="AK266" i="114"/>
  <c r="AL266" i="114"/>
  <c r="AM266" i="114"/>
  <c r="AO266" i="114" s="1"/>
  <c r="AD267" i="114"/>
  <c r="AE267" i="114" s="1"/>
  <c r="AJ267" i="114"/>
  <c r="AK267" i="114"/>
  <c r="AL267" i="114"/>
  <c r="AM267" i="114"/>
  <c r="AO267" i="114" s="1"/>
  <c r="AD268" i="114"/>
  <c r="AJ268" i="114"/>
  <c r="AK268" i="114"/>
  <c r="AL268" i="114"/>
  <c r="AM268" i="114"/>
  <c r="AO268" i="114" s="1"/>
  <c r="AD269" i="114"/>
  <c r="AE269" i="114" s="1"/>
  <c r="AJ269" i="114"/>
  <c r="AK269" i="114"/>
  <c r="AL269" i="114"/>
  <c r="AM269" i="114"/>
  <c r="AO269" i="114" s="1"/>
  <c r="AD270" i="114"/>
  <c r="AE270" i="114" s="1"/>
  <c r="AJ270" i="114"/>
  <c r="AK270" i="114"/>
  <c r="AL270" i="114"/>
  <c r="AM270" i="114"/>
  <c r="AO270" i="114" s="1"/>
  <c r="AD271" i="114"/>
  <c r="AE271" i="114" s="1"/>
  <c r="AJ271" i="114"/>
  <c r="AK271" i="114"/>
  <c r="AL271" i="114"/>
  <c r="AM271" i="114"/>
  <c r="AO271" i="114" s="1"/>
  <c r="AD272" i="114"/>
  <c r="AJ272" i="114"/>
  <c r="AK272" i="114"/>
  <c r="AL272" i="114"/>
  <c r="AM272" i="114"/>
  <c r="AO272" i="114" s="1"/>
  <c r="AD273" i="114"/>
  <c r="AE273" i="114" s="1"/>
  <c r="AJ273" i="114"/>
  <c r="AK273" i="114"/>
  <c r="AL273" i="114"/>
  <c r="AM273" i="114"/>
  <c r="AO273" i="114" s="1"/>
  <c r="AD274" i="114"/>
  <c r="AJ274" i="114"/>
  <c r="AK274" i="114"/>
  <c r="AL274" i="114"/>
  <c r="AM274" i="114"/>
  <c r="AO274" i="114" s="1"/>
  <c r="AD275" i="114"/>
  <c r="AE275" i="114" s="1"/>
  <c r="AJ275" i="114"/>
  <c r="AK275" i="114"/>
  <c r="AL275" i="114"/>
  <c r="AM275" i="114"/>
  <c r="AO275" i="114" s="1"/>
  <c r="AD276" i="114"/>
  <c r="AJ276" i="114"/>
  <c r="AK276" i="114"/>
  <c r="AL276" i="114"/>
  <c r="AM276" i="114"/>
  <c r="AO276" i="114" s="1"/>
  <c r="AD277" i="114"/>
  <c r="AE277" i="114" s="1"/>
  <c r="AJ277" i="114"/>
  <c r="AK277" i="114"/>
  <c r="AL277" i="114"/>
  <c r="AM277" i="114"/>
  <c r="AO277" i="114" s="1"/>
  <c r="AD278" i="114"/>
  <c r="AE278" i="114" s="1"/>
  <c r="AJ278" i="114"/>
  <c r="AK278" i="114"/>
  <c r="AL278" i="114"/>
  <c r="AM278" i="114"/>
  <c r="AO278" i="114" s="1"/>
  <c r="AD279" i="114"/>
  <c r="AE279" i="114" s="1"/>
  <c r="AJ279" i="114"/>
  <c r="AK279" i="114"/>
  <c r="AL279" i="114"/>
  <c r="AM279" i="114"/>
  <c r="AO279" i="114" s="1"/>
  <c r="AD280" i="114"/>
  <c r="AJ280" i="114"/>
  <c r="AK280" i="114"/>
  <c r="AL280" i="114"/>
  <c r="AM280" i="114"/>
  <c r="AO280" i="114" s="1"/>
  <c r="AD281" i="114"/>
  <c r="AE281" i="114" s="1"/>
  <c r="AJ281" i="114"/>
  <c r="AK281" i="114"/>
  <c r="AL281" i="114"/>
  <c r="AM281" i="114"/>
  <c r="AO281" i="114" s="1"/>
  <c r="AD282" i="114"/>
  <c r="AJ282" i="114"/>
  <c r="AK282" i="114"/>
  <c r="AL282" i="114"/>
  <c r="AM282" i="114"/>
  <c r="AO282" i="114" s="1"/>
  <c r="AD283" i="114"/>
  <c r="AE283" i="114" s="1"/>
  <c r="AJ283" i="114"/>
  <c r="AK283" i="114"/>
  <c r="AL283" i="114"/>
  <c r="AM283" i="114"/>
  <c r="AO283" i="114" s="1"/>
  <c r="AD284" i="114"/>
  <c r="AJ284" i="114"/>
  <c r="AK284" i="114"/>
  <c r="AL284" i="114"/>
  <c r="AM284" i="114"/>
  <c r="AO284" i="114" s="1"/>
  <c r="AD285" i="114"/>
  <c r="AE285" i="114" s="1"/>
  <c r="AJ285" i="114"/>
  <c r="AK285" i="114"/>
  <c r="AL285" i="114"/>
  <c r="AM285" i="114"/>
  <c r="AO285" i="114" s="1"/>
  <c r="AD286" i="114"/>
  <c r="AE286" i="114" s="1"/>
  <c r="AJ286" i="114"/>
  <c r="AK286" i="114"/>
  <c r="AL286" i="114"/>
  <c r="AM286" i="114"/>
  <c r="AO286" i="114" s="1"/>
  <c r="AD287" i="114"/>
  <c r="AE287" i="114" s="1"/>
  <c r="AJ287" i="114"/>
  <c r="AK287" i="114"/>
  <c r="AL287" i="114"/>
  <c r="AM287" i="114"/>
  <c r="AO287" i="114" s="1"/>
  <c r="AD288" i="114"/>
  <c r="AJ288" i="114"/>
  <c r="AK288" i="114"/>
  <c r="AL288" i="114"/>
  <c r="AM288" i="114"/>
  <c r="AO288" i="114" s="1"/>
  <c r="AD289" i="114"/>
  <c r="AE289" i="114" s="1"/>
  <c r="AJ289" i="114"/>
  <c r="AK289" i="114"/>
  <c r="AL289" i="114"/>
  <c r="AM289" i="114"/>
  <c r="AO289" i="114" s="1"/>
  <c r="AD290" i="114"/>
  <c r="AE290" i="114" s="1"/>
  <c r="AJ290" i="114"/>
  <c r="AK290" i="114"/>
  <c r="AL290" i="114"/>
  <c r="AM290" i="114"/>
  <c r="AO290" i="114" s="1"/>
  <c r="AD291" i="114"/>
  <c r="AE291" i="114" s="1"/>
  <c r="AJ291" i="114"/>
  <c r="AK291" i="114"/>
  <c r="AL291" i="114"/>
  <c r="AM291" i="114"/>
  <c r="AO291" i="114" s="1"/>
  <c r="AD292" i="114"/>
  <c r="AJ292" i="114"/>
  <c r="AK292" i="114"/>
  <c r="AL292" i="114"/>
  <c r="AM292" i="114"/>
  <c r="AO292" i="114" s="1"/>
  <c r="AD293" i="114"/>
  <c r="AE293" i="114" s="1"/>
  <c r="AJ293" i="114"/>
  <c r="AK293" i="114"/>
  <c r="AL293" i="114"/>
  <c r="AM293" i="114"/>
  <c r="AO293" i="114" s="1"/>
  <c r="AD294" i="114"/>
  <c r="AE294" i="114" s="1"/>
  <c r="AJ294" i="114"/>
  <c r="AK294" i="114"/>
  <c r="AL294" i="114"/>
  <c r="AM294" i="114"/>
  <c r="AO294" i="114" s="1"/>
  <c r="AD295" i="114"/>
  <c r="AE295" i="114" s="1"/>
  <c r="AJ295" i="114"/>
  <c r="AK295" i="114"/>
  <c r="AL295" i="114"/>
  <c r="AM295" i="114"/>
  <c r="AO295" i="114" s="1"/>
  <c r="AD296" i="114"/>
  <c r="AJ296" i="114"/>
  <c r="AK296" i="114"/>
  <c r="AL296" i="114"/>
  <c r="AM296" i="114"/>
  <c r="AO296" i="114" s="1"/>
  <c r="AD297" i="114"/>
  <c r="AE297" i="114" s="1"/>
  <c r="AJ297" i="114"/>
  <c r="AK297" i="114"/>
  <c r="AL297" i="114"/>
  <c r="AM297" i="114"/>
  <c r="AO297" i="114" s="1"/>
  <c r="AD298" i="114"/>
  <c r="AJ298" i="114"/>
  <c r="AK298" i="114"/>
  <c r="AL298" i="114"/>
  <c r="AM298" i="114"/>
  <c r="AO298" i="114" s="1"/>
  <c r="AD299" i="114"/>
  <c r="AE299" i="114" s="1"/>
  <c r="AJ299" i="114"/>
  <c r="AK299" i="114"/>
  <c r="AL299" i="114"/>
  <c r="AM299" i="114"/>
  <c r="AO299" i="114" s="1"/>
  <c r="AD300" i="114"/>
  <c r="AJ300" i="114"/>
  <c r="AK300" i="114"/>
  <c r="AL300" i="114"/>
  <c r="AM300" i="114"/>
  <c r="AO300" i="114" s="1"/>
  <c r="AD301" i="114"/>
  <c r="AE301" i="114" s="1"/>
  <c r="AJ301" i="114"/>
  <c r="AK301" i="114"/>
  <c r="AL301" i="114"/>
  <c r="AM301" i="114"/>
  <c r="AO301" i="114" s="1"/>
  <c r="AD302" i="114"/>
  <c r="AE302" i="114" s="1"/>
  <c r="AJ302" i="114"/>
  <c r="AK302" i="114"/>
  <c r="AL302" i="114"/>
  <c r="AM302" i="114"/>
  <c r="AO302" i="114" s="1"/>
  <c r="AD303" i="114"/>
  <c r="AE303" i="114" s="1"/>
  <c r="AJ303" i="114"/>
  <c r="AK303" i="114"/>
  <c r="AL303" i="114"/>
  <c r="AM303" i="114"/>
  <c r="AO303" i="114" s="1"/>
  <c r="AD304" i="114"/>
  <c r="AJ304" i="114"/>
  <c r="AK304" i="114"/>
  <c r="AL304" i="114"/>
  <c r="AM304" i="114"/>
  <c r="AO304" i="114" s="1"/>
  <c r="AD305" i="114"/>
  <c r="AE305" i="114" s="1"/>
  <c r="AJ305" i="114"/>
  <c r="AK305" i="114"/>
  <c r="AL305" i="114"/>
  <c r="AM305" i="114"/>
  <c r="AO305" i="114" s="1"/>
  <c r="AD306" i="114"/>
  <c r="AJ306" i="114"/>
  <c r="AK306" i="114"/>
  <c r="AL306" i="114"/>
  <c r="AM306" i="114"/>
  <c r="AO306" i="114" s="1"/>
  <c r="AD307" i="114"/>
  <c r="AE307" i="114" s="1"/>
  <c r="AJ307" i="114"/>
  <c r="AK307" i="114"/>
  <c r="AL307" i="114"/>
  <c r="AM307" i="114"/>
  <c r="AO307" i="114" s="1"/>
  <c r="AD308" i="114"/>
  <c r="AJ308" i="114"/>
  <c r="AK308" i="114"/>
  <c r="AL308" i="114"/>
  <c r="AM308" i="114"/>
  <c r="AO308" i="114" s="1"/>
  <c r="AD309" i="114"/>
  <c r="AE309" i="114" s="1"/>
  <c r="AJ309" i="114"/>
  <c r="AK309" i="114"/>
  <c r="AL309" i="114"/>
  <c r="AM309" i="114"/>
  <c r="AO309" i="114" s="1"/>
  <c r="AD310" i="114"/>
  <c r="AE310" i="114" s="1"/>
  <c r="AJ310" i="114"/>
  <c r="AK310" i="114"/>
  <c r="AL310" i="114"/>
  <c r="AM310" i="114"/>
  <c r="AO310" i="114" s="1"/>
  <c r="AD311" i="114"/>
  <c r="AJ311" i="114"/>
  <c r="AK311" i="114"/>
  <c r="AL311" i="114"/>
  <c r="AM311" i="114"/>
  <c r="AO311" i="114" s="1"/>
  <c r="AD312" i="114"/>
  <c r="AJ312" i="114"/>
  <c r="AK312" i="114"/>
  <c r="AL312" i="114"/>
  <c r="AM312" i="114"/>
  <c r="AO312" i="114" s="1"/>
  <c r="AD313" i="114"/>
  <c r="AE313" i="114" s="1"/>
  <c r="AJ313" i="114"/>
  <c r="AK313" i="114"/>
  <c r="AL313" i="114"/>
  <c r="AM313" i="114"/>
  <c r="AO313" i="114" s="1"/>
  <c r="AD314" i="114"/>
  <c r="AE314" i="114" s="1"/>
  <c r="AJ314" i="114"/>
  <c r="AK314" i="114"/>
  <c r="AL314" i="114"/>
  <c r="AM314" i="114"/>
  <c r="AO314" i="114" s="1"/>
  <c r="AD315" i="114"/>
  <c r="AJ315" i="114"/>
  <c r="AK315" i="114"/>
  <c r="AL315" i="114"/>
  <c r="AM315" i="114"/>
  <c r="AO315" i="114" s="1"/>
  <c r="AD316" i="114"/>
  <c r="AJ316" i="114"/>
  <c r="AK316" i="114"/>
  <c r="AL316" i="114"/>
  <c r="AM316" i="114"/>
  <c r="AO316" i="114" s="1"/>
  <c r="AD317" i="114"/>
  <c r="AE317" i="114" s="1"/>
  <c r="AJ317" i="114"/>
  <c r="AK317" i="114"/>
  <c r="AL317" i="114"/>
  <c r="AM317" i="114"/>
  <c r="AO317" i="114" s="1"/>
  <c r="AD318" i="114"/>
  <c r="AE318" i="114" s="1"/>
  <c r="AJ318" i="114"/>
  <c r="AK318" i="114"/>
  <c r="AL318" i="114"/>
  <c r="AM318" i="114"/>
  <c r="AO318" i="114" s="1"/>
  <c r="AD319" i="114"/>
  <c r="AJ319" i="114"/>
  <c r="AK319" i="114"/>
  <c r="AL319" i="114"/>
  <c r="AM319" i="114"/>
  <c r="AO319" i="114" s="1"/>
  <c r="AD320" i="114"/>
  <c r="AJ320" i="114"/>
  <c r="AK320" i="114"/>
  <c r="AL320" i="114"/>
  <c r="AM320" i="114"/>
  <c r="AO320" i="114" s="1"/>
  <c r="AD321" i="114"/>
  <c r="AE321" i="114" s="1"/>
  <c r="AJ321" i="114"/>
  <c r="AK321" i="114"/>
  <c r="AL321" i="114"/>
  <c r="AM321" i="114"/>
  <c r="AO321" i="114" s="1"/>
  <c r="AD322" i="114"/>
  <c r="AE322" i="114" s="1"/>
  <c r="AJ322" i="114"/>
  <c r="AK322" i="114"/>
  <c r="AL322" i="114"/>
  <c r="AM322" i="114"/>
  <c r="AO322" i="114" s="1"/>
  <c r="AD323" i="114"/>
  <c r="AJ323" i="114"/>
  <c r="AK323" i="114"/>
  <c r="AL323" i="114"/>
  <c r="AM323" i="114"/>
  <c r="AO323" i="114" s="1"/>
  <c r="AD324" i="114"/>
  <c r="AJ324" i="114"/>
  <c r="AK324" i="114"/>
  <c r="AL324" i="114"/>
  <c r="AM324" i="114"/>
  <c r="AO324" i="114" s="1"/>
  <c r="AD325" i="114"/>
  <c r="AE325" i="114" s="1"/>
  <c r="AJ325" i="114"/>
  <c r="AK325" i="114"/>
  <c r="AL325" i="114"/>
  <c r="AM325" i="114"/>
  <c r="AO325" i="114" s="1"/>
  <c r="AD326" i="114"/>
  <c r="AE326" i="114" s="1"/>
  <c r="AJ326" i="114"/>
  <c r="AK326" i="114"/>
  <c r="AL326" i="114"/>
  <c r="AM326" i="114"/>
  <c r="AO326" i="114" s="1"/>
  <c r="AD327" i="114"/>
  <c r="AJ327" i="114"/>
  <c r="AK327" i="114"/>
  <c r="AL327" i="114"/>
  <c r="AM327" i="114"/>
  <c r="AO327" i="114" s="1"/>
  <c r="AD328" i="114"/>
  <c r="AJ328" i="114"/>
  <c r="AK328" i="114"/>
  <c r="AL328" i="114"/>
  <c r="AM328" i="114"/>
  <c r="AO328" i="114" s="1"/>
  <c r="AD329" i="114"/>
  <c r="AE329" i="114" s="1"/>
  <c r="AJ329" i="114"/>
  <c r="AK329" i="114"/>
  <c r="AL329" i="114"/>
  <c r="AM329" i="114"/>
  <c r="AO329" i="114" s="1"/>
  <c r="AD330" i="114"/>
  <c r="AE330" i="114" s="1"/>
  <c r="AJ330" i="114"/>
  <c r="AK330" i="114"/>
  <c r="AL330" i="114"/>
  <c r="AM330" i="114"/>
  <c r="AO330" i="114" s="1"/>
  <c r="AD331" i="114"/>
  <c r="AJ331" i="114"/>
  <c r="AK331" i="114"/>
  <c r="AL331" i="114"/>
  <c r="AM331" i="114"/>
  <c r="AO331" i="114" s="1"/>
  <c r="AD332" i="114"/>
  <c r="AJ332" i="114"/>
  <c r="AK332" i="114"/>
  <c r="AL332" i="114"/>
  <c r="AM332" i="114"/>
  <c r="AO332" i="114" s="1"/>
  <c r="AD333" i="114"/>
  <c r="AE333" i="114" s="1"/>
  <c r="AJ333" i="114"/>
  <c r="AK333" i="114"/>
  <c r="AL333" i="114"/>
  <c r="AM333" i="114"/>
  <c r="AO333" i="114" s="1"/>
  <c r="AD334" i="114"/>
  <c r="AE334" i="114" s="1"/>
  <c r="AJ334" i="114"/>
  <c r="AK334" i="114"/>
  <c r="AL334" i="114"/>
  <c r="AM334" i="114"/>
  <c r="AO334" i="114" s="1"/>
  <c r="AD335" i="114"/>
  <c r="AJ335" i="114"/>
  <c r="AK335" i="114"/>
  <c r="AL335" i="114"/>
  <c r="AM335" i="114"/>
  <c r="AO335" i="114" s="1"/>
  <c r="AD336" i="114"/>
  <c r="AJ336" i="114"/>
  <c r="AK336" i="114"/>
  <c r="AL336" i="114"/>
  <c r="AM336" i="114"/>
  <c r="AO336" i="114" s="1"/>
  <c r="AD337" i="114"/>
  <c r="AE337" i="114" s="1"/>
  <c r="AJ337" i="114"/>
  <c r="AK337" i="114"/>
  <c r="AL337" i="114"/>
  <c r="AM337" i="114"/>
  <c r="AO337" i="114" s="1"/>
  <c r="AD338" i="114"/>
  <c r="AE338" i="114" s="1"/>
  <c r="AJ338" i="114"/>
  <c r="AK338" i="114"/>
  <c r="AL338" i="114"/>
  <c r="AM338" i="114"/>
  <c r="AO338" i="114" s="1"/>
  <c r="AD339" i="114"/>
  <c r="AJ339" i="114"/>
  <c r="AK339" i="114"/>
  <c r="AL339" i="114"/>
  <c r="AM339" i="114"/>
  <c r="AO339" i="114" s="1"/>
  <c r="AD340" i="114"/>
  <c r="AJ340" i="114"/>
  <c r="AK340" i="114"/>
  <c r="AL340" i="114"/>
  <c r="AM340" i="114"/>
  <c r="AO340" i="114" s="1"/>
  <c r="AD341" i="114"/>
  <c r="AE341" i="114" s="1"/>
  <c r="AJ341" i="114"/>
  <c r="AK341" i="114"/>
  <c r="AL341" i="114"/>
  <c r="AM341" i="114"/>
  <c r="AO341" i="114" s="1"/>
  <c r="AD342" i="114"/>
  <c r="AE342" i="114" s="1"/>
  <c r="AJ342" i="114"/>
  <c r="AK342" i="114"/>
  <c r="AL342" i="114"/>
  <c r="AM342" i="114"/>
  <c r="AO342" i="114" s="1"/>
  <c r="AD343" i="114"/>
  <c r="AJ343" i="114"/>
  <c r="AK343" i="114"/>
  <c r="AL343" i="114"/>
  <c r="AM343" i="114"/>
  <c r="AO343" i="114" s="1"/>
  <c r="AD344" i="114"/>
  <c r="AJ344" i="114"/>
  <c r="AK344" i="114"/>
  <c r="AL344" i="114"/>
  <c r="AM344" i="114"/>
  <c r="AO344" i="114" s="1"/>
  <c r="AD345" i="114"/>
  <c r="AE345" i="114" s="1"/>
  <c r="AJ345" i="114"/>
  <c r="AK345" i="114"/>
  <c r="AL345" i="114"/>
  <c r="AM345" i="114"/>
  <c r="AO345" i="114" s="1"/>
  <c r="AD346" i="114"/>
  <c r="AE346" i="114" s="1"/>
  <c r="AJ346" i="114"/>
  <c r="AK346" i="114"/>
  <c r="AL346" i="114"/>
  <c r="AM346" i="114"/>
  <c r="AO346" i="114" s="1"/>
  <c r="AD347" i="114"/>
  <c r="AJ347" i="114"/>
  <c r="AK347" i="114"/>
  <c r="AL347" i="114"/>
  <c r="AM347" i="114"/>
  <c r="AO347" i="114" s="1"/>
  <c r="AD348" i="114"/>
  <c r="AJ348" i="114"/>
  <c r="AK348" i="114"/>
  <c r="AL348" i="114"/>
  <c r="AM348" i="114"/>
  <c r="AO348" i="114" s="1"/>
  <c r="AD349" i="114"/>
  <c r="AE349" i="114" s="1"/>
  <c r="AJ349" i="114"/>
  <c r="AK349" i="114"/>
  <c r="AL349" i="114"/>
  <c r="AM349" i="114"/>
  <c r="AO349" i="114" s="1"/>
  <c r="AD350" i="114"/>
  <c r="AE350" i="114" s="1"/>
  <c r="AJ350" i="114"/>
  <c r="AK350" i="114"/>
  <c r="AL350" i="114"/>
  <c r="AM350" i="114"/>
  <c r="AO350" i="114" s="1"/>
  <c r="AD351" i="114"/>
  <c r="AJ351" i="114"/>
  <c r="AK351" i="114"/>
  <c r="AL351" i="114"/>
  <c r="AM351" i="114"/>
  <c r="AO351" i="114" s="1"/>
  <c r="AD352" i="114"/>
  <c r="AJ352" i="114"/>
  <c r="AK352" i="114"/>
  <c r="AL352" i="114"/>
  <c r="AM352" i="114"/>
  <c r="AO352" i="114" s="1"/>
  <c r="AD353" i="114"/>
  <c r="AE353" i="114" s="1"/>
  <c r="AJ353" i="114"/>
  <c r="AK353" i="114"/>
  <c r="AL353" i="114"/>
  <c r="AM353" i="114"/>
  <c r="AO353" i="114" s="1"/>
  <c r="AD354" i="114"/>
  <c r="AE354" i="114" s="1"/>
  <c r="AJ354" i="114"/>
  <c r="AK354" i="114"/>
  <c r="AL354" i="114"/>
  <c r="AM354" i="114"/>
  <c r="AO354" i="114" s="1"/>
  <c r="AD355" i="114"/>
  <c r="AJ355" i="114"/>
  <c r="AK355" i="114"/>
  <c r="AL355" i="114"/>
  <c r="AM355" i="114"/>
  <c r="AO355" i="114" s="1"/>
  <c r="AD356" i="114"/>
  <c r="AJ356" i="114"/>
  <c r="AK356" i="114"/>
  <c r="AL356" i="114"/>
  <c r="AM356" i="114"/>
  <c r="AO356" i="114" s="1"/>
  <c r="AD357" i="114"/>
  <c r="AE357" i="114" s="1"/>
  <c r="AJ357" i="114"/>
  <c r="AK357" i="114"/>
  <c r="AL357" i="114"/>
  <c r="AM357" i="114"/>
  <c r="AO357" i="114" s="1"/>
  <c r="AD358" i="114"/>
  <c r="AE358" i="114" s="1"/>
  <c r="AJ358" i="114"/>
  <c r="AK358" i="114"/>
  <c r="AL358" i="114"/>
  <c r="AM358" i="114"/>
  <c r="AO358" i="114" s="1"/>
  <c r="AD359" i="114"/>
  <c r="AJ359" i="114"/>
  <c r="AK359" i="114"/>
  <c r="AL359" i="114"/>
  <c r="AM359" i="114"/>
  <c r="AO359" i="114" s="1"/>
  <c r="AD360" i="114"/>
  <c r="AJ360" i="114"/>
  <c r="AK360" i="114"/>
  <c r="AL360" i="114"/>
  <c r="AM360" i="114"/>
  <c r="AO360" i="114" s="1"/>
  <c r="AD361" i="114"/>
  <c r="AE361" i="114" s="1"/>
  <c r="AJ361" i="114"/>
  <c r="AK361" i="114"/>
  <c r="AL361" i="114"/>
  <c r="AM361" i="114"/>
  <c r="AO361" i="114" s="1"/>
  <c r="AD362" i="114"/>
  <c r="AE362" i="114" s="1"/>
  <c r="AJ362" i="114"/>
  <c r="AK362" i="114"/>
  <c r="AL362" i="114"/>
  <c r="AM362" i="114"/>
  <c r="AO362" i="114" s="1"/>
  <c r="AD363" i="114"/>
  <c r="AJ363" i="114"/>
  <c r="AK363" i="114"/>
  <c r="AL363" i="114"/>
  <c r="AM363" i="114"/>
  <c r="AO363" i="114" s="1"/>
  <c r="AD364" i="114"/>
  <c r="AJ364" i="114"/>
  <c r="AK364" i="114"/>
  <c r="AL364" i="114"/>
  <c r="AM364" i="114"/>
  <c r="AO364" i="114" s="1"/>
  <c r="AD365" i="114"/>
  <c r="AE365" i="114" s="1"/>
  <c r="AJ365" i="114"/>
  <c r="AK365" i="114"/>
  <c r="AL365" i="114"/>
  <c r="AM365" i="114"/>
  <c r="AO365" i="114" s="1"/>
  <c r="AD366" i="114"/>
  <c r="AE366" i="114" s="1"/>
  <c r="AJ366" i="114"/>
  <c r="AK366" i="114"/>
  <c r="AL366" i="114"/>
  <c r="AM366" i="114"/>
  <c r="AO366" i="114" s="1"/>
  <c r="AD367" i="114"/>
  <c r="AJ367" i="114"/>
  <c r="AK367" i="114"/>
  <c r="AL367" i="114"/>
  <c r="AM367" i="114"/>
  <c r="AO367" i="114" s="1"/>
  <c r="AD368" i="114"/>
  <c r="AJ368" i="114"/>
  <c r="AK368" i="114"/>
  <c r="AL368" i="114"/>
  <c r="AM368" i="114"/>
  <c r="AO368" i="114" s="1"/>
  <c r="AD369" i="114"/>
  <c r="AE369" i="114" s="1"/>
  <c r="AJ369" i="114"/>
  <c r="AK369" i="114"/>
  <c r="AL369" i="114"/>
  <c r="AM369" i="114"/>
  <c r="AO369" i="114" s="1"/>
  <c r="AD370" i="114"/>
  <c r="AE370" i="114" s="1"/>
  <c r="AJ370" i="114"/>
  <c r="AK370" i="114"/>
  <c r="AL370" i="114"/>
  <c r="AM370" i="114"/>
  <c r="AO370" i="114" s="1"/>
  <c r="AD371" i="114"/>
  <c r="AE371" i="114" s="1"/>
  <c r="AJ371" i="114"/>
  <c r="AK371" i="114"/>
  <c r="AL371" i="114"/>
  <c r="AM371" i="114"/>
  <c r="AO371" i="114" s="1"/>
  <c r="AD372" i="114"/>
  <c r="AJ372" i="114"/>
  <c r="AK372" i="114"/>
  <c r="AL372" i="114"/>
  <c r="AM372" i="114"/>
  <c r="AO372" i="114" s="1"/>
  <c r="AD373" i="114"/>
  <c r="AE373" i="114" s="1"/>
  <c r="AJ373" i="114"/>
  <c r="AK373" i="114"/>
  <c r="AL373" i="114"/>
  <c r="AM373" i="114"/>
  <c r="AO373" i="114" s="1"/>
  <c r="AD374" i="114"/>
  <c r="AJ374" i="114"/>
  <c r="AK374" i="114"/>
  <c r="AL374" i="114"/>
  <c r="AM374" i="114"/>
  <c r="AO374" i="114" s="1"/>
  <c r="AD375" i="114"/>
  <c r="AE375" i="114" s="1"/>
  <c r="AJ375" i="114"/>
  <c r="AK375" i="114"/>
  <c r="AL375" i="114"/>
  <c r="AM375" i="114"/>
  <c r="AO375" i="114" s="1"/>
  <c r="AD376" i="114"/>
  <c r="AE376" i="114" s="1"/>
  <c r="AJ376" i="114"/>
  <c r="AK376" i="114"/>
  <c r="AL376" i="114"/>
  <c r="AM376" i="114"/>
  <c r="AO376" i="114" s="1"/>
  <c r="AD377" i="114"/>
  <c r="AE377" i="114" s="1"/>
  <c r="AJ377" i="114"/>
  <c r="AK377" i="114"/>
  <c r="AL377" i="114"/>
  <c r="AM377" i="114"/>
  <c r="AO377" i="114" s="1"/>
  <c r="AD378" i="114"/>
  <c r="AE378" i="114" s="1"/>
  <c r="AJ378" i="114"/>
  <c r="AK378" i="114"/>
  <c r="AL378" i="114"/>
  <c r="AM378" i="114"/>
  <c r="AO378" i="114" s="1"/>
  <c r="AD379" i="114"/>
  <c r="AE379" i="114" s="1"/>
  <c r="AJ379" i="114"/>
  <c r="AK379" i="114"/>
  <c r="AL379" i="114"/>
  <c r="AM379" i="114"/>
  <c r="AO379" i="114" s="1"/>
  <c r="AD380" i="114"/>
  <c r="AE380" i="114" s="1"/>
  <c r="AJ380" i="114"/>
  <c r="AK380" i="114"/>
  <c r="AL380" i="114"/>
  <c r="AM380" i="114"/>
  <c r="AO380" i="114" s="1"/>
  <c r="AD381" i="114"/>
  <c r="AE381" i="114" s="1"/>
  <c r="AJ381" i="114"/>
  <c r="AK381" i="114"/>
  <c r="AL381" i="114"/>
  <c r="AM381" i="114"/>
  <c r="AO381" i="114" s="1"/>
  <c r="AD382" i="114"/>
  <c r="AI382" i="114" s="1"/>
  <c r="AJ382" i="114"/>
  <c r="AK382" i="114"/>
  <c r="AL382" i="114"/>
  <c r="AM382" i="114"/>
  <c r="AO382" i="114" s="1"/>
  <c r="AD383" i="114"/>
  <c r="AJ383" i="114"/>
  <c r="AK383" i="114"/>
  <c r="AL383" i="114"/>
  <c r="AM383" i="114"/>
  <c r="AO383" i="114" s="1"/>
  <c r="AD384" i="114"/>
  <c r="AJ384" i="114"/>
  <c r="AK384" i="114"/>
  <c r="AL384" i="114"/>
  <c r="AM384" i="114"/>
  <c r="AO384" i="114" s="1"/>
  <c r="AD385" i="114"/>
  <c r="AJ385" i="114"/>
  <c r="AK385" i="114"/>
  <c r="AL385" i="114"/>
  <c r="AM385" i="114"/>
  <c r="AO385" i="114" s="1"/>
  <c r="AD386" i="114"/>
  <c r="AE386" i="114" s="1"/>
  <c r="AJ386" i="114"/>
  <c r="AK386" i="114"/>
  <c r="AL386" i="114"/>
  <c r="AM386" i="114"/>
  <c r="AO386" i="114" s="1"/>
  <c r="AD387" i="114"/>
  <c r="AE387" i="114" s="1"/>
  <c r="AJ387" i="114"/>
  <c r="AK387" i="114"/>
  <c r="AL387" i="114"/>
  <c r="AM387" i="114"/>
  <c r="AO387" i="114" s="1"/>
  <c r="AD388" i="114"/>
  <c r="AE388" i="114" s="1"/>
  <c r="AJ388" i="114"/>
  <c r="AK388" i="114"/>
  <c r="AL388" i="114"/>
  <c r="AM388" i="114"/>
  <c r="AO388" i="114" s="1"/>
  <c r="AD389" i="114"/>
  <c r="AJ389" i="114"/>
  <c r="AK389" i="114"/>
  <c r="AL389" i="114"/>
  <c r="AM389" i="114"/>
  <c r="AO389" i="114" s="1"/>
  <c r="AD390" i="114"/>
  <c r="AE390" i="114" s="1"/>
  <c r="AJ390" i="114"/>
  <c r="AK390" i="114"/>
  <c r="AL390" i="114"/>
  <c r="AM390" i="114"/>
  <c r="AO390" i="114" s="1"/>
  <c r="AD391" i="114"/>
  <c r="AE391" i="114" s="1"/>
  <c r="AJ391" i="114"/>
  <c r="AK391" i="114"/>
  <c r="AL391" i="114"/>
  <c r="AM391" i="114"/>
  <c r="AO391" i="114" s="1"/>
  <c r="AD392" i="114"/>
  <c r="AE392" i="114" s="1"/>
  <c r="AJ392" i="114"/>
  <c r="AK392" i="114"/>
  <c r="AL392" i="114"/>
  <c r="AM392" i="114"/>
  <c r="AO392" i="114" s="1"/>
  <c r="AD393" i="114"/>
  <c r="AE393" i="114" s="1"/>
  <c r="AJ393" i="114"/>
  <c r="AK393" i="114"/>
  <c r="AL393" i="114"/>
  <c r="AM393" i="114"/>
  <c r="AO393" i="114" s="1"/>
  <c r="AD394" i="114"/>
  <c r="AE394" i="114" s="1"/>
  <c r="AJ394" i="114"/>
  <c r="AK394" i="114"/>
  <c r="AL394" i="114"/>
  <c r="AM394" i="114"/>
  <c r="AO394" i="114" s="1"/>
  <c r="AD395" i="114"/>
  <c r="AE395" i="114" s="1"/>
  <c r="AJ395" i="114"/>
  <c r="AK395" i="114"/>
  <c r="AL395" i="114"/>
  <c r="AM395" i="114"/>
  <c r="AO395" i="114" s="1"/>
  <c r="AD396" i="114"/>
  <c r="AJ396" i="114"/>
  <c r="AK396" i="114"/>
  <c r="AL396" i="114"/>
  <c r="AM396" i="114"/>
  <c r="AO396" i="114" s="1"/>
  <c r="AD397" i="114"/>
  <c r="AJ397" i="114"/>
  <c r="AK397" i="114"/>
  <c r="AL397" i="114"/>
  <c r="AM397" i="114"/>
  <c r="AO397" i="114" s="1"/>
  <c r="AD398" i="114"/>
  <c r="AE398" i="114" s="1"/>
  <c r="AJ398" i="114"/>
  <c r="AK398" i="114"/>
  <c r="AL398" i="114"/>
  <c r="AM398" i="114"/>
  <c r="AO398" i="114" s="1"/>
  <c r="AD399" i="114"/>
  <c r="AE399" i="114" s="1"/>
  <c r="AJ399" i="114"/>
  <c r="AK399" i="114"/>
  <c r="AL399" i="114"/>
  <c r="AM399" i="114"/>
  <c r="AO399" i="114" s="1"/>
  <c r="AD400" i="114"/>
  <c r="AJ400" i="114"/>
  <c r="AK400" i="114"/>
  <c r="AL400" i="114"/>
  <c r="AM400" i="114"/>
  <c r="AO400" i="114" s="1"/>
  <c r="AD401" i="114"/>
  <c r="AE401" i="114" s="1"/>
  <c r="AJ401" i="114"/>
  <c r="AK401" i="114"/>
  <c r="AL401" i="114"/>
  <c r="AM401" i="114"/>
  <c r="AO401" i="114" s="1"/>
  <c r="AD402" i="114"/>
  <c r="AE402" i="114" s="1"/>
  <c r="AJ402" i="114"/>
  <c r="AK402" i="114"/>
  <c r="AL402" i="114"/>
  <c r="AM402" i="114"/>
  <c r="AO402" i="114" s="1"/>
  <c r="AD403" i="114"/>
  <c r="AE403" i="114" s="1"/>
  <c r="AJ403" i="114"/>
  <c r="AK403" i="114"/>
  <c r="AL403" i="114"/>
  <c r="AM403" i="114"/>
  <c r="AO403" i="114" s="1"/>
  <c r="AD404" i="114"/>
  <c r="AJ404" i="114"/>
  <c r="AK404" i="114"/>
  <c r="AL404" i="114"/>
  <c r="AM404" i="114"/>
  <c r="AO404" i="114" s="1"/>
  <c r="AD405" i="114"/>
  <c r="AE405" i="114" s="1"/>
  <c r="AJ405" i="114"/>
  <c r="AK405" i="114"/>
  <c r="AL405" i="114"/>
  <c r="AM405" i="114"/>
  <c r="AO405" i="114" s="1"/>
  <c r="AD406" i="114"/>
  <c r="AJ406" i="114"/>
  <c r="AK406" i="114"/>
  <c r="AL406" i="114"/>
  <c r="AM406" i="114"/>
  <c r="AO406" i="114" s="1"/>
  <c r="AD407" i="114"/>
  <c r="AJ407" i="114"/>
  <c r="AK407" i="114"/>
  <c r="AL407" i="114"/>
  <c r="AM407" i="114"/>
  <c r="AO407" i="114" s="1"/>
  <c r="AD408" i="114"/>
  <c r="AJ408" i="114"/>
  <c r="AK408" i="114"/>
  <c r="AL408" i="114"/>
  <c r="AM408" i="114"/>
  <c r="AO408" i="114" s="1"/>
  <c r="AD409" i="114"/>
  <c r="AE409" i="114" s="1"/>
  <c r="AJ409" i="114"/>
  <c r="AK409" i="114"/>
  <c r="AL409" i="114"/>
  <c r="AM409" i="114"/>
  <c r="AO409" i="114" s="1"/>
  <c r="AD410" i="114"/>
  <c r="AJ410" i="114"/>
  <c r="AK410" i="114"/>
  <c r="AL410" i="114"/>
  <c r="AM410" i="114"/>
  <c r="AO410" i="114" s="1"/>
  <c r="AD411" i="114"/>
  <c r="AE411" i="114" s="1"/>
  <c r="AJ411" i="114"/>
  <c r="AK411" i="114"/>
  <c r="AL411" i="114"/>
  <c r="AM411" i="114"/>
  <c r="AO411" i="114" s="1"/>
  <c r="AD412" i="114"/>
  <c r="AE412" i="114" s="1"/>
  <c r="AJ412" i="114"/>
  <c r="AK412" i="114"/>
  <c r="AL412" i="114"/>
  <c r="AM412" i="114"/>
  <c r="AO412" i="114" s="1"/>
  <c r="AD413" i="114"/>
  <c r="AE413" i="114" s="1"/>
  <c r="AJ413" i="114"/>
  <c r="AK413" i="114"/>
  <c r="AL413" i="114"/>
  <c r="AM413" i="114"/>
  <c r="AO413" i="114" s="1"/>
  <c r="AD414" i="114"/>
  <c r="AE414" i="114" s="1"/>
  <c r="AJ414" i="114"/>
  <c r="AK414" i="114"/>
  <c r="AL414" i="114"/>
  <c r="AM414" i="114"/>
  <c r="AO414" i="114" s="1"/>
  <c r="AD415" i="114"/>
  <c r="AE415" i="114" s="1"/>
  <c r="AJ415" i="114"/>
  <c r="AK415" i="114"/>
  <c r="AL415" i="114"/>
  <c r="AM415" i="114"/>
  <c r="AO415" i="114" s="1"/>
  <c r="AD416" i="114"/>
  <c r="AE416" i="114" s="1"/>
  <c r="AJ416" i="114"/>
  <c r="AK416" i="114"/>
  <c r="AL416" i="114"/>
  <c r="AM416" i="114"/>
  <c r="AO416" i="114" s="1"/>
  <c r="AD417" i="114"/>
  <c r="AJ417" i="114"/>
  <c r="AK417" i="114"/>
  <c r="AL417" i="114"/>
  <c r="AM417" i="114"/>
  <c r="AO417" i="114" s="1"/>
  <c r="AD418" i="114"/>
  <c r="AI418" i="114"/>
  <c r="AJ418" i="114"/>
  <c r="AK418" i="114"/>
  <c r="AL418" i="114"/>
  <c r="AM418" i="114"/>
  <c r="AO418" i="114" s="1"/>
  <c r="AD419" i="114"/>
  <c r="AE419" i="114" s="1"/>
  <c r="AJ419" i="114"/>
  <c r="AK419" i="114"/>
  <c r="AL419" i="114"/>
  <c r="AM419" i="114"/>
  <c r="AO419" i="114" s="1"/>
  <c r="AD420" i="114"/>
  <c r="AJ420" i="114"/>
  <c r="AK420" i="114"/>
  <c r="AL420" i="114"/>
  <c r="AM420" i="114"/>
  <c r="AO420" i="114" s="1"/>
  <c r="AD421" i="114"/>
  <c r="AE421" i="114" s="1"/>
  <c r="AJ421" i="114"/>
  <c r="AK421" i="114"/>
  <c r="AL421" i="114"/>
  <c r="AM421" i="114"/>
  <c r="AO421" i="114" s="1"/>
  <c r="AD422" i="114"/>
  <c r="AE422" i="114" s="1"/>
  <c r="AJ422" i="114"/>
  <c r="AK422" i="114"/>
  <c r="AL422" i="114"/>
  <c r="AM422" i="114"/>
  <c r="AO422" i="114" s="1"/>
  <c r="AD423" i="114"/>
  <c r="AE423" i="114" s="1"/>
  <c r="AJ423" i="114"/>
  <c r="AK423" i="114"/>
  <c r="AL423" i="114"/>
  <c r="AM423" i="114"/>
  <c r="AO423" i="114" s="1"/>
  <c r="AD424" i="114"/>
  <c r="AJ424" i="114"/>
  <c r="AK424" i="114"/>
  <c r="AL424" i="114"/>
  <c r="AM424" i="114"/>
  <c r="AO424" i="114" s="1"/>
  <c r="AD425" i="114"/>
  <c r="AE425" i="114" s="1"/>
  <c r="AJ425" i="114"/>
  <c r="AK425" i="114"/>
  <c r="AL425" i="114"/>
  <c r="AM425" i="114"/>
  <c r="AO425" i="114" s="1"/>
  <c r="AD426" i="114"/>
  <c r="AJ426" i="114"/>
  <c r="AK426" i="114"/>
  <c r="AL426" i="114"/>
  <c r="AM426" i="114"/>
  <c r="AO426" i="114" s="1"/>
  <c r="AD427" i="114"/>
  <c r="AJ427" i="114"/>
  <c r="AK427" i="114"/>
  <c r="AL427" i="114"/>
  <c r="AM427" i="114"/>
  <c r="AO427" i="114" s="1"/>
  <c r="AD428" i="114"/>
  <c r="AJ428" i="114"/>
  <c r="AK428" i="114"/>
  <c r="AL428" i="114"/>
  <c r="AM428" i="114"/>
  <c r="AO428" i="114" s="1"/>
  <c r="AD429" i="114"/>
  <c r="AE429" i="114" s="1"/>
  <c r="AJ429" i="114"/>
  <c r="AK429" i="114"/>
  <c r="AL429" i="114"/>
  <c r="AM429" i="114"/>
  <c r="AO429" i="114" s="1"/>
  <c r="AD430" i="114"/>
  <c r="AE430" i="114" s="1"/>
  <c r="AJ430" i="114"/>
  <c r="AK430" i="114"/>
  <c r="AL430" i="114"/>
  <c r="AM430" i="114"/>
  <c r="AO430" i="114" s="1"/>
  <c r="AD431" i="114"/>
  <c r="AE431" i="114" s="1"/>
  <c r="AJ431" i="114"/>
  <c r="AK431" i="114"/>
  <c r="AL431" i="114"/>
  <c r="AM431" i="114"/>
  <c r="AO431" i="114" s="1"/>
  <c r="AD432" i="114"/>
  <c r="AE432" i="114" s="1"/>
  <c r="AJ432" i="114"/>
  <c r="AK432" i="114"/>
  <c r="AL432" i="114"/>
  <c r="AM432" i="114"/>
  <c r="AO432" i="114" s="1"/>
  <c r="AD433" i="114"/>
  <c r="AE433" i="114" s="1"/>
  <c r="AJ433" i="114"/>
  <c r="AK433" i="114"/>
  <c r="AL433" i="114"/>
  <c r="AM433" i="114"/>
  <c r="AO433" i="114" s="1"/>
  <c r="AD434" i="114"/>
  <c r="AE434" i="114" s="1"/>
  <c r="AJ434" i="114"/>
  <c r="AK434" i="114"/>
  <c r="AL434" i="114"/>
  <c r="AM434" i="114"/>
  <c r="AO434" i="114" s="1"/>
  <c r="AD435" i="114"/>
  <c r="AJ435" i="114"/>
  <c r="AK435" i="114"/>
  <c r="AL435" i="114"/>
  <c r="AM435" i="114"/>
  <c r="AO435" i="114" s="1"/>
  <c r="AD436" i="114"/>
  <c r="AJ436" i="114"/>
  <c r="AK436" i="114"/>
  <c r="AL436" i="114"/>
  <c r="AM436" i="114"/>
  <c r="AO436" i="114" s="1"/>
  <c r="AD437" i="114"/>
  <c r="AE437" i="114" s="1"/>
  <c r="AJ437" i="114"/>
  <c r="AK437" i="114"/>
  <c r="AL437" i="114"/>
  <c r="AM437" i="114"/>
  <c r="AO437" i="114" s="1"/>
  <c r="AD438" i="114"/>
  <c r="AE438" i="114" s="1"/>
  <c r="AJ438" i="114"/>
  <c r="AK438" i="114"/>
  <c r="AL438" i="114"/>
  <c r="AM438" i="114"/>
  <c r="AO438" i="114" s="1"/>
  <c r="AD439" i="114"/>
  <c r="AJ439" i="114"/>
  <c r="AK439" i="114"/>
  <c r="AL439" i="114"/>
  <c r="AM439" i="114"/>
  <c r="AO439" i="114" s="1"/>
  <c r="AD440" i="114"/>
  <c r="AE440" i="114" s="1"/>
  <c r="AJ440" i="114"/>
  <c r="AK440" i="114"/>
  <c r="AL440" i="114"/>
  <c r="AM440" i="114"/>
  <c r="AO440" i="114" s="1"/>
  <c r="AD441" i="114"/>
  <c r="AJ441" i="114"/>
  <c r="AK441" i="114"/>
  <c r="AL441" i="114"/>
  <c r="AM441" i="114"/>
  <c r="AO441" i="114" s="1"/>
  <c r="AD442" i="114"/>
  <c r="AE442" i="114" s="1"/>
  <c r="AJ442" i="114"/>
  <c r="AK442" i="114"/>
  <c r="AL442" i="114"/>
  <c r="AM442" i="114"/>
  <c r="AO442" i="114" s="1"/>
  <c r="AD443" i="114"/>
  <c r="AE443" i="114" s="1"/>
  <c r="AJ443" i="114"/>
  <c r="AK443" i="114"/>
  <c r="AL443" i="114"/>
  <c r="AM443" i="114"/>
  <c r="AO443" i="114" s="1"/>
  <c r="AD444" i="114"/>
  <c r="AJ444" i="114"/>
  <c r="AK444" i="114"/>
  <c r="AL444" i="114"/>
  <c r="AM444" i="114"/>
  <c r="AO444" i="114" s="1"/>
  <c r="AD445" i="114"/>
  <c r="AE445" i="114" s="1"/>
  <c r="AJ445" i="114"/>
  <c r="AK445" i="114"/>
  <c r="AL445" i="114"/>
  <c r="AM445" i="114"/>
  <c r="AO445" i="114" s="1"/>
  <c r="AD446" i="114"/>
  <c r="AE446" i="114" s="1"/>
  <c r="AJ446" i="114"/>
  <c r="AK446" i="114"/>
  <c r="AL446" i="114"/>
  <c r="AM446" i="114"/>
  <c r="AO446" i="114" s="1"/>
  <c r="AD447" i="114"/>
  <c r="AE447" i="114" s="1"/>
  <c r="AJ447" i="114"/>
  <c r="AK447" i="114"/>
  <c r="AL447" i="114"/>
  <c r="AM447" i="114"/>
  <c r="AO447" i="114" s="1"/>
  <c r="AD448" i="114"/>
  <c r="AE448" i="114" s="1"/>
  <c r="AJ448" i="114"/>
  <c r="AK448" i="114"/>
  <c r="AL448" i="114"/>
  <c r="AM448" i="114"/>
  <c r="AO448" i="114" s="1"/>
  <c r="AD449" i="114"/>
  <c r="AE449" i="114" s="1"/>
  <c r="AJ449" i="114"/>
  <c r="AK449" i="114"/>
  <c r="AL449" i="114"/>
  <c r="AM449" i="114"/>
  <c r="AO449" i="114" s="1"/>
  <c r="AD450" i="114"/>
  <c r="AE450" i="114" s="1"/>
  <c r="AJ450" i="114"/>
  <c r="AK450" i="114"/>
  <c r="AL450" i="114"/>
  <c r="AM450" i="114"/>
  <c r="AO450" i="114" s="1"/>
  <c r="AD451" i="114"/>
  <c r="AE451" i="114" s="1"/>
  <c r="AJ451" i="114"/>
  <c r="AK451" i="114"/>
  <c r="AL451" i="114"/>
  <c r="AM451" i="114"/>
  <c r="AO451" i="114" s="1"/>
  <c r="AD452" i="114"/>
  <c r="AJ452" i="114"/>
  <c r="AK452" i="114"/>
  <c r="AL452" i="114"/>
  <c r="AM452" i="114"/>
  <c r="AO452" i="114" s="1"/>
  <c r="AD453" i="114"/>
  <c r="AE453" i="114" s="1"/>
  <c r="AJ453" i="114"/>
  <c r="AK453" i="114"/>
  <c r="AL453" i="114"/>
  <c r="AM453" i="114"/>
  <c r="AO453" i="114" s="1"/>
  <c r="AD454" i="114"/>
  <c r="AJ454" i="114"/>
  <c r="AK454" i="114"/>
  <c r="AL454" i="114"/>
  <c r="AM454" i="114"/>
  <c r="AO454" i="114" s="1"/>
  <c r="AD455" i="114"/>
  <c r="AE455" i="114" s="1"/>
  <c r="AJ455" i="114"/>
  <c r="AK455" i="114"/>
  <c r="AL455" i="114"/>
  <c r="AM455" i="114"/>
  <c r="AO455" i="114" s="1"/>
  <c r="AD456" i="114"/>
  <c r="AE456" i="114" s="1"/>
  <c r="AJ456" i="114"/>
  <c r="AK456" i="114"/>
  <c r="AL456" i="114"/>
  <c r="AM456" i="114"/>
  <c r="AO456" i="114" s="1"/>
  <c r="AD457" i="114"/>
  <c r="AE457" i="114" s="1"/>
  <c r="AJ457" i="114"/>
  <c r="AK457" i="114"/>
  <c r="AL457" i="114"/>
  <c r="AM457" i="114"/>
  <c r="AO457" i="114" s="1"/>
  <c r="AD458" i="114"/>
  <c r="AE458" i="114" s="1"/>
  <c r="AJ458" i="114"/>
  <c r="AK458" i="114"/>
  <c r="AL458" i="114"/>
  <c r="AM458" i="114"/>
  <c r="AO458" i="114" s="1"/>
  <c r="AD459" i="114"/>
  <c r="AE459" i="114" s="1"/>
  <c r="AJ459" i="114"/>
  <c r="AK459" i="114"/>
  <c r="AL459" i="114"/>
  <c r="AM459" i="114"/>
  <c r="AO459" i="114" s="1"/>
  <c r="AD460" i="114"/>
  <c r="AE460" i="114" s="1"/>
  <c r="AJ460" i="114"/>
  <c r="AK460" i="114"/>
  <c r="AL460" i="114"/>
  <c r="AM460" i="114"/>
  <c r="AO460" i="114" s="1"/>
  <c r="AD461" i="114"/>
  <c r="AE461" i="114" s="1"/>
  <c r="AJ461" i="114"/>
  <c r="AK461" i="114"/>
  <c r="AL461" i="114"/>
  <c r="AM461" i="114"/>
  <c r="AO461" i="114" s="1"/>
  <c r="AD462" i="114"/>
  <c r="AJ462" i="114"/>
  <c r="AK462" i="114"/>
  <c r="AL462" i="114"/>
  <c r="AM462" i="114"/>
  <c r="AO462" i="114" s="1"/>
  <c r="AD463" i="114"/>
  <c r="AJ463" i="114"/>
  <c r="AK463" i="114"/>
  <c r="AL463" i="114"/>
  <c r="AM463" i="114"/>
  <c r="AO463" i="114" s="1"/>
  <c r="AD464" i="114"/>
  <c r="AE464" i="114" s="1"/>
  <c r="AJ464" i="114"/>
  <c r="AK464" i="114"/>
  <c r="AL464" i="114"/>
  <c r="AM464" i="114"/>
  <c r="AO464" i="114" s="1"/>
  <c r="AD465" i="114"/>
  <c r="AE465" i="114" s="1"/>
  <c r="AJ465" i="114"/>
  <c r="AK465" i="114"/>
  <c r="AL465" i="114"/>
  <c r="AM465" i="114"/>
  <c r="AO465" i="114"/>
  <c r="AD466" i="114"/>
  <c r="AE466" i="114" s="1"/>
  <c r="AJ466" i="114"/>
  <c r="AK466" i="114"/>
  <c r="AL466" i="114"/>
  <c r="AM466" i="114"/>
  <c r="AO466" i="114" s="1"/>
  <c r="AD467" i="114"/>
  <c r="AE467" i="114" s="1"/>
  <c r="AJ467" i="114"/>
  <c r="AK467" i="114"/>
  <c r="AL467" i="114"/>
  <c r="AM467" i="114"/>
  <c r="AO467" i="114" s="1"/>
  <c r="AD468" i="114"/>
  <c r="AE468" i="114" s="1"/>
  <c r="AJ468" i="114"/>
  <c r="AK468" i="114"/>
  <c r="AL468" i="114"/>
  <c r="AM468" i="114"/>
  <c r="AO468" i="114" s="1"/>
  <c r="AD469" i="114"/>
  <c r="AJ469" i="114"/>
  <c r="AK469" i="114"/>
  <c r="AL469" i="114"/>
  <c r="AM469" i="114"/>
  <c r="AO469" i="114" s="1"/>
  <c r="AD470" i="114"/>
  <c r="AJ470" i="114"/>
  <c r="AK470" i="114"/>
  <c r="AL470" i="114"/>
  <c r="AM470" i="114"/>
  <c r="AO470" i="114" s="1"/>
  <c r="AD471" i="114"/>
  <c r="AJ471" i="114"/>
  <c r="AK471" i="114"/>
  <c r="AL471" i="114"/>
  <c r="AM471" i="114"/>
  <c r="AO471" i="114" s="1"/>
  <c r="AD472" i="114"/>
  <c r="AG472" i="114"/>
  <c r="AJ472" i="114"/>
  <c r="AK472" i="114"/>
  <c r="AL472" i="114"/>
  <c r="AM472" i="114"/>
  <c r="AO472" i="114" s="1"/>
  <c r="AD473" i="114"/>
  <c r="AE473" i="114" s="1"/>
  <c r="AJ473" i="114"/>
  <c r="AK473" i="114"/>
  <c r="AL473" i="114"/>
  <c r="AM473" i="114"/>
  <c r="AO473" i="114" s="1"/>
  <c r="AD474" i="114"/>
  <c r="AE474" i="114" s="1"/>
  <c r="AJ474" i="114"/>
  <c r="AK474" i="114"/>
  <c r="AL474" i="114"/>
  <c r="AM474" i="114"/>
  <c r="AO474" i="114" s="1"/>
  <c r="AD475" i="114"/>
  <c r="AE475" i="114" s="1"/>
  <c r="AJ475" i="114"/>
  <c r="AK475" i="114"/>
  <c r="AL475" i="114"/>
  <c r="AM475" i="114"/>
  <c r="AO475" i="114" s="1"/>
  <c r="AD476" i="114"/>
  <c r="AE476" i="114" s="1"/>
  <c r="AJ476" i="114"/>
  <c r="AK476" i="114"/>
  <c r="AL476" i="114"/>
  <c r="AM476" i="114"/>
  <c r="AO476" i="114" s="1"/>
  <c r="AD477" i="114"/>
  <c r="AE477" i="114" s="1"/>
  <c r="AJ477" i="114"/>
  <c r="AK477" i="114"/>
  <c r="AL477" i="114"/>
  <c r="AM477" i="114"/>
  <c r="AO477" i="114" s="1"/>
  <c r="AD478" i="114"/>
  <c r="AJ478" i="114"/>
  <c r="AK478" i="114"/>
  <c r="AL478" i="114"/>
  <c r="AM478" i="114"/>
  <c r="AO478" i="114" s="1"/>
  <c r="AD479" i="114"/>
  <c r="AJ479" i="114"/>
  <c r="AK479" i="114"/>
  <c r="AL479" i="114"/>
  <c r="AM479" i="114"/>
  <c r="AO479" i="114" s="1"/>
  <c r="AD480" i="114"/>
  <c r="AE480" i="114" s="1"/>
  <c r="AJ480" i="114"/>
  <c r="AK480" i="114"/>
  <c r="AL480" i="114"/>
  <c r="AM480" i="114"/>
  <c r="AO480" i="114" s="1"/>
  <c r="AD481" i="114"/>
  <c r="AJ481" i="114"/>
  <c r="AK481" i="114"/>
  <c r="AL481" i="114"/>
  <c r="AM481" i="114"/>
  <c r="AO481" i="114" s="1"/>
  <c r="AD482" i="114"/>
  <c r="AE482" i="114" s="1"/>
  <c r="AJ482" i="114"/>
  <c r="AK482" i="114"/>
  <c r="AL482" i="114"/>
  <c r="AM482" i="114"/>
  <c r="AO482" i="114" s="1"/>
  <c r="AD483" i="114"/>
  <c r="AE483" i="114" s="1"/>
  <c r="AJ483" i="114"/>
  <c r="AK483" i="114"/>
  <c r="AL483" i="114"/>
  <c r="AM483" i="114"/>
  <c r="AO483" i="114" s="1"/>
  <c r="AD484" i="114"/>
  <c r="AE484" i="114" s="1"/>
  <c r="AJ484" i="114"/>
  <c r="AK484" i="114"/>
  <c r="AL484" i="114"/>
  <c r="AM484" i="114"/>
  <c r="AO484" i="114" s="1"/>
  <c r="AD485" i="114"/>
  <c r="AJ485" i="114"/>
  <c r="AK485" i="114"/>
  <c r="AL485" i="114"/>
  <c r="AM485" i="114"/>
  <c r="AO485" i="114" s="1"/>
  <c r="AD486" i="114"/>
  <c r="AE486" i="114" s="1"/>
  <c r="AJ486" i="114"/>
  <c r="AK486" i="114"/>
  <c r="AL486" i="114"/>
  <c r="AM486" i="114"/>
  <c r="AO486" i="114" s="1"/>
  <c r="AD487" i="114"/>
  <c r="AJ487" i="114"/>
  <c r="AK487" i="114"/>
  <c r="AL487" i="114"/>
  <c r="AM487" i="114"/>
  <c r="AO487" i="114" s="1"/>
  <c r="AD488" i="114"/>
  <c r="AI488" i="114" s="1"/>
  <c r="AJ488" i="114"/>
  <c r="AK488" i="114"/>
  <c r="AL488" i="114"/>
  <c r="AM488" i="114"/>
  <c r="AO488" i="114" s="1"/>
  <c r="AD489" i="114"/>
  <c r="AE489" i="114" s="1"/>
  <c r="AJ489" i="114"/>
  <c r="AK489" i="114"/>
  <c r="AL489" i="114"/>
  <c r="AM489" i="114"/>
  <c r="AO489" i="114" s="1"/>
  <c r="AD490" i="114"/>
  <c r="AI490" i="114" s="1"/>
  <c r="AJ490" i="114"/>
  <c r="AK490" i="114"/>
  <c r="AL490" i="114"/>
  <c r="AM490" i="114"/>
  <c r="AO490" i="114" s="1"/>
  <c r="AD491" i="114"/>
  <c r="AE491" i="114" s="1"/>
  <c r="AJ491" i="114"/>
  <c r="AK491" i="114"/>
  <c r="AL491" i="114"/>
  <c r="AM491" i="114"/>
  <c r="AO491" i="114" s="1"/>
  <c r="AD492" i="114"/>
  <c r="AI492" i="114" s="1"/>
  <c r="AJ492" i="114"/>
  <c r="AK492" i="114"/>
  <c r="AL492" i="114"/>
  <c r="AM492" i="114"/>
  <c r="AO492" i="114" s="1"/>
  <c r="AD493" i="114"/>
  <c r="AE493" i="114" s="1"/>
  <c r="AJ493" i="114"/>
  <c r="AK493" i="114"/>
  <c r="AL493" i="114"/>
  <c r="AM493" i="114"/>
  <c r="AO493" i="114" s="1"/>
  <c r="AD494" i="114"/>
  <c r="AE494" i="114" s="1"/>
  <c r="AJ494" i="114"/>
  <c r="AK494" i="114"/>
  <c r="AL494" i="114"/>
  <c r="AM494" i="114"/>
  <c r="AO494" i="114" s="1"/>
  <c r="AD495" i="114"/>
  <c r="AJ495" i="114"/>
  <c r="AK495" i="114"/>
  <c r="AL495" i="114"/>
  <c r="AM495" i="114"/>
  <c r="AO495" i="114" s="1"/>
  <c r="AD496" i="114"/>
  <c r="AE496" i="114" s="1"/>
  <c r="AJ496" i="114"/>
  <c r="AK496" i="114"/>
  <c r="AL496" i="114"/>
  <c r="AM496" i="114"/>
  <c r="AO496" i="114" s="1"/>
  <c r="AD497" i="114"/>
  <c r="AJ497" i="114"/>
  <c r="AK497" i="114"/>
  <c r="AL497" i="114"/>
  <c r="AM497" i="114"/>
  <c r="AO497" i="114" s="1"/>
  <c r="AD498" i="114"/>
  <c r="AE498" i="114" s="1"/>
  <c r="AJ498" i="114"/>
  <c r="AK498" i="114"/>
  <c r="AL498" i="114"/>
  <c r="AM498" i="114"/>
  <c r="AO498" i="114" s="1"/>
  <c r="AD499" i="114"/>
  <c r="AE499" i="114" s="1"/>
  <c r="AJ499" i="114"/>
  <c r="AK499" i="114"/>
  <c r="AL499" i="114"/>
  <c r="AM499" i="114"/>
  <c r="AO499" i="114" s="1"/>
  <c r="AD500" i="114"/>
  <c r="AE500" i="114" s="1"/>
  <c r="AJ500" i="114"/>
  <c r="AK500" i="114"/>
  <c r="AL500" i="114"/>
  <c r="AM500" i="114"/>
  <c r="AO500" i="114" s="1"/>
  <c r="AD501" i="114"/>
  <c r="AJ501" i="114"/>
  <c r="AK501" i="114"/>
  <c r="AL501" i="114"/>
  <c r="AM501" i="114"/>
  <c r="AO501" i="114" s="1"/>
  <c r="AD502" i="114"/>
  <c r="AE502" i="114" s="1"/>
  <c r="AJ502" i="114"/>
  <c r="AK502" i="114"/>
  <c r="AL502" i="114"/>
  <c r="AM502" i="114"/>
  <c r="AO502" i="114" s="1"/>
  <c r="AD503" i="114"/>
  <c r="AJ503" i="114"/>
  <c r="AK503" i="114"/>
  <c r="AL503" i="114"/>
  <c r="AM503" i="114"/>
  <c r="AO503" i="114" s="1"/>
  <c r="AD504" i="114"/>
  <c r="AJ504" i="114"/>
  <c r="AK504" i="114"/>
  <c r="AL504" i="114"/>
  <c r="AM504" i="114"/>
  <c r="AO504" i="114" s="1"/>
  <c r="AD505" i="114"/>
  <c r="AE505" i="114" s="1"/>
  <c r="AJ505" i="114"/>
  <c r="AK505" i="114"/>
  <c r="AL505" i="114"/>
  <c r="AM505" i="114"/>
  <c r="AO505" i="114" s="1"/>
  <c r="AD506" i="114"/>
  <c r="AJ506" i="114"/>
  <c r="AK506" i="114"/>
  <c r="AL506" i="114"/>
  <c r="AM506" i="114"/>
  <c r="AO506" i="114" s="1"/>
  <c r="AD507" i="114"/>
  <c r="AE507" i="114" s="1"/>
  <c r="AJ507" i="114"/>
  <c r="AK507" i="114"/>
  <c r="AL507" i="114"/>
  <c r="AM507" i="114"/>
  <c r="AO507" i="114" s="1"/>
  <c r="AD508" i="114"/>
  <c r="AJ508" i="114"/>
  <c r="AK508" i="114"/>
  <c r="AL508" i="114"/>
  <c r="AM508" i="114"/>
  <c r="AO508" i="114" s="1"/>
  <c r="AD509" i="114"/>
  <c r="AE509" i="114" s="1"/>
  <c r="AJ509" i="114"/>
  <c r="AK509" i="114"/>
  <c r="AL509" i="114"/>
  <c r="AM509" i="114"/>
  <c r="AO509" i="114" s="1"/>
  <c r="AD510" i="114"/>
  <c r="AJ510" i="114"/>
  <c r="AK510" i="114"/>
  <c r="AL510" i="114"/>
  <c r="AM510" i="114"/>
  <c r="AO510" i="114" s="1"/>
  <c r="AD511" i="114"/>
  <c r="AE511" i="114" s="1"/>
  <c r="AJ511" i="114"/>
  <c r="AK511" i="114"/>
  <c r="AL511" i="114"/>
  <c r="AM511" i="114"/>
  <c r="AO511" i="114" s="1"/>
  <c r="AD512" i="114"/>
  <c r="AJ512" i="114"/>
  <c r="AK512" i="114"/>
  <c r="AL512" i="114"/>
  <c r="AM512" i="114"/>
  <c r="AO512" i="114" s="1"/>
  <c r="AD513" i="114"/>
  <c r="AE513" i="114" s="1"/>
  <c r="AJ513" i="114"/>
  <c r="AK513" i="114"/>
  <c r="AL513" i="114"/>
  <c r="AM513" i="114"/>
  <c r="AO513" i="114" s="1"/>
  <c r="AD514" i="114"/>
  <c r="AJ514" i="114"/>
  <c r="AK514" i="114"/>
  <c r="AL514" i="114"/>
  <c r="AM514" i="114"/>
  <c r="AO514" i="114" s="1"/>
  <c r="AD515" i="114"/>
  <c r="AE515" i="114" s="1"/>
  <c r="AJ515" i="114"/>
  <c r="AK515" i="114"/>
  <c r="AL515" i="114"/>
  <c r="AM515" i="114"/>
  <c r="AO515" i="114" s="1"/>
  <c r="AD516" i="114"/>
  <c r="AJ516" i="114"/>
  <c r="AK516" i="114"/>
  <c r="AL516" i="114"/>
  <c r="AM516" i="114"/>
  <c r="AO516" i="114" s="1"/>
  <c r="AD517" i="114"/>
  <c r="AI517" i="114" s="1"/>
  <c r="AJ517" i="114"/>
  <c r="AK517" i="114"/>
  <c r="AL517" i="114"/>
  <c r="AM517" i="114"/>
  <c r="AO517" i="114" s="1"/>
  <c r="AD518" i="114"/>
  <c r="AJ518" i="114"/>
  <c r="AK518" i="114"/>
  <c r="AL518" i="114"/>
  <c r="AM518" i="114"/>
  <c r="AO518" i="114" s="1"/>
  <c r="AD519" i="114"/>
  <c r="AJ519" i="114"/>
  <c r="AK519" i="114"/>
  <c r="AL519" i="114"/>
  <c r="AM519" i="114"/>
  <c r="AO519" i="114" s="1"/>
  <c r="AD520" i="114"/>
  <c r="AJ520" i="114"/>
  <c r="AK520" i="114"/>
  <c r="AL520" i="114"/>
  <c r="AM520" i="114"/>
  <c r="AO520" i="114" s="1"/>
  <c r="AD521" i="114"/>
  <c r="AE521" i="114" s="1"/>
  <c r="AJ521" i="114"/>
  <c r="AK521" i="114"/>
  <c r="AL521" i="114"/>
  <c r="AM521" i="114"/>
  <c r="AO521" i="114" s="1"/>
  <c r="AD522" i="114"/>
  <c r="AJ522" i="114"/>
  <c r="AK522" i="114"/>
  <c r="AL522" i="114"/>
  <c r="AM522" i="114"/>
  <c r="AO522" i="114" s="1"/>
  <c r="AD523" i="114"/>
  <c r="AE523" i="114" s="1"/>
  <c r="AJ523" i="114"/>
  <c r="AK523" i="114"/>
  <c r="AL523" i="114"/>
  <c r="AM523" i="114"/>
  <c r="AO523" i="114" s="1"/>
  <c r="AD524" i="114"/>
  <c r="AJ524" i="114"/>
  <c r="AK524" i="114"/>
  <c r="AL524" i="114"/>
  <c r="AM524" i="114"/>
  <c r="AO524" i="114" s="1"/>
  <c r="AD525" i="114"/>
  <c r="AE525" i="114" s="1"/>
  <c r="AJ525" i="114"/>
  <c r="AK525" i="114"/>
  <c r="AL525" i="114"/>
  <c r="AM525" i="114"/>
  <c r="AO525" i="114" s="1"/>
  <c r="AD526" i="114"/>
  <c r="AE526" i="114" s="1"/>
  <c r="AJ526" i="114"/>
  <c r="AK526" i="114"/>
  <c r="AL526" i="114"/>
  <c r="AM526" i="114"/>
  <c r="AO526" i="114" s="1"/>
  <c r="AD527" i="114"/>
  <c r="AE527" i="114" s="1"/>
  <c r="AJ527" i="114"/>
  <c r="AK527" i="114"/>
  <c r="AL527" i="114"/>
  <c r="AM527" i="114"/>
  <c r="AO527" i="114" s="1"/>
  <c r="AD528" i="114"/>
  <c r="AE528" i="114" s="1"/>
  <c r="AJ528" i="114"/>
  <c r="AK528" i="114"/>
  <c r="AL528" i="114"/>
  <c r="AM528" i="114"/>
  <c r="AO528" i="114" s="1"/>
  <c r="AD529" i="114"/>
  <c r="AJ529" i="114"/>
  <c r="AK529" i="114"/>
  <c r="AL529" i="114"/>
  <c r="AM529" i="114"/>
  <c r="AO529" i="114" s="1"/>
  <c r="AD530" i="114"/>
  <c r="AE530" i="114" s="1"/>
  <c r="AJ530" i="114"/>
  <c r="AK530" i="114"/>
  <c r="AL530" i="114"/>
  <c r="AM530" i="114"/>
  <c r="AO530" i="114" s="1"/>
  <c r="AD531" i="114"/>
  <c r="AE531" i="114" s="1"/>
  <c r="AJ531" i="114"/>
  <c r="AK531" i="114"/>
  <c r="AL531" i="114"/>
  <c r="AM531" i="114"/>
  <c r="AO531" i="114" s="1"/>
  <c r="AD532" i="114"/>
  <c r="AE532" i="114" s="1"/>
  <c r="AJ532" i="114"/>
  <c r="AK532" i="114"/>
  <c r="AL532" i="114"/>
  <c r="AM532" i="114"/>
  <c r="AO532" i="114" s="1"/>
  <c r="AD533" i="114"/>
  <c r="AJ533" i="114"/>
  <c r="AK533" i="114"/>
  <c r="AL533" i="114"/>
  <c r="AM533" i="114"/>
  <c r="AO533" i="114" s="1"/>
  <c r="AD534" i="114"/>
  <c r="AI534" i="114" s="1"/>
  <c r="AJ534" i="114"/>
  <c r="AK534" i="114"/>
  <c r="AL534" i="114"/>
  <c r="AM534" i="114"/>
  <c r="AO534" i="114" s="1"/>
  <c r="AD535" i="114"/>
  <c r="AE535" i="114" s="1"/>
  <c r="AJ535" i="114"/>
  <c r="AK535" i="114"/>
  <c r="AL535" i="114"/>
  <c r="AM535" i="114"/>
  <c r="AO535" i="114" s="1"/>
  <c r="AD536" i="114"/>
  <c r="AE536" i="114" s="1"/>
  <c r="AJ536" i="114"/>
  <c r="AK536" i="114"/>
  <c r="AL536" i="114"/>
  <c r="AM536" i="114"/>
  <c r="AO536" i="114" s="1"/>
  <c r="AD537" i="114"/>
  <c r="AJ537" i="114"/>
  <c r="AK537" i="114"/>
  <c r="AL537" i="114"/>
  <c r="AM537" i="114"/>
  <c r="AO537" i="114" s="1"/>
  <c r="AD538" i="114"/>
  <c r="AE538" i="114" s="1"/>
  <c r="AJ538" i="114"/>
  <c r="AK538" i="114"/>
  <c r="AL538" i="114"/>
  <c r="AM538" i="114"/>
  <c r="AO538" i="114" s="1"/>
  <c r="AD539" i="114"/>
  <c r="AJ539" i="114"/>
  <c r="AK539" i="114"/>
  <c r="AL539" i="114"/>
  <c r="AM539" i="114"/>
  <c r="AO539" i="114" s="1"/>
  <c r="AD540" i="114"/>
  <c r="AE540" i="114" s="1"/>
  <c r="AJ540" i="114"/>
  <c r="AK540" i="114"/>
  <c r="AL540" i="114"/>
  <c r="AM540" i="114"/>
  <c r="AO540" i="114" s="1"/>
  <c r="AD541" i="114"/>
  <c r="AJ541" i="114"/>
  <c r="AK541" i="114"/>
  <c r="AL541" i="114"/>
  <c r="AM541" i="114"/>
  <c r="AO541" i="114" s="1"/>
  <c r="AD542" i="114"/>
  <c r="AE542" i="114" s="1"/>
  <c r="AJ542" i="114"/>
  <c r="AK542" i="114"/>
  <c r="AL542" i="114"/>
  <c r="AM542" i="114"/>
  <c r="AO542" i="114" s="1"/>
  <c r="AD543" i="114"/>
  <c r="AE543" i="114" s="1"/>
  <c r="AJ543" i="114"/>
  <c r="AK543" i="114"/>
  <c r="AL543" i="114"/>
  <c r="AM543" i="114"/>
  <c r="AO543" i="114" s="1"/>
  <c r="AD544" i="114"/>
  <c r="AE544" i="114" s="1"/>
  <c r="AJ544" i="114"/>
  <c r="AK544" i="114"/>
  <c r="AL544" i="114"/>
  <c r="AM544" i="114"/>
  <c r="AO544" i="114" s="1"/>
  <c r="AD545" i="114"/>
  <c r="AE545" i="114" s="1"/>
  <c r="AJ545" i="114"/>
  <c r="AK545" i="114"/>
  <c r="AL545" i="114"/>
  <c r="AM545" i="114"/>
  <c r="AO545" i="114" s="1"/>
  <c r="AD546" i="114"/>
  <c r="AE546" i="114" s="1"/>
  <c r="AJ546" i="114"/>
  <c r="AK546" i="114"/>
  <c r="AL546" i="114"/>
  <c r="AM546" i="114"/>
  <c r="AO546" i="114" s="1"/>
  <c r="AD547" i="114"/>
  <c r="AJ547" i="114"/>
  <c r="AK547" i="114"/>
  <c r="AL547" i="114"/>
  <c r="AM547" i="114"/>
  <c r="AO547" i="114" s="1"/>
  <c r="AD548" i="114"/>
  <c r="AE548" i="114" s="1"/>
  <c r="AJ548" i="114"/>
  <c r="AK548" i="114"/>
  <c r="AL548" i="114"/>
  <c r="AM548" i="114"/>
  <c r="AO548" i="114" s="1"/>
  <c r="AD549" i="114"/>
  <c r="AJ549" i="114"/>
  <c r="AK549" i="114"/>
  <c r="AL549" i="114"/>
  <c r="AM549" i="114"/>
  <c r="AO549" i="114" s="1"/>
  <c r="AD550" i="114"/>
  <c r="AE550" i="114" s="1"/>
  <c r="AJ550" i="114"/>
  <c r="AK550" i="114"/>
  <c r="AL550" i="114"/>
  <c r="AM550" i="114"/>
  <c r="AO550" i="114" s="1"/>
  <c r="AD551" i="114"/>
  <c r="AE551" i="114" s="1"/>
  <c r="AJ551" i="114"/>
  <c r="AK551" i="114"/>
  <c r="AL551" i="114"/>
  <c r="AM551" i="114"/>
  <c r="AO551" i="114" s="1"/>
  <c r="AD552" i="114"/>
  <c r="AE552" i="114" s="1"/>
  <c r="AJ552" i="114"/>
  <c r="AK552" i="114"/>
  <c r="AL552" i="114"/>
  <c r="AM552" i="114"/>
  <c r="AO552" i="114" s="1"/>
  <c r="AD553" i="114"/>
  <c r="AE553" i="114" s="1"/>
  <c r="AJ553" i="114"/>
  <c r="AK553" i="114"/>
  <c r="AL553" i="114"/>
  <c r="AM553" i="114"/>
  <c r="AO553" i="114" s="1"/>
  <c r="AD554" i="114"/>
  <c r="AE554" i="114" s="1"/>
  <c r="AJ554" i="114"/>
  <c r="AK554" i="114"/>
  <c r="AL554" i="114"/>
  <c r="AM554" i="114"/>
  <c r="AO554" i="114" s="1"/>
  <c r="AD555" i="114"/>
  <c r="AE555" i="114" s="1"/>
  <c r="AJ555" i="114"/>
  <c r="AK555" i="114"/>
  <c r="AL555" i="114"/>
  <c r="AM555" i="114"/>
  <c r="AO555" i="114" s="1"/>
  <c r="AD556" i="114"/>
  <c r="AE556" i="114" s="1"/>
  <c r="AJ556" i="114"/>
  <c r="AK556" i="114"/>
  <c r="AL556" i="114"/>
  <c r="AM556" i="114"/>
  <c r="AO556" i="114" s="1"/>
  <c r="AD557" i="114"/>
  <c r="AJ557" i="114"/>
  <c r="AK557" i="114"/>
  <c r="AL557" i="114"/>
  <c r="AM557" i="114"/>
  <c r="AO557" i="114" s="1"/>
  <c r="AD558" i="114"/>
  <c r="AE558" i="114" s="1"/>
  <c r="AJ558" i="114"/>
  <c r="AK558" i="114"/>
  <c r="AL558" i="114"/>
  <c r="AM558" i="114"/>
  <c r="AO558" i="114" s="1"/>
  <c r="AD559" i="114"/>
  <c r="AE559" i="114" s="1"/>
  <c r="AJ559" i="114"/>
  <c r="AK559" i="114"/>
  <c r="AL559" i="114"/>
  <c r="AM559" i="114"/>
  <c r="AO559" i="114" s="1"/>
  <c r="AD560" i="114"/>
  <c r="AE560" i="114" s="1"/>
  <c r="AJ560" i="114"/>
  <c r="AK560" i="114"/>
  <c r="AL560" i="114"/>
  <c r="AM560" i="114"/>
  <c r="AO560" i="114" s="1"/>
  <c r="AD561" i="114"/>
  <c r="AE561" i="114" s="1"/>
  <c r="AJ561" i="114"/>
  <c r="AK561" i="114"/>
  <c r="AL561" i="114"/>
  <c r="AM561" i="114"/>
  <c r="AO561" i="114" s="1"/>
  <c r="AD562" i="114"/>
  <c r="AJ562" i="114"/>
  <c r="AK562" i="114"/>
  <c r="AL562" i="114"/>
  <c r="AM562" i="114"/>
  <c r="AO562" i="114" s="1"/>
  <c r="AD563" i="114"/>
  <c r="AE563" i="114" s="1"/>
  <c r="AJ563" i="114"/>
  <c r="AK563" i="114"/>
  <c r="AL563" i="114"/>
  <c r="AM563" i="114"/>
  <c r="AO563" i="114" s="1"/>
  <c r="AD564" i="114"/>
  <c r="AE564" i="114" s="1"/>
  <c r="AJ564" i="114"/>
  <c r="AK564" i="114"/>
  <c r="AL564" i="114"/>
  <c r="AM564" i="114"/>
  <c r="AO564" i="114" s="1"/>
  <c r="AD565" i="114"/>
  <c r="AJ565" i="114"/>
  <c r="AK565" i="114"/>
  <c r="AL565" i="114"/>
  <c r="AM565" i="114"/>
  <c r="AO565" i="114" s="1"/>
  <c r="AD566" i="114"/>
  <c r="AE566" i="114" s="1"/>
  <c r="AJ566" i="114"/>
  <c r="AK566" i="114"/>
  <c r="AL566" i="114"/>
  <c r="AM566" i="114"/>
  <c r="AO566" i="114" s="1"/>
  <c r="AD567" i="114"/>
  <c r="AE567" i="114" s="1"/>
  <c r="AJ567" i="114"/>
  <c r="AK567" i="114"/>
  <c r="AL567" i="114"/>
  <c r="AM567" i="114"/>
  <c r="AO567" i="114" s="1"/>
  <c r="AD568" i="114"/>
  <c r="AE568" i="114" s="1"/>
  <c r="AJ568" i="114"/>
  <c r="AK568" i="114"/>
  <c r="AL568" i="114"/>
  <c r="AM568" i="114"/>
  <c r="AO568" i="114" s="1"/>
  <c r="AD569" i="114"/>
  <c r="AE569" i="114" s="1"/>
  <c r="AJ569" i="114"/>
  <c r="AK569" i="114"/>
  <c r="AL569" i="114"/>
  <c r="AM569" i="114"/>
  <c r="AO569" i="114" s="1"/>
  <c r="AD570" i="114"/>
  <c r="AJ570" i="114"/>
  <c r="AK570" i="114"/>
  <c r="AL570" i="114"/>
  <c r="AM570" i="114"/>
  <c r="AO570" i="114" s="1"/>
  <c r="AD571" i="114"/>
  <c r="AE571" i="114" s="1"/>
  <c r="AJ571" i="114"/>
  <c r="AK571" i="114"/>
  <c r="AL571" i="114"/>
  <c r="AM571" i="114"/>
  <c r="AO571" i="114" s="1"/>
  <c r="AD572" i="114"/>
  <c r="AE572" i="114" s="1"/>
  <c r="AJ572" i="114"/>
  <c r="AK572" i="114"/>
  <c r="AL572" i="114"/>
  <c r="AM572" i="114"/>
  <c r="AO572" i="114" s="1"/>
  <c r="AD573" i="114"/>
  <c r="AE573" i="114" s="1"/>
  <c r="AJ573" i="114"/>
  <c r="AK573" i="114"/>
  <c r="AL573" i="114"/>
  <c r="AM573" i="114"/>
  <c r="AO573" i="114" s="1"/>
  <c r="AD574" i="114"/>
  <c r="AJ574" i="114"/>
  <c r="AK574" i="114"/>
  <c r="AL574" i="114"/>
  <c r="AM574" i="114"/>
  <c r="AO574" i="114" s="1"/>
  <c r="AD575" i="114"/>
  <c r="AE575" i="114" s="1"/>
  <c r="AJ575" i="114"/>
  <c r="AK575" i="114"/>
  <c r="AL575" i="114"/>
  <c r="AM575" i="114"/>
  <c r="AO575" i="114" s="1"/>
  <c r="AD576" i="114"/>
  <c r="AE576" i="114" s="1"/>
  <c r="AJ576" i="114"/>
  <c r="AK576" i="114"/>
  <c r="AL576" i="114"/>
  <c r="AM576" i="114"/>
  <c r="AO576" i="114" s="1"/>
  <c r="AD577" i="114"/>
  <c r="AJ577" i="114"/>
  <c r="AK577" i="114"/>
  <c r="AL577" i="114"/>
  <c r="AM577" i="114"/>
  <c r="AO577" i="114" s="1"/>
  <c r="AD578" i="114"/>
  <c r="AJ578" i="114"/>
  <c r="AK578" i="114"/>
  <c r="AL578" i="114"/>
  <c r="AM578" i="114"/>
  <c r="AO578" i="114" s="1"/>
  <c r="AD579" i="114"/>
  <c r="AJ579" i="114"/>
  <c r="AK579" i="114"/>
  <c r="AL579" i="114"/>
  <c r="AM579" i="114"/>
  <c r="AO579" i="114" s="1"/>
  <c r="AD580" i="114"/>
  <c r="AJ580" i="114"/>
  <c r="AK580" i="114"/>
  <c r="AL580" i="114"/>
  <c r="AM580" i="114"/>
  <c r="AO580" i="114" s="1"/>
  <c r="AD581" i="114"/>
  <c r="AJ581" i="114"/>
  <c r="AK581" i="114"/>
  <c r="AL581" i="114"/>
  <c r="AM581" i="114"/>
  <c r="AO581" i="114" s="1"/>
  <c r="AD582" i="114"/>
  <c r="AE582" i="114" s="1"/>
  <c r="AJ582" i="114"/>
  <c r="AK582" i="114"/>
  <c r="AL582" i="114"/>
  <c r="AM582" i="114"/>
  <c r="AO582" i="114" s="1"/>
  <c r="AD583" i="114"/>
  <c r="AJ583" i="114"/>
  <c r="AK583" i="114"/>
  <c r="AL583" i="114"/>
  <c r="AM583" i="114"/>
  <c r="AO583" i="114" s="1"/>
  <c r="AD584" i="114"/>
  <c r="AE584" i="114" s="1"/>
  <c r="AJ584" i="114"/>
  <c r="AK584" i="114"/>
  <c r="AL584" i="114"/>
  <c r="AM584" i="114"/>
  <c r="AO584" i="114" s="1"/>
  <c r="AD585" i="114"/>
  <c r="AJ585" i="114"/>
  <c r="AK585" i="114"/>
  <c r="AL585" i="114"/>
  <c r="AM585" i="114"/>
  <c r="AO585" i="114" s="1"/>
  <c r="AD586" i="114"/>
  <c r="AE586" i="114" s="1"/>
  <c r="AJ586" i="114"/>
  <c r="AK586" i="114"/>
  <c r="AL586" i="114"/>
  <c r="AM586" i="114"/>
  <c r="AO586" i="114" s="1"/>
  <c r="AD587" i="114"/>
  <c r="AJ587" i="114"/>
  <c r="AK587" i="114"/>
  <c r="AL587" i="114"/>
  <c r="AM587" i="114"/>
  <c r="AO587" i="114" s="1"/>
  <c r="AD588" i="114"/>
  <c r="AE588" i="114" s="1"/>
  <c r="AJ588" i="114"/>
  <c r="AK588" i="114"/>
  <c r="AL588" i="114"/>
  <c r="AM588" i="114"/>
  <c r="AO588" i="114" s="1"/>
  <c r="AD589" i="114"/>
  <c r="AJ589" i="114"/>
  <c r="AK589" i="114"/>
  <c r="AL589" i="114"/>
  <c r="AM589" i="114"/>
  <c r="AO589" i="114" s="1"/>
  <c r="AD590" i="114"/>
  <c r="AE590" i="114" s="1"/>
  <c r="AJ590" i="114"/>
  <c r="AK590" i="114"/>
  <c r="AL590" i="114"/>
  <c r="AM590" i="114"/>
  <c r="AO590" i="114" s="1"/>
  <c r="AD591" i="114"/>
  <c r="AJ591" i="114"/>
  <c r="AK591" i="114"/>
  <c r="AL591" i="114"/>
  <c r="AM591" i="114"/>
  <c r="AO591" i="114" s="1"/>
  <c r="AD592" i="114"/>
  <c r="AE592" i="114" s="1"/>
  <c r="AJ592" i="114"/>
  <c r="AK592" i="114"/>
  <c r="AL592" i="114"/>
  <c r="AM592" i="114"/>
  <c r="AO592" i="114"/>
  <c r="AD593" i="114"/>
  <c r="AE593" i="114" s="1"/>
  <c r="AJ593" i="114"/>
  <c r="AK593" i="114"/>
  <c r="AL593" i="114"/>
  <c r="AM593" i="114"/>
  <c r="AO593" i="114" s="1"/>
  <c r="AD594" i="114"/>
  <c r="AI594" i="114"/>
  <c r="AJ594" i="114"/>
  <c r="AK594" i="114"/>
  <c r="AL594" i="114"/>
  <c r="AM594" i="114"/>
  <c r="AO594" i="114" s="1"/>
  <c r="AD595" i="114"/>
  <c r="AE595" i="114" s="1"/>
  <c r="AJ595" i="114"/>
  <c r="AK595" i="114"/>
  <c r="AL595" i="114"/>
  <c r="AM595" i="114"/>
  <c r="AO595" i="114" s="1"/>
  <c r="AD596" i="114"/>
  <c r="AJ596" i="114"/>
  <c r="AK596" i="114"/>
  <c r="AL596" i="114"/>
  <c r="AM596" i="114"/>
  <c r="AO596" i="114" s="1"/>
  <c r="AD597" i="114"/>
  <c r="AJ597" i="114"/>
  <c r="AK597" i="114"/>
  <c r="AL597" i="114"/>
  <c r="AM597" i="114"/>
  <c r="AO597" i="114" s="1"/>
  <c r="AD598" i="114"/>
  <c r="AE598" i="114" s="1"/>
  <c r="AJ598" i="114"/>
  <c r="AK598" i="114"/>
  <c r="AL598" i="114"/>
  <c r="AM598" i="114"/>
  <c r="AO598" i="114" s="1"/>
  <c r="AD599" i="114"/>
  <c r="AE599" i="114" s="1"/>
  <c r="AJ599" i="114"/>
  <c r="AK599" i="114"/>
  <c r="AL599" i="114"/>
  <c r="AM599" i="114"/>
  <c r="AO599" i="114" s="1"/>
  <c r="AD600" i="114"/>
  <c r="AJ600" i="114"/>
  <c r="AK600" i="114"/>
  <c r="AL600" i="114"/>
  <c r="AM600" i="114"/>
  <c r="AO600" i="114" s="1"/>
  <c r="AD601" i="114"/>
  <c r="AJ601" i="114"/>
  <c r="AK601" i="114"/>
  <c r="AL601" i="114"/>
  <c r="AM601" i="114"/>
  <c r="AO601" i="114" s="1"/>
  <c r="AD602" i="114"/>
  <c r="AE602" i="114" s="1"/>
  <c r="AJ602" i="114"/>
  <c r="AK602" i="114"/>
  <c r="AL602" i="114"/>
  <c r="AM602" i="114"/>
  <c r="AO602" i="114" s="1"/>
  <c r="AD603" i="114"/>
  <c r="AJ603" i="114"/>
  <c r="AK603" i="114"/>
  <c r="AL603" i="114"/>
  <c r="AM603" i="114"/>
  <c r="AO603" i="114" s="1"/>
  <c r="AD604" i="114"/>
  <c r="AE604" i="114" s="1"/>
  <c r="AJ604" i="114"/>
  <c r="AK604" i="114"/>
  <c r="AL604" i="114"/>
  <c r="AM604" i="114"/>
  <c r="AO604" i="114" s="1"/>
  <c r="AD605" i="114"/>
  <c r="AJ605" i="114"/>
  <c r="AK605" i="114"/>
  <c r="AL605" i="114"/>
  <c r="AM605" i="114"/>
  <c r="AO605" i="114" s="1"/>
  <c r="AD606" i="114"/>
  <c r="AE606" i="114" s="1"/>
  <c r="AJ606" i="114"/>
  <c r="AK606" i="114"/>
  <c r="AL606" i="114"/>
  <c r="AM606" i="114"/>
  <c r="AO606" i="114" s="1"/>
  <c r="AD607" i="114"/>
  <c r="AJ607" i="114"/>
  <c r="AK607" i="114"/>
  <c r="AL607" i="114"/>
  <c r="AM607" i="114"/>
  <c r="AO607" i="114" s="1"/>
  <c r="AD608" i="114"/>
  <c r="AE608" i="114" s="1"/>
  <c r="AJ608" i="114"/>
  <c r="AK608" i="114"/>
  <c r="AL608" i="114"/>
  <c r="AM608" i="114"/>
  <c r="AO608" i="114" s="1"/>
  <c r="AD609" i="114"/>
  <c r="AJ609" i="114"/>
  <c r="AK609" i="114"/>
  <c r="AL609" i="114"/>
  <c r="AM609" i="114"/>
  <c r="AO609" i="114" s="1"/>
  <c r="AD610" i="114"/>
  <c r="AE610" i="114" s="1"/>
  <c r="AJ610" i="114"/>
  <c r="AK610" i="114"/>
  <c r="AL610" i="114"/>
  <c r="AM610" i="114"/>
  <c r="AO610" i="114" s="1"/>
  <c r="AD611" i="114"/>
  <c r="AJ611" i="114"/>
  <c r="AK611" i="114"/>
  <c r="AL611" i="114"/>
  <c r="AM611" i="114"/>
  <c r="AO611" i="114" s="1"/>
  <c r="AD612" i="114"/>
  <c r="AJ612" i="114"/>
  <c r="AK612" i="114"/>
  <c r="AL612" i="114"/>
  <c r="AM612" i="114"/>
  <c r="AO612" i="114" s="1"/>
  <c r="AD613" i="114"/>
  <c r="AJ613" i="114"/>
  <c r="AK613" i="114"/>
  <c r="AL613" i="114"/>
  <c r="AM613" i="114"/>
  <c r="AO613" i="114" s="1"/>
  <c r="AD614" i="114"/>
  <c r="AE614" i="114" s="1"/>
  <c r="AJ614" i="114"/>
  <c r="AK614" i="114"/>
  <c r="AL614" i="114"/>
  <c r="AM614" i="114"/>
  <c r="AO614" i="114" s="1"/>
  <c r="AD615" i="114"/>
  <c r="AJ615" i="114"/>
  <c r="AK615" i="114"/>
  <c r="AL615" i="114"/>
  <c r="AM615" i="114"/>
  <c r="AO615" i="114" s="1"/>
  <c r="AD616" i="114"/>
  <c r="AE616" i="114" s="1"/>
  <c r="AJ616" i="114"/>
  <c r="AK616" i="114"/>
  <c r="AL616" i="114"/>
  <c r="AM616" i="114"/>
  <c r="AO616" i="114" s="1"/>
  <c r="AD617" i="114"/>
  <c r="AJ617" i="114"/>
  <c r="AK617" i="114"/>
  <c r="AL617" i="114"/>
  <c r="AM617" i="114"/>
  <c r="AO617" i="114" s="1"/>
  <c r="AD618" i="114"/>
  <c r="AE618" i="114" s="1"/>
  <c r="AJ618" i="114"/>
  <c r="AK618" i="114"/>
  <c r="AL618" i="114"/>
  <c r="AM618" i="114"/>
  <c r="AO618" i="114" s="1"/>
  <c r="AD619" i="114"/>
  <c r="AJ619" i="114"/>
  <c r="AK619" i="114"/>
  <c r="AL619" i="114"/>
  <c r="AM619" i="114"/>
  <c r="AO619" i="114" s="1"/>
  <c r="AD620" i="114"/>
  <c r="AE620" i="114" s="1"/>
  <c r="AJ620" i="114"/>
  <c r="AK620" i="114"/>
  <c r="AL620" i="114"/>
  <c r="AM620" i="114"/>
  <c r="AO620" i="114" s="1"/>
  <c r="AD621" i="114"/>
  <c r="AJ621" i="114"/>
  <c r="AK621" i="114"/>
  <c r="AL621" i="114"/>
  <c r="AM621" i="114"/>
  <c r="AO621" i="114" s="1"/>
  <c r="AD622" i="114"/>
  <c r="AE622" i="114" s="1"/>
  <c r="AJ622" i="114"/>
  <c r="AK622" i="114"/>
  <c r="AL622" i="114"/>
  <c r="AM622" i="114"/>
  <c r="AO622" i="114" s="1"/>
  <c r="AD623" i="114"/>
  <c r="AJ623" i="114"/>
  <c r="AK623" i="114"/>
  <c r="AL623" i="114"/>
  <c r="AM623" i="114"/>
  <c r="AO623" i="114" s="1"/>
  <c r="AD624" i="114"/>
  <c r="AE624" i="114" s="1"/>
  <c r="AJ624" i="114"/>
  <c r="AK624" i="114"/>
  <c r="AL624" i="114"/>
  <c r="AM624" i="114"/>
  <c r="AO624" i="114" s="1"/>
  <c r="AD625" i="114"/>
  <c r="AE625" i="114" s="1"/>
  <c r="AJ625" i="114"/>
  <c r="AK625" i="114"/>
  <c r="AL625" i="114"/>
  <c r="AM625" i="114"/>
  <c r="AO625" i="114" s="1"/>
  <c r="AD626" i="114"/>
  <c r="AE626" i="114" s="1"/>
  <c r="AJ626" i="114"/>
  <c r="AK626" i="114"/>
  <c r="AL626" i="114"/>
  <c r="AM626" i="114"/>
  <c r="AO626" i="114" s="1"/>
  <c r="AD627" i="114"/>
  <c r="AJ627" i="114"/>
  <c r="AK627" i="114"/>
  <c r="AL627" i="114"/>
  <c r="AM627" i="114"/>
  <c r="AO627" i="114" s="1"/>
  <c r="AD628" i="114"/>
  <c r="AE628" i="114" s="1"/>
  <c r="AJ628" i="114"/>
  <c r="AK628" i="114"/>
  <c r="AL628" i="114"/>
  <c r="AM628" i="114"/>
  <c r="AO628" i="114" s="1"/>
  <c r="AD629" i="114"/>
  <c r="AJ629" i="114"/>
  <c r="AK629" i="114"/>
  <c r="AL629" i="114"/>
  <c r="AM629" i="114"/>
  <c r="AO629" i="114" s="1"/>
  <c r="AD630" i="114"/>
  <c r="AE630" i="114" s="1"/>
  <c r="AJ630" i="114"/>
  <c r="AK630" i="114"/>
  <c r="AL630" i="114"/>
  <c r="AM630" i="114"/>
  <c r="AO630" i="114" s="1"/>
  <c r="AD631" i="114"/>
  <c r="AJ631" i="114"/>
  <c r="AK631" i="114"/>
  <c r="AL631" i="114"/>
  <c r="AM631" i="114"/>
  <c r="AO631" i="114" s="1"/>
  <c r="AD632" i="114"/>
  <c r="AE632" i="114" s="1"/>
  <c r="AJ632" i="114"/>
  <c r="AK632" i="114"/>
  <c r="AL632" i="114"/>
  <c r="AM632" i="114"/>
  <c r="AO632" i="114" s="1"/>
  <c r="AD633" i="114"/>
  <c r="AE633" i="114" s="1"/>
  <c r="AJ633" i="114"/>
  <c r="AK633" i="114"/>
  <c r="AL633" i="114"/>
  <c r="AM633" i="114"/>
  <c r="AO633" i="114" s="1"/>
  <c r="AD634" i="114"/>
  <c r="AJ634" i="114"/>
  <c r="AK634" i="114"/>
  <c r="AL634" i="114"/>
  <c r="AM634" i="114"/>
  <c r="AO634" i="114" s="1"/>
  <c r="AD635" i="114"/>
  <c r="AJ635" i="114"/>
  <c r="AK635" i="114"/>
  <c r="AL635" i="114"/>
  <c r="AM635" i="114"/>
  <c r="AO635" i="114" s="1"/>
  <c r="AD636" i="114"/>
  <c r="AE636" i="114" s="1"/>
  <c r="AJ636" i="114"/>
  <c r="AK636" i="114"/>
  <c r="AL636" i="114"/>
  <c r="AM636" i="114"/>
  <c r="AO636" i="114" s="1"/>
  <c r="AD637" i="114"/>
  <c r="AJ637" i="114"/>
  <c r="AK637" i="114"/>
  <c r="AL637" i="114"/>
  <c r="AM637" i="114"/>
  <c r="AO637" i="114" s="1"/>
  <c r="AD638" i="114"/>
  <c r="AE638" i="114" s="1"/>
  <c r="AJ638" i="114"/>
  <c r="AK638" i="114"/>
  <c r="AL638" i="114"/>
  <c r="AM638" i="114"/>
  <c r="AO638" i="114" s="1"/>
  <c r="AD639" i="114"/>
  <c r="AJ639" i="114"/>
  <c r="AK639" i="114"/>
  <c r="AL639" i="114"/>
  <c r="AM639" i="114"/>
  <c r="AO639" i="114" s="1"/>
  <c r="AD640" i="114"/>
  <c r="AE640" i="114" s="1"/>
  <c r="AJ640" i="114"/>
  <c r="AK640" i="114"/>
  <c r="AL640" i="114"/>
  <c r="AM640" i="114"/>
  <c r="AO640" i="114" s="1"/>
  <c r="AD641" i="114"/>
  <c r="AE641" i="114" s="1"/>
  <c r="AJ641" i="114"/>
  <c r="AK641" i="114"/>
  <c r="AL641" i="114"/>
  <c r="AM641" i="114"/>
  <c r="AO641" i="114" s="1"/>
  <c r="AD642" i="114"/>
  <c r="AE642" i="114" s="1"/>
  <c r="AJ642" i="114"/>
  <c r="AK642" i="114"/>
  <c r="AL642" i="114"/>
  <c r="AM642" i="114"/>
  <c r="AO642" i="114" s="1"/>
  <c r="AD643" i="114"/>
  <c r="AJ643" i="114"/>
  <c r="AK643" i="114"/>
  <c r="AL643" i="114"/>
  <c r="AM643" i="114"/>
  <c r="AO643" i="114" s="1"/>
  <c r="AD644" i="114"/>
  <c r="AE644" i="114" s="1"/>
  <c r="AJ644" i="114"/>
  <c r="AK644" i="114"/>
  <c r="AL644" i="114"/>
  <c r="AM644" i="114"/>
  <c r="AO644" i="114" s="1"/>
  <c r="AD645" i="114"/>
  <c r="AJ645" i="114"/>
  <c r="AK645" i="114"/>
  <c r="AL645" i="114"/>
  <c r="AM645" i="114"/>
  <c r="AO645" i="114" s="1"/>
  <c r="AD646" i="114"/>
  <c r="AE646" i="114" s="1"/>
  <c r="AJ646" i="114"/>
  <c r="AK646" i="114"/>
  <c r="AL646" i="114"/>
  <c r="AM646" i="114"/>
  <c r="AO646" i="114" s="1"/>
  <c r="AD647" i="114"/>
  <c r="AJ647" i="114"/>
  <c r="AK647" i="114"/>
  <c r="AL647" i="114"/>
  <c r="AM647" i="114"/>
  <c r="AO647" i="114" s="1"/>
  <c r="AD648" i="114"/>
  <c r="AE648" i="114" s="1"/>
  <c r="AJ648" i="114"/>
  <c r="AK648" i="114"/>
  <c r="AL648" i="114"/>
  <c r="AM648" i="114"/>
  <c r="AO648" i="114" s="1"/>
  <c r="AD649" i="114"/>
  <c r="AE649" i="114" s="1"/>
  <c r="AJ649" i="114"/>
  <c r="AK649" i="114"/>
  <c r="AL649" i="114"/>
  <c r="AM649" i="114"/>
  <c r="AO649" i="114" s="1"/>
  <c r="AD650" i="114"/>
  <c r="AE650" i="114" s="1"/>
  <c r="AJ650" i="114"/>
  <c r="AK650" i="114"/>
  <c r="AL650" i="114"/>
  <c r="AM650" i="114"/>
  <c r="AO650" i="114" s="1"/>
  <c r="AD651" i="114"/>
  <c r="AJ651" i="114"/>
  <c r="AK651" i="114"/>
  <c r="AL651" i="114"/>
  <c r="AM651" i="114"/>
  <c r="AO651" i="114" s="1"/>
  <c r="AD652" i="114"/>
  <c r="AE652" i="114" s="1"/>
  <c r="AJ652" i="114"/>
  <c r="AK652" i="114"/>
  <c r="AL652" i="114"/>
  <c r="AM652" i="114"/>
  <c r="AO652" i="114" s="1"/>
  <c r="AD653" i="114"/>
  <c r="AJ653" i="114"/>
  <c r="AK653" i="114"/>
  <c r="AL653" i="114"/>
  <c r="AM653" i="114"/>
  <c r="AO653" i="114" s="1"/>
  <c r="AD654" i="114"/>
  <c r="AE654" i="114" s="1"/>
  <c r="AJ654" i="114"/>
  <c r="AK654" i="114"/>
  <c r="AL654" i="114"/>
  <c r="AM654" i="114"/>
  <c r="AO654" i="114" s="1"/>
  <c r="AD655" i="114"/>
  <c r="AJ655" i="114"/>
  <c r="AK655" i="114"/>
  <c r="AL655" i="114"/>
  <c r="AM655" i="114"/>
  <c r="AO655" i="114" s="1"/>
  <c r="AD656" i="114"/>
  <c r="AE656" i="114" s="1"/>
  <c r="AJ656" i="114"/>
  <c r="AK656" i="114"/>
  <c r="AL656" i="114"/>
  <c r="AM656" i="114"/>
  <c r="AO656" i="114" s="1"/>
  <c r="AD657" i="114"/>
  <c r="AE657" i="114" s="1"/>
  <c r="AJ657" i="114"/>
  <c r="AK657" i="114"/>
  <c r="AL657" i="114"/>
  <c r="AM657" i="114"/>
  <c r="AO657" i="114" s="1"/>
  <c r="AD658" i="114"/>
  <c r="AE658" i="114" s="1"/>
  <c r="AJ658" i="114"/>
  <c r="AK658" i="114"/>
  <c r="AL658" i="114"/>
  <c r="AM658" i="114"/>
  <c r="AO658" i="114" s="1"/>
  <c r="AD659" i="114"/>
  <c r="AJ659" i="114"/>
  <c r="AK659" i="114"/>
  <c r="AL659" i="114"/>
  <c r="AM659" i="114"/>
  <c r="AO659" i="114" s="1"/>
  <c r="AD660" i="114"/>
  <c r="AE660" i="114" s="1"/>
  <c r="AJ660" i="114"/>
  <c r="AK660" i="114"/>
  <c r="AL660" i="114"/>
  <c r="AM660" i="114"/>
  <c r="AO660" i="114" s="1"/>
  <c r="AD661" i="114"/>
  <c r="AJ661" i="114"/>
  <c r="AK661" i="114"/>
  <c r="AL661" i="114"/>
  <c r="AM661" i="114"/>
  <c r="AO661" i="114" s="1"/>
  <c r="AD662" i="114"/>
  <c r="AE662" i="114" s="1"/>
  <c r="AJ662" i="114"/>
  <c r="AK662" i="114"/>
  <c r="AL662" i="114"/>
  <c r="AM662" i="114"/>
  <c r="AO662" i="114" s="1"/>
  <c r="AD663" i="114"/>
  <c r="AJ663" i="114"/>
  <c r="AK663" i="114"/>
  <c r="AL663" i="114"/>
  <c r="AM663" i="114"/>
  <c r="AO663" i="114" s="1"/>
  <c r="AD664" i="114"/>
  <c r="AE664" i="114" s="1"/>
  <c r="AJ664" i="114"/>
  <c r="AK664" i="114"/>
  <c r="AL664" i="114"/>
  <c r="AM664" i="114"/>
  <c r="AO664" i="114" s="1"/>
  <c r="AD665" i="114"/>
  <c r="AE665" i="114" s="1"/>
  <c r="AJ665" i="114"/>
  <c r="AK665" i="114"/>
  <c r="AL665" i="114"/>
  <c r="AM665" i="114"/>
  <c r="AO665" i="114" s="1"/>
  <c r="AD666" i="114"/>
  <c r="AE666" i="114" s="1"/>
  <c r="AJ666" i="114"/>
  <c r="AK666" i="114"/>
  <c r="AL666" i="114"/>
  <c r="AM666" i="114"/>
  <c r="AO666" i="114" s="1"/>
  <c r="AD667" i="114"/>
  <c r="AJ667" i="114"/>
  <c r="AK667" i="114"/>
  <c r="AL667" i="114"/>
  <c r="AM667" i="114"/>
  <c r="AO667" i="114" s="1"/>
  <c r="AD668" i="114"/>
  <c r="AE668" i="114" s="1"/>
  <c r="AJ668" i="114"/>
  <c r="AK668" i="114"/>
  <c r="AL668" i="114"/>
  <c r="AM668" i="114"/>
  <c r="AO668" i="114" s="1"/>
  <c r="AD669" i="114"/>
  <c r="AJ669" i="114"/>
  <c r="AK669" i="114"/>
  <c r="AL669" i="114"/>
  <c r="AM669" i="114"/>
  <c r="AO669" i="114" s="1"/>
  <c r="AD670" i="114"/>
  <c r="AE670" i="114" s="1"/>
  <c r="AJ670" i="114"/>
  <c r="AK670" i="114"/>
  <c r="AL670" i="114"/>
  <c r="AM670" i="114"/>
  <c r="AO670" i="114" s="1"/>
  <c r="AD671" i="114"/>
  <c r="AJ671" i="114"/>
  <c r="AK671" i="114"/>
  <c r="AL671" i="114"/>
  <c r="AM671" i="114"/>
  <c r="AO671" i="114" s="1"/>
  <c r="AD672" i="114"/>
  <c r="AE672" i="114" s="1"/>
  <c r="AJ672" i="114"/>
  <c r="AK672" i="114"/>
  <c r="AL672" i="114"/>
  <c r="AM672" i="114"/>
  <c r="AO672" i="114"/>
  <c r="AD673" i="114"/>
  <c r="AE673" i="114" s="1"/>
  <c r="AJ673" i="114"/>
  <c r="AK673" i="114"/>
  <c r="AL673" i="114"/>
  <c r="AM673" i="114"/>
  <c r="AO673" i="114" s="1"/>
  <c r="AD674" i="114"/>
  <c r="AE674" i="114" s="1"/>
  <c r="AJ674" i="114"/>
  <c r="AK674" i="114"/>
  <c r="AL674" i="114"/>
  <c r="AM674" i="114"/>
  <c r="AO674" i="114" s="1"/>
  <c r="AD675" i="114"/>
  <c r="AI675" i="114"/>
  <c r="AJ675" i="114"/>
  <c r="AK675" i="114"/>
  <c r="AL675" i="114"/>
  <c r="AM675" i="114"/>
  <c r="AO675" i="114" s="1"/>
  <c r="AD676" i="114"/>
  <c r="AE676" i="114" s="1"/>
  <c r="AJ676" i="114"/>
  <c r="AK676" i="114"/>
  <c r="AL676" i="114"/>
  <c r="AM676" i="114"/>
  <c r="AO676" i="114" s="1"/>
  <c r="AD677" i="114"/>
  <c r="AE677" i="114" s="1"/>
  <c r="AG677" i="114"/>
  <c r="AJ677" i="114"/>
  <c r="AK677" i="114"/>
  <c r="AL677" i="114"/>
  <c r="AM677" i="114"/>
  <c r="AO677" i="114" s="1"/>
  <c r="AD678" i="114"/>
  <c r="AJ678" i="114"/>
  <c r="AK678" i="114"/>
  <c r="AL678" i="114"/>
  <c r="AM678" i="114"/>
  <c r="AO678" i="114" s="1"/>
  <c r="AD679" i="114"/>
  <c r="AJ679" i="114"/>
  <c r="AK679" i="114"/>
  <c r="AL679" i="114"/>
  <c r="AM679" i="114"/>
  <c r="AO679" i="114" s="1"/>
  <c r="AD680" i="114"/>
  <c r="AE680" i="114" s="1"/>
  <c r="AJ680" i="114"/>
  <c r="AK680" i="114"/>
  <c r="AL680" i="114"/>
  <c r="AM680" i="114"/>
  <c r="AO680" i="114" s="1"/>
  <c r="AD681" i="114"/>
  <c r="AJ681" i="114"/>
  <c r="AK681" i="114"/>
  <c r="AL681" i="114"/>
  <c r="AM681" i="114"/>
  <c r="AO681" i="114" s="1"/>
  <c r="AD682" i="114"/>
  <c r="AE682" i="114" s="1"/>
  <c r="AJ682" i="114"/>
  <c r="AK682" i="114"/>
  <c r="AL682" i="114"/>
  <c r="AM682" i="114"/>
  <c r="AO682" i="114" s="1"/>
  <c r="AD683" i="114"/>
  <c r="AJ683" i="114"/>
  <c r="AK683" i="114"/>
  <c r="AL683" i="114"/>
  <c r="AM683" i="114"/>
  <c r="AO683" i="114" s="1"/>
  <c r="AD684" i="114"/>
  <c r="AE684" i="114" s="1"/>
  <c r="AJ684" i="114"/>
  <c r="AK684" i="114"/>
  <c r="AL684" i="114"/>
  <c r="AM684" i="114"/>
  <c r="AO684" i="114"/>
  <c r="AD685" i="114"/>
  <c r="AE685" i="114" s="1"/>
  <c r="AJ685" i="114"/>
  <c r="AK685" i="114"/>
  <c r="AL685" i="114"/>
  <c r="AM685" i="114"/>
  <c r="AO685" i="114" s="1"/>
  <c r="AD686" i="114"/>
  <c r="AJ686" i="114"/>
  <c r="AK686" i="114"/>
  <c r="AL686" i="114"/>
  <c r="AM686" i="114"/>
  <c r="AO686" i="114" s="1"/>
  <c r="AD687" i="114"/>
  <c r="AJ687" i="114"/>
  <c r="AK687" i="114"/>
  <c r="AL687" i="114"/>
  <c r="AM687" i="114"/>
  <c r="AO687" i="114" s="1"/>
  <c r="AD688" i="114"/>
  <c r="AE688" i="114" s="1"/>
  <c r="AJ688" i="114"/>
  <c r="AK688" i="114"/>
  <c r="AL688" i="114"/>
  <c r="AM688" i="114"/>
  <c r="AO688" i="114" s="1"/>
  <c r="AD689" i="114"/>
  <c r="AJ689" i="114"/>
  <c r="AK689" i="114"/>
  <c r="AL689" i="114"/>
  <c r="AM689" i="114"/>
  <c r="AO689" i="114" s="1"/>
  <c r="AD690" i="114"/>
  <c r="AE690" i="114" s="1"/>
  <c r="AJ690" i="114"/>
  <c r="AK690" i="114"/>
  <c r="AL690" i="114"/>
  <c r="AM690" i="114"/>
  <c r="AO690" i="114" s="1"/>
  <c r="AD691" i="114"/>
  <c r="AE691" i="114" s="1"/>
  <c r="AJ691" i="114"/>
  <c r="AK691" i="114"/>
  <c r="AL691" i="114"/>
  <c r="AM691" i="114"/>
  <c r="AO691" i="114" s="1"/>
  <c r="AD692" i="114"/>
  <c r="AE692" i="114" s="1"/>
  <c r="AJ692" i="114"/>
  <c r="AK692" i="114"/>
  <c r="AL692" i="114"/>
  <c r="AM692" i="114"/>
  <c r="AO692" i="114" s="1"/>
  <c r="AD693" i="114"/>
  <c r="AE693" i="114" s="1"/>
  <c r="AJ693" i="114"/>
  <c r="AK693" i="114"/>
  <c r="AL693" i="114"/>
  <c r="AM693" i="114"/>
  <c r="AO693" i="114" s="1"/>
  <c r="AD694" i="114"/>
  <c r="AJ694" i="114"/>
  <c r="AK694" i="114"/>
  <c r="AL694" i="114"/>
  <c r="AM694" i="114"/>
  <c r="AO694" i="114" s="1"/>
  <c r="AD695" i="114"/>
  <c r="AJ695" i="114"/>
  <c r="AK695" i="114"/>
  <c r="AL695" i="114"/>
  <c r="AM695" i="114"/>
  <c r="AO695" i="114" s="1"/>
  <c r="AD696" i="114"/>
  <c r="AJ696" i="114"/>
  <c r="AK696" i="114"/>
  <c r="AL696" i="114"/>
  <c r="AM696" i="114"/>
  <c r="AO696" i="114" s="1"/>
  <c r="AD697" i="114"/>
  <c r="AJ697" i="114"/>
  <c r="AK697" i="114"/>
  <c r="AL697" i="114"/>
  <c r="AM697" i="114"/>
  <c r="AO697" i="114" s="1"/>
  <c r="AD698" i="114"/>
  <c r="AE698" i="114" s="1"/>
  <c r="AJ698" i="114"/>
  <c r="AK698" i="114"/>
  <c r="AL698" i="114"/>
  <c r="AM698" i="114"/>
  <c r="AO698" i="114" s="1"/>
  <c r="AD699" i="114"/>
  <c r="AJ699" i="114"/>
  <c r="AK699" i="114"/>
  <c r="AL699" i="114"/>
  <c r="AM699" i="114"/>
  <c r="AO699" i="114" s="1"/>
  <c r="AD700" i="114"/>
  <c r="AE700" i="114" s="1"/>
  <c r="AJ700" i="114"/>
  <c r="AK700" i="114"/>
  <c r="AL700" i="114"/>
  <c r="AM700" i="114"/>
  <c r="AO700" i="114" s="1"/>
  <c r="AD701" i="114"/>
  <c r="AE701" i="114" s="1"/>
  <c r="AJ701" i="114"/>
  <c r="AK701" i="114"/>
  <c r="AL701" i="114"/>
  <c r="AM701" i="114"/>
  <c r="AO701" i="114" s="1"/>
  <c r="AD702" i="114"/>
  <c r="AI702" i="114" s="1"/>
  <c r="AJ702" i="114"/>
  <c r="AK702" i="114"/>
  <c r="AL702" i="114"/>
  <c r="AM702" i="114"/>
  <c r="AO702" i="114" s="1"/>
  <c r="AD703" i="114"/>
  <c r="AJ703" i="114"/>
  <c r="AK703" i="114"/>
  <c r="AL703" i="114"/>
  <c r="AM703" i="114"/>
  <c r="AO703" i="114" s="1"/>
  <c r="AD704" i="114"/>
  <c r="AE704" i="114" s="1"/>
  <c r="AJ704" i="114"/>
  <c r="AK704" i="114"/>
  <c r="AL704" i="114"/>
  <c r="AM704" i="114"/>
  <c r="AO704" i="114" s="1"/>
  <c r="AD705" i="114"/>
  <c r="AJ705" i="114"/>
  <c r="AK705" i="114"/>
  <c r="AL705" i="114"/>
  <c r="AM705" i="114"/>
  <c r="AO705" i="114" s="1"/>
  <c r="AD706" i="114"/>
  <c r="AJ706" i="114"/>
  <c r="AK706" i="114"/>
  <c r="AL706" i="114"/>
  <c r="AM706" i="114"/>
  <c r="AO706" i="114" s="1"/>
  <c r="AD707" i="114"/>
  <c r="AE707" i="114" s="1"/>
  <c r="AJ707" i="114"/>
  <c r="AK707" i="114"/>
  <c r="AL707" i="114"/>
  <c r="AM707" i="114"/>
  <c r="AO707" i="114" s="1"/>
  <c r="AD708" i="114"/>
  <c r="AE708" i="114" s="1"/>
  <c r="AJ708" i="114"/>
  <c r="AK708" i="114"/>
  <c r="AL708" i="114"/>
  <c r="AM708" i="114"/>
  <c r="AO708" i="114" s="1"/>
  <c r="AD709" i="114"/>
  <c r="AE709" i="114" s="1"/>
  <c r="AJ709" i="114"/>
  <c r="AK709" i="114"/>
  <c r="AL709" i="114"/>
  <c r="AM709" i="114"/>
  <c r="AO709" i="114" s="1"/>
  <c r="AD710" i="114"/>
  <c r="AJ710" i="114"/>
  <c r="AK710" i="114"/>
  <c r="AL710" i="114"/>
  <c r="AM710" i="114"/>
  <c r="AO710" i="114" s="1"/>
  <c r="AD711" i="114"/>
  <c r="AJ711" i="114"/>
  <c r="AK711" i="114"/>
  <c r="AL711" i="114"/>
  <c r="AM711" i="114"/>
  <c r="AO711" i="114" s="1"/>
  <c r="AD712" i="114"/>
  <c r="AE712" i="114" s="1"/>
  <c r="AJ712" i="114"/>
  <c r="AK712" i="114"/>
  <c r="AL712" i="114"/>
  <c r="AM712" i="114"/>
  <c r="AO712" i="114" s="1"/>
  <c r="AD713" i="114"/>
  <c r="AJ713" i="114"/>
  <c r="AK713" i="114"/>
  <c r="AL713" i="114"/>
  <c r="AM713" i="114"/>
  <c r="AO713" i="114" s="1"/>
  <c r="AD714" i="114"/>
  <c r="AE714" i="114" s="1"/>
  <c r="AJ714" i="114"/>
  <c r="AK714" i="114"/>
  <c r="AL714" i="114"/>
  <c r="AM714" i="114"/>
  <c r="AO714" i="114" s="1"/>
  <c r="AD715" i="114"/>
  <c r="AJ715" i="114"/>
  <c r="AK715" i="114"/>
  <c r="AL715" i="114"/>
  <c r="AM715" i="114"/>
  <c r="AO715" i="114" s="1"/>
  <c r="AD716" i="114"/>
  <c r="AE716" i="114" s="1"/>
  <c r="AJ716" i="114"/>
  <c r="AK716" i="114"/>
  <c r="AL716" i="114"/>
  <c r="AM716" i="114"/>
  <c r="AO716" i="114" s="1"/>
  <c r="AD717" i="114"/>
  <c r="AE717" i="114" s="1"/>
  <c r="AJ717" i="114"/>
  <c r="AK717" i="114"/>
  <c r="AL717" i="114"/>
  <c r="AM717" i="114"/>
  <c r="AO717" i="114" s="1"/>
  <c r="AD718" i="114"/>
  <c r="AJ718" i="114"/>
  <c r="AK718" i="114"/>
  <c r="AL718" i="114"/>
  <c r="AM718" i="114"/>
  <c r="AO718" i="114" s="1"/>
  <c r="AD719" i="114"/>
  <c r="AJ719" i="114"/>
  <c r="AK719" i="114"/>
  <c r="AL719" i="114"/>
  <c r="AM719" i="114"/>
  <c r="AO719" i="114" s="1"/>
  <c r="AD720" i="114"/>
  <c r="AE720" i="114" s="1"/>
  <c r="AJ720" i="114"/>
  <c r="AK720" i="114"/>
  <c r="AL720" i="114"/>
  <c r="AM720" i="114"/>
  <c r="AO720" i="114" s="1"/>
  <c r="AD721" i="114"/>
  <c r="AJ721" i="114"/>
  <c r="AK721" i="114"/>
  <c r="AL721" i="114"/>
  <c r="AM721" i="114"/>
  <c r="AO721" i="114" s="1"/>
  <c r="AD722" i="114"/>
  <c r="AE722" i="114" s="1"/>
  <c r="AI722" i="114"/>
  <c r="AJ722" i="114"/>
  <c r="AK722" i="114"/>
  <c r="AL722" i="114"/>
  <c r="AM722" i="114"/>
  <c r="AO722" i="114" s="1"/>
  <c r="AD723" i="114"/>
  <c r="AE723" i="114" s="1"/>
  <c r="AJ723" i="114"/>
  <c r="AK723" i="114"/>
  <c r="AL723" i="114"/>
  <c r="AM723" i="114"/>
  <c r="AO723" i="114" s="1"/>
  <c r="AD724" i="114"/>
  <c r="AE724" i="114" s="1"/>
  <c r="AJ724" i="114"/>
  <c r="AK724" i="114"/>
  <c r="AL724" i="114"/>
  <c r="AM724" i="114"/>
  <c r="AO724" i="114"/>
  <c r="AD725" i="114"/>
  <c r="AE725" i="114" s="1"/>
  <c r="AJ725" i="114"/>
  <c r="AK725" i="114"/>
  <c r="AL725" i="114"/>
  <c r="AM725" i="114"/>
  <c r="AO725" i="114" s="1"/>
  <c r="AD726" i="114"/>
  <c r="AJ726" i="114"/>
  <c r="AK726" i="114"/>
  <c r="AL726" i="114"/>
  <c r="AM726" i="114"/>
  <c r="AO726" i="114" s="1"/>
  <c r="AD727" i="114"/>
  <c r="AJ727" i="114"/>
  <c r="AK727" i="114"/>
  <c r="AL727" i="114"/>
  <c r="AM727" i="114"/>
  <c r="AO727" i="114" s="1"/>
  <c r="AD728" i="114"/>
  <c r="AE728" i="114" s="1"/>
  <c r="AJ728" i="114"/>
  <c r="AK728" i="114"/>
  <c r="AL728" i="114"/>
  <c r="AM728" i="114"/>
  <c r="AO728" i="114" s="1"/>
  <c r="AD729" i="114"/>
  <c r="AJ729" i="114"/>
  <c r="AK729" i="114"/>
  <c r="AL729" i="114"/>
  <c r="AM729" i="114"/>
  <c r="AO729" i="114" s="1"/>
  <c r="AD730" i="114"/>
  <c r="AE730" i="114" s="1"/>
  <c r="AJ730" i="114"/>
  <c r="AK730" i="114"/>
  <c r="AL730" i="114"/>
  <c r="AM730" i="114"/>
  <c r="AO730" i="114" s="1"/>
  <c r="AD731" i="114"/>
  <c r="AJ731" i="114"/>
  <c r="AK731" i="114"/>
  <c r="AL731" i="114"/>
  <c r="AM731" i="114"/>
  <c r="AO731" i="114" s="1"/>
  <c r="AD732" i="114"/>
  <c r="AE732" i="114" s="1"/>
  <c r="AJ732" i="114"/>
  <c r="AK732" i="114"/>
  <c r="AL732" i="114"/>
  <c r="AM732" i="114"/>
  <c r="AO732" i="114" s="1"/>
  <c r="AD733" i="114"/>
  <c r="AJ733" i="114"/>
  <c r="AK733" i="114"/>
  <c r="AL733" i="114"/>
  <c r="AM733" i="114"/>
  <c r="AO733" i="114" s="1"/>
  <c r="AD734" i="114"/>
  <c r="AJ734" i="114"/>
  <c r="AK734" i="114"/>
  <c r="AL734" i="114"/>
  <c r="AM734" i="114"/>
  <c r="AO734" i="114" s="1"/>
  <c r="AD735" i="114"/>
  <c r="AJ735" i="114"/>
  <c r="AK735" i="114"/>
  <c r="AL735" i="114"/>
  <c r="AM735" i="114"/>
  <c r="AO735" i="114" s="1"/>
  <c r="AD736" i="114"/>
  <c r="AE736" i="114" s="1"/>
  <c r="AJ736" i="114"/>
  <c r="AK736" i="114"/>
  <c r="AL736" i="114"/>
  <c r="AM736" i="114"/>
  <c r="AO736" i="114" s="1"/>
  <c r="AD737" i="114"/>
  <c r="AJ737" i="114"/>
  <c r="AK737" i="114"/>
  <c r="AL737" i="114"/>
  <c r="AM737" i="114"/>
  <c r="AO737" i="114" s="1"/>
  <c r="AD738" i="114"/>
  <c r="AJ738" i="114"/>
  <c r="AK738" i="114"/>
  <c r="AL738" i="114"/>
  <c r="AM738" i="114"/>
  <c r="AO738" i="114" s="1"/>
  <c r="AD739" i="114"/>
  <c r="AE739" i="114" s="1"/>
  <c r="AJ739" i="114"/>
  <c r="AK739" i="114"/>
  <c r="AL739" i="114"/>
  <c r="AM739" i="114"/>
  <c r="AO739" i="114" s="1"/>
  <c r="AD740" i="114"/>
  <c r="AE740" i="114" s="1"/>
  <c r="AJ740" i="114"/>
  <c r="AK740" i="114"/>
  <c r="AL740" i="114"/>
  <c r="AM740" i="114"/>
  <c r="AO740" i="114" s="1"/>
  <c r="AD741" i="114"/>
  <c r="AJ741" i="114"/>
  <c r="AK741" i="114"/>
  <c r="AL741" i="114"/>
  <c r="AM741" i="114"/>
  <c r="AO741" i="114" s="1"/>
  <c r="AD742" i="114"/>
  <c r="AE742" i="114" s="1"/>
  <c r="AJ742" i="114"/>
  <c r="AK742" i="114"/>
  <c r="AL742" i="114"/>
  <c r="AM742" i="114"/>
  <c r="AO742" i="114" s="1"/>
  <c r="AD743" i="114"/>
  <c r="AJ743" i="114"/>
  <c r="AK743" i="114"/>
  <c r="AL743" i="114"/>
  <c r="AM743" i="114"/>
  <c r="AO743" i="114" s="1"/>
  <c r="AD744" i="114"/>
  <c r="AJ744" i="114"/>
  <c r="AK744" i="114"/>
  <c r="AL744" i="114"/>
  <c r="AM744" i="114"/>
  <c r="AO744" i="114" s="1"/>
  <c r="AD745" i="114"/>
  <c r="AJ745" i="114"/>
  <c r="AK745" i="114"/>
  <c r="AL745" i="114"/>
  <c r="AM745" i="114"/>
  <c r="AO745" i="114" s="1"/>
  <c r="AD746" i="114"/>
  <c r="AE746" i="114" s="1"/>
  <c r="AJ746" i="114"/>
  <c r="AK746" i="114"/>
  <c r="AL746" i="114"/>
  <c r="AM746" i="114"/>
  <c r="AO746" i="114" s="1"/>
  <c r="AD747" i="114"/>
  <c r="AJ747" i="114"/>
  <c r="AK747" i="114"/>
  <c r="AL747" i="114"/>
  <c r="AM747" i="114"/>
  <c r="AO747" i="114" s="1"/>
  <c r="AD748" i="114"/>
  <c r="AE748" i="114" s="1"/>
  <c r="AJ748" i="114"/>
  <c r="AK748" i="114"/>
  <c r="AL748" i="114"/>
  <c r="AM748" i="114"/>
  <c r="AO748" i="114" s="1"/>
  <c r="AD749" i="114"/>
  <c r="AJ749" i="114"/>
  <c r="AK749" i="114"/>
  <c r="AL749" i="114"/>
  <c r="AM749" i="114"/>
  <c r="AO749" i="114" s="1"/>
  <c r="AD750" i="114"/>
  <c r="AE750" i="114" s="1"/>
  <c r="AJ750" i="114"/>
  <c r="AK750" i="114"/>
  <c r="AL750" i="114"/>
  <c r="AM750" i="114"/>
  <c r="AO750" i="114" s="1"/>
  <c r="AD751" i="114"/>
  <c r="AJ751" i="114"/>
  <c r="AK751" i="114"/>
  <c r="AL751" i="114"/>
  <c r="AM751" i="114"/>
  <c r="AO751" i="114" s="1"/>
  <c r="AD752" i="114"/>
  <c r="AE752" i="114" s="1"/>
  <c r="AJ752" i="114"/>
  <c r="AK752" i="114"/>
  <c r="AL752" i="114"/>
  <c r="AM752" i="114"/>
  <c r="AO752" i="114" s="1"/>
  <c r="AD753" i="114"/>
  <c r="AJ753" i="114"/>
  <c r="AK753" i="114"/>
  <c r="AL753" i="114"/>
  <c r="AM753" i="114"/>
  <c r="AO753" i="114" s="1"/>
  <c r="AD754" i="114"/>
  <c r="AE754" i="114" s="1"/>
  <c r="AJ754" i="114"/>
  <c r="AK754" i="114"/>
  <c r="AL754" i="114"/>
  <c r="AM754" i="114"/>
  <c r="AO754" i="114" s="1"/>
  <c r="AD755" i="114"/>
  <c r="AJ755" i="114"/>
  <c r="AK755" i="114"/>
  <c r="AL755" i="114"/>
  <c r="AM755" i="114"/>
  <c r="AO755" i="114" s="1"/>
  <c r="AD756" i="114"/>
  <c r="AE756" i="114" s="1"/>
  <c r="AJ756" i="114"/>
  <c r="AK756" i="114"/>
  <c r="AL756" i="114"/>
  <c r="AM756" i="114"/>
  <c r="AO756" i="114" s="1"/>
  <c r="AD757" i="114"/>
  <c r="AJ757" i="114"/>
  <c r="AK757" i="114"/>
  <c r="AL757" i="114"/>
  <c r="AM757" i="114"/>
  <c r="AO757" i="114" s="1"/>
  <c r="AD758" i="114"/>
  <c r="AJ758" i="114"/>
  <c r="AK758" i="114"/>
  <c r="AL758" i="114"/>
  <c r="AM758" i="114"/>
  <c r="AO758" i="114" s="1"/>
  <c r="AD759" i="114"/>
  <c r="AJ759" i="114"/>
  <c r="AK759" i="114"/>
  <c r="AL759" i="114"/>
  <c r="AM759" i="114"/>
  <c r="AO759" i="114" s="1"/>
  <c r="AD760" i="114"/>
  <c r="AE760" i="114" s="1"/>
  <c r="AJ760" i="114"/>
  <c r="AK760" i="114"/>
  <c r="AL760" i="114"/>
  <c r="AM760" i="114"/>
  <c r="AO760" i="114" s="1"/>
  <c r="AD761" i="114"/>
  <c r="AE761" i="114" s="1"/>
  <c r="AJ761" i="114"/>
  <c r="AK761" i="114"/>
  <c r="AL761" i="114"/>
  <c r="AM761" i="114"/>
  <c r="AO761" i="114" s="1"/>
  <c r="AD762" i="114"/>
  <c r="AJ762" i="114"/>
  <c r="AK762" i="114"/>
  <c r="AL762" i="114"/>
  <c r="AM762" i="114"/>
  <c r="AO762" i="114" s="1"/>
  <c r="AD763" i="114"/>
  <c r="AE763" i="114" s="1"/>
  <c r="AJ763" i="114"/>
  <c r="AK763" i="114"/>
  <c r="AL763" i="114"/>
  <c r="AM763" i="114"/>
  <c r="AO763" i="114" s="1"/>
  <c r="AD764" i="114"/>
  <c r="AE764" i="114" s="1"/>
  <c r="AJ764" i="114"/>
  <c r="AK764" i="114"/>
  <c r="AL764" i="114"/>
  <c r="AM764" i="114"/>
  <c r="AO764" i="114" s="1"/>
  <c r="AD765" i="114"/>
  <c r="AE765" i="114" s="1"/>
  <c r="AJ765" i="114"/>
  <c r="AK765" i="114"/>
  <c r="AL765" i="114"/>
  <c r="AM765" i="114"/>
  <c r="AO765" i="114" s="1"/>
  <c r="AD766" i="114"/>
  <c r="AJ766" i="114"/>
  <c r="AK766" i="114"/>
  <c r="AL766" i="114"/>
  <c r="AM766" i="114"/>
  <c r="AO766" i="114" s="1"/>
  <c r="AD767" i="114"/>
  <c r="AE767" i="114" s="1"/>
  <c r="AJ767" i="114"/>
  <c r="AK767" i="114"/>
  <c r="AL767" i="114"/>
  <c r="AM767" i="114"/>
  <c r="AO767" i="114" s="1"/>
  <c r="AD768" i="114"/>
  <c r="AE768" i="114" s="1"/>
  <c r="AJ768" i="114"/>
  <c r="AK768" i="114"/>
  <c r="AL768" i="114"/>
  <c r="AM768" i="114"/>
  <c r="AO768" i="114" s="1"/>
  <c r="AD769" i="114"/>
  <c r="AE769" i="114" s="1"/>
  <c r="AJ769" i="114"/>
  <c r="AK769" i="114"/>
  <c r="AL769" i="114"/>
  <c r="AM769" i="114"/>
  <c r="AO769" i="114" s="1"/>
  <c r="AD770" i="114"/>
  <c r="AJ770" i="114"/>
  <c r="AK770" i="114"/>
  <c r="AL770" i="114"/>
  <c r="AM770" i="114"/>
  <c r="AO770" i="114" s="1"/>
  <c r="AD771" i="114"/>
  <c r="AG771" i="114" s="1"/>
  <c r="AJ771" i="114"/>
  <c r="AK771" i="114"/>
  <c r="AL771" i="114"/>
  <c r="AM771" i="114"/>
  <c r="AO771" i="114" s="1"/>
  <c r="AD772" i="114"/>
  <c r="AJ772" i="114"/>
  <c r="AK772" i="114"/>
  <c r="AL772" i="114"/>
  <c r="AM772" i="114"/>
  <c r="AO772" i="114" s="1"/>
  <c r="AD773" i="114"/>
  <c r="AE773" i="114" s="1"/>
  <c r="AJ773" i="114"/>
  <c r="AK773" i="114"/>
  <c r="AL773" i="114"/>
  <c r="AM773" i="114"/>
  <c r="AO773" i="114" s="1"/>
  <c r="AD774" i="114"/>
  <c r="AJ774" i="114"/>
  <c r="AK774" i="114"/>
  <c r="AL774" i="114"/>
  <c r="AM774" i="114"/>
  <c r="AO774" i="114" s="1"/>
  <c r="AD775" i="114"/>
  <c r="AE775" i="114" s="1"/>
  <c r="AJ775" i="114"/>
  <c r="AK775" i="114"/>
  <c r="AL775" i="114"/>
  <c r="AM775" i="114"/>
  <c r="AO775" i="114" s="1"/>
  <c r="AD776" i="114"/>
  <c r="AJ776" i="114"/>
  <c r="AK776" i="114"/>
  <c r="AL776" i="114"/>
  <c r="AM776" i="114"/>
  <c r="AO776" i="114" s="1"/>
  <c r="AD777" i="114"/>
  <c r="AE777" i="114" s="1"/>
  <c r="AJ777" i="114"/>
  <c r="AK777" i="114"/>
  <c r="AL777" i="114"/>
  <c r="AM777" i="114"/>
  <c r="AO777" i="114" s="1"/>
  <c r="AD778" i="114"/>
  <c r="AJ778" i="114"/>
  <c r="AK778" i="114"/>
  <c r="AL778" i="114"/>
  <c r="AM778" i="114"/>
  <c r="AO778" i="114" s="1"/>
  <c r="AD779" i="114"/>
  <c r="AJ779" i="114"/>
  <c r="AK779" i="114"/>
  <c r="AL779" i="114"/>
  <c r="AM779" i="114"/>
  <c r="AO779" i="114" s="1"/>
  <c r="AD780" i="114"/>
  <c r="AE780" i="114" s="1"/>
  <c r="AJ780" i="114"/>
  <c r="AK780" i="114"/>
  <c r="AL780" i="114"/>
  <c r="AM780" i="114"/>
  <c r="AO780" i="114" s="1"/>
  <c r="AD781" i="114"/>
  <c r="AE781" i="114" s="1"/>
  <c r="AJ781" i="114"/>
  <c r="AK781" i="114"/>
  <c r="AL781" i="114"/>
  <c r="AM781" i="114"/>
  <c r="AO781" i="114" s="1"/>
  <c r="AD782" i="114"/>
  <c r="AJ782" i="114"/>
  <c r="AK782" i="114"/>
  <c r="AL782" i="114"/>
  <c r="AM782" i="114"/>
  <c r="AO782" i="114" s="1"/>
  <c r="AD783" i="114"/>
  <c r="AE783" i="114" s="1"/>
  <c r="AJ783" i="114"/>
  <c r="AK783" i="114"/>
  <c r="AL783" i="114"/>
  <c r="AM783" i="114"/>
  <c r="AO783" i="114" s="1"/>
  <c r="AD784" i="114"/>
  <c r="AJ784" i="114"/>
  <c r="AK784" i="114"/>
  <c r="AL784" i="114"/>
  <c r="AM784" i="114"/>
  <c r="AO784" i="114" s="1"/>
  <c r="AD785" i="114"/>
  <c r="AE785" i="114" s="1"/>
  <c r="AJ785" i="114"/>
  <c r="AK785" i="114"/>
  <c r="AL785" i="114"/>
  <c r="AM785" i="114"/>
  <c r="AO785" i="114" s="1"/>
  <c r="AD786" i="114"/>
  <c r="AJ786" i="114"/>
  <c r="AK786" i="114"/>
  <c r="AL786" i="114"/>
  <c r="AM786" i="114"/>
  <c r="AO786" i="114" s="1"/>
  <c r="AD787" i="114"/>
  <c r="AE787" i="114" s="1"/>
  <c r="AJ787" i="114"/>
  <c r="AK787" i="114"/>
  <c r="AL787" i="114"/>
  <c r="AM787" i="114"/>
  <c r="AO787" i="114" s="1"/>
  <c r="AD788" i="114"/>
  <c r="AJ788" i="114"/>
  <c r="AK788" i="114"/>
  <c r="AL788" i="114"/>
  <c r="AM788" i="114"/>
  <c r="AO788" i="114" s="1"/>
  <c r="AD789" i="114"/>
  <c r="AE789" i="114" s="1"/>
  <c r="AJ789" i="114"/>
  <c r="AK789" i="114"/>
  <c r="AL789" i="114"/>
  <c r="AM789" i="114"/>
  <c r="AO789" i="114" s="1"/>
  <c r="AD790" i="114"/>
  <c r="AJ790" i="114"/>
  <c r="AK790" i="114"/>
  <c r="AL790" i="114"/>
  <c r="AM790" i="114"/>
  <c r="AO790" i="114" s="1"/>
  <c r="AD791" i="114"/>
  <c r="AE791" i="114" s="1"/>
  <c r="AJ791" i="114"/>
  <c r="AK791" i="114"/>
  <c r="AL791" i="114"/>
  <c r="AM791" i="114"/>
  <c r="AO791" i="114" s="1"/>
  <c r="AD792" i="114"/>
  <c r="AE792" i="114" s="1"/>
  <c r="AJ792" i="114"/>
  <c r="AK792" i="114"/>
  <c r="AL792" i="114"/>
  <c r="AM792" i="114"/>
  <c r="AO792" i="114" s="1"/>
  <c r="AD793" i="114"/>
  <c r="AE793" i="114" s="1"/>
  <c r="AJ793" i="114"/>
  <c r="AK793" i="114"/>
  <c r="AL793" i="114"/>
  <c r="AM793" i="114"/>
  <c r="AO793" i="114" s="1"/>
  <c r="AD794" i="114"/>
  <c r="AJ794" i="114"/>
  <c r="AK794" i="114"/>
  <c r="AL794" i="114"/>
  <c r="AM794" i="114"/>
  <c r="AO794" i="114" s="1"/>
  <c r="AD795" i="114"/>
  <c r="AE795" i="114" s="1"/>
  <c r="AJ795" i="114"/>
  <c r="AK795" i="114"/>
  <c r="AL795" i="114"/>
  <c r="AM795" i="114"/>
  <c r="AO795" i="114" s="1"/>
  <c r="AD796" i="114"/>
  <c r="AJ796" i="114"/>
  <c r="AK796" i="114"/>
  <c r="AL796" i="114"/>
  <c r="AM796" i="114"/>
  <c r="AO796" i="114" s="1"/>
  <c r="AD797" i="114"/>
  <c r="AE797" i="114" s="1"/>
  <c r="AJ797" i="114"/>
  <c r="AK797" i="114"/>
  <c r="AL797" i="114"/>
  <c r="AM797" i="114"/>
  <c r="AO797" i="114" s="1"/>
  <c r="AD798" i="114"/>
  <c r="AJ798" i="114"/>
  <c r="AK798" i="114"/>
  <c r="AL798" i="114"/>
  <c r="AM798" i="114"/>
  <c r="AO798" i="114" s="1"/>
  <c r="AD799" i="114"/>
  <c r="AE799" i="114" s="1"/>
  <c r="AJ799" i="114"/>
  <c r="AK799" i="114"/>
  <c r="AL799" i="114"/>
  <c r="AM799" i="114"/>
  <c r="AO799" i="114" s="1"/>
  <c r="AD800" i="114"/>
  <c r="AE800" i="114" s="1"/>
  <c r="AJ800" i="114"/>
  <c r="AK800" i="114"/>
  <c r="AL800" i="114"/>
  <c r="AM800" i="114"/>
  <c r="AO800" i="114" s="1"/>
  <c r="AD801" i="114"/>
  <c r="AE801" i="114" s="1"/>
  <c r="AJ801" i="114"/>
  <c r="AK801" i="114"/>
  <c r="AL801" i="114"/>
  <c r="AM801" i="114"/>
  <c r="AO801" i="114" s="1"/>
  <c r="AD802" i="114"/>
  <c r="AJ802" i="114"/>
  <c r="AK802" i="114"/>
  <c r="AL802" i="114"/>
  <c r="AM802" i="114"/>
  <c r="AO802" i="114" s="1"/>
  <c r="AD803" i="114"/>
  <c r="AE803" i="114" s="1"/>
  <c r="AJ803" i="114"/>
  <c r="AK803" i="114"/>
  <c r="AL803" i="114"/>
  <c r="AM803" i="114"/>
  <c r="AO803" i="114" s="1"/>
  <c r="AD804" i="114"/>
  <c r="AE804" i="114" s="1"/>
  <c r="AI804" i="114"/>
  <c r="AJ804" i="114"/>
  <c r="AK804" i="114"/>
  <c r="AL804" i="114"/>
  <c r="AM804" i="114"/>
  <c r="AO804" i="114" s="1"/>
  <c r="AD805" i="114"/>
  <c r="AE805" i="114" s="1"/>
  <c r="AJ805" i="114"/>
  <c r="AK805" i="114"/>
  <c r="AL805" i="114"/>
  <c r="AM805" i="114"/>
  <c r="AO805" i="114" s="1"/>
  <c r="AD806" i="114"/>
  <c r="AJ806" i="114"/>
  <c r="AK806" i="114"/>
  <c r="AL806" i="114"/>
  <c r="AM806" i="114"/>
  <c r="AO806" i="114" s="1"/>
  <c r="AD807" i="114"/>
  <c r="AE807" i="114" s="1"/>
  <c r="AJ807" i="114"/>
  <c r="AK807" i="114"/>
  <c r="AL807" i="114"/>
  <c r="AM807" i="114"/>
  <c r="AO807" i="114" s="1"/>
  <c r="AD808" i="114"/>
  <c r="AJ808" i="114"/>
  <c r="AK808" i="114"/>
  <c r="AL808" i="114"/>
  <c r="AM808" i="114"/>
  <c r="AO808" i="114" s="1"/>
  <c r="AD809" i="114"/>
  <c r="AE809" i="114" s="1"/>
  <c r="AJ809" i="114"/>
  <c r="AK809" i="114"/>
  <c r="AL809" i="114"/>
  <c r="AM809" i="114"/>
  <c r="AO809" i="114" s="1"/>
  <c r="AD810" i="114"/>
  <c r="AJ810" i="114"/>
  <c r="AK810" i="114"/>
  <c r="AL810" i="114"/>
  <c r="AM810" i="114"/>
  <c r="AO810" i="114" s="1"/>
  <c r="AD811" i="114"/>
  <c r="AE811" i="114" s="1"/>
  <c r="AI811" i="114"/>
  <c r="AJ811" i="114"/>
  <c r="AK811" i="114"/>
  <c r="AL811" i="114"/>
  <c r="AM811" i="114"/>
  <c r="AO811" i="114" s="1"/>
  <c r="AD812" i="114"/>
  <c r="AE812" i="114" s="1"/>
  <c r="AJ812" i="114"/>
  <c r="AK812" i="114"/>
  <c r="AL812" i="114"/>
  <c r="AM812" i="114"/>
  <c r="AO812" i="114" s="1"/>
  <c r="AD813" i="114"/>
  <c r="AE813" i="114" s="1"/>
  <c r="AJ813" i="114"/>
  <c r="AK813" i="114"/>
  <c r="AL813" i="114"/>
  <c r="AM813" i="114"/>
  <c r="AO813" i="114" s="1"/>
  <c r="AD814" i="114"/>
  <c r="AJ814" i="114"/>
  <c r="AK814" i="114"/>
  <c r="AL814" i="114"/>
  <c r="AM814" i="114"/>
  <c r="AO814" i="114" s="1"/>
  <c r="AD815" i="114"/>
  <c r="AE815" i="114" s="1"/>
  <c r="AJ815" i="114"/>
  <c r="AK815" i="114"/>
  <c r="AL815" i="114"/>
  <c r="AM815" i="114"/>
  <c r="AO815" i="114" s="1"/>
  <c r="AD816" i="114"/>
  <c r="AI816" i="114" s="1"/>
  <c r="AJ816" i="114"/>
  <c r="AK816" i="114"/>
  <c r="AL816" i="114"/>
  <c r="AM816" i="114"/>
  <c r="AO816" i="114" s="1"/>
  <c r="AD817" i="114"/>
  <c r="AE817" i="114" s="1"/>
  <c r="AJ817" i="114"/>
  <c r="AK817" i="114"/>
  <c r="AL817" i="114"/>
  <c r="AM817" i="114"/>
  <c r="AO817" i="114" s="1"/>
  <c r="AD818" i="114"/>
  <c r="AJ818" i="114"/>
  <c r="AK818" i="114"/>
  <c r="AL818" i="114"/>
  <c r="AM818" i="114"/>
  <c r="AO818" i="114" s="1"/>
  <c r="AD819" i="114"/>
  <c r="AJ819" i="114"/>
  <c r="AK819" i="114"/>
  <c r="AL819" i="114"/>
  <c r="AM819" i="114"/>
  <c r="AO819" i="114" s="1"/>
  <c r="AD820" i="114"/>
  <c r="AE820" i="114" s="1"/>
  <c r="AJ820" i="114"/>
  <c r="AK820" i="114"/>
  <c r="AL820" i="114"/>
  <c r="AM820" i="114"/>
  <c r="AO820" i="114" s="1"/>
  <c r="AD821" i="114"/>
  <c r="AE821" i="114" s="1"/>
  <c r="AJ821" i="114"/>
  <c r="AK821" i="114"/>
  <c r="AL821" i="114"/>
  <c r="AM821" i="114"/>
  <c r="AO821" i="114" s="1"/>
  <c r="AD822" i="114"/>
  <c r="AJ822" i="114"/>
  <c r="AK822" i="114"/>
  <c r="AL822" i="114"/>
  <c r="AM822" i="114"/>
  <c r="AO822" i="114" s="1"/>
  <c r="AD823" i="114"/>
  <c r="AE823" i="114" s="1"/>
  <c r="AJ823" i="114"/>
  <c r="AK823" i="114"/>
  <c r="AL823" i="114"/>
  <c r="AM823" i="114"/>
  <c r="AO823" i="114" s="1"/>
  <c r="AD824" i="114"/>
  <c r="AJ824" i="114"/>
  <c r="AK824" i="114"/>
  <c r="AL824" i="114"/>
  <c r="AM824" i="114"/>
  <c r="AO824" i="114" s="1"/>
  <c r="AD825" i="114"/>
  <c r="AE825" i="114" s="1"/>
  <c r="AJ825" i="114"/>
  <c r="AK825" i="114"/>
  <c r="AL825" i="114"/>
  <c r="AM825" i="114"/>
  <c r="AO825" i="114" s="1"/>
  <c r="AD826" i="114"/>
  <c r="AJ826" i="114"/>
  <c r="AK826" i="114"/>
  <c r="AL826" i="114"/>
  <c r="AM826" i="114"/>
  <c r="AO826" i="114" s="1"/>
  <c r="AD827" i="114"/>
  <c r="AJ827" i="114"/>
  <c r="AK827" i="114"/>
  <c r="AL827" i="114"/>
  <c r="AM827" i="114"/>
  <c r="AO827" i="114" s="1"/>
  <c r="AD828" i="114"/>
  <c r="AE828" i="114" s="1"/>
  <c r="AJ828" i="114"/>
  <c r="AK828" i="114"/>
  <c r="AL828" i="114"/>
  <c r="AM828" i="114"/>
  <c r="AO828" i="114" s="1"/>
  <c r="AD829" i="114"/>
  <c r="AE829" i="114" s="1"/>
  <c r="AJ829" i="114"/>
  <c r="AK829" i="114"/>
  <c r="AL829" i="114"/>
  <c r="AM829" i="114"/>
  <c r="AO829" i="114" s="1"/>
  <c r="AD830" i="114"/>
  <c r="AJ830" i="114"/>
  <c r="AK830" i="114"/>
  <c r="AL830" i="114"/>
  <c r="AM830" i="114"/>
  <c r="AO830" i="114" s="1"/>
  <c r="AD831" i="114"/>
  <c r="AJ831" i="114"/>
  <c r="AK831" i="114"/>
  <c r="AL831" i="114"/>
  <c r="AM831" i="114"/>
  <c r="AO831" i="114" s="1"/>
  <c r="AD832" i="114"/>
  <c r="AE832" i="114" s="1"/>
  <c r="AJ832" i="114"/>
  <c r="AK832" i="114"/>
  <c r="AL832" i="114"/>
  <c r="AM832" i="114"/>
  <c r="AO832" i="114" s="1"/>
  <c r="AD833" i="114"/>
  <c r="AE833" i="114" s="1"/>
  <c r="AJ833" i="114"/>
  <c r="AK833" i="114"/>
  <c r="AL833" i="114"/>
  <c r="AM833" i="114"/>
  <c r="AO833" i="114" s="1"/>
  <c r="AD834" i="114"/>
  <c r="AJ834" i="114"/>
  <c r="AK834" i="114"/>
  <c r="AL834" i="114"/>
  <c r="AM834" i="114"/>
  <c r="AO834" i="114" s="1"/>
  <c r="AD835" i="114"/>
  <c r="AE835" i="114" s="1"/>
  <c r="AJ835" i="114"/>
  <c r="AK835" i="114"/>
  <c r="AL835" i="114"/>
  <c r="AM835" i="114"/>
  <c r="AO835" i="114" s="1"/>
  <c r="AD836" i="114"/>
  <c r="AJ836" i="114"/>
  <c r="AK836" i="114"/>
  <c r="AL836" i="114"/>
  <c r="AM836" i="114"/>
  <c r="AO836" i="114" s="1"/>
  <c r="AD837" i="114"/>
  <c r="AE837" i="114" s="1"/>
  <c r="AJ837" i="114"/>
  <c r="AK837" i="114"/>
  <c r="AL837" i="114"/>
  <c r="AM837" i="114"/>
  <c r="AO837" i="114" s="1"/>
  <c r="AD838" i="114"/>
  <c r="AJ838" i="114"/>
  <c r="AK838" i="114"/>
  <c r="AL838" i="114"/>
  <c r="AM838" i="114"/>
  <c r="AO838" i="114" s="1"/>
  <c r="AD839" i="114"/>
  <c r="AE839" i="114" s="1"/>
  <c r="AJ839" i="114"/>
  <c r="AK839" i="114"/>
  <c r="AL839" i="114"/>
  <c r="AM839" i="114"/>
  <c r="AO839" i="114" s="1"/>
  <c r="AD840" i="114"/>
  <c r="AE840" i="114" s="1"/>
  <c r="AJ840" i="114"/>
  <c r="AK840" i="114"/>
  <c r="AL840" i="114"/>
  <c r="AM840" i="114"/>
  <c r="AO840" i="114" s="1"/>
  <c r="AD841" i="114"/>
  <c r="AE841" i="114" s="1"/>
  <c r="AJ841" i="114"/>
  <c r="AK841" i="114"/>
  <c r="AL841" i="114"/>
  <c r="AM841" i="114"/>
  <c r="AO841" i="114" s="1"/>
  <c r="AD842" i="114"/>
  <c r="AJ842" i="114"/>
  <c r="AK842" i="114"/>
  <c r="AL842" i="114"/>
  <c r="AM842" i="114"/>
  <c r="AO842" i="114" s="1"/>
  <c r="AD843" i="114"/>
  <c r="AJ843" i="114"/>
  <c r="AK843" i="114"/>
  <c r="AL843" i="114"/>
  <c r="AM843" i="114"/>
  <c r="AO843" i="114" s="1"/>
  <c r="AD844" i="114"/>
  <c r="AJ844" i="114"/>
  <c r="AK844" i="114"/>
  <c r="AL844" i="114"/>
  <c r="AM844" i="114"/>
  <c r="AO844" i="114" s="1"/>
  <c r="AD845" i="114"/>
  <c r="AE845" i="114" s="1"/>
  <c r="AJ845" i="114"/>
  <c r="AK845" i="114"/>
  <c r="AL845" i="114"/>
  <c r="AM845" i="114"/>
  <c r="AO845" i="114" s="1"/>
  <c r="AD846" i="114"/>
  <c r="AJ846" i="114"/>
  <c r="AK846" i="114"/>
  <c r="AL846" i="114"/>
  <c r="AM846" i="114"/>
  <c r="AO846" i="114" s="1"/>
  <c r="AD847" i="114"/>
  <c r="AE847" i="114" s="1"/>
  <c r="AJ847" i="114"/>
  <c r="AK847" i="114"/>
  <c r="AL847" i="114"/>
  <c r="AM847" i="114"/>
  <c r="AO847" i="114" s="1"/>
  <c r="AD848" i="114"/>
  <c r="AJ848" i="114"/>
  <c r="AK848" i="114"/>
  <c r="AL848" i="114"/>
  <c r="AM848" i="114"/>
  <c r="AO848" i="114" s="1"/>
  <c r="AD849" i="114"/>
  <c r="AE849" i="114" s="1"/>
  <c r="AJ849" i="114"/>
  <c r="AK849" i="114"/>
  <c r="AL849" i="114"/>
  <c r="AM849" i="114"/>
  <c r="AO849" i="114" s="1"/>
  <c r="AD850" i="114"/>
  <c r="AJ850" i="114"/>
  <c r="AK850" i="114"/>
  <c r="AL850" i="114"/>
  <c r="AM850" i="114"/>
  <c r="AO850" i="114" s="1"/>
  <c r="AD851" i="114"/>
  <c r="AJ851" i="114"/>
  <c r="AK851" i="114"/>
  <c r="AL851" i="114"/>
  <c r="AM851" i="114"/>
  <c r="AO851" i="114" s="1"/>
  <c r="AD852" i="114"/>
  <c r="AE852" i="114" s="1"/>
  <c r="AJ852" i="114"/>
  <c r="AK852" i="114"/>
  <c r="AL852" i="114"/>
  <c r="AM852" i="114"/>
  <c r="AO852" i="114" s="1"/>
  <c r="AD853" i="114"/>
  <c r="AE853" i="114" s="1"/>
  <c r="AJ853" i="114"/>
  <c r="AK853" i="114"/>
  <c r="AL853" i="114"/>
  <c r="AM853" i="114"/>
  <c r="AO853" i="114" s="1"/>
  <c r="AD854" i="114"/>
  <c r="AJ854" i="114"/>
  <c r="AK854" i="114"/>
  <c r="AL854" i="114"/>
  <c r="AM854" i="114"/>
  <c r="AO854" i="114" s="1"/>
  <c r="AD855" i="114"/>
  <c r="AJ855" i="114"/>
  <c r="AK855" i="114"/>
  <c r="AL855" i="114"/>
  <c r="AM855" i="114"/>
  <c r="AO855" i="114" s="1"/>
  <c r="AD856" i="114"/>
  <c r="AE856" i="114" s="1"/>
  <c r="AJ856" i="114"/>
  <c r="AK856" i="114"/>
  <c r="AL856" i="114"/>
  <c r="AM856" i="114"/>
  <c r="AO856" i="114" s="1"/>
  <c r="AD857" i="114"/>
  <c r="AE857" i="114" s="1"/>
  <c r="AJ857" i="114"/>
  <c r="AK857" i="114"/>
  <c r="AL857" i="114"/>
  <c r="AM857" i="114"/>
  <c r="AO857" i="114" s="1"/>
  <c r="AD858" i="114"/>
  <c r="AJ858" i="114"/>
  <c r="AK858" i="114"/>
  <c r="AL858" i="114"/>
  <c r="AM858" i="114"/>
  <c r="AO858" i="114" s="1"/>
  <c r="AD859" i="114"/>
  <c r="AJ859" i="114"/>
  <c r="AK859" i="114"/>
  <c r="AL859" i="114"/>
  <c r="AM859" i="114"/>
  <c r="AO859" i="114" s="1"/>
  <c r="AD860" i="114"/>
  <c r="AE860" i="114" s="1"/>
  <c r="AJ860" i="114"/>
  <c r="AK860" i="114"/>
  <c r="AL860" i="114"/>
  <c r="AM860" i="114"/>
  <c r="AO860" i="114" s="1"/>
  <c r="AD861" i="114"/>
  <c r="AE861" i="114" s="1"/>
  <c r="AJ861" i="114"/>
  <c r="AK861" i="114"/>
  <c r="AL861" i="114"/>
  <c r="AM861" i="114"/>
  <c r="AO861" i="114" s="1"/>
  <c r="AD862" i="114"/>
  <c r="AJ862" i="114"/>
  <c r="AK862" i="114"/>
  <c r="AL862" i="114"/>
  <c r="AM862" i="114"/>
  <c r="AO862" i="114" s="1"/>
  <c r="AD863" i="114"/>
  <c r="AJ863" i="114"/>
  <c r="AK863" i="114"/>
  <c r="AL863" i="114"/>
  <c r="AM863" i="114"/>
  <c r="AO863" i="114" s="1"/>
  <c r="AD864" i="114"/>
  <c r="AE864" i="114" s="1"/>
  <c r="AJ864" i="114"/>
  <c r="AK864" i="114"/>
  <c r="AL864" i="114"/>
  <c r="AM864" i="114"/>
  <c r="AO864" i="114" s="1"/>
  <c r="AD865" i="114"/>
  <c r="AE865" i="114" s="1"/>
  <c r="AJ865" i="114"/>
  <c r="AK865" i="114"/>
  <c r="AL865" i="114"/>
  <c r="AM865" i="114"/>
  <c r="AO865" i="114" s="1"/>
  <c r="AD866" i="114"/>
  <c r="AJ866" i="114"/>
  <c r="AK866" i="114"/>
  <c r="AL866" i="114"/>
  <c r="AM866" i="114"/>
  <c r="AO866" i="114" s="1"/>
  <c r="AD867" i="114"/>
  <c r="AG867" i="114" s="1"/>
  <c r="AJ867" i="114"/>
  <c r="AK867" i="114"/>
  <c r="AL867" i="114"/>
  <c r="AM867" i="114"/>
  <c r="AO867" i="114" s="1"/>
  <c r="AD868" i="114"/>
  <c r="AE868" i="114" s="1"/>
  <c r="AJ868" i="114"/>
  <c r="AK868" i="114"/>
  <c r="AL868" i="114"/>
  <c r="AM868" i="114"/>
  <c r="AO868" i="114" s="1"/>
  <c r="AD869" i="114"/>
  <c r="AE869" i="114" s="1"/>
  <c r="AJ869" i="114"/>
  <c r="AK869" i="114"/>
  <c r="AL869" i="114"/>
  <c r="AM869" i="114"/>
  <c r="AO869" i="114" s="1"/>
  <c r="AD870" i="114"/>
  <c r="AE870" i="114" s="1"/>
  <c r="AJ870" i="114"/>
  <c r="AK870" i="114"/>
  <c r="AL870" i="114"/>
  <c r="AM870" i="114"/>
  <c r="AO870" i="114" s="1"/>
  <c r="AD871" i="114"/>
  <c r="AE871" i="114" s="1"/>
  <c r="AJ871" i="114"/>
  <c r="AK871" i="114"/>
  <c r="AL871" i="114"/>
  <c r="AM871" i="114"/>
  <c r="AO871" i="114" s="1"/>
  <c r="AD872" i="114"/>
  <c r="AI872" i="114"/>
  <c r="AJ872" i="114"/>
  <c r="AK872" i="114"/>
  <c r="AL872" i="114"/>
  <c r="AM872" i="114"/>
  <c r="AO872" i="114" s="1"/>
  <c r="AD873" i="114"/>
  <c r="AE873" i="114" s="1"/>
  <c r="AJ873" i="114"/>
  <c r="AK873" i="114"/>
  <c r="AL873" i="114"/>
  <c r="AM873" i="114"/>
  <c r="AO873" i="114" s="1"/>
  <c r="AD874" i="114"/>
  <c r="AJ874" i="114"/>
  <c r="AK874" i="114"/>
  <c r="AL874" i="114"/>
  <c r="AM874" i="114"/>
  <c r="AO874" i="114" s="1"/>
  <c r="AD875" i="114"/>
  <c r="AE875" i="114" s="1"/>
  <c r="AJ875" i="114"/>
  <c r="AK875" i="114"/>
  <c r="AL875" i="114"/>
  <c r="AM875" i="114"/>
  <c r="AO875" i="114" s="1"/>
  <c r="AD876" i="114"/>
  <c r="AE876" i="114" s="1"/>
  <c r="AJ876" i="114"/>
  <c r="AK876" i="114"/>
  <c r="AL876" i="114"/>
  <c r="AM876" i="114"/>
  <c r="AO876" i="114" s="1"/>
  <c r="AD877" i="114"/>
  <c r="AE877" i="114" s="1"/>
  <c r="AJ877" i="114"/>
  <c r="AK877" i="114"/>
  <c r="AL877" i="114"/>
  <c r="AM877" i="114"/>
  <c r="AO877" i="114" s="1"/>
  <c r="AD878" i="114"/>
  <c r="AE878" i="114" s="1"/>
  <c r="AJ878" i="114"/>
  <c r="AK878" i="114"/>
  <c r="AL878" i="114"/>
  <c r="AM878" i="114"/>
  <c r="AO878" i="114" s="1"/>
  <c r="AD879" i="114"/>
  <c r="AE879" i="114" s="1"/>
  <c r="AJ879" i="114"/>
  <c r="AK879" i="114"/>
  <c r="AL879" i="114"/>
  <c r="AM879" i="114"/>
  <c r="AO879" i="114" s="1"/>
  <c r="AD880" i="114"/>
  <c r="AE880" i="114" s="1"/>
  <c r="AJ880" i="114"/>
  <c r="AK880" i="114"/>
  <c r="AL880" i="114"/>
  <c r="AM880" i="114"/>
  <c r="AO880" i="114" s="1"/>
  <c r="AD881" i="114"/>
  <c r="AE881" i="114" s="1"/>
  <c r="AJ881" i="114"/>
  <c r="AK881" i="114"/>
  <c r="AL881" i="114"/>
  <c r="AM881" i="114"/>
  <c r="AO881" i="114" s="1"/>
  <c r="AD882" i="114"/>
  <c r="AJ882" i="114"/>
  <c r="AK882" i="114"/>
  <c r="AL882" i="114"/>
  <c r="AM882" i="114"/>
  <c r="AO882" i="114" s="1"/>
  <c r="AD883" i="114"/>
  <c r="AJ883" i="114"/>
  <c r="AK883" i="114"/>
  <c r="AL883" i="114"/>
  <c r="AM883" i="114"/>
  <c r="AO883" i="114" s="1"/>
  <c r="AD884" i="114"/>
  <c r="AE884" i="114" s="1"/>
  <c r="AJ884" i="114"/>
  <c r="AK884" i="114"/>
  <c r="AL884" i="114"/>
  <c r="AM884" i="114"/>
  <c r="AO884" i="114" s="1"/>
  <c r="AD885" i="114"/>
  <c r="AE885" i="114" s="1"/>
  <c r="AJ885" i="114"/>
  <c r="AK885" i="114"/>
  <c r="AL885" i="114"/>
  <c r="AM885" i="114"/>
  <c r="AO885" i="114" s="1"/>
  <c r="AD886" i="114"/>
  <c r="AE886" i="114" s="1"/>
  <c r="AJ886" i="114"/>
  <c r="AK886" i="114"/>
  <c r="AL886" i="114"/>
  <c r="AM886" i="114"/>
  <c r="AO886" i="114" s="1"/>
  <c r="AD887" i="114"/>
  <c r="AE887" i="114" s="1"/>
  <c r="AJ887" i="114"/>
  <c r="AK887" i="114"/>
  <c r="AL887" i="114"/>
  <c r="AM887" i="114"/>
  <c r="AO887" i="114" s="1"/>
  <c r="AD888" i="114"/>
  <c r="AE888" i="114" s="1"/>
  <c r="AJ888" i="114"/>
  <c r="AK888" i="114"/>
  <c r="AL888" i="114"/>
  <c r="AM888" i="114"/>
  <c r="AO888" i="114" s="1"/>
  <c r="AD889" i="114"/>
  <c r="AE889" i="114" s="1"/>
  <c r="AJ889" i="114"/>
  <c r="AK889" i="114"/>
  <c r="AL889" i="114"/>
  <c r="AM889" i="114"/>
  <c r="AO889" i="114" s="1"/>
  <c r="AD890" i="114"/>
  <c r="AJ890" i="114"/>
  <c r="AK890" i="114"/>
  <c r="AL890" i="114"/>
  <c r="AM890" i="114"/>
  <c r="AO890" i="114" s="1"/>
  <c r="AD891" i="114"/>
  <c r="AE891" i="114" s="1"/>
  <c r="AJ891" i="114"/>
  <c r="AK891" i="114"/>
  <c r="AL891" i="114"/>
  <c r="AM891" i="114"/>
  <c r="AO891" i="114" s="1"/>
  <c r="AD892" i="114"/>
  <c r="AE892" i="114" s="1"/>
  <c r="AJ892" i="114"/>
  <c r="AK892" i="114"/>
  <c r="AL892" i="114"/>
  <c r="AM892" i="114"/>
  <c r="AO892" i="114" s="1"/>
  <c r="AD893" i="114"/>
  <c r="AE893" i="114" s="1"/>
  <c r="AJ893" i="114"/>
  <c r="AK893" i="114"/>
  <c r="AL893" i="114"/>
  <c r="AM893" i="114"/>
  <c r="AO893" i="114" s="1"/>
  <c r="AD894" i="114"/>
  <c r="AE894" i="114" s="1"/>
  <c r="AJ894" i="114"/>
  <c r="AK894" i="114"/>
  <c r="AL894" i="114"/>
  <c r="AM894" i="114"/>
  <c r="AO894" i="114" s="1"/>
  <c r="AD895" i="114"/>
  <c r="AE895" i="114" s="1"/>
  <c r="AJ895" i="114"/>
  <c r="AK895" i="114"/>
  <c r="AL895" i="114"/>
  <c r="AM895" i="114"/>
  <c r="AO895" i="114" s="1"/>
  <c r="AD896" i="114"/>
  <c r="AJ896" i="114"/>
  <c r="AK896" i="114"/>
  <c r="AL896" i="114"/>
  <c r="AM896" i="114"/>
  <c r="AO896" i="114" s="1"/>
  <c r="AD897" i="114"/>
  <c r="AE897" i="114" s="1"/>
  <c r="AJ897" i="114"/>
  <c r="AK897" i="114"/>
  <c r="AL897" i="114"/>
  <c r="AM897" i="114"/>
  <c r="AO897" i="114" s="1"/>
  <c r="AD898" i="114"/>
  <c r="AJ898" i="114"/>
  <c r="AK898" i="114"/>
  <c r="AL898" i="114"/>
  <c r="AM898" i="114"/>
  <c r="AO898" i="114" s="1"/>
  <c r="AD899" i="114"/>
  <c r="AG899" i="114" s="1"/>
  <c r="AJ899" i="114"/>
  <c r="AK899" i="114"/>
  <c r="AL899" i="114"/>
  <c r="AM899" i="114"/>
  <c r="AO899" i="114" s="1"/>
  <c r="AD900" i="114"/>
  <c r="AE900" i="114" s="1"/>
  <c r="AJ900" i="114"/>
  <c r="AK900" i="114"/>
  <c r="AL900" i="114"/>
  <c r="AM900" i="114"/>
  <c r="AO900" i="114" s="1"/>
  <c r="AD901" i="114"/>
  <c r="AE901" i="114" s="1"/>
  <c r="AJ901" i="114"/>
  <c r="AK901" i="114"/>
  <c r="AL901" i="114"/>
  <c r="AM901" i="114"/>
  <c r="AO901" i="114" s="1"/>
  <c r="AD902" i="114"/>
  <c r="AE902" i="114" s="1"/>
  <c r="AJ902" i="114"/>
  <c r="AK902" i="114"/>
  <c r="AL902" i="114"/>
  <c r="AM902" i="114"/>
  <c r="AO902" i="114" s="1"/>
  <c r="AD903" i="114"/>
  <c r="AJ903" i="114"/>
  <c r="AK903" i="114"/>
  <c r="AL903" i="114"/>
  <c r="AM903" i="114"/>
  <c r="AO903" i="114" s="1"/>
  <c r="AD904" i="114"/>
  <c r="AI904" i="114" s="1"/>
  <c r="AJ904" i="114"/>
  <c r="AK904" i="114"/>
  <c r="AL904" i="114"/>
  <c r="AM904" i="114"/>
  <c r="AO904" i="114" s="1"/>
  <c r="AD905" i="114"/>
  <c r="AE905" i="114" s="1"/>
  <c r="AJ905" i="114"/>
  <c r="AK905" i="114"/>
  <c r="AL905" i="114"/>
  <c r="AM905" i="114"/>
  <c r="AO905" i="114" s="1"/>
  <c r="AD906" i="114"/>
  <c r="AJ906" i="114"/>
  <c r="AK906" i="114"/>
  <c r="AL906" i="114"/>
  <c r="AM906" i="114"/>
  <c r="AO906" i="114" s="1"/>
  <c r="AD907" i="114"/>
  <c r="AE907" i="114" s="1"/>
  <c r="AJ907" i="114"/>
  <c r="AK907" i="114"/>
  <c r="AL907" i="114"/>
  <c r="AM907" i="114"/>
  <c r="AO907" i="114" s="1"/>
  <c r="AD908" i="114"/>
  <c r="AJ908" i="114"/>
  <c r="AK908" i="114"/>
  <c r="AL908" i="114"/>
  <c r="AM908" i="114"/>
  <c r="AO908" i="114" s="1"/>
  <c r="AD909" i="114"/>
  <c r="AE909" i="114" s="1"/>
  <c r="AJ909" i="114"/>
  <c r="AK909" i="114"/>
  <c r="AL909" i="114"/>
  <c r="AM909" i="114"/>
  <c r="AO909" i="114" s="1"/>
  <c r="AD910" i="114"/>
  <c r="AE910" i="114" s="1"/>
  <c r="AJ910" i="114"/>
  <c r="AK910" i="114"/>
  <c r="AL910" i="114"/>
  <c r="AM910" i="114"/>
  <c r="AO910" i="114" s="1"/>
  <c r="AD911" i="114"/>
  <c r="AE911" i="114" s="1"/>
  <c r="AJ911" i="114"/>
  <c r="AK911" i="114"/>
  <c r="AL911" i="114"/>
  <c r="AM911" i="114"/>
  <c r="AO911" i="114" s="1"/>
  <c r="AD912" i="114"/>
  <c r="AE912" i="114" s="1"/>
  <c r="AJ912" i="114"/>
  <c r="AK912" i="114"/>
  <c r="AL912" i="114"/>
  <c r="AM912" i="114"/>
  <c r="AO912" i="114" s="1"/>
  <c r="AD913" i="114"/>
  <c r="AE913" i="114" s="1"/>
  <c r="AJ913" i="114"/>
  <c r="AK913" i="114"/>
  <c r="AL913" i="114"/>
  <c r="AM913" i="114"/>
  <c r="AO913" i="114" s="1"/>
  <c r="AD914" i="114"/>
  <c r="AJ914" i="114"/>
  <c r="AK914" i="114"/>
  <c r="AL914" i="114"/>
  <c r="AM914" i="114"/>
  <c r="AO914" i="114"/>
  <c r="AD915" i="114"/>
  <c r="AJ915" i="114"/>
  <c r="AK915" i="114"/>
  <c r="AL915" i="114"/>
  <c r="AM915" i="114"/>
  <c r="AO915" i="114" s="1"/>
  <c r="AD916" i="114"/>
  <c r="AJ916" i="114"/>
  <c r="AK916" i="114"/>
  <c r="AL916" i="114"/>
  <c r="AM916" i="114"/>
  <c r="AO916" i="114" s="1"/>
  <c r="AD917" i="114"/>
  <c r="AE917" i="114" s="1"/>
  <c r="AJ917" i="114"/>
  <c r="AK917" i="114"/>
  <c r="AL917" i="114"/>
  <c r="AM917" i="114"/>
  <c r="AO917" i="114" s="1"/>
  <c r="AD918" i="114"/>
  <c r="AE918" i="114" s="1"/>
  <c r="AJ918" i="114"/>
  <c r="AK918" i="114"/>
  <c r="AL918" i="114"/>
  <c r="AM918" i="114"/>
  <c r="AO918" i="114" s="1"/>
  <c r="AD919" i="114"/>
  <c r="AE919" i="114" s="1"/>
  <c r="AJ919" i="114"/>
  <c r="AK919" i="114"/>
  <c r="AL919" i="114"/>
  <c r="AM919" i="114"/>
  <c r="AO919" i="114" s="1"/>
  <c r="AD920" i="114"/>
  <c r="AE920" i="114" s="1"/>
  <c r="AJ920" i="114"/>
  <c r="AK920" i="114"/>
  <c r="AL920" i="114"/>
  <c r="AM920" i="114"/>
  <c r="AO920" i="114" s="1"/>
  <c r="AD921" i="114"/>
  <c r="AE921" i="114" s="1"/>
  <c r="AJ921" i="114"/>
  <c r="AK921" i="114"/>
  <c r="AL921" i="114"/>
  <c r="AM921" i="114"/>
  <c r="AO921" i="114" s="1"/>
  <c r="AD922" i="114"/>
  <c r="AJ922" i="114"/>
  <c r="AK922" i="114"/>
  <c r="AL922" i="114"/>
  <c r="AM922" i="114"/>
  <c r="AO922" i="114" s="1"/>
  <c r="AD923" i="114"/>
  <c r="AE923" i="114" s="1"/>
  <c r="AJ923" i="114"/>
  <c r="AK923" i="114"/>
  <c r="AL923" i="114"/>
  <c r="AM923" i="114"/>
  <c r="AO923" i="114" s="1"/>
  <c r="AD924" i="114"/>
  <c r="AJ924" i="114"/>
  <c r="AK924" i="114"/>
  <c r="AL924" i="114"/>
  <c r="AM924" i="114"/>
  <c r="AO924" i="114" s="1"/>
  <c r="AD925" i="114"/>
  <c r="AE925" i="114" s="1"/>
  <c r="AJ925" i="114"/>
  <c r="AK925" i="114"/>
  <c r="AL925" i="114"/>
  <c r="AM925" i="114"/>
  <c r="AO925" i="114" s="1"/>
  <c r="AD926" i="114"/>
  <c r="AE926" i="114" s="1"/>
  <c r="AJ926" i="114"/>
  <c r="AK926" i="114"/>
  <c r="AL926" i="114"/>
  <c r="AM926" i="114"/>
  <c r="AO926" i="114" s="1"/>
  <c r="AD927" i="114"/>
  <c r="AE927" i="114" s="1"/>
  <c r="AJ927" i="114"/>
  <c r="AK927" i="114"/>
  <c r="AL927" i="114"/>
  <c r="AM927" i="114"/>
  <c r="AO927" i="114" s="1"/>
  <c r="AD928" i="114"/>
  <c r="AJ928" i="114"/>
  <c r="AK928" i="114"/>
  <c r="AL928" i="114"/>
  <c r="AM928" i="114"/>
  <c r="AO928" i="114" s="1"/>
  <c r="AD929" i="114"/>
  <c r="AE929" i="114" s="1"/>
  <c r="AJ929" i="114"/>
  <c r="AK929" i="114"/>
  <c r="AL929" i="114"/>
  <c r="AM929" i="114"/>
  <c r="AO929" i="114" s="1"/>
  <c r="AD930" i="114"/>
  <c r="AJ930" i="114"/>
  <c r="AK930" i="114"/>
  <c r="AL930" i="114"/>
  <c r="AM930" i="114"/>
  <c r="AO930" i="114" s="1"/>
  <c r="AD931" i="114"/>
  <c r="AE931" i="114" s="1"/>
  <c r="AJ931" i="114"/>
  <c r="AK931" i="114"/>
  <c r="AL931" i="114"/>
  <c r="AM931" i="114"/>
  <c r="AO931" i="114" s="1"/>
  <c r="AD932" i="114"/>
  <c r="AE932" i="114" s="1"/>
  <c r="AJ932" i="114"/>
  <c r="AK932" i="114"/>
  <c r="AL932" i="114"/>
  <c r="AM932" i="114"/>
  <c r="AO932" i="114" s="1"/>
  <c r="AD933" i="114"/>
  <c r="AE933" i="114" s="1"/>
  <c r="AJ933" i="114"/>
  <c r="AK933" i="114"/>
  <c r="AL933" i="114"/>
  <c r="AM933" i="114"/>
  <c r="AO933" i="114" s="1"/>
  <c r="AD934" i="114"/>
  <c r="AE934" i="114" s="1"/>
  <c r="AJ934" i="114"/>
  <c r="AK934" i="114"/>
  <c r="AL934" i="114"/>
  <c r="AM934" i="114"/>
  <c r="AO934" i="114" s="1"/>
  <c r="AD935" i="114"/>
  <c r="AE935" i="114" s="1"/>
  <c r="AJ935" i="114"/>
  <c r="AK935" i="114"/>
  <c r="AL935" i="114"/>
  <c r="AM935" i="114"/>
  <c r="AO935" i="114" s="1"/>
  <c r="AD936" i="114"/>
  <c r="AJ936" i="114"/>
  <c r="AK936" i="114"/>
  <c r="AL936" i="114"/>
  <c r="AM936" i="114"/>
  <c r="AO936" i="114" s="1"/>
  <c r="AD937" i="114"/>
  <c r="AE937" i="114" s="1"/>
  <c r="AJ937" i="114"/>
  <c r="AK937" i="114"/>
  <c r="AL937" i="114"/>
  <c r="AM937" i="114"/>
  <c r="AO937" i="114" s="1"/>
  <c r="AD938" i="114"/>
  <c r="AJ938" i="114"/>
  <c r="AK938" i="114"/>
  <c r="AL938" i="114"/>
  <c r="AM938" i="114"/>
  <c r="AO938" i="114" s="1"/>
  <c r="AD939" i="114"/>
  <c r="AE939" i="114" s="1"/>
  <c r="AJ939" i="114"/>
  <c r="AK939" i="114"/>
  <c r="AL939" i="114"/>
  <c r="AM939" i="114"/>
  <c r="AO939" i="114" s="1"/>
  <c r="AD940" i="114"/>
  <c r="AJ940" i="114"/>
  <c r="AK940" i="114"/>
  <c r="AL940" i="114"/>
  <c r="AM940" i="114"/>
  <c r="AO940" i="114" s="1"/>
  <c r="AD941" i="114"/>
  <c r="AE941" i="114" s="1"/>
  <c r="AJ941" i="114"/>
  <c r="AK941" i="114"/>
  <c r="AL941" i="114"/>
  <c r="AM941" i="114"/>
  <c r="AO941" i="114" s="1"/>
  <c r="AD942" i="114"/>
  <c r="AE942" i="114" s="1"/>
  <c r="AJ942" i="114"/>
  <c r="AK942" i="114"/>
  <c r="AL942" i="114"/>
  <c r="AM942" i="114"/>
  <c r="AO942" i="114" s="1"/>
  <c r="AD943" i="114"/>
  <c r="AJ943" i="114"/>
  <c r="AK943" i="114"/>
  <c r="AL943" i="114"/>
  <c r="AM943" i="114"/>
  <c r="AO943" i="114" s="1"/>
  <c r="AD944" i="114"/>
  <c r="AE944" i="114" s="1"/>
  <c r="AJ944" i="114"/>
  <c r="AK944" i="114"/>
  <c r="AL944" i="114"/>
  <c r="AM944" i="114"/>
  <c r="AO944" i="114" s="1"/>
  <c r="AD945" i="114"/>
  <c r="AE945" i="114" s="1"/>
  <c r="AJ945" i="114"/>
  <c r="AK945" i="114"/>
  <c r="AL945" i="114"/>
  <c r="AM945" i="114"/>
  <c r="AO945" i="114" s="1"/>
  <c r="AD946" i="114"/>
  <c r="AJ946" i="114"/>
  <c r="AK946" i="114"/>
  <c r="AL946" i="114"/>
  <c r="AM946" i="114"/>
  <c r="AO946" i="114" s="1"/>
  <c r="AD947" i="114"/>
  <c r="AJ947" i="114"/>
  <c r="AK947" i="114"/>
  <c r="AL947" i="114"/>
  <c r="AM947" i="114"/>
  <c r="AO947" i="114" s="1"/>
  <c r="AD948" i="114"/>
  <c r="AJ948" i="114"/>
  <c r="AK948" i="114"/>
  <c r="AL948" i="114"/>
  <c r="AM948" i="114"/>
  <c r="AO948" i="114" s="1"/>
  <c r="AD949" i="114"/>
  <c r="AE949" i="114" s="1"/>
  <c r="AJ949" i="114"/>
  <c r="AK949" i="114"/>
  <c r="AL949" i="114"/>
  <c r="AM949" i="114"/>
  <c r="AO949" i="114" s="1"/>
  <c r="AD950" i="114"/>
  <c r="AE950" i="114" s="1"/>
  <c r="AJ950" i="114"/>
  <c r="AK950" i="114"/>
  <c r="AL950" i="114"/>
  <c r="AM950" i="114"/>
  <c r="AO950" i="114" s="1"/>
  <c r="AD951" i="114"/>
  <c r="AJ951" i="114"/>
  <c r="AK951" i="114"/>
  <c r="AL951" i="114"/>
  <c r="AM951" i="114"/>
  <c r="AO951" i="114" s="1"/>
  <c r="AD952" i="114"/>
  <c r="AE952" i="114" s="1"/>
  <c r="AJ952" i="114"/>
  <c r="AK952" i="114"/>
  <c r="AL952" i="114"/>
  <c r="AM952" i="114"/>
  <c r="AO952" i="114" s="1"/>
  <c r="AD953" i="114"/>
  <c r="AE953" i="114" s="1"/>
  <c r="AJ953" i="114"/>
  <c r="AK953" i="114"/>
  <c r="AL953" i="114"/>
  <c r="AM953" i="114"/>
  <c r="AO953" i="114" s="1"/>
  <c r="AD954" i="114"/>
  <c r="AJ954" i="114"/>
  <c r="AK954" i="114"/>
  <c r="AL954" i="114"/>
  <c r="AM954" i="114"/>
  <c r="AO954" i="114" s="1"/>
  <c r="AD955" i="114"/>
  <c r="AJ955" i="114"/>
  <c r="AK955" i="114"/>
  <c r="AL955" i="114"/>
  <c r="AM955" i="114"/>
  <c r="AO955" i="114" s="1"/>
  <c r="AD956" i="114"/>
  <c r="AE956" i="114" s="1"/>
  <c r="AJ956" i="114"/>
  <c r="AK956" i="114"/>
  <c r="AL956" i="114"/>
  <c r="AM956" i="114"/>
  <c r="AO956" i="114" s="1"/>
  <c r="AD957" i="114"/>
  <c r="AE957" i="114" s="1"/>
  <c r="AJ957" i="114"/>
  <c r="AK957" i="114"/>
  <c r="AL957" i="114"/>
  <c r="AM957" i="114"/>
  <c r="AO957" i="114" s="1"/>
  <c r="AD958" i="114"/>
  <c r="AE958" i="114" s="1"/>
  <c r="AJ958" i="114"/>
  <c r="AK958" i="114"/>
  <c r="AL958" i="114"/>
  <c r="AM958" i="114"/>
  <c r="AO958" i="114" s="1"/>
  <c r="AD959" i="114"/>
  <c r="AE959" i="114" s="1"/>
  <c r="AJ959" i="114"/>
  <c r="AK959" i="114"/>
  <c r="AL959" i="114"/>
  <c r="AM959" i="114"/>
  <c r="AO959" i="114" s="1"/>
  <c r="AD960" i="114"/>
  <c r="AJ960" i="114"/>
  <c r="AK960" i="114"/>
  <c r="AL960" i="114"/>
  <c r="AM960" i="114"/>
  <c r="AO960" i="114" s="1"/>
  <c r="AD961" i="114"/>
  <c r="AE961" i="114" s="1"/>
  <c r="AJ961" i="114"/>
  <c r="AK961" i="114"/>
  <c r="AL961" i="114"/>
  <c r="AM961" i="114"/>
  <c r="AO961" i="114" s="1"/>
  <c r="AD962" i="114"/>
  <c r="AJ962" i="114"/>
  <c r="AK962" i="114"/>
  <c r="AL962" i="114"/>
  <c r="AM962" i="114"/>
  <c r="AO962" i="114" s="1"/>
  <c r="AD963" i="114"/>
  <c r="AJ963" i="114"/>
  <c r="AK963" i="114"/>
  <c r="AL963" i="114"/>
  <c r="AM963" i="114"/>
  <c r="AO963" i="114" s="1"/>
  <c r="AD964" i="114"/>
  <c r="AJ964" i="114"/>
  <c r="AK964" i="114"/>
  <c r="AL964" i="114"/>
  <c r="AM964" i="114"/>
  <c r="AO964" i="114" s="1"/>
  <c r="AD965" i="114"/>
  <c r="AE965" i="114" s="1"/>
  <c r="AJ965" i="114"/>
  <c r="AK965" i="114"/>
  <c r="AL965" i="114"/>
  <c r="AM965" i="114"/>
  <c r="AO965" i="114" s="1"/>
  <c r="AD966" i="114"/>
  <c r="AE966" i="114" s="1"/>
  <c r="AJ966" i="114"/>
  <c r="AK966" i="114"/>
  <c r="AL966" i="114"/>
  <c r="AM966" i="114"/>
  <c r="AO966" i="114" s="1"/>
  <c r="AD967" i="114"/>
  <c r="AE967" i="114" s="1"/>
  <c r="AJ967" i="114"/>
  <c r="AK967" i="114"/>
  <c r="AL967" i="114"/>
  <c r="AM967" i="114"/>
  <c r="AO967" i="114" s="1"/>
  <c r="AD968" i="114"/>
  <c r="AE968" i="114" s="1"/>
  <c r="AJ968" i="114"/>
  <c r="AK968" i="114"/>
  <c r="AL968" i="114"/>
  <c r="AM968" i="114"/>
  <c r="AO968" i="114" s="1"/>
  <c r="AD969" i="114"/>
  <c r="AE969" i="114" s="1"/>
  <c r="AJ969" i="114"/>
  <c r="AK969" i="114"/>
  <c r="AL969" i="114"/>
  <c r="AM969" i="114"/>
  <c r="AO969" i="114" s="1"/>
  <c r="AD970" i="114"/>
  <c r="AJ970" i="114"/>
  <c r="AK970" i="114"/>
  <c r="AL970" i="114"/>
  <c r="AM970" i="114"/>
  <c r="AO970" i="114" s="1"/>
  <c r="AD971" i="114"/>
  <c r="AJ971" i="114"/>
  <c r="AK971" i="114"/>
  <c r="AL971" i="114"/>
  <c r="AM971" i="114"/>
  <c r="AO971" i="114" s="1"/>
  <c r="AD972" i="114"/>
  <c r="AJ972" i="114"/>
  <c r="AK972" i="114"/>
  <c r="AL972" i="114"/>
  <c r="AM972" i="114"/>
  <c r="AO972" i="114" s="1"/>
  <c r="AD973" i="114"/>
  <c r="AE973" i="114" s="1"/>
  <c r="AJ973" i="114"/>
  <c r="AK973" i="114"/>
  <c r="AL973" i="114"/>
  <c r="AM973" i="114"/>
  <c r="AO973" i="114" s="1"/>
  <c r="AD974" i="114"/>
  <c r="AE974" i="114" s="1"/>
  <c r="AJ974" i="114"/>
  <c r="AK974" i="114"/>
  <c r="AL974" i="114"/>
  <c r="AM974" i="114"/>
  <c r="AO974" i="114" s="1"/>
  <c r="AD975" i="114"/>
  <c r="AJ975" i="114"/>
  <c r="AK975" i="114"/>
  <c r="AL975" i="114"/>
  <c r="AM975" i="114"/>
  <c r="AO975" i="114" s="1"/>
  <c r="AD976" i="114"/>
  <c r="AJ976" i="114"/>
  <c r="AK976" i="114"/>
  <c r="AL976" i="114"/>
  <c r="AM976" i="114"/>
  <c r="AO976" i="114" s="1"/>
  <c r="AD977" i="114"/>
  <c r="AE977" i="114" s="1"/>
  <c r="AJ977" i="114"/>
  <c r="AK977" i="114"/>
  <c r="AL977" i="114"/>
  <c r="AM977" i="114"/>
  <c r="AO977" i="114" s="1"/>
  <c r="AD978" i="114"/>
  <c r="AJ978" i="114"/>
  <c r="AK978" i="114"/>
  <c r="AL978" i="114"/>
  <c r="AM978" i="114"/>
  <c r="AO978" i="114" s="1"/>
  <c r="AD979" i="114"/>
  <c r="AJ979" i="114"/>
  <c r="AK979" i="114"/>
  <c r="AL979" i="114"/>
  <c r="AM979" i="114"/>
  <c r="AO979" i="114" s="1"/>
  <c r="AD980" i="114"/>
  <c r="AE980" i="114" s="1"/>
  <c r="AJ980" i="114"/>
  <c r="AK980" i="114"/>
  <c r="AL980" i="114"/>
  <c r="AM980" i="114"/>
  <c r="AO980" i="114" s="1"/>
  <c r="AD981" i="114"/>
  <c r="AE981" i="114" s="1"/>
  <c r="AJ981" i="114"/>
  <c r="AK981" i="114"/>
  <c r="AL981" i="114"/>
  <c r="AM981" i="114"/>
  <c r="AO981" i="114" s="1"/>
  <c r="AD982" i="114"/>
  <c r="AE982" i="114" s="1"/>
  <c r="AJ982" i="114"/>
  <c r="AK982" i="114"/>
  <c r="AL982" i="114"/>
  <c r="AM982" i="114"/>
  <c r="AO982" i="114" s="1"/>
  <c r="AD983" i="114"/>
  <c r="AE983" i="114" s="1"/>
  <c r="AJ983" i="114"/>
  <c r="AK983" i="114"/>
  <c r="AL983" i="114"/>
  <c r="AM983" i="114"/>
  <c r="AO983" i="114" s="1"/>
  <c r="AD984" i="114"/>
  <c r="AJ984" i="114"/>
  <c r="AK984" i="114"/>
  <c r="AL984" i="114"/>
  <c r="AM984" i="114"/>
  <c r="AO984" i="114" s="1"/>
  <c r="AD985" i="114"/>
  <c r="AE985" i="114" s="1"/>
  <c r="AJ985" i="114"/>
  <c r="AK985" i="114"/>
  <c r="AL985" i="114"/>
  <c r="AM985" i="114"/>
  <c r="AO985" i="114" s="1"/>
  <c r="AD986" i="114"/>
  <c r="AJ986" i="114"/>
  <c r="AK986" i="114"/>
  <c r="AL986" i="114"/>
  <c r="AM986" i="114"/>
  <c r="AO986" i="114" s="1"/>
  <c r="AD987" i="114"/>
  <c r="AJ987" i="114"/>
  <c r="AK987" i="114"/>
  <c r="AL987" i="114"/>
  <c r="AM987" i="114"/>
  <c r="AO987" i="114" s="1"/>
  <c r="AD988" i="114"/>
  <c r="AE988" i="114" s="1"/>
  <c r="AJ988" i="114"/>
  <c r="AK988" i="114"/>
  <c r="AL988" i="114"/>
  <c r="AM988" i="114"/>
  <c r="AO988" i="114" s="1"/>
  <c r="AD989" i="114"/>
  <c r="AE989" i="114" s="1"/>
  <c r="AJ989" i="114"/>
  <c r="AK989" i="114"/>
  <c r="AL989" i="114"/>
  <c r="AM989" i="114"/>
  <c r="AO989" i="114" s="1"/>
  <c r="AD990" i="114"/>
  <c r="AE990" i="114" s="1"/>
  <c r="AJ990" i="114"/>
  <c r="AK990" i="114"/>
  <c r="AL990" i="114"/>
  <c r="AM990" i="114"/>
  <c r="AO990" i="114" s="1"/>
  <c r="AD991" i="114"/>
  <c r="AE991" i="114" s="1"/>
  <c r="AJ991" i="114"/>
  <c r="AK991" i="114"/>
  <c r="AL991" i="114"/>
  <c r="AM991" i="114"/>
  <c r="AO991" i="114" s="1"/>
  <c r="AD992" i="114"/>
  <c r="AJ992" i="114"/>
  <c r="AK992" i="114"/>
  <c r="AL992" i="114"/>
  <c r="AM992" i="114"/>
  <c r="AO992" i="114" s="1"/>
  <c r="AD993" i="114"/>
  <c r="AE993" i="114" s="1"/>
  <c r="AJ993" i="114"/>
  <c r="AK993" i="114"/>
  <c r="AL993" i="114"/>
  <c r="AM993" i="114"/>
  <c r="AO993" i="114" s="1"/>
  <c r="AD994" i="114"/>
  <c r="AJ994" i="114"/>
  <c r="AK994" i="114"/>
  <c r="AL994" i="114"/>
  <c r="AM994" i="114"/>
  <c r="AO994" i="114" s="1"/>
  <c r="AD995" i="114"/>
  <c r="AJ995" i="114"/>
  <c r="AK995" i="114"/>
  <c r="AL995" i="114"/>
  <c r="AM995" i="114"/>
  <c r="AO995" i="114" s="1"/>
  <c r="AD996" i="114"/>
  <c r="AJ996" i="114"/>
  <c r="AK996" i="114"/>
  <c r="AL996" i="114"/>
  <c r="AM996" i="114"/>
  <c r="AO996" i="114" s="1"/>
  <c r="AD997" i="114"/>
  <c r="AJ997" i="114"/>
  <c r="AK997" i="114"/>
  <c r="AL997" i="114"/>
  <c r="AM997" i="114"/>
  <c r="AO997" i="114" s="1"/>
  <c r="AD998" i="114"/>
  <c r="AJ998" i="114"/>
  <c r="AK998" i="114"/>
  <c r="AL998" i="114"/>
  <c r="AM998" i="114"/>
  <c r="AO998" i="114" s="1"/>
  <c r="AD999" i="114"/>
  <c r="AJ999" i="114"/>
  <c r="AK999" i="114"/>
  <c r="AL999" i="114"/>
  <c r="AM999" i="114"/>
  <c r="AO999" i="114" s="1"/>
  <c r="AD1000" i="114"/>
  <c r="AE1000" i="114" s="1"/>
  <c r="AJ1000" i="114"/>
  <c r="AK1000" i="114"/>
  <c r="AL1000" i="114"/>
  <c r="AM1000" i="114"/>
  <c r="AO1000" i="114" s="1"/>
  <c r="AD1001" i="114"/>
  <c r="AJ1001" i="114"/>
  <c r="AK1001" i="114"/>
  <c r="AL1001" i="114"/>
  <c r="AM1001" i="114"/>
  <c r="AO1001" i="114" s="1"/>
  <c r="AD1002" i="114"/>
  <c r="AJ1002" i="114"/>
  <c r="AK1002" i="114"/>
  <c r="AL1002" i="114"/>
  <c r="AM1002" i="114"/>
  <c r="AO1002" i="114" s="1"/>
  <c r="AD1003" i="114"/>
  <c r="AJ1003" i="114"/>
  <c r="AK1003" i="114"/>
  <c r="AL1003" i="114"/>
  <c r="AM1003" i="114"/>
  <c r="AO1003" i="114" s="1"/>
  <c r="AD1004" i="114"/>
  <c r="AJ1004" i="114"/>
  <c r="AK1004" i="114"/>
  <c r="AL1004" i="114"/>
  <c r="AM1004" i="114"/>
  <c r="AO1004" i="114" s="1"/>
  <c r="AD1005" i="114"/>
  <c r="AE1005" i="114" s="1"/>
  <c r="AJ1005" i="114"/>
  <c r="AK1005" i="114"/>
  <c r="AL1005" i="114"/>
  <c r="AM1005" i="114"/>
  <c r="AO1005" i="114" s="1"/>
  <c r="AD1006" i="114"/>
  <c r="AE1006" i="114" s="1"/>
  <c r="AJ1006" i="114"/>
  <c r="AK1006" i="114"/>
  <c r="AL1006" i="114"/>
  <c r="AM1006" i="114"/>
  <c r="AO1006" i="114" s="1"/>
  <c r="AD1007" i="114"/>
  <c r="AI1007" i="114" s="1"/>
  <c r="AJ1007" i="114"/>
  <c r="AK1007" i="114"/>
  <c r="AL1007" i="114"/>
  <c r="AM1007" i="114"/>
  <c r="AO1007" i="114" s="1"/>
  <c r="AD1008" i="114"/>
  <c r="AJ1008" i="114"/>
  <c r="AK1008" i="114"/>
  <c r="AL1008" i="114"/>
  <c r="AM1008" i="114"/>
  <c r="AO1008" i="114" s="1"/>
  <c r="AD1009" i="114"/>
  <c r="AE1009" i="114" s="1"/>
  <c r="AJ1009" i="114"/>
  <c r="AK1009" i="114"/>
  <c r="AL1009" i="114"/>
  <c r="AM1009" i="114"/>
  <c r="AO1009" i="114" s="1"/>
  <c r="AD1010" i="114"/>
  <c r="AJ1010" i="114"/>
  <c r="AK1010" i="114"/>
  <c r="AL1010" i="114"/>
  <c r="AM1010" i="114"/>
  <c r="AO1010" i="114" s="1"/>
  <c r="AD1011" i="114"/>
  <c r="AJ1011" i="114"/>
  <c r="AK1011" i="114"/>
  <c r="AL1011" i="114"/>
  <c r="AM1011" i="114"/>
  <c r="AO1011" i="114" s="1"/>
  <c r="AD1012" i="114"/>
  <c r="AE1012" i="114" s="1"/>
  <c r="AJ1012" i="114"/>
  <c r="AK1012" i="114"/>
  <c r="AL1012" i="114"/>
  <c r="AM1012" i="114"/>
  <c r="AO1012" i="114" s="1"/>
  <c r="AD1013" i="114"/>
  <c r="AE1013" i="114" s="1"/>
  <c r="AJ1013" i="114"/>
  <c r="AK1013" i="114"/>
  <c r="AL1013" i="114"/>
  <c r="AM1013" i="114"/>
  <c r="AO1013" i="114" s="1"/>
  <c r="AD1014" i="114"/>
  <c r="AJ1014" i="114"/>
  <c r="AK1014" i="114"/>
  <c r="AL1014" i="114"/>
  <c r="AM1014" i="114"/>
  <c r="AO1014" i="114" s="1"/>
  <c r="AD1015" i="114"/>
  <c r="AI1015" i="114" s="1"/>
  <c r="AJ1015" i="114"/>
  <c r="AK1015" i="114"/>
  <c r="AL1015" i="114"/>
  <c r="AM1015" i="114"/>
  <c r="AO1015" i="114" s="1"/>
  <c r="AD1016" i="114"/>
  <c r="AE1016" i="114" s="1"/>
  <c r="AJ1016" i="114"/>
  <c r="AK1016" i="114"/>
  <c r="AL1016" i="114"/>
  <c r="AM1016" i="114"/>
  <c r="AO1016" i="114" s="1"/>
  <c r="AD1017" i="114"/>
  <c r="AE1017" i="114" s="1"/>
  <c r="AJ1017" i="114"/>
  <c r="AK1017" i="114"/>
  <c r="AL1017" i="114"/>
  <c r="AM1017" i="114"/>
  <c r="AO1017" i="114" s="1"/>
  <c r="AD1018" i="114"/>
  <c r="AE1018" i="114" s="1"/>
  <c r="AJ1018" i="114"/>
  <c r="AK1018" i="114"/>
  <c r="AL1018" i="114"/>
  <c r="AM1018" i="114"/>
  <c r="AO1018" i="114" s="1"/>
  <c r="AD1019" i="114"/>
  <c r="AG1019" i="114" s="1"/>
  <c r="AJ1019" i="114"/>
  <c r="AK1019" i="114"/>
  <c r="AL1019" i="114"/>
  <c r="AM1019" i="114"/>
  <c r="AO1019" i="114" s="1"/>
  <c r="AD1020" i="114"/>
  <c r="AJ1020" i="114"/>
  <c r="AK1020" i="114"/>
  <c r="AL1020" i="114"/>
  <c r="AM1020" i="114"/>
  <c r="AO1020" i="114" s="1"/>
  <c r="AD1021" i="114"/>
  <c r="AE1021" i="114" s="1"/>
  <c r="AJ1021" i="114"/>
  <c r="AK1021" i="114"/>
  <c r="AL1021" i="114"/>
  <c r="AM1021" i="114"/>
  <c r="AO1021" i="114" s="1"/>
  <c r="AD1022" i="114"/>
  <c r="AE1022" i="114" s="1"/>
  <c r="AJ1022" i="114"/>
  <c r="AK1022" i="114"/>
  <c r="AL1022" i="114"/>
  <c r="AM1022" i="114"/>
  <c r="AO1022" i="114" s="1"/>
  <c r="AD1023" i="114"/>
  <c r="AJ1023" i="114"/>
  <c r="AK1023" i="114"/>
  <c r="AL1023" i="114"/>
  <c r="AM1023" i="114"/>
  <c r="AO1023" i="114" s="1"/>
  <c r="AD1024" i="114"/>
  <c r="AJ1024" i="114"/>
  <c r="AK1024" i="114"/>
  <c r="AL1024" i="114"/>
  <c r="AM1024" i="114"/>
  <c r="AO1024" i="114" s="1"/>
  <c r="AD1025" i="114"/>
  <c r="AE1025" i="114" s="1"/>
  <c r="AJ1025" i="114"/>
  <c r="AK1025" i="114"/>
  <c r="AL1025" i="114"/>
  <c r="AM1025" i="114"/>
  <c r="AO1025" i="114" s="1"/>
  <c r="AD1026" i="114"/>
  <c r="AJ1026" i="114"/>
  <c r="AK1026" i="114"/>
  <c r="AL1026" i="114"/>
  <c r="AM1026" i="114"/>
  <c r="AO1026" i="114" s="1"/>
  <c r="AD1027" i="114"/>
  <c r="AI1027" i="114" s="1"/>
  <c r="AG1027" i="114"/>
  <c r="AJ1027" i="114"/>
  <c r="AK1027" i="114"/>
  <c r="AL1027" i="114"/>
  <c r="AM1027" i="114"/>
  <c r="AO1027" i="114" s="1"/>
  <c r="AD1028" i="114"/>
  <c r="AJ1028" i="114"/>
  <c r="AK1028" i="114"/>
  <c r="AL1028" i="114"/>
  <c r="AM1028" i="114"/>
  <c r="AO1028" i="114" s="1"/>
  <c r="AD1029" i="114"/>
  <c r="AE1029" i="114" s="1"/>
  <c r="AJ1029" i="114"/>
  <c r="AK1029" i="114"/>
  <c r="AL1029" i="114"/>
  <c r="AM1029" i="114"/>
  <c r="AO1029" i="114" s="1"/>
  <c r="AD1030" i="114"/>
  <c r="AJ1030" i="114"/>
  <c r="AK1030" i="114"/>
  <c r="AL1030" i="114"/>
  <c r="AM1030" i="114"/>
  <c r="AO1030" i="114" s="1"/>
  <c r="AD1031" i="114"/>
  <c r="AI1031" i="114" s="1"/>
  <c r="AJ1031" i="114"/>
  <c r="AK1031" i="114"/>
  <c r="AL1031" i="114"/>
  <c r="AM1031" i="114"/>
  <c r="AO1031" i="114" s="1"/>
  <c r="AD1032" i="114"/>
  <c r="AJ1032" i="114"/>
  <c r="AK1032" i="114"/>
  <c r="AL1032" i="114"/>
  <c r="AM1032" i="114"/>
  <c r="AO1032" i="114" s="1"/>
  <c r="AD1033" i="114"/>
  <c r="AE1033" i="114" s="1"/>
  <c r="AJ1033" i="114"/>
  <c r="AK1033" i="114"/>
  <c r="AL1033" i="114"/>
  <c r="AM1033" i="114"/>
  <c r="AO1033" i="114" s="1"/>
  <c r="AD1034" i="114"/>
  <c r="AJ1034" i="114"/>
  <c r="AK1034" i="114"/>
  <c r="AL1034" i="114"/>
  <c r="AM1034" i="114"/>
  <c r="AO1034" i="114" s="1"/>
  <c r="AD1035" i="114"/>
  <c r="AG1035" i="114" s="1"/>
  <c r="AJ1035" i="114"/>
  <c r="AK1035" i="114"/>
  <c r="AL1035" i="114"/>
  <c r="AM1035" i="114"/>
  <c r="AO1035" i="114" s="1"/>
  <c r="AD1036" i="114"/>
  <c r="AJ1036" i="114"/>
  <c r="AK1036" i="114"/>
  <c r="AL1036" i="114"/>
  <c r="AM1036" i="114"/>
  <c r="AO1036" i="114" s="1"/>
  <c r="AD1037" i="114"/>
  <c r="AE1037" i="114" s="1"/>
  <c r="AJ1037" i="114"/>
  <c r="AK1037" i="114"/>
  <c r="AL1037" i="114"/>
  <c r="AM1037" i="114"/>
  <c r="AO1037" i="114" s="1"/>
  <c r="AD1038" i="114"/>
  <c r="AE1038" i="114" s="1"/>
  <c r="AJ1038" i="114"/>
  <c r="AK1038" i="114"/>
  <c r="AL1038" i="114"/>
  <c r="AM1038" i="114"/>
  <c r="AO1038" i="114" s="1"/>
  <c r="AD1039" i="114"/>
  <c r="AE1039" i="114" s="1"/>
  <c r="AJ1039" i="114"/>
  <c r="AK1039" i="114"/>
  <c r="AL1039" i="114"/>
  <c r="AM1039" i="114"/>
  <c r="AO1039" i="114" s="1"/>
  <c r="AD1040" i="114"/>
  <c r="AE1040" i="114" s="1"/>
  <c r="AJ1040" i="114"/>
  <c r="AK1040" i="114"/>
  <c r="AL1040" i="114"/>
  <c r="AM1040" i="114"/>
  <c r="AO1040" i="114" s="1"/>
  <c r="AD1041" i="114"/>
  <c r="AJ1041" i="114"/>
  <c r="AK1041" i="114"/>
  <c r="AL1041" i="114"/>
  <c r="AM1041" i="114"/>
  <c r="AO1041" i="114" s="1"/>
  <c r="AD1042" i="114"/>
  <c r="AI1042" i="114" s="1"/>
  <c r="AJ1042" i="114"/>
  <c r="AK1042" i="114"/>
  <c r="AL1042" i="114"/>
  <c r="AM1042" i="114"/>
  <c r="AO1042" i="114" s="1"/>
  <c r="AD1043" i="114"/>
  <c r="AJ1043" i="114"/>
  <c r="AK1043" i="114"/>
  <c r="AL1043" i="114"/>
  <c r="AM1043" i="114"/>
  <c r="AO1043" i="114" s="1"/>
  <c r="AD1044" i="114"/>
  <c r="AE1044" i="114" s="1"/>
  <c r="AJ1044" i="114"/>
  <c r="AK1044" i="114"/>
  <c r="AL1044" i="114"/>
  <c r="AM1044" i="114"/>
  <c r="AO1044" i="114" s="1"/>
  <c r="AD1045" i="114"/>
  <c r="AJ1045" i="114"/>
  <c r="AK1045" i="114"/>
  <c r="AL1045" i="114"/>
  <c r="AM1045" i="114"/>
  <c r="AO1045" i="114" s="1"/>
  <c r="AD1046" i="114"/>
  <c r="AE1046" i="114" s="1"/>
  <c r="AJ1046" i="114"/>
  <c r="AK1046" i="114"/>
  <c r="AL1046" i="114"/>
  <c r="AM1046" i="114"/>
  <c r="AO1046" i="114" s="1"/>
  <c r="AD1047" i="114"/>
  <c r="AJ1047" i="114"/>
  <c r="AK1047" i="114"/>
  <c r="AL1047" i="114"/>
  <c r="AM1047" i="114"/>
  <c r="AO1047" i="114" s="1"/>
  <c r="AD1048" i="114"/>
  <c r="AE1048" i="114" s="1"/>
  <c r="AJ1048" i="114"/>
  <c r="AK1048" i="114"/>
  <c r="AL1048" i="114"/>
  <c r="AM1048" i="114"/>
  <c r="AO1048" i="114" s="1"/>
  <c r="AD1049" i="114"/>
  <c r="AJ1049" i="114"/>
  <c r="AK1049" i="114"/>
  <c r="AL1049" i="114"/>
  <c r="AM1049" i="114"/>
  <c r="AO1049" i="114" s="1"/>
  <c r="AD1050" i="114"/>
  <c r="AE1050" i="114" s="1"/>
  <c r="AJ1050" i="114"/>
  <c r="AK1050" i="114"/>
  <c r="AL1050" i="114"/>
  <c r="AM1050" i="114"/>
  <c r="AO1050" i="114" s="1"/>
  <c r="AD1051" i="114"/>
  <c r="AI1051" i="114" s="1"/>
  <c r="AJ1051" i="114"/>
  <c r="AK1051" i="114"/>
  <c r="AL1051" i="114"/>
  <c r="AM1051" i="114"/>
  <c r="AO1051" i="114" s="1"/>
  <c r="AD1052" i="114"/>
  <c r="AE1052" i="114" s="1"/>
  <c r="AJ1052" i="114"/>
  <c r="AK1052" i="114"/>
  <c r="AL1052" i="114"/>
  <c r="AM1052" i="114"/>
  <c r="AO1052" i="114" s="1"/>
  <c r="AD1053" i="114"/>
  <c r="AJ1053" i="114"/>
  <c r="AK1053" i="114"/>
  <c r="AL1053" i="114"/>
  <c r="AM1053" i="114"/>
  <c r="AO1053" i="114" s="1"/>
  <c r="AD1054" i="114"/>
  <c r="AE1054" i="114" s="1"/>
  <c r="AJ1054" i="114"/>
  <c r="AK1054" i="114"/>
  <c r="AL1054" i="114"/>
  <c r="AM1054" i="114"/>
  <c r="AO1054" i="114" s="1"/>
  <c r="AD1055" i="114"/>
  <c r="AE1055" i="114" s="1"/>
  <c r="AJ1055" i="114"/>
  <c r="AK1055" i="114"/>
  <c r="AL1055" i="114"/>
  <c r="AM1055" i="114"/>
  <c r="AO1055" i="114" s="1"/>
  <c r="AD1056" i="114"/>
  <c r="AE1056" i="114" s="1"/>
  <c r="AJ1056" i="114"/>
  <c r="AK1056" i="114"/>
  <c r="AL1056" i="114"/>
  <c r="AM1056" i="114"/>
  <c r="AO1056" i="114" s="1"/>
  <c r="AD1057" i="114"/>
  <c r="AJ1057" i="114"/>
  <c r="AK1057" i="114"/>
  <c r="AL1057" i="114"/>
  <c r="AM1057" i="114"/>
  <c r="AO1057" i="114" s="1"/>
  <c r="AD1058" i="114"/>
  <c r="AE1058" i="114" s="1"/>
  <c r="AJ1058" i="114"/>
  <c r="AK1058" i="114"/>
  <c r="AL1058" i="114"/>
  <c r="AM1058" i="114"/>
  <c r="AO1058" i="114" s="1"/>
  <c r="AD1059" i="114"/>
  <c r="AE1059" i="114" s="1"/>
  <c r="AF1059" i="114"/>
  <c r="AI1059" i="114"/>
  <c r="AJ1059" i="114"/>
  <c r="AK1059" i="114"/>
  <c r="AL1059" i="114"/>
  <c r="AM1059" i="114"/>
  <c r="AO1059" i="114" s="1"/>
  <c r="AD1060" i="114"/>
  <c r="AE1060" i="114" s="1"/>
  <c r="AJ1060" i="114"/>
  <c r="AK1060" i="114"/>
  <c r="AL1060" i="114"/>
  <c r="AM1060" i="114"/>
  <c r="AO1060" i="114" s="1"/>
  <c r="AD1061" i="114"/>
  <c r="AJ1061" i="114"/>
  <c r="AK1061" i="114"/>
  <c r="AL1061" i="114"/>
  <c r="AM1061" i="114"/>
  <c r="AO1061" i="114" s="1"/>
  <c r="AD1062" i="114"/>
  <c r="AJ1062" i="114"/>
  <c r="AK1062" i="114"/>
  <c r="AL1062" i="114"/>
  <c r="AM1062" i="114"/>
  <c r="AO1062" i="114" s="1"/>
  <c r="AD1063" i="114"/>
  <c r="AJ1063" i="114"/>
  <c r="AK1063" i="114"/>
  <c r="AL1063" i="114"/>
  <c r="AM1063" i="114"/>
  <c r="AO1063" i="114" s="1"/>
  <c r="AD1064" i="114"/>
  <c r="AE1064" i="114" s="1"/>
  <c r="AJ1064" i="114"/>
  <c r="AK1064" i="114"/>
  <c r="AL1064" i="114"/>
  <c r="AM1064" i="114"/>
  <c r="AO1064" i="114" s="1"/>
  <c r="AD1065" i="114"/>
  <c r="AJ1065" i="114"/>
  <c r="AK1065" i="114"/>
  <c r="AL1065" i="114"/>
  <c r="AM1065" i="114"/>
  <c r="AO1065" i="114" s="1"/>
  <c r="AD1066" i="114"/>
  <c r="AE1066" i="114" s="1"/>
  <c r="AJ1066" i="114"/>
  <c r="AK1066" i="114"/>
  <c r="AL1066" i="114"/>
  <c r="AM1066" i="114"/>
  <c r="AO1066" i="114" s="1"/>
  <c r="AD1067" i="114"/>
  <c r="AJ1067" i="114"/>
  <c r="AK1067" i="114"/>
  <c r="AL1067" i="114"/>
  <c r="AM1067" i="114"/>
  <c r="AO1067" i="114" s="1"/>
  <c r="AD1068" i="114"/>
  <c r="AE1068" i="114" s="1"/>
  <c r="AJ1068" i="114"/>
  <c r="AK1068" i="114"/>
  <c r="AL1068" i="114"/>
  <c r="AM1068" i="114"/>
  <c r="AO1068" i="114" s="1"/>
  <c r="AD1069" i="114"/>
  <c r="AJ1069" i="114"/>
  <c r="AK1069" i="114"/>
  <c r="AL1069" i="114"/>
  <c r="AM1069" i="114"/>
  <c r="AO1069" i="114" s="1"/>
  <c r="AD1070" i="114"/>
  <c r="AJ1070" i="114"/>
  <c r="AK1070" i="114"/>
  <c r="AL1070" i="114"/>
  <c r="AM1070" i="114"/>
  <c r="AO1070" i="114" s="1"/>
  <c r="AD1071" i="114"/>
  <c r="AJ1071" i="114"/>
  <c r="AK1071" i="114"/>
  <c r="AL1071" i="114"/>
  <c r="AM1071" i="114"/>
  <c r="AO1071" i="114" s="1"/>
  <c r="AD1072" i="114"/>
  <c r="AE1072" i="114" s="1"/>
  <c r="AJ1072" i="114"/>
  <c r="AK1072" i="114"/>
  <c r="AL1072" i="114"/>
  <c r="AM1072" i="114"/>
  <c r="AO1072" i="114" s="1"/>
  <c r="AD1073" i="114"/>
  <c r="AE1073" i="114" s="1"/>
  <c r="AJ1073" i="114"/>
  <c r="AK1073" i="114"/>
  <c r="AL1073" i="114"/>
  <c r="AM1073" i="114"/>
  <c r="AO1073" i="114" s="1"/>
  <c r="AD1074" i="114"/>
  <c r="AE1074" i="114" s="1"/>
  <c r="AJ1074" i="114"/>
  <c r="AK1074" i="114"/>
  <c r="AL1074" i="114"/>
  <c r="AM1074" i="114"/>
  <c r="AO1074" i="114" s="1"/>
  <c r="AD1075" i="114"/>
  <c r="AJ1075" i="114"/>
  <c r="AK1075" i="114"/>
  <c r="AL1075" i="114"/>
  <c r="AM1075" i="114"/>
  <c r="AO1075" i="114" s="1"/>
  <c r="AD1076" i="114"/>
  <c r="AE1076" i="114" s="1"/>
  <c r="AJ1076" i="114"/>
  <c r="AK1076" i="114"/>
  <c r="AL1076" i="114"/>
  <c r="AM1076" i="114"/>
  <c r="AO1076" i="114" s="1"/>
  <c r="AD1077" i="114"/>
  <c r="AJ1077" i="114"/>
  <c r="AK1077" i="114"/>
  <c r="AL1077" i="114"/>
  <c r="AM1077" i="114"/>
  <c r="AO1077" i="114" s="1"/>
  <c r="AD1078" i="114"/>
  <c r="AE1078" i="114" s="1"/>
  <c r="AJ1078" i="114"/>
  <c r="AK1078" i="114"/>
  <c r="AL1078" i="114"/>
  <c r="AM1078" i="114"/>
  <c r="AO1078" i="114" s="1"/>
  <c r="AD1079" i="114"/>
  <c r="AJ1079" i="114"/>
  <c r="AK1079" i="114"/>
  <c r="AL1079" i="114"/>
  <c r="AM1079" i="114"/>
  <c r="AO1079" i="114" s="1"/>
  <c r="AD1080" i="114"/>
  <c r="AE1080" i="114" s="1"/>
  <c r="AJ1080" i="114"/>
  <c r="AK1080" i="114"/>
  <c r="AL1080" i="114"/>
  <c r="AM1080" i="114"/>
  <c r="AO1080" i="114" s="1"/>
  <c r="AD1081" i="114"/>
  <c r="AJ1081" i="114"/>
  <c r="AK1081" i="114"/>
  <c r="AL1081" i="114"/>
  <c r="AM1081" i="114"/>
  <c r="AO1081" i="114" s="1"/>
  <c r="AD1082" i="114"/>
  <c r="AE1082" i="114" s="1"/>
  <c r="AJ1082" i="114"/>
  <c r="AK1082" i="114"/>
  <c r="AL1082" i="114"/>
  <c r="AM1082" i="114"/>
  <c r="AO1082" i="114" s="1"/>
  <c r="AD1083" i="114"/>
  <c r="AJ1083" i="114"/>
  <c r="AK1083" i="114"/>
  <c r="AL1083" i="114"/>
  <c r="AM1083" i="114"/>
  <c r="AO1083" i="114" s="1"/>
  <c r="AD1084" i="114"/>
  <c r="AE1084" i="114" s="1"/>
  <c r="AJ1084" i="114"/>
  <c r="AK1084" i="114"/>
  <c r="AL1084" i="114"/>
  <c r="AM1084" i="114"/>
  <c r="AO1084" i="114" s="1"/>
  <c r="AD1085" i="114"/>
  <c r="AJ1085" i="114"/>
  <c r="AK1085" i="114"/>
  <c r="AL1085" i="114"/>
  <c r="AM1085" i="114"/>
  <c r="AO1085" i="114" s="1"/>
  <c r="AD1086" i="114"/>
  <c r="AE1086" i="114" s="1"/>
  <c r="AJ1086" i="114"/>
  <c r="AK1086" i="114"/>
  <c r="AL1086" i="114"/>
  <c r="AM1086" i="114"/>
  <c r="AO1086" i="114" s="1"/>
  <c r="AD1087" i="114"/>
  <c r="AE1087" i="114" s="1"/>
  <c r="AJ1087" i="114"/>
  <c r="AK1087" i="114"/>
  <c r="AL1087" i="114"/>
  <c r="AM1087" i="114"/>
  <c r="AO1087" i="114" s="1"/>
  <c r="AD1088" i="114"/>
  <c r="AE1088" i="114" s="1"/>
  <c r="AJ1088" i="114"/>
  <c r="AK1088" i="114"/>
  <c r="AL1088" i="114"/>
  <c r="AM1088" i="114"/>
  <c r="AO1088" i="114" s="1"/>
  <c r="AD1089" i="114"/>
  <c r="AJ1089" i="114"/>
  <c r="AK1089" i="114"/>
  <c r="AL1089" i="114"/>
  <c r="AM1089" i="114"/>
  <c r="AO1089" i="114" s="1"/>
  <c r="AD1090" i="114"/>
  <c r="AE1090" i="114" s="1"/>
  <c r="AJ1090" i="114"/>
  <c r="AK1090" i="114"/>
  <c r="AL1090" i="114"/>
  <c r="AM1090" i="114"/>
  <c r="AO1090" i="114" s="1"/>
  <c r="AD1091" i="114"/>
  <c r="AI1091" i="114" s="1"/>
  <c r="AJ1091" i="114"/>
  <c r="AK1091" i="114"/>
  <c r="AL1091" i="114"/>
  <c r="AM1091" i="114"/>
  <c r="AO1091" i="114" s="1"/>
  <c r="AD1092" i="114"/>
  <c r="AE1092" i="114" s="1"/>
  <c r="AJ1092" i="114"/>
  <c r="AK1092" i="114"/>
  <c r="AL1092" i="114"/>
  <c r="AM1092" i="114"/>
  <c r="AO1092" i="114" s="1"/>
  <c r="AD1093" i="114"/>
  <c r="AJ1093" i="114"/>
  <c r="AK1093" i="114"/>
  <c r="AL1093" i="114"/>
  <c r="AM1093" i="114"/>
  <c r="AO1093" i="114" s="1"/>
  <c r="AD1094" i="114"/>
  <c r="AE1094" i="114" s="1"/>
  <c r="AJ1094" i="114"/>
  <c r="AK1094" i="114"/>
  <c r="AL1094" i="114"/>
  <c r="AM1094" i="114"/>
  <c r="AO1094" i="114" s="1"/>
  <c r="AD1095" i="114"/>
  <c r="AJ1095" i="114"/>
  <c r="AK1095" i="114"/>
  <c r="AL1095" i="114"/>
  <c r="AM1095" i="114"/>
  <c r="AO1095" i="114" s="1"/>
  <c r="AD1096" i="114"/>
  <c r="AE1096" i="114" s="1"/>
  <c r="AJ1096" i="114"/>
  <c r="AK1096" i="114"/>
  <c r="AL1096" i="114"/>
  <c r="AM1096" i="114"/>
  <c r="AO1096" i="114" s="1"/>
  <c r="AD1097" i="114"/>
  <c r="AJ1097" i="114"/>
  <c r="AK1097" i="114"/>
  <c r="AL1097" i="114"/>
  <c r="AM1097" i="114"/>
  <c r="AO1097" i="114" s="1"/>
  <c r="AD1098" i="114"/>
  <c r="AE1098" i="114" s="1"/>
  <c r="AJ1098" i="114"/>
  <c r="AK1098" i="114"/>
  <c r="AL1098" i="114"/>
  <c r="AM1098" i="114"/>
  <c r="AO1098" i="114" s="1"/>
  <c r="AD1099" i="114"/>
  <c r="AE1099" i="114" s="1"/>
  <c r="AJ1099" i="114"/>
  <c r="AK1099" i="114"/>
  <c r="AL1099" i="114"/>
  <c r="AM1099" i="114"/>
  <c r="AO1099" i="114" s="1"/>
  <c r="AD1100" i="114"/>
  <c r="AE1100" i="114" s="1"/>
  <c r="AJ1100" i="114"/>
  <c r="AK1100" i="114"/>
  <c r="AL1100" i="114"/>
  <c r="AM1100" i="114"/>
  <c r="AO1100" i="114" s="1"/>
  <c r="AD1101" i="114"/>
  <c r="AJ1101" i="114"/>
  <c r="AK1101" i="114"/>
  <c r="AL1101" i="114"/>
  <c r="AM1101" i="114"/>
  <c r="AO1101" i="114" s="1"/>
  <c r="AD1102" i="114"/>
  <c r="AJ1102" i="114"/>
  <c r="AK1102" i="114"/>
  <c r="AL1102" i="114"/>
  <c r="AM1102" i="114"/>
  <c r="AO1102" i="114" s="1"/>
  <c r="AD1103" i="114"/>
  <c r="AI1103" i="114"/>
  <c r="AJ1103" i="114"/>
  <c r="AK1103" i="114"/>
  <c r="AL1103" i="114"/>
  <c r="AM1103" i="114"/>
  <c r="AO1103" i="114" s="1"/>
  <c r="AD1104" i="114"/>
  <c r="AE1104" i="114" s="1"/>
  <c r="AJ1104" i="114"/>
  <c r="AK1104" i="114"/>
  <c r="AL1104" i="114"/>
  <c r="AM1104" i="114"/>
  <c r="AO1104" i="114" s="1"/>
  <c r="AD1105" i="114"/>
  <c r="AJ1105" i="114"/>
  <c r="AK1105" i="114"/>
  <c r="AL1105" i="114"/>
  <c r="AM1105" i="114"/>
  <c r="AO1105" i="114" s="1"/>
  <c r="AD1106" i="114"/>
  <c r="AE1106" i="114" s="1"/>
  <c r="AJ1106" i="114"/>
  <c r="AK1106" i="114"/>
  <c r="AL1106" i="114"/>
  <c r="AM1106" i="114"/>
  <c r="AO1106" i="114" s="1"/>
  <c r="AD1107" i="114"/>
  <c r="AJ1107" i="114"/>
  <c r="AK1107" i="114"/>
  <c r="AL1107" i="114"/>
  <c r="AM1107" i="114"/>
  <c r="AO1107" i="114" s="1"/>
  <c r="AD1108" i="114"/>
  <c r="AE1108" i="114" s="1"/>
  <c r="AJ1108" i="114"/>
  <c r="AK1108" i="114"/>
  <c r="AL1108" i="114"/>
  <c r="AM1108" i="114"/>
  <c r="AO1108" i="114" s="1"/>
  <c r="AD1109" i="114"/>
  <c r="AJ1109" i="114"/>
  <c r="AK1109" i="114"/>
  <c r="AL1109" i="114"/>
  <c r="AM1109" i="114"/>
  <c r="AO1109" i="114" s="1"/>
  <c r="AD1110" i="114"/>
  <c r="AJ1110" i="114"/>
  <c r="AK1110" i="114"/>
  <c r="AL1110" i="114"/>
  <c r="AM1110" i="114"/>
  <c r="AO1110" i="114" s="1"/>
  <c r="AD1111" i="114"/>
  <c r="AE1111" i="114" s="1"/>
  <c r="AJ1111" i="114"/>
  <c r="AK1111" i="114"/>
  <c r="AL1111" i="114"/>
  <c r="AM1111" i="114"/>
  <c r="AO1111" i="114" s="1"/>
  <c r="AD1112" i="114"/>
  <c r="AE1112" i="114" s="1"/>
  <c r="AJ1112" i="114"/>
  <c r="AK1112" i="114"/>
  <c r="AL1112" i="114"/>
  <c r="AM1112" i="114"/>
  <c r="AO1112" i="114" s="1"/>
  <c r="AD1113" i="114"/>
  <c r="AE1113" i="114" s="1"/>
  <c r="AJ1113" i="114"/>
  <c r="AK1113" i="114"/>
  <c r="AL1113" i="114"/>
  <c r="AM1113" i="114"/>
  <c r="AO1113" i="114" s="1"/>
  <c r="AD1114" i="114"/>
  <c r="AJ1114" i="114"/>
  <c r="AK1114" i="114"/>
  <c r="AL1114" i="114"/>
  <c r="AM1114" i="114"/>
  <c r="AO1114" i="114" s="1"/>
  <c r="AD1115" i="114"/>
  <c r="AJ1115" i="114"/>
  <c r="AK1115" i="114"/>
  <c r="AL1115" i="114"/>
  <c r="AM1115" i="114"/>
  <c r="AO1115" i="114" s="1"/>
  <c r="AD1116" i="114"/>
  <c r="AE1116" i="114" s="1"/>
  <c r="AJ1116" i="114"/>
  <c r="AK1116" i="114"/>
  <c r="AL1116" i="114"/>
  <c r="AM1116" i="114"/>
  <c r="AO1116" i="114" s="1"/>
  <c r="AD1117" i="114"/>
  <c r="AJ1117" i="114"/>
  <c r="AK1117" i="114"/>
  <c r="AL1117" i="114"/>
  <c r="AM1117" i="114"/>
  <c r="AO1117" i="114" s="1"/>
  <c r="AD1118" i="114"/>
  <c r="AE1118" i="114" s="1"/>
  <c r="AJ1118" i="114"/>
  <c r="AK1118" i="114"/>
  <c r="AL1118" i="114"/>
  <c r="AM1118" i="114"/>
  <c r="AO1118" i="114" s="1"/>
  <c r="AD1119" i="114"/>
  <c r="AE1119" i="114" s="1"/>
  <c r="AJ1119" i="114"/>
  <c r="AK1119" i="114"/>
  <c r="AL1119" i="114"/>
  <c r="AM1119" i="114"/>
  <c r="AO1119" i="114" s="1"/>
  <c r="AD1120" i="114"/>
  <c r="AE1120" i="114" s="1"/>
  <c r="AJ1120" i="114"/>
  <c r="AK1120" i="114"/>
  <c r="AL1120" i="114"/>
  <c r="AM1120" i="114"/>
  <c r="AO1120" i="114" s="1"/>
  <c r="AD1121" i="114"/>
  <c r="AJ1121" i="114"/>
  <c r="AK1121" i="114"/>
  <c r="AL1121" i="114"/>
  <c r="AM1121" i="114"/>
  <c r="AO1121" i="114" s="1"/>
  <c r="AD1122" i="114"/>
  <c r="AE1122" i="114" s="1"/>
  <c r="AJ1122" i="114"/>
  <c r="AK1122" i="114"/>
  <c r="AL1122" i="114"/>
  <c r="AM1122" i="114"/>
  <c r="AO1122" i="114" s="1"/>
  <c r="AD1123" i="114"/>
  <c r="AE1123" i="114" s="1"/>
  <c r="AJ1123" i="114"/>
  <c r="AK1123" i="114"/>
  <c r="AL1123" i="114"/>
  <c r="AM1123" i="114"/>
  <c r="AO1123" i="114" s="1"/>
  <c r="AD1124" i="114"/>
  <c r="AE1124" i="114" s="1"/>
  <c r="AJ1124" i="114"/>
  <c r="AK1124" i="114"/>
  <c r="AL1124" i="114"/>
  <c r="AM1124" i="114"/>
  <c r="AO1124" i="114" s="1"/>
  <c r="AD1125" i="114"/>
  <c r="AJ1125" i="114"/>
  <c r="AK1125" i="114"/>
  <c r="AL1125" i="114"/>
  <c r="AM1125" i="114"/>
  <c r="AO1125" i="114" s="1"/>
  <c r="AD1126" i="114"/>
  <c r="AE1126" i="114" s="1"/>
  <c r="AJ1126" i="114"/>
  <c r="AK1126" i="114"/>
  <c r="AL1126" i="114"/>
  <c r="AM1126" i="114"/>
  <c r="AO1126" i="114" s="1"/>
  <c r="AD1127" i="114"/>
  <c r="AJ1127" i="114"/>
  <c r="AK1127" i="114"/>
  <c r="AL1127" i="114"/>
  <c r="AM1127" i="114"/>
  <c r="AO1127" i="114" s="1"/>
  <c r="AD1128" i="114"/>
  <c r="AE1128" i="114" s="1"/>
  <c r="AJ1128" i="114"/>
  <c r="AK1128" i="114"/>
  <c r="AL1128" i="114"/>
  <c r="AM1128" i="114"/>
  <c r="AO1128" i="114" s="1"/>
  <c r="AD1129" i="114"/>
  <c r="AE1129" i="114" s="1"/>
  <c r="AJ1129" i="114"/>
  <c r="AK1129" i="114"/>
  <c r="AL1129" i="114"/>
  <c r="AM1129" i="114"/>
  <c r="AO1129" i="114" s="1"/>
  <c r="AD1130" i="114"/>
  <c r="AE1130" i="114" s="1"/>
  <c r="AJ1130" i="114"/>
  <c r="AK1130" i="114"/>
  <c r="AL1130" i="114"/>
  <c r="AM1130" i="114"/>
  <c r="AO1130" i="114" s="1"/>
  <c r="AD1131" i="114"/>
  <c r="AJ1131" i="114"/>
  <c r="AK1131" i="114"/>
  <c r="AL1131" i="114"/>
  <c r="AM1131" i="114"/>
  <c r="AO1131" i="114" s="1"/>
  <c r="AD1132" i="114"/>
  <c r="AE1132" i="114" s="1"/>
  <c r="AJ1132" i="114"/>
  <c r="AK1132" i="114"/>
  <c r="AL1132" i="114"/>
  <c r="AM1132" i="114"/>
  <c r="AO1132" i="114" s="1"/>
  <c r="AD1133" i="114"/>
  <c r="AJ1133" i="114"/>
  <c r="AK1133" i="114"/>
  <c r="AL1133" i="114"/>
  <c r="AM1133" i="114"/>
  <c r="AO1133" i="114" s="1"/>
  <c r="AD1134" i="114"/>
  <c r="AE1134" i="114" s="1"/>
  <c r="AJ1134" i="114"/>
  <c r="AK1134" i="114"/>
  <c r="AL1134" i="114"/>
  <c r="AM1134" i="114"/>
  <c r="AO1134" i="114" s="1"/>
  <c r="AD1135" i="114"/>
  <c r="AE1135" i="114" s="1"/>
  <c r="AJ1135" i="114"/>
  <c r="AK1135" i="114"/>
  <c r="AL1135" i="114"/>
  <c r="AM1135" i="114"/>
  <c r="AO1135" i="114" s="1"/>
  <c r="AD1136" i="114"/>
  <c r="AE1136" i="114" s="1"/>
  <c r="AJ1136" i="114"/>
  <c r="AK1136" i="114"/>
  <c r="AL1136" i="114"/>
  <c r="AM1136" i="114"/>
  <c r="AO1136" i="114" s="1"/>
  <c r="AD1137" i="114"/>
  <c r="AJ1137" i="114"/>
  <c r="AK1137" i="114"/>
  <c r="AL1137" i="114"/>
  <c r="AM1137" i="114"/>
  <c r="AO1137" i="114" s="1"/>
  <c r="AD1138" i="114"/>
  <c r="AE1138" i="114" s="1"/>
  <c r="AJ1138" i="114"/>
  <c r="AK1138" i="114"/>
  <c r="AL1138" i="114"/>
  <c r="AM1138" i="114"/>
  <c r="AO1138" i="114" s="1"/>
  <c r="AD1139" i="114"/>
  <c r="AE1139" i="114" s="1"/>
  <c r="AJ1139" i="114"/>
  <c r="AK1139" i="114"/>
  <c r="AL1139" i="114"/>
  <c r="AM1139" i="114"/>
  <c r="AO1139" i="114" s="1"/>
  <c r="AD1140" i="114"/>
  <c r="AE1140" i="114" s="1"/>
  <c r="AJ1140" i="114"/>
  <c r="AK1140" i="114"/>
  <c r="AL1140" i="114"/>
  <c r="AM1140" i="114"/>
  <c r="AO1140" i="114" s="1"/>
  <c r="AD1141" i="114"/>
  <c r="AJ1141" i="114"/>
  <c r="AK1141" i="114"/>
  <c r="AL1141" i="114"/>
  <c r="AM1141" i="114"/>
  <c r="AO1141" i="114" s="1"/>
  <c r="AD1142" i="114"/>
  <c r="AE1142" i="114" s="1"/>
  <c r="AJ1142" i="114"/>
  <c r="AK1142" i="114"/>
  <c r="AL1142" i="114"/>
  <c r="AM1142" i="114"/>
  <c r="AO1142" i="114" s="1"/>
  <c r="AD1143" i="114"/>
  <c r="AI1143" i="114" s="1"/>
  <c r="AJ1143" i="114"/>
  <c r="AK1143" i="114"/>
  <c r="AL1143" i="114"/>
  <c r="AM1143" i="114"/>
  <c r="AO1143" i="114" s="1"/>
  <c r="AD1144" i="114"/>
  <c r="AE1144" i="114" s="1"/>
  <c r="AJ1144" i="114"/>
  <c r="AK1144" i="114"/>
  <c r="AL1144" i="114"/>
  <c r="AM1144" i="114"/>
  <c r="AO1144" i="114" s="1"/>
  <c r="AD1145" i="114"/>
  <c r="AE1145" i="114" s="1"/>
  <c r="AJ1145" i="114"/>
  <c r="AK1145" i="114"/>
  <c r="AL1145" i="114"/>
  <c r="AM1145" i="114"/>
  <c r="AO1145" i="114" s="1"/>
  <c r="AD1146" i="114"/>
  <c r="AJ1146" i="114"/>
  <c r="AK1146" i="114"/>
  <c r="AL1146" i="114"/>
  <c r="AM1146" i="114"/>
  <c r="AO1146" i="114" s="1"/>
  <c r="AD1147" i="114"/>
  <c r="AG1147" i="114" s="1"/>
  <c r="AJ1147" i="114"/>
  <c r="AK1147" i="114"/>
  <c r="AL1147" i="114"/>
  <c r="AM1147" i="114"/>
  <c r="AO1147" i="114" s="1"/>
  <c r="AD1148" i="114"/>
  <c r="AE1148" i="114" s="1"/>
  <c r="AJ1148" i="114"/>
  <c r="AK1148" i="114"/>
  <c r="AL1148" i="114"/>
  <c r="AM1148" i="114"/>
  <c r="AO1148" i="114" s="1"/>
  <c r="AD1149" i="114"/>
  <c r="AJ1149" i="114"/>
  <c r="AK1149" i="114"/>
  <c r="AL1149" i="114"/>
  <c r="AM1149" i="114"/>
  <c r="AO1149" i="114" s="1"/>
  <c r="AD1150" i="114"/>
  <c r="AE1150" i="114" s="1"/>
  <c r="AJ1150" i="114"/>
  <c r="AK1150" i="114"/>
  <c r="AL1150" i="114"/>
  <c r="AM1150" i="114"/>
  <c r="AO1150" i="114" s="1"/>
  <c r="AD1151" i="114"/>
  <c r="AJ1151" i="114"/>
  <c r="AK1151" i="114"/>
  <c r="AL1151" i="114"/>
  <c r="AM1151" i="114"/>
  <c r="AO1151" i="114" s="1"/>
  <c r="AD1152" i="114"/>
  <c r="AJ1152" i="114"/>
  <c r="AK1152" i="114"/>
  <c r="AL1152" i="114"/>
  <c r="AM1152" i="114"/>
  <c r="AO1152" i="114" s="1"/>
  <c r="AD1153" i="114"/>
  <c r="AJ1153" i="114"/>
  <c r="AK1153" i="114"/>
  <c r="AL1153" i="114"/>
  <c r="AM1153" i="114"/>
  <c r="AO1153" i="114" s="1"/>
  <c r="AD1154" i="114"/>
  <c r="AE1154" i="114" s="1"/>
  <c r="AJ1154" i="114"/>
  <c r="AK1154" i="114"/>
  <c r="AL1154" i="114"/>
  <c r="AM1154" i="114"/>
  <c r="AO1154" i="114" s="1"/>
  <c r="AD1155" i="114"/>
  <c r="AI1155" i="114" s="1"/>
  <c r="AJ1155" i="114"/>
  <c r="AK1155" i="114"/>
  <c r="AL1155" i="114"/>
  <c r="AM1155" i="114"/>
  <c r="AO1155" i="114" s="1"/>
  <c r="AD1156" i="114"/>
  <c r="AE1156" i="114" s="1"/>
  <c r="AJ1156" i="114"/>
  <c r="AK1156" i="114"/>
  <c r="AL1156" i="114"/>
  <c r="AM1156" i="114"/>
  <c r="AO1156" i="114" s="1"/>
  <c r="AD1157" i="114"/>
  <c r="AG1157" i="114" s="1"/>
  <c r="AJ1157" i="114"/>
  <c r="AK1157" i="114"/>
  <c r="AL1157" i="114"/>
  <c r="AM1157" i="114"/>
  <c r="AO1157" i="114" s="1"/>
  <c r="AD1158" i="114"/>
  <c r="AE1158" i="114" s="1"/>
  <c r="AJ1158" i="114"/>
  <c r="AK1158" i="114"/>
  <c r="AL1158" i="114"/>
  <c r="AM1158" i="114"/>
  <c r="AO1158" i="114" s="1"/>
  <c r="AD1159" i="114"/>
  <c r="AE1159" i="114" s="1"/>
  <c r="AJ1159" i="114"/>
  <c r="AK1159" i="114"/>
  <c r="AL1159" i="114"/>
  <c r="AM1159" i="114"/>
  <c r="AO1159" i="114" s="1"/>
  <c r="AD1160" i="114"/>
  <c r="AE1160" i="114" s="1"/>
  <c r="AJ1160" i="114"/>
  <c r="AK1160" i="114"/>
  <c r="AL1160" i="114"/>
  <c r="AM1160" i="114"/>
  <c r="AO1160" i="114" s="1"/>
  <c r="AD1161" i="114"/>
  <c r="AJ1161" i="114"/>
  <c r="AK1161" i="114"/>
  <c r="AL1161" i="114"/>
  <c r="AM1161" i="114"/>
  <c r="AO1161" i="114" s="1"/>
  <c r="AD1162" i="114"/>
  <c r="AE1162" i="114" s="1"/>
  <c r="AJ1162" i="114"/>
  <c r="AK1162" i="114"/>
  <c r="AL1162" i="114"/>
  <c r="AM1162" i="114"/>
  <c r="AO1162" i="114" s="1"/>
  <c r="AD1163" i="114"/>
  <c r="AJ1163" i="114"/>
  <c r="AK1163" i="114"/>
  <c r="AL1163" i="114"/>
  <c r="AM1163" i="114"/>
  <c r="AO1163" i="114" s="1"/>
  <c r="AD1164" i="114"/>
  <c r="AJ1164" i="114"/>
  <c r="AK1164" i="114"/>
  <c r="AL1164" i="114"/>
  <c r="AM1164" i="114"/>
  <c r="AO1164" i="114" s="1"/>
  <c r="AD1165" i="114"/>
  <c r="AJ1165" i="114"/>
  <c r="AK1165" i="114"/>
  <c r="AL1165" i="114"/>
  <c r="AM1165" i="114"/>
  <c r="AO1165" i="114" s="1"/>
  <c r="AD1166" i="114"/>
  <c r="AE1166" i="114" s="1"/>
  <c r="AJ1166" i="114"/>
  <c r="AK1166" i="114"/>
  <c r="AL1166" i="114"/>
  <c r="AM1166" i="114"/>
  <c r="AO1166" i="114" s="1"/>
  <c r="AD1167" i="114"/>
  <c r="AJ1167" i="114"/>
  <c r="AK1167" i="114"/>
  <c r="AL1167" i="114"/>
  <c r="AM1167" i="114"/>
  <c r="AO1167" i="114" s="1"/>
  <c r="AD1168" i="114"/>
  <c r="AE1168" i="114" s="1"/>
  <c r="AJ1168" i="114"/>
  <c r="AK1168" i="114"/>
  <c r="AL1168" i="114"/>
  <c r="AM1168" i="114"/>
  <c r="AO1168" i="114" s="1"/>
  <c r="AD1169" i="114"/>
  <c r="AJ1169" i="114"/>
  <c r="AK1169" i="114"/>
  <c r="AL1169" i="114"/>
  <c r="AM1169" i="114"/>
  <c r="AO1169" i="114" s="1"/>
  <c r="AD1170" i="114"/>
  <c r="AE1170" i="114" s="1"/>
  <c r="AJ1170" i="114"/>
  <c r="AK1170" i="114"/>
  <c r="AL1170" i="114"/>
  <c r="AM1170" i="114"/>
  <c r="AO1170" i="114" s="1"/>
  <c r="AD1171" i="114"/>
  <c r="AJ1171" i="114"/>
  <c r="AK1171" i="114"/>
  <c r="AL1171" i="114"/>
  <c r="AM1171" i="114"/>
  <c r="AO1171" i="114" s="1"/>
  <c r="AD1172" i="114"/>
  <c r="AJ1172" i="114"/>
  <c r="AK1172" i="114"/>
  <c r="AL1172" i="114"/>
  <c r="AM1172" i="114"/>
  <c r="AO1172" i="114" s="1"/>
  <c r="AD1173" i="114"/>
  <c r="AJ1173" i="114"/>
  <c r="AK1173" i="114"/>
  <c r="AL1173" i="114"/>
  <c r="AM1173" i="114"/>
  <c r="AO1173" i="114" s="1"/>
  <c r="AD1174" i="114"/>
  <c r="AE1174" i="114" s="1"/>
  <c r="AJ1174" i="114"/>
  <c r="AK1174" i="114"/>
  <c r="AL1174" i="114"/>
  <c r="AM1174" i="114"/>
  <c r="AO1174" i="114" s="1"/>
  <c r="AD1175" i="114"/>
  <c r="AE1175" i="114" s="1"/>
  <c r="AJ1175" i="114"/>
  <c r="AK1175" i="114"/>
  <c r="AL1175" i="114"/>
  <c r="AM1175" i="114"/>
  <c r="AO1175" i="114" s="1"/>
  <c r="AD1176" i="114"/>
  <c r="AE1176" i="114" s="1"/>
  <c r="AJ1176" i="114"/>
  <c r="AK1176" i="114"/>
  <c r="AL1176" i="114"/>
  <c r="AM1176" i="114"/>
  <c r="AO1176" i="114" s="1"/>
  <c r="AD1177" i="114"/>
  <c r="AJ1177" i="114"/>
  <c r="AK1177" i="114"/>
  <c r="AL1177" i="114"/>
  <c r="AM1177" i="114"/>
  <c r="AO1177" i="114" s="1"/>
  <c r="AD1178" i="114"/>
  <c r="AE1178" i="114" s="1"/>
  <c r="AJ1178" i="114"/>
  <c r="AK1178" i="114"/>
  <c r="AL1178" i="114"/>
  <c r="AM1178" i="114"/>
  <c r="AO1178" i="114" s="1"/>
  <c r="AD1179" i="114"/>
  <c r="AJ1179" i="114"/>
  <c r="AK1179" i="114"/>
  <c r="AL1179" i="114"/>
  <c r="AM1179" i="114"/>
  <c r="AO1179" i="114" s="1"/>
  <c r="AD1180" i="114"/>
  <c r="AE1180" i="114" s="1"/>
  <c r="AJ1180" i="114"/>
  <c r="AK1180" i="114"/>
  <c r="AL1180" i="114"/>
  <c r="AM1180" i="114"/>
  <c r="AO1180" i="114" s="1"/>
  <c r="AD1181" i="114"/>
  <c r="AJ1181" i="114"/>
  <c r="AK1181" i="114"/>
  <c r="AL1181" i="114"/>
  <c r="AM1181" i="114"/>
  <c r="AO1181" i="114" s="1"/>
  <c r="AD1182" i="114"/>
  <c r="AE1182" i="114" s="1"/>
  <c r="AJ1182" i="114"/>
  <c r="AK1182" i="114"/>
  <c r="AL1182" i="114"/>
  <c r="AM1182" i="114"/>
  <c r="AO1182" i="114" s="1"/>
  <c r="AD1183" i="114"/>
  <c r="AE1183" i="114" s="1"/>
  <c r="AJ1183" i="114"/>
  <c r="AK1183" i="114"/>
  <c r="AL1183" i="114"/>
  <c r="AM1183" i="114"/>
  <c r="AO1183" i="114" s="1"/>
  <c r="AD1184" i="114"/>
  <c r="AE1184" i="114" s="1"/>
  <c r="AJ1184" i="114"/>
  <c r="AK1184" i="114"/>
  <c r="AL1184" i="114"/>
  <c r="AM1184" i="114"/>
  <c r="AO1184" i="114" s="1"/>
  <c r="AD1185" i="114"/>
  <c r="AJ1185" i="114"/>
  <c r="AK1185" i="114"/>
  <c r="AL1185" i="114"/>
  <c r="AM1185" i="114"/>
  <c r="AO1185" i="114" s="1"/>
  <c r="AD1186" i="114"/>
  <c r="AE1186" i="114" s="1"/>
  <c r="AJ1186" i="114"/>
  <c r="AK1186" i="114"/>
  <c r="AL1186" i="114"/>
  <c r="AM1186" i="114"/>
  <c r="AO1186" i="114" s="1"/>
  <c r="AD1187" i="114"/>
  <c r="AI1187" i="114" s="1"/>
  <c r="AJ1187" i="114"/>
  <c r="AK1187" i="114"/>
  <c r="AL1187" i="114"/>
  <c r="AM1187" i="114"/>
  <c r="AO1187" i="114" s="1"/>
  <c r="AD1188" i="114"/>
  <c r="AE1188" i="114" s="1"/>
  <c r="AJ1188" i="114"/>
  <c r="AK1188" i="114"/>
  <c r="AL1188" i="114"/>
  <c r="AM1188" i="114"/>
  <c r="AO1188" i="114" s="1"/>
  <c r="AD1189" i="114"/>
  <c r="AG1189" i="114" s="1"/>
  <c r="AJ1189" i="114"/>
  <c r="AK1189" i="114"/>
  <c r="AL1189" i="114"/>
  <c r="AM1189" i="114"/>
  <c r="AO1189" i="114" s="1"/>
  <c r="AD1190" i="114"/>
  <c r="AE1190" i="114" s="1"/>
  <c r="AJ1190" i="114"/>
  <c r="AK1190" i="114"/>
  <c r="AL1190" i="114"/>
  <c r="AM1190" i="114"/>
  <c r="AO1190" i="114" s="1"/>
  <c r="AD1191" i="114"/>
  <c r="AE1191" i="114" s="1"/>
  <c r="AJ1191" i="114"/>
  <c r="AK1191" i="114"/>
  <c r="AL1191" i="114"/>
  <c r="AM1191" i="114"/>
  <c r="AO1191" i="114" s="1"/>
  <c r="AD1192" i="114"/>
  <c r="AE1192" i="114" s="1"/>
  <c r="AJ1192" i="114"/>
  <c r="AK1192" i="114"/>
  <c r="AL1192" i="114"/>
  <c r="AM1192" i="114"/>
  <c r="AO1192" i="114" s="1"/>
  <c r="AD1193" i="114"/>
  <c r="AJ1193" i="114"/>
  <c r="AK1193" i="114"/>
  <c r="AL1193" i="114"/>
  <c r="AM1193" i="114"/>
  <c r="AO1193" i="114" s="1"/>
  <c r="AD1194" i="114"/>
  <c r="AE1194" i="114" s="1"/>
  <c r="AJ1194" i="114"/>
  <c r="AK1194" i="114"/>
  <c r="AL1194" i="114"/>
  <c r="AM1194" i="114"/>
  <c r="AO1194" i="114" s="1"/>
  <c r="AD1195" i="114"/>
  <c r="AJ1195" i="114"/>
  <c r="AK1195" i="114"/>
  <c r="AL1195" i="114"/>
  <c r="AM1195" i="114"/>
  <c r="AO1195" i="114" s="1"/>
  <c r="AD1196" i="114"/>
  <c r="AJ1196" i="114"/>
  <c r="AK1196" i="114"/>
  <c r="AL1196" i="114"/>
  <c r="AM1196" i="114"/>
  <c r="AO1196" i="114" s="1"/>
  <c r="AD1197" i="114"/>
  <c r="AJ1197" i="114"/>
  <c r="AK1197" i="114"/>
  <c r="AL1197" i="114"/>
  <c r="AM1197" i="114"/>
  <c r="AO1197" i="114" s="1"/>
  <c r="AD1198" i="114"/>
  <c r="AE1198" i="114" s="1"/>
  <c r="AJ1198" i="114"/>
  <c r="AK1198" i="114"/>
  <c r="AL1198" i="114"/>
  <c r="AM1198" i="114"/>
  <c r="AO1198" i="114" s="1"/>
  <c r="AD1199" i="114"/>
  <c r="AJ1199" i="114"/>
  <c r="AK1199" i="114"/>
  <c r="AL1199" i="114"/>
  <c r="AM1199" i="114"/>
  <c r="AO1199" i="114" s="1"/>
  <c r="AD1200" i="114"/>
  <c r="AE1200" i="114" s="1"/>
  <c r="AJ1200" i="114"/>
  <c r="AK1200" i="114"/>
  <c r="AL1200" i="114"/>
  <c r="AM1200" i="114"/>
  <c r="AO1200" i="114" s="1"/>
  <c r="AD1201" i="114"/>
  <c r="AJ1201" i="114"/>
  <c r="AK1201" i="114"/>
  <c r="AL1201" i="114"/>
  <c r="AM1201" i="114"/>
  <c r="AO1201" i="114" s="1"/>
  <c r="AD1202" i="114"/>
  <c r="AE1202" i="114" s="1"/>
  <c r="AJ1202" i="114"/>
  <c r="AK1202" i="114"/>
  <c r="AL1202" i="114"/>
  <c r="AM1202" i="114"/>
  <c r="AO1202" i="114" s="1"/>
  <c r="AD1203" i="114"/>
  <c r="AI1203" i="114" s="1"/>
  <c r="AJ1203" i="114"/>
  <c r="AK1203" i="114"/>
  <c r="AL1203" i="114"/>
  <c r="AM1203" i="114"/>
  <c r="AO1203" i="114" s="1"/>
  <c r="AD1204" i="114"/>
  <c r="AJ1204" i="114"/>
  <c r="AK1204" i="114"/>
  <c r="AL1204" i="114"/>
  <c r="AM1204" i="114"/>
  <c r="AO1204" i="114" s="1"/>
  <c r="AD1205" i="114"/>
  <c r="AJ1205" i="114"/>
  <c r="AK1205" i="114"/>
  <c r="AL1205" i="114"/>
  <c r="AM1205" i="114"/>
  <c r="AO1205" i="114" s="1"/>
  <c r="AD1206" i="114"/>
  <c r="AE1206" i="114" s="1"/>
  <c r="AJ1206" i="114"/>
  <c r="AK1206" i="114"/>
  <c r="AL1206" i="114"/>
  <c r="AM1206" i="114"/>
  <c r="AO1206" i="114" s="1"/>
  <c r="AD1207" i="114"/>
  <c r="AE1207" i="114" s="1"/>
  <c r="AJ1207" i="114"/>
  <c r="AK1207" i="114"/>
  <c r="AL1207" i="114"/>
  <c r="AM1207" i="114"/>
  <c r="AO1207" i="114" s="1"/>
  <c r="AD1208" i="114"/>
  <c r="AE1208" i="114" s="1"/>
  <c r="AJ1208" i="114"/>
  <c r="AK1208" i="114"/>
  <c r="AL1208" i="114"/>
  <c r="AM1208" i="114"/>
  <c r="AO1208" i="114" s="1"/>
  <c r="AD1209" i="114"/>
  <c r="AJ1209" i="114"/>
  <c r="AK1209" i="114"/>
  <c r="AL1209" i="114"/>
  <c r="AM1209" i="114"/>
  <c r="AO1209" i="114" s="1"/>
  <c r="AD1210" i="114"/>
  <c r="AE1210" i="114" s="1"/>
  <c r="AJ1210" i="114"/>
  <c r="AK1210" i="114"/>
  <c r="AL1210" i="114"/>
  <c r="AM1210" i="114"/>
  <c r="AO1210" i="114" s="1"/>
  <c r="AD1211" i="114"/>
  <c r="AJ1211" i="114"/>
  <c r="AK1211" i="114"/>
  <c r="AL1211" i="114"/>
  <c r="AM1211" i="114"/>
  <c r="AO1211" i="114" s="1"/>
  <c r="AD1212" i="114"/>
  <c r="AE1212" i="114" s="1"/>
  <c r="AJ1212" i="114"/>
  <c r="AK1212" i="114"/>
  <c r="AL1212" i="114"/>
  <c r="AM1212" i="114"/>
  <c r="AO1212" i="114" s="1"/>
  <c r="AD1213" i="114"/>
  <c r="AJ1213" i="114"/>
  <c r="AK1213" i="114"/>
  <c r="AL1213" i="114"/>
  <c r="AM1213" i="114"/>
  <c r="AO1213" i="114" s="1"/>
  <c r="AD1214" i="114"/>
  <c r="AE1214" i="114" s="1"/>
  <c r="AJ1214" i="114"/>
  <c r="AK1214" i="114"/>
  <c r="AL1214" i="114"/>
  <c r="AM1214" i="114"/>
  <c r="AO1214" i="114" s="1"/>
  <c r="AD1215" i="114"/>
  <c r="AE1215" i="114" s="1"/>
  <c r="AJ1215" i="114"/>
  <c r="AK1215" i="114"/>
  <c r="AL1215" i="114"/>
  <c r="AM1215" i="114"/>
  <c r="AO1215" i="114" s="1"/>
  <c r="AD1216" i="114"/>
  <c r="AE1216" i="114" s="1"/>
  <c r="AJ1216" i="114"/>
  <c r="AK1216" i="114"/>
  <c r="AL1216" i="114"/>
  <c r="AM1216" i="114"/>
  <c r="AO1216" i="114" s="1"/>
  <c r="AD1217" i="114"/>
  <c r="AI1217" i="114" s="1"/>
  <c r="AJ1217" i="114"/>
  <c r="AK1217" i="114"/>
  <c r="AL1217" i="114"/>
  <c r="AM1217" i="114"/>
  <c r="AO1217" i="114" s="1"/>
  <c r="AD1218" i="114"/>
  <c r="AE1218" i="114" s="1"/>
  <c r="AJ1218" i="114"/>
  <c r="AK1218" i="114"/>
  <c r="AL1218" i="114"/>
  <c r="AM1218" i="114"/>
  <c r="AO1218" i="114" s="1"/>
  <c r="AD1219" i="114"/>
  <c r="AJ1219" i="114"/>
  <c r="AK1219" i="114"/>
  <c r="AL1219" i="114"/>
  <c r="AM1219" i="114"/>
  <c r="AO1219" i="114" s="1"/>
  <c r="AD1220" i="114"/>
  <c r="AE1220" i="114" s="1"/>
  <c r="AJ1220" i="114"/>
  <c r="AK1220" i="114"/>
  <c r="AL1220" i="114"/>
  <c r="AM1220" i="114"/>
  <c r="AO1220" i="114" s="1"/>
  <c r="AD1221" i="114"/>
  <c r="AJ1221" i="114"/>
  <c r="AK1221" i="114"/>
  <c r="AL1221" i="114"/>
  <c r="AM1221" i="114"/>
  <c r="AO1221" i="114" s="1"/>
  <c r="AD1222" i="114"/>
  <c r="AE1222" i="114" s="1"/>
  <c r="AJ1222" i="114"/>
  <c r="AK1222" i="114"/>
  <c r="AL1222" i="114"/>
  <c r="AM1222" i="114"/>
  <c r="AO1222" i="114" s="1"/>
  <c r="AD1223" i="114"/>
  <c r="AE1223" i="114" s="1"/>
  <c r="AJ1223" i="114"/>
  <c r="AK1223" i="114"/>
  <c r="AL1223" i="114"/>
  <c r="AM1223" i="114"/>
  <c r="AO1223" i="114" s="1"/>
  <c r="AD1224" i="114"/>
  <c r="AE1224" i="114" s="1"/>
  <c r="AJ1224" i="114"/>
  <c r="AK1224" i="114"/>
  <c r="AL1224" i="114"/>
  <c r="AM1224" i="114"/>
  <c r="AO1224" i="114" s="1"/>
  <c r="AD1225" i="114"/>
  <c r="AJ1225" i="114"/>
  <c r="AK1225" i="114"/>
  <c r="AL1225" i="114"/>
  <c r="AM1225" i="114"/>
  <c r="AO1225" i="114" s="1"/>
  <c r="AD1226" i="114"/>
  <c r="AE1226" i="114" s="1"/>
  <c r="AJ1226" i="114"/>
  <c r="AK1226" i="114"/>
  <c r="AL1226" i="114"/>
  <c r="AM1226" i="114"/>
  <c r="AO1226" i="114" s="1"/>
  <c r="AD1227" i="114"/>
  <c r="AJ1227" i="114"/>
  <c r="AK1227" i="114"/>
  <c r="AL1227" i="114"/>
  <c r="AM1227" i="114"/>
  <c r="AO1227" i="114" s="1"/>
  <c r="AD1228" i="114"/>
  <c r="AJ1228" i="114"/>
  <c r="AK1228" i="114"/>
  <c r="AL1228" i="114"/>
  <c r="AM1228" i="114"/>
  <c r="AO1228" i="114" s="1"/>
  <c r="AD1229" i="114"/>
  <c r="AJ1229" i="114"/>
  <c r="AK1229" i="114"/>
  <c r="AL1229" i="114"/>
  <c r="AM1229" i="114"/>
  <c r="AO1229" i="114" s="1"/>
  <c r="AD1230" i="114"/>
  <c r="AE1230" i="114" s="1"/>
  <c r="AJ1230" i="114"/>
  <c r="AK1230" i="114"/>
  <c r="AL1230" i="114"/>
  <c r="AM1230" i="114"/>
  <c r="AO1230" i="114" s="1"/>
  <c r="AD1231" i="114"/>
  <c r="AJ1231" i="114"/>
  <c r="AK1231" i="114"/>
  <c r="AL1231" i="114"/>
  <c r="AM1231" i="114"/>
  <c r="AO1231" i="114" s="1"/>
  <c r="AD1232" i="114"/>
  <c r="AE1232" i="114" s="1"/>
  <c r="AJ1232" i="114"/>
  <c r="AK1232" i="114"/>
  <c r="AL1232" i="114"/>
  <c r="AM1232" i="114"/>
  <c r="AO1232" i="114" s="1"/>
  <c r="AD1233" i="114"/>
  <c r="AE1233" i="114" s="1"/>
  <c r="AJ1233" i="114"/>
  <c r="AK1233" i="114"/>
  <c r="AL1233" i="114"/>
  <c r="AM1233" i="114"/>
  <c r="AO1233" i="114" s="1"/>
  <c r="AD1234" i="114"/>
  <c r="AE1234" i="114" s="1"/>
  <c r="AJ1234" i="114"/>
  <c r="AK1234" i="114"/>
  <c r="AL1234" i="114"/>
  <c r="AM1234" i="114"/>
  <c r="AO1234" i="114" s="1"/>
  <c r="AD1235" i="114"/>
  <c r="AJ1235" i="114"/>
  <c r="AK1235" i="114"/>
  <c r="AL1235" i="114"/>
  <c r="AM1235" i="114"/>
  <c r="AO1235" i="114" s="1"/>
  <c r="AD1236" i="114"/>
  <c r="AJ1236" i="114"/>
  <c r="AK1236" i="114"/>
  <c r="AL1236" i="114"/>
  <c r="AM1236" i="114"/>
  <c r="AO1236" i="114" s="1"/>
  <c r="AD1237" i="114"/>
  <c r="AJ1237" i="114"/>
  <c r="AK1237" i="114"/>
  <c r="AL1237" i="114"/>
  <c r="AM1237" i="114"/>
  <c r="AO1237" i="114" s="1"/>
  <c r="AD1238" i="114"/>
  <c r="AE1238" i="114" s="1"/>
  <c r="AJ1238" i="114"/>
  <c r="AK1238" i="114"/>
  <c r="AL1238" i="114"/>
  <c r="AM1238" i="114"/>
  <c r="AO1238" i="114" s="1"/>
  <c r="AD1239" i="114"/>
  <c r="AE1239" i="114" s="1"/>
  <c r="AJ1239" i="114"/>
  <c r="AK1239" i="114"/>
  <c r="AL1239" i="114"/>
  <c r="AM1239" i="114"/>
  <c r="AO1239" i="114" s="1"/>
  <c r="AD1240" i="114"/>
  <c r="AE1240" i="114" s="1"/>
  <c r="AJ1240" i="114"/>
  <c r="AK1240" i="114"/>
  <c r="AL1240" i="114"/>
  <c r="AM1240" i="114"/>
  <c r="AO1240" i="114" s="1"/>
  <c r="AD1241" i="114"/>
  <c r="AJ1241" i="114"/>
  <c r="AK1241" i="114"/>
  <c r="AL1241" i="114"/>
  <c r="AM1241" i="114"/>
  <c r="AO1241" i="114" s="1"/>
  <c r="AD1242" i="114"/>
  <c r="AE1242" i="114" s="1"/>
  <c r="AJ1242" i="114"/>
  <c r="AK1242" i="114"/>
  <c r="AL1242" i="114"/>
  <c r="AM1242" i="114"/>
  <c r="AO1242" i="114" s="1"/>
  <c r="AD1243" i="114"/>
  <c r="AJ1243" i="114"/>
  <c r="AK1243" i="114"/>
  <c r="AL1243" i="114"/>
  <c r="AM1243" i="114"/>
  <c r="AO1243" i="114" s="1"/>
  <c r="AD1244" i="114"/>
  <c r="AE1244" i="114" s="1"/>
  <c r="AJ1244" i="114"/>
  <c r="AK1244" i="114"/>
  <c r="AL1244" i="114"/>
  <c r="AM1244" i="114"/>
  <c r="AO1244" i="114" s="1"/>
  <c r="AD1245" i="114"/>
  <c r="AJ1245" i="114"/>
  <c r="AK1245" i="114"/>
  <c r="AL1245" i="114"/>
  <c r="AM1245" i="114"/>
  <c r="AO1245" i="114" s="1"/>
  <c r="AD1246" i="114"/>
  <c r="AE1246" i="114" s="1"/>
  <c r="AJ1246" i="114"/>
  <c r="AK1246" i="114"/>
  <c r="AL1246" i="114"/>
  <c r="AM1246" i="114"/>
  <c r="AO1246" i="114" s="1"/>
  <c r="AD1247" i="114"/>
  <c r="AE1247" i="114" s="1"/>
  <c r="AJ1247" i="114"/>
  <c r="AK1247" i="114"/>
  <c r="AL1247" i="114"/>
  <c r="AM1247" i="114"/>
  <c r="AO1247" i="114" s="1"/>
  <c r="AD1248" i="114"/>
  <c r="AJ1248" i="114"/>
  <c r="AK1248" i="114"/>
  <c r="AL1248" i="114"/>
  <c r="AM1248" i="114"/>
  <c r="AO1248" i="114" s="1"/>
  <c r="AD1249" i="114"/>
  <c r="AJ1249" i="114"/>
  <c r="AK1249" i="114"/>
  <c r="AL1249" i="114"/>
  <c r="AM1249" i="114"/>
  <c r="AO1249" i="114" s="1"/>
  <c r="AD1250" i="114"/>
  <c r="AE1250" i="114" s="1"/>
  <c r="AJ1250" i="114"/>
  <c r="AK1250" i="114"/>
  <c r="AL1250" i="114"/>
  <c r="AM1250" i="114"/>
  <c r="AO1250" i="114" s="1"/>
  <c r="AD1251" i="114"/>
  <c r="AJ1251" i="114"/>
  <c r="AK1251" i="114"/>
  <c r="AL1251" i="114"/>
  <c r="AM1251" i="114"/>
  <c r="AO1251" i="114" s="1"/>
  <c r="AD1252" i="114"/>
  <c r="AE1252" i="114" s="1"/>
  <c r="AJ1252" i="114"/>
  <c r="AK1252" i="114"/>
  <c r="AL1252" i="114"/>
  <c r="AM1252" i="114"/>
  <c r="AO1252" i="114" s="1"/>
  <c r="AD1253" i="114"/>
  <c r="AE1253" i="114" s="1"/>
  <c r="AJ1253" i="114"/>
  <c r="AK1253" i="114"/>
  <c r="AL1253" i="114"/>
  <c r="AM1253" i="114"/>
  <c r="AO1253" i="114" s="1"/>
  <c r="AD1254" i="114"/>
  <c r="AG1254" i="114" s="1"/>
  <c r="AJ1254" i="114"/>
  <c r="AK1254" i="114"/>
  <c r="AL1254" i="114"/>
  <c r="AM1254" i="114"/>
  <c r="AO1254" i="114" s="1"/>
  <c r="AD1255" i="114"/>
  <c r="AE1255" i="114" s="1"/>
  <c r="AJ1255" i="114"/>
  <c r="AK1255" i="114"/>
  <c r="AL1255" i="114"/>
  <c r="AM1255" i="114"/>
  <c r="AO1255" i="114" s="1"/>
  <c r="AD1256" i="114"/>
  <c r="AE1256" i="114" s="1"/>
  <c r="AJ1256" i="114"/>
  <c r="AK1256" i="114"/>
  <c r="AL1256" i="114"/>
  <c r="AM1256" i="114"/>
  <c r="AO1256" i="114" s="1"/>
  <c r="AD1257" i="114"/>
  <c r="AE1257" i="114" s="1"/>
  <c r="AJ1257" i="114"/>
  <c r="AK1257" i="114"/>
  <c r="AL1257" i="114"/>
  <c r="AM1257" i="114"/>
  <c r="AO1257" i="114" s="1"/>
  <c r="AD1258" i="114"/>
  <c r="AJ1258" i="114"/>
  <c r="AK1258" i="114"/>
  <c r="AL1258" i="114"/>
  <c r="AM1258" i="114"/>
  <c r="AO1258" i="114" s="1"/>
  <c r="AD1259" i="114"/>
  <c r="AE1259" i="114" s="1"/>
  <c r="AJ1259" i="114"/>
  <c r="AK1259" i="114"/>
  <c r="AL1259" i="114"/>
  <c r="AM1259" i="114"/>
  <c r="AO1259" i="114" s="1"/>
  <c r="AD1260" i="114"/>
  <c r="AE1260" i="114" s="1"/>
  <c r="AJ1260" i="114"/>
  <c r="AK1260" i="114"/>
  <c r="AL1260" i="114"/>
  <c r="AM1260" i="114"/>
  <c r="AO1260" i="114" s="1"/>
  <c r="AD1261" i="114"/>
  <c r="AE1261" i="114" s="1"/>
  <c r="AJ1261" i="114"/>
  <c r="AK1261" i="114"/>
  <c r="AL1261" i="114"/>
  <c r="AM1261" i="114"/>
  <c r="AO1261" i="114" s="1"/>
  <c r="AD1262" i="114"/>
  <c r="AJ1262" i="114"/>
  <c r="AK1262" i="114"/>
  <c r="AL1262" i="114"/>
  <c r="AM1262" i="114"/>
  <c r="AO1262" i="114" s="1"/>
  <c r="AD1263" i="114"/>
  <c r="AE1263" i="114" s="1"/>
  <c r="AJ1263" i="114"/>
  <c r="AK1263" i="114"/>
  <c r="AL1263" i="114"/>
  <c r="AM1263" i="114"/>
  <c r="AO1263" i="114" s="1"/>
  <c r="AD1264" i="114"/>
  <c r="AE1264" i="114" s="1"/>
  <c r="AJ1264" i="114"/>
  <c r="AK1264" i="114"/>
  <c r="AL1264" i="114"/>
  <c r="AM1264" i="114"/>
  <c r="AO1264" i="114" s="1"/>
  <c r="AD1265" i="114"/>
  <c r="AE1265" i="114" s="1"/>
  <c r="AJ1265" i="114"/>
  <c r="AK1265" i="114"/>
  <c r="AL1265" i="114"/>
  <c r="AM1265" i="114"/>
  <c r="AO1265" i="114" s="1"/>
  <c r="AD1266" i="114"/>
  <c r="AJ1266" i="114"/>
  <c r="AK1266" i="114"/>
  <c r="AL1266" i="114"/>
  <c r="AM1266" i="114"/>
  <c r="AO1266" i="114" s="1"/>
  <c r="AD1267" i="114"/>
  <c r="AE1267" i="114" s="1"/>
  <c r="AJ1267" i="114"/>
  <c r="AK1267" i="114"/>
  <c r="AL1267" i="114"/>
  <c r="AM1267" i="114"/>
  <c r="AO1267" i="114" s="1"/>
  <c r="AD1268" i="114"/>
  <c r="AE1268" i="114" s="1"/>
  <c r="AJ1268" i="114"/>
  <c r="AK1268" i="114"/>
  <c r="AL1268" i="114"/>
  <c r="AM1268" i="114"/>
  <c r="AO1268" i="114" s="1"/>
  <c r="AD1269" i="114"/>
  <c r="AE1269" i="114" s="1"/>
  <c r="AJ1269" i="114"/>
  <c r="AK1269" i="114"/>
  <c r="AL1269" i="114"/>
  <c r="AM1269" i="114"/>
  <c r="AO1269" i="114" s="1"/>
  <c r="AD1270" i="114"/>
  <c r="AG1270" i="114" s="1"/>
  <c r="AJ1270" i="114"/>
  <c r="AK1270" i="114"/>
  <c r="AL1270" i="114"/>
  <c r="AM1270" i="114"/>
  <c r="AO1270" i="114" s="1"/>
  <c r="AD1271" i="114"/>
  <c r="AE1271" i="114" s="1"/>
  <c r="AJ1271" i="114"/>
  <c r="AK1271" i="114"/>
  <c r="AL1271" i="114"/>
  <c r="AM1271" i="114"/>
  <c r="AO1271" i="114" s="1"/>
  <c r="AD1272" i="114"/>
  <c r="AE1272" i="114" s="1"/>
  <c r="AJ1272" i="114"/>
  <c r="AK1272" i="114"/>
  <c r="AL1272" i="114"/>
  <c r="AM1272" i="114"/>
  <c r="AO1272" i="114" s="1"/>
  <c r="AD1273" i="114"/>
  <c r="AE1273" i="114" s="1"/>
  <c r="AJ1273" i="114"/>
  <c r="AK1273" i="114"/>
  <c r="AL1273" i="114"/>
  <c r="AM1273" i="114"/>
  <c r="AO1273" i="114" s="1"/>
  <c r="AD1274" i="114"/>
  <c r="AJ1274" i="114"/>
  <c r="AK1274" i="114"/>
  <c r="AL1274" i="114"/>
  <c r="AM1274" i="114"/>
  <c r="AO1274" i="114" s="1"/>
  <c r="AD1275" i="114"/>
  <c r="AE1275" i="114" s="1"/>
  <c r="AJ1275" i="114"/>
  <c r="AK1275" i="114"/>
  <c r="AL1275" i="114"/>
  <c r="AM1275" i="114"/>
  <c r="AO1275" i="114" s="1"/>
  <c r="AD1276" i="114"/>
  <c r="AE1276" i="114" s="1"/>
  <c r="AJ1276" i="114"/>
  <c r="AK1276" i="114"/>
  <c r="AL1276" i="114"/>
  <c r="AM1276" i="114"/>
  <c r="AO1276" i="114" s="1"/>
  <c r="AD1277" i="114"/>
  <c r="AE1277" i="114" s="1"/>
  <c r="AJ1277" i="114"/>
  <c r="AK1277" i="114"/>
  <c r="AL1277" i="114"/>
  <c r="AM1277" i="114"/>
  <c r="AO1277" i="114" s="1"/>
  <c r="AD1278" i="114"/>
  <c r="AJ1278" i="114"/>
  <c r="AK1278" i="114"/>
  <c r="AL1278" i="114"/>
  <c r="AM1278" i="114"/>
  <c r="AO1278" i="114" s="1"/>
  <c r="AD1279" i="114"/>
  <c r="AE1279" i="114" s="1"/>
  <c r="AJ1279" i="114"/>
  <c r="AK1279" i="114"/>
  <c r="AL1279" i="114"/>
  <c r="AM1279" i="114"/>
  <c r="AO1279" i="114" s="1"/>
  <c r="AD1280" i="114"/>
  <c r="AE1280" i="114" s="1"/>
  <c r="AJ1280" i="114"/>
  <c r="AK1280" i="114"/>
  <c r="AL1280" i="114"/>
  <c r="AM1280" i="114"/>
  <c r="AO1280" i="114" s="1"/>
  <c r="AD1281" i="114"/>
  <c r="AE1281" i="114" s="1"/>
  <c r="AJ1281" i="114"/>
  <c r="AK1281" i="114"/>
  <c r="AL1281" i="114"/>
  <c r="AM1281" i="114"/>
  <c r="AO1281" i="114" s="1"/>
  <c r="AD1282" i="114"/>
  <c r="AJ1282" i="114"/>
  <c r="AK1282" i="114"/>
  <c r="AL1282" i="114"/>
  <c r="AM1282" i="114"/>
  <c r="AO1282" i="114" s="1"/>
  <c r="AD1283" i="114"/>
  <c r="AE1283" i="114" s="1"/>
  <c r="AJ1283" i="114"/>
  <c r="AK1283" i="114"/>
  <c r="AL1283" i="114"/>
  <c r="AM1283" i="114"/>
  <c r="AO1283" i="114" s="1"/>
  <c r="AD1284" i="114"/>
  <c r="AE1284" i="114" s="1"/>
  <c r="AJ1284" i="114"/>
  <c r="AK1284" i="114"/>
  <c r="AL1284" i="114"/>
  <c r="AM1284" i="114"/>
  <c r="AO1284" i="114" s="1"/>
  <c r="AD1285" i="114"/>
  <c r="AE1285" i="114" s="1"/>
  <c r="AJ1285" i="114"/>
  <c r="AK1285" i="114"/>
  <c r="AL1285" i="114"/>
  <c r="AM1285" i="114"/>
  <c r="AO1285" i="114" s="1"/>
  <c r="AD1286" i="114"/>
  <c r="AG1286" i="114" s="1"/>
  <c r="AJ1286" i="114"/>
  <c r="AK1286" i="114"/>
  <c r="AL1286" i="114"/>
  <c r="AM1286" i="114"/>
  <c r="AO1286" i="114" s="1"/>
  <c r="AD1287" i="114"/>
  <c r="AE1287" i="114" s="1"/>
  <c r="AJ1287" i="114"/>
  <c r="AK1287" i="114"/>
  <c r="AL1287" i="114"/>
  <c r="AM1287" i="114"/>
  <c r="AO1287" i="114" s="1"/>
  <c r="AD1288" i="114"/>
  <c r="AE1288" i="114" s="1"/>
  <c r="AJ1288" i="114"/>
  <c r="AK1288" i="114"/>
  <c r="AL1288" i="114"/>
  <c r="AM1288" i="114"/>
  <c r="AO1288" i="114" s="1"/>
  <c r="AD1289" i="114"/>
  <c r="AE1289" i="114" s="1"/>
  <c r="AJ1289" i="114"/>
  <c r="AK1289" i="114"/>
  <c r="AL1289" i="114"/>
  <c r="AM1289" i="114"/>
  <c r="AO1289" i="114" s="1"/>
  <c r="AD1290" i="114"/>
  <c r="AJ1290" i="114"/>
  <c r="AK1290" i="114"/>
  <c r="AL1290" i="114"/>
  <c r="AM1290" i="114"/>
  <c r="AO1290" i="114" s="1"/>
  <c r="AD1291" i="114"/>
  <c r="AE1291" i="114" s="1"/>
  <c r="AJ1291" i="114"/>
  <c r="AK1291" i="114"/>
  <c r="AL1291" i="114"/>
  <c r="AM1291" i="114"/>
  <c r="AO1291" i="114" s="1"/>
  <c r="AD1292" i="114"/>
  <c r="AE1292" i="114" s="1"/>
  <c r="AJ1292" i="114"/>
  <c r="AK1292" i="114"/>
  <c r="AL1292" i="114"/>
  <c r="AM1292" i="114"/>
  <c r="AO1292" i="114" s="1"/>
  <c r="AD1293" i="114"/>
  <c r="AE1293" i="114" s="1"/>
  <c r="AJ1293" i="114"/>
  <c r="AK1293" i="114"/>
  <c r="AL1293" i="114"/>
  <c r="AM1293" i="114"/>
  <c r="AO1293" i="114" s="1"/>
  <c r="AD1294" i="114"/>
  <c r="AJ1294" i="114"/>
  <c r="AK1294" i="114"/>
  <c r="AL1294" i="114"/>
  <c r="AM1294" i="114"/>
  <c r="AO1294" i="114" s="1"/>
  <c r="AD1295" i="114"/>
  <c r="AE1295" i="114" s="1"/>
  <c r="AJ1295" i="114"/>
  <c r="AK1295" i="114"/>
  <c r="AL1295" i="114"/>
  <c r="AM1295" i="114"/>
  <c r="AO1295" i="114" s="1"/>
  <c r="AD1296" i="114"/>
  <c r="AE1296" i="114" s="1"/>
  <c r="AJ1296" i="114"/>
  <c r="AK1296" i="114"/>
  <c r="AL1296" i="114"/>
  <c r="AM1296" i="114"/>
  <c r="AO1296" i="114" s="1"/>
  <c r="AD1297" i="114"/>
  <c r="AE1297" i="114" s="1"/>
  <c r="AJ1297" i="114"/>
  <c r="AK1297" i="114"/>
  <c r="AL1297" i="114"/>
  <c r="AM1297" i="114"/>
  <c r="AO1297" i="114" s="1"/>
  <c r="AD1298" i="114"/>
  <c r="AJ1298" i="114"/>
  <c r="AK1298" i="114"/>
  <c r="AL1298" i="114"/>
  <c r="AM1298" i="114"/>
  <c r="AO1298" i="114" s="1"/>
  <c r="AD1299" i="114"/>
  <c r="AE1299" i="114" s="1"/>
  <c r="AJ1299" i="114"/>
  <c r="AK1299" i="114"/>
  <c r="AL1299" i="114"/>
  <c r="AM1299" i="114"/>
  <c r="AO1299" i="114" s="1"/>
  <c r="AD1300" i="114"/>
  <c r="AE1300" i="114" s="1"/>
  <c r="AJ1300" i="114"/>
  <c r="AK1300" i="114"/>
  <c r="AL1300" i="114"/>
  <c r="AM1300" i="114"/>
  <c r="AO1300" i="114" s="1"/>
  <c r="AD1301" i="114"/>
  <c r="AE1301" i="114" s="1"/>
  <c r="AJ1301" i="114"/>
  <c r="AK1301" i="114"/>
  <c r="AL1301" i="114"/>
  <c r="AM1301" i="114"/>
  <c r="AO1301" i="114" s="1"/>
  <c r="AD1302" i="114"/>
  <c r="AG1302" i="114" s="1"/>
  <c r="AJ1302" i="114"/>
  <c r="AK1302" i="114"/>
  <c r="AL1302" i="114"/>
  <c r="AM1302" i="114"/>
  <c r="AO1302" i="114" s="1"/>
  <c r="AD1303" i="114"/>
  <c r="AE1303" i="114" s="1"/>
  <c r="AJ1303" i="114"/>
  <c r="AK1303" i="114"/>
  <c r="AL1303" i="114"/>
  <c r="AM1303" i="114"/>
  <c r="AO1303" i="114" s="1"/>
  <c r="AD1304" i="114"/>
  <c r="AE1304" i="114" s="1"/>
  <c r="AJ1304" i="114"/>
  <c r="AK1304" i="114"/>
  <c r="AL1304" i="114"/>
  <c r="AM1304" i="114"/>
  <c r="AO1304" i="114" s="1"/>
  <c r="AD1305" i="114"/>
  <c r="AE1305" i="114" s="1"/>
  <c r="AJ1305" i="114"/>
  <c r="AK1305" i="114"/>
  <c r="AL1305" i="114"/>
  <c r="AM1305" i="114"/>
  <c r="AO1305" i="114" s="1"/>
  <c r="AD1306" i="114"/>
  <c r="AJ1306" i="114"/>
  <c r="AK1306" i="114"/>
  <c r="AL1306" i="114"/>
  <c r="AM1306" i="114"/>
  <c r="AO1306" i="114" s="1"/>
  <c r="AD1307" i="114"/>
  <c r="AE1307" i="114" s="1"/>
  <c r="AJ1307" i="114"/>
  <c r="AK1307" i="114"/>
  <c r="AL1307" i="114"/>
  <c r="AM1307" i="114"/>
  <c r="AO1307" i="114" s="1"/>
  <c r="AD1308" i="114"/>
  <c r="AE1308" i="114" s="1"/>
  <c r="AJ1308" i="114"/>
  <c r="AK1308" i="114"/>
  <c r="AL1308" i="114"/>
  <c r="AM1308" i="114"/>
  <c r="AO1308" i="114" s="1"/>
  <c r="AD1309" i="114"/>
  <c r="AE1309" i="114" s="1"/>
  <c r="AJ1309" i="114"/>
  <c r="AK1309" i="114"/>
  <c r="AL1309" i="114"/>
  <c r="AM1309" i="114"/>
  <c r="AO1309" i="114" s="1"/>
  <c r="AD1310" i="114"/>
  <c r="AJ1310" i="114"/>
  <c r="AK1310" i="114"/>
  <c r="AL1310" i="114"/>
  <c r="AM1310" i="114"/>
  <c r="AO1310" i="114" s="1"/>
  <c r="AD1311" i="114"/>
  <c r="AE1311" i="114" s="1"/>
  <c r="AJ1311" i="114"/>
  <c r="AK1311" i="114"/>
  <c r="AL1311" i="114"/>
  <c r="AM1311" i="114"/>
  <c r="AO1311" i="114" s="1"/>
  <c r="AD1312" i="114"/>
  <c r="AE1312" i="114" s="1"/>
  <c r="AJ1312" i="114"/>
  <c r="AK1312" i="114"/>
  <c r="AL1312" i="114"/>
  <c r="AM1312" i="114"/>
  <c r="AO1312" i="114" s="1"/>
  <c r="AD1313" i="114"/>
  <c r="AE1313" i="114" s="1"/>
  <c r="AJ1313" i="114"/>
  <c r="AK1313" i="114"/>
  <c r="AL1313" i="114"/>
  <c r="AM1313" i="114"/>
  <c r="AO1313" i="114" s="1"/>
  <c r="AD1314" i="114"/>
  <c r="AJ1314" i="114"/>
  <c r="AK1314" i="114"/>
  <c r="AL1314" i="114"/>
  <c r="AM1314" i="114"/>
  <c r="AO1314" i="114" s="1"/>
  <c r="AD1315" i="114"/>
  <c r="AE1315" i="114" s="1"/>
  <c r="AJ1315" i="114"/>
  <c r="AK1315" i="114"/>
  <c r="AL1315" i="114"/>
  <c r="AM1315" i="114"/>
  <c r="AO1315" i="114" s="1"/>
  <c r="AD1316" i="114"/>
  <c r="AE1316" i="114" s="1"/>
  <c r="AJ1316" i="114"/>
  <c r="AK1316" i="114"/>
  <c r="AL1316" i="114"/>
  <c r="AM1316" i="114"/>
  <c r="AO1316" i="114" s="1"/>
  <c r="AD1317" i="114"/>
  <c r="AE1317" i="114" s="1"/>
  <c r="AJ1317" i="114"/>
  <c r="AK1317" i="114"/>
  <c r="AL1317" i="114"/>
  <c r="AM1317" i="114"/>
  <c r="AO1317" i="114" s="1"/>
  <c r="AD1318" i="114"/>
  <c r="AG1318" i="114" s="1"/>
  <c r="AJ1318" i="114"/>
  <c r="AK1318" i="114"/>
  <c r="AL1318" i="114"/>
  <c r="AM1318" i="114"/>
  <c r="AO1318" i="114" s="1"/>
  <c r="AD1319" i="114"/>
  <c r="AE1319" i="114" s="1"/>
  <c r="AJ1319" i="114"/>
  <c r="AK1319" i="114"/>
  <c r="AL1319" i="114"/>
  <c r="AM1319" i="114"/>
  <c r="AO1319" i="114" s="1"/>
  <c r="AD1320" i="114"/>
  <c r="AE1320" i="114" s="1"/>
  <c r="AJ1320" i="114"/>
  <c r="AK1320" i="114"/>
  <c r="AL1320" i="114"/>
  <c r="AM1320" i="114"/>
  <c r="AO1320" i="114" s="1"/>
  <c r="AD1321" i="114"/>
  <c r="AE1321" i="114" s="1"/>
  <c r="AJ1321" i="114"/>
  <c r="AK1321" i="114"/>
  <c r="AL1321" i="114"/>
  <c r="AM1321" i="114"/>
  <c r="AO1321" i="114" s="1"/>
  <c r="AD1322" i="114"/>
  <c r="AJ1322" i="114"/>
  <c r="AK1322" i="114"/>
  <c r="AL1322" i="114"/>
  <c r="AM1322" i="114"/>
  <c r="AO1322" i="114" s="1"/>
  <c r="AD1323" i="114"/>
  <c r="AE1323" i="114" s="1"/>
  <c r="AJ1323" i="114"/>
  <c r="AK1323" i="114"/>
  <c r="AL1323" i="114"/>
  <c r="AM1323" i="114"/>
  <c r="AO1323" i="114" s="1"/>
  <c r="AD1324" i="114"/>
  <c r="AE1324" i="114" s="1"/>
  <c r="AJ1324" i="114"/>
  <c r="AK1324" i="114"/>
  <c r="AL1324" i="114"/>
  <c r="AM1324" i="114"/>
  <c r="AO1324" i="114" s="1"/>
  <c r="AD1325" i="114"/>
  <c r="AE1325" i="114" s="1"/>
  <c r="AJ1325" i="114"/>
  <c r="AK1325" i="114"/>
  <c r="AL1325" i="114"/>
  <c r="AM1325" i="114"/>
  <c r="AO1325" i="114" s="1"/>
  <c r="AD1326" i="114"/>
  <c r="AJ1326" i="114"/>
  <c r="AK1326" i="114"/>
  <c r="AL1326" i="114"/>
  <c r="AM1326" i="114"/>
  <c r="AO1326" i="114" s="1"/>
  <c r="AD1327" i="114"/>
  <c r="AE1327" i="114" s="1"/>
  <c r="AJ1327" i="114"/>
  <c r="AK1327" i="114"/>
  <c r="AL1327" i="114"/>
  <c r="AM1327" i="114"/>
  <c r="AO1327" i="114" s="1"/>
  <c r="AD1328" i="114"/>
  <c r="AE1328" i="114" s="1"/>
  <c r="AJ1328" i="114"/>
  <c r="AK1328" i="114"/>
  <c r="AL1328" i="114"/>
  <c r="AM1328" i="114"/>
  <c r="AO1328" i="114" s="1"/>
  <c r="AD1329" i="114"/>
  <c r="AE1329" i="114" s="1"/>
  <c r="AJ1329" i="114"/>
  <c r="AK1329" i="114"/>
  <c r="AL1329" i="114"/>
  <c r="AM1329" i="114"/>
  <c r="AO1329" i="114" s="1"/>
  <c r="AD1330" i="114"/>
  <c r="AJ1330" i="114"/>
  <c r="AK1330" i="114"/>
  <c r="AL1330" i="114"/>
  <c r="AM1330" i="114"/>
  <c r="AO1330" i="114" s="1"/>
  <c r="AD1331" i="114"/>
  <c r="AE1331" i="114" s="1"/>
  <c r="AJ1331" i="114"/>
  <c r="AK1331" i="114"/>
  <c r="AL1331" i="114"/>
  <c r="AM1331" i="114"/>
  <c r="AO1331" i="114" s="1"/>
  <c r="AD1332" i="114"/>
  <c r="AE1332" i="114" s="1"/>
  <c r="AJ1332" i="114"/>
  <c r="AK1332" i="114"/>
  <c r="AL1332" i="114"/>
  <c r="AM1332" i="114"/>
  <c r="AO1332" i="114" s="1"/>
  <c r="AD1333" i="114"/>
  <c r="AE1333" i="114" s="1"/>
  <c r="AJ1333" i="114"/>
  <c r="AK1333" i="114"/>
  <c r="AL1333" i="114"/>
  <c r="AM1333" i="114"/>
  <c r="AO1333" i="114" s="1"/>
  <c r="AD1334" i="114"/>
  <c r="AG1334" i="114" s="1"/>
  <c r="AJ1334" i="114"/>
  <c r="AK1334" i="114"/>
  <c r="AL1334" i="114"/>
  <c r="AM1334" i="114"/>
  <c r="AO1334" i="114" s="1"/>
  <c r="AD1335" i="114"/>
  <c r="AE1335" i="114" s="1"/>
  <c r="AJ1335" i="114"/>
  <c r="AK1335" i="114"/>
  <c r="AL1335" i="114"/>
  <c r="AM1335" i="114"/>
  <c r="AO1335" i="114" s="1"/>
  <c r="AD1336" i="114"/>
  <c r="AE1336" i="114" s="1"/>
  <c r="AJ1336" i="114"/>
  <c r="AK1336" i="114"/>
  <c r="AL1336" i="114"/>
  <c r="AM1336" i="114"/>
  <c r="AO1336" i="114" s="1"/>
  <c r="AD1337" i="114"/>
  <c r="AE1337" i="114" s="1"/>
  <c r="AJ1337" i="114"/>
  <c r="AK1337" i="114"/>
  <c r="AL1337" i="114"/>
  <c r="AM1337" i="114"/>
  <c r="AO1337" i="114" s="1"/>
  <c r="AD1338" i="114"/>
  <c r="AJ1338" i="114"/>
  <c r="AK1338" i="114"/>
  <c r="AL1338" i="114"/>
  <c r="AM1338" i="114"/>
  <c r="AO1338" i="114" s="1"/>
  <c r="AD1339" i="114"/>
  <c r="AE1339" i="114" s="1"/>
  <c r="AJ1339" i="114"/>
  <c r="AK1339" i="114"/>
  <c r="AL1339" i="114"/>
  <c r="AM1339" i="114"/>
  <c r="AO1339" i="114" s="1"/>
  <c r="AD1340" i="114"/>
  <c r="AE1340" i="114" s="1"/>
  <c r="AJ1340" i="114"/>
  <c r="AK1340" i="114"/>
  <c r="AL1340" i="114"/>
  <c r="AM1340" i="114"/>
  <c r="AO1340" i="114" s="1"/>
  <c r="AD1341" i="114"/>
  <c r="AE1341" i="114" s="1"/>
  <c r="AJ1341" i="114"/>
  <c r="AK1341" i="114"/>
  <c r="AL1341" i="114"/>
  <c r="AM1341" i="114"/>
  <c r="AO1341" i="114" s="1"/>
  <c r="AD1342" i="114"/>
  <c r="AJ1342" i="114"/>
  <c r="AK1342" i="114"/>
  <c r="AL1342" i="114"/>
  <c r="AM1342" i="114"/>
  <c r="AO1342" i="114" s="1"/>
  <c r="AD1343" i="114"/>
  <c r="AE1343" i="114" s="1"/>
  <c r="AJ1343" i="114"/>
  <c r="AK1343" i="114"/>
  <c r="AL1343" i="114"/>
  <c r="AM1343" i="114"/>
  <c r="AO1343" i="114" s="1"/>
  <c r="AD1344" i="114"/>
  <c r="AE1344" i="114" s="1"/>
  <c r="AJ1344" i="114"/>
  <c r="AK1344" i="114"/>
  <c r="AL1344" i="114"/>
  <c r="AM1344" i="114"/>
  <c r="AO1344" i="114" s="1"/>
  <c r="AD1345" i="114"/>
  <c r="AE1345" i="114" s="1"/>
  <c r="AJ1345" i="114"/>
  <c r="AK1345" i="114"/>
  <c r="AL1345" i="114"/>
  <c r="AM1345" i="114"/>
  <c r="AO1345" i="114" s="1"/>
  <c r="AD1346" i="114"/>
  <c r="AJ1346" i="114"/>
  <c r="AK1346" i="114"/>
  <c r="AL1346" i="114"/>
  <c r="AM1346" i="114"/>
  <c r="AO1346" i="114" s="1"/>
  <c r="AD1347" i="114"/>
  <c r="AE1347" i="114" s="1"/>
  <c r="AJ1347" i="114"/>
  <c r="AK1347" i="114"/>
  <c r="AL1347" i="114"/>
  <c r="AM1347" i="114"/>
  <c r="AO1347" i="114" s="1"/>
  <c r="AD1348" i="114"/>
  <c r="AE1348" i="114" s="1"/>
  <c r="AJ1348" i="114"/>
  <c r="AK1348" i="114"/>
  <c r="AL1348" i="114"/>
  <c r="AM1348" i="114"/>
  <c r="AO1348" i="114" s="1"/>
  <c r="AD1349" i="114"/>
  <c r="AE1349" i="114" s="1"/>
  <c r="AJ1349" i="114"/>
  <c r="AK1349" i="114"/>
  <c r="AL1349" i="114"/>
  <c r="AM1349" i="114"/>
  <c r="AO1349" i="114" s="1"/>
  <c r="AD1350" i="114"/>
  <c r="AG1350" i="114" s="1"/>
  <c r="AJ1350" i="114"/>
  <c r="AK1350" i="114"/>
  <c r="AL1350" i="114"/>
  <c r="AM1350" i="114"/>
  <c r="AO1350" i="114" s="1"/>
  <c r="AD1351" i="114"/>
  <c r="AE1351" i="114" s="1"/>
  <c r="AJ1351" i="114"/>
  <c r="AK1351" i="114"/>
  <c r="AL1351" i="114"/>
  <c r="AM1351" i="114"/>
  <c r="AO1351" i="114" s="1"/>
  <c r="AD1352" i="114"/>
  <c r="AE1352" i="114" s="1"/>
  <c r="AJ1352" i="114"/>
  <c r="AK1352" i="114"/>
  <c r="AL1352" i="114"/>
  <c r="AM1352" i="114"/>
  <c r="AO1352" i="114" s="1"/>
  <c r="AD1353" i="114"/>
  <c r="AE1353" i="114" s="1"/>
  <c r="AJ1353" i="114"/>
  <c r="AK1353" i="114"/>
  <c r="AL1353" i="114"/>
  <c r="AM1353" i="114"/>
  <c r="AO1353" i="114" s="1"/>
  <c r="AD1354" i="114"/>
  <c r="AJ1354" i="114"/>
  <c r="AK1354" i="114"/>
  <c r="AL1354" i="114"/>
  <c r="AM1354" i="114"/>
  <c r="AO1354" i="114" s="1"/>
  <c r="AD1355" i="114"/>
  <c r="AJ1355" i="114"/>
  <c r="AK1355" i="114"/>
  <c r="AL1355" i="114"/>
  <c r="AM1355" i="114"/>
  <c r="AO1355" i="114" s="1"/>
  <c r="AD1356" i="114"/>
  <c r="AJ1356" i="114"/>
  <c r="AK1356" i="114"/>
  <c r="AL1356" i="114"/>
  <c r="AM1356" i="114"/>
  <c r="AO1356" i="114" s="1"/>
  <c r="AD1357" i="114"/>
  <c r="AE1357" i="114" s="1"/>
  <c r="AJ1357" i="114"/>
  <c r="AK1357" i="114"/>
  <c r="AL1357" i="114"/>
  <c r="AM1357" i="114"/>
  <c r="AO1357" i="114" s="1"/>
  <c r="AD1358" i="114"/>
  <c r="AE1358" i="114" s="1"/>
  <c r="AJ1358" i="114"/>
  <c r="AK1358" i="114"/>
  <c r="AL1358" i="114"/>
  <c r="AM1358" i="114"/>
  <c r="AO1358" i="114" s="1"/>
  <c r="AD1359" i="114"/>
  <c r="AJ1359" i="114"/>
  <c r="AK1359" i="114"/>
  <c r="AL1359" i="114"/>
  <c r="AM1359" i="114"/>
  <c r="AO1359" i="114" s="1"/>
  <c r="AD1360" i="114"/>
  <c r="AE1360" i="114" s="1"/>
  <c r="AJ1360" i="114"/>
  <c r="AK1360" i="114"/>
  <c r="AL1360" i="114"/>
  <c r="AM1360" i="114"/>
  <c r="AO1360" i="114" s="1"/>
  <c r="AD1361" i="114"/>
  <c r="AJ1361" i="114"/>
  <c r="AK1361" i="114"/>
  <c r="AL1361" i="114"/>
  <c r="AM1361" i="114"/>
  <c r="AO1361" i="114" s="1"/>
  <c r="AD1362" i="114"/>
  <c r="AE1362" i="114" s="1"/>
  <c r="AJ1362" i="114"/>
  <c r="AK1362" i="114"/>
  <c r="AL1362" i="114"/>
  <c r="AM1362" i="114"/>
  <c r="AO1362" i="114" s="1"/>
  <c r="AD1363" i="114"/>
  <c r="AJ1363" i="114"/>
  <c r="AK1363" i="114"/>
  <c r="AL1363" i="114"/>
  <c r="AM1363" i="114"/>
  <c r="AO1363" i="114" s="1"/>
  <c r="AD1364" i="114"/>
  <c r="AJ1364" i="114"/>
  <c r="AK1364" i="114"/>
  <c r="AL1364" i="114"/>
  <c r="AM1364" i="114"/>
  <c r="AO1364" i="114" s="1"/>
  <c r="AD1365" i="114"/>
  <c r="AJ1365" i="114"/>
  <c r="AK1365" i="114"/>
  <c r="AL1365" i="114"/>
  <c r="AM1365" i="114"/>
  <c r="AO1365" i="114" s="1"/>
  <c r="AD1366" i="114"/>
  <c r="AE1366" i="114" s="1"/>
  <c r="AJ1366" i="114"/>
  <c r="AK1366" i="114"/>
  <c r="AL1366" i="114"/>
  <c r="AM1366" i="114"/>
  <c r="AO1366" i="114" s="1"/>
  <c r="AD1367" i="114"/>
  <c r="AJ1367" i="114"/>
  <c r="AK1367" i="114"/>
  <c r="AL1367" i="114"/>
  <c r="AM1367" i="114"/>
  <c r="AO1367" i="114" s="1"/>
  <c r="AD1368" i="114"/>
  <c r="AE1368" i="114" s="1"/>
  <c r="AJ1368" i="114"/>
  <c r="AK1368" i="114"/>
  <c r="AL1368" i="114"/>
  <c r="AM1368" i="114"/>
  <c r="AO1368" i="114" s="1"/>
  <c r="AD1369" i="114"/>
  <c r="AJ1369" i="114"/>
  <c r="AK1369" i="114"/>
  <c r="AL1369" i="114"/>
  <c r="AM1369" i="114"/>
  <c r="AO1369" i="114" s="1"/>
  <c r="AD1370" i="114"/>
  <c r="AE1370" i="114" s="1"/>
  <c r="AJ1370" i="114"/>
  <c r="AK1370" i="114"/>
  <c r="AL1370" i="114"/>
  <c r="AM1370" i="114"/>
  <c r="AO1370" i="114" s="1"/>
  <c r="AD1371" i="114"/>
  <c r="AJ1371" i="114"/>
  <c r="AK1371" i="114"/>
  <c r="AL1371" i="114"/>
  <c r="AM1371" i="114"/>
  <c r="AO1371" i="114" s="1"/>
  <c r="AD1372" i="114"/>
  <c r="AI1372" i="114" s="1"/>
  <c r="AJ1372" i="114"/>
  <c r="AK1372" i="114"/>
  <c r="AL1372" i="114"/>
  <c r="AM1372" i="114"/>
  <c r="AO1372" i="114" s="1"/>
  <c r="AD1373" i="114"/>
  <c r="AJ1373" i="114"/>
  <c r="AK1373" i="114"/>
  <c r="AL1373" i="114"/>
  <c r="AM1373" i="114"/>
  <c r="AO1373" i="114" s="1"/>
  <c r="AD1374" i="114"/>
  <c r="AE1374" i="114" s="1"/>
  <c r="AJ1374" i="114"/>
  <c r="AK1374" i="114"/>
  <c r="AL1374" i="114"/>
  <c r="AM1374" i="114"/>
  <c r="AO1374" i="114" s="1"/>
  <c r="AD1375" i="114"/>
  <c r="AJ1375" i="114"/>
  <c r="AK1375" i="114"/>
  <c r="AL1375" i="114"/>
  <c r="AM1375" i="114"/>
  <c r="AO1375" i="114" s="1"/>
  <c r="AD1376" i="114"/>
  <c r="AE1376" i="114" s="1"/>
  <c r="AJ1376" i="114"/>
  <c r="AK1376" i="114"/>
  <c r="AL1376" i="114"/>
  <c r="AM1376" i="114"/>
  <c r="AO1376" i="114" s="1"/>
  <c r="AD1377" i="114"/>
  <c r="AJ1377" i="114"/>
  <c r="AK1377" i="114"/>
  <c r="AL1377" i="114"/>
  <c r="AM1377" i="114"/>
  <c r="AO1377" i="114" s="1"/>
  <c r="AD1378" i="114"/>
  <c r="AE1378" i="114" s="1"/>
  <c r="AJ1378" i="114"/>
  <c r="AK1378" i="114"/>
  <c r="AL1378" i="114"/>
  <c r="AM1378" i="114"/>
  <c r="AO1378" i="114" s="1"/>
  <c r="AD1379" i="114"/>
  <c r="AJ1379" i="114"/>
  <c r="AK1379" i="114"/>
  <c r="AL1379" i="114"/>
  <c r="AM1379" i="114"/>
  <c r="AO1379" i="114" s="1"/>
  <c r="AD1380" i="114"/>
  <c r="AJ1380" i="114"/>
  <c r="AK1380" i="114"/>
  <c r="AL1380" i="114"/>
  <c r="AM1380" i="114"/>
  <c r="AO1380" i="114" s="1"/>
  <c r="AD1381" i="114"/>
  <c r="AJ1381" i="114"/>
  <c r="AK1381" i="114"/>
  <c r="AL1381" i="114"/>
  <c r="AM1381" i="114"/>
  <c r="AO1381" i="114" s="1"/>
  <c r="AD1382" i="114"/>
  <c r="AE1382" i="114" s="1"/>
  <c r="AJ1382" i="114"/>
  <c r="AK1382" i="114"/>
  <c r="AL1382" i="114"/>
  <c r="AM1382" i="114"/>
  <c r="AO1382" i="114" s="1"/>
  <c r="AD1383" i="114"/>
  <c r="AJ1383" i="114"/>
  <c r="AK1383" i="114"/>
  <c r="AL1383" i="114"/>
  <c r="AM1383" i="114"/>
  <c r="AO1383" i="114" s="1"/>
  <c r="AD1384" i="114"/>
  <c r="AE1384" i="114" s="1"/>
  <c r="AJ1384" i="114"/>
  <c r="AK1384" i="114"/>
  <c r="AL1384" i="114"/>
  <c r="AM1384" i="114"/>
  <c r="AO1384" i="114" s="1"/>
  <c r="AD1385" i="114"/>
  <c r="AJ1385" i="114"/>
  <c r="AK1385" i="114"/>
  <c r="AL1385" i="114"/>
  <c r="AM1385" i="114"/>
  <c r="AO1385" i="114" s="1"/>
  <c r="AD1386" i="114"/>
  <c r="AE1386" i="114" s="1"/>
  <c r="AJ1386" i="114"/>
  <c r="AK1386" i="114"/>
  <c r="AL1386" i="114"/>
  <c r="AM1386" i="114"/>
  <c r="AO1386" i="114" s="1"/>
  <c r="AD1387" i="114"/>
  <c r="AJ1387" i="114"/>
  <c r="AK1387" i="114"/>
  <c r="AL1387" i="114"/>
  <c r="AM1387" i="114"/>
  <c r="AO1387" i="114" s="1"/>
  <c r="AD1388" i="114"/>
  <c r="AJ1388" i="114"/>
  <c r="AK1388" i="114"/>
  <c r="AL1388" i="114"/>
  <c r="AM1388" i="114"/>
  <c r="AO1388" i="114" s="1"/>
  <c r="AD1389" i="114"/>
  <c r="AJ1389" i="114"/>
  <c r="AK1389" i="114"/>
  <c r="AL1389" i="114"/>
  <c r="AM1389" i="114"/>
  <c r="AO1389" i="114" s="1"/>
  <c r="AD1390" i="114"/>
  <c r="AE1390" i="114" s="1"/>
  <c r="AJ1390" i="114"/>
  <c r="AK1390" i="114"/>
  <c r="AL1390" i="114"/>
  <c r="AM1390" i="114"/>
  <c r="AO1390" i="114" s="1"/>
  <c r="AD1391" i="114"/>
  <c r="AJ1391" i="114"/>
  <c r="AK1391" i="114"/>
  <c r="AL1391" i="114"/>
  <c r="AM1391" i="114"/>
  <c r="AO1391" i="114" s="1"/>
  <c r="AD1392" i="114"/>
  <c r="AE1392" i="114" s="1"/>
  <c r="AJ1392" i="114"/>
  <c r="AK1392" i="114"/>
  <c r="AL1392" i="114"/>
  <c r="AM1392" i="114"/>
  <c r="AO1392" i="114" s="1"/>
  <c r="AD1393" i="114"/>
  <c r="AJ1393" i="114"/>
  <c r="AK1393" i="114"/>
  <c r="AL1393" i="114"/>
  <c r="AM1393" i="114"/>
  <c r="AO1393" i="114" s="1"/>
  <c r="AD1394" i="114"/>
  <c r="AE1394" i="114" s="1"/>
  <c r="AJ1394" i="114"/>
  <c r="AK1394" i="114"/>
  <c r="AL1394" i="114"/>
  <c r="AM1394" i="114"/>
  <c r="AO1394" i="114" s="1"/>
  <c r="AD1395" i="114"/>
  <c r="AJ1395" i="114"/>
  <c r="AK1395" i="114"/>
  <c r="AL1395" i="114"/>
  <c r="AM1395" i="114"/>
  <c r="AO1395" i="114" s="1"/>
  <c r="AD1396" i="114"/>
  <c r="AG1396" i="114" s="1"/>
  <c r="AJ1396" i="114"/>
  <c r="AK1396" i="114"/>
  <c r="AL1396" i="114"/>
  <c r="AM1396" i="114"/>
  <c r="AO1396" i="114" s="1"/>
  <c r="AD1397" i="114"/>
  <c r="AE1397" i="114" s="1"/>
  <c r="AJ1397" i="114"/>
  <c r="AK1397" i="114"/>
  <c r="AL1397" i="114"/>
  <c r="AM1397" i="114"/>
  <c r="AO1397" i="114" s="1"/>
  <c r="AD1398" i="114"/>
  <c r="AE1398" i="114" s="1"/>
  <c r="AJ1398" i="114"/>
  <c r="AK1398" i="114"/>
  <c r="AL1398" i="114"/>
  <c r="AM1398" i="114"/>
  <c r="AO1398" i="114" s="1"/>
  <c r="AD1399" i="114"/>
  <c r="AJ1399" i="114"/>
  <c r="AK1399" i="114"/>
  <c r="AL1399" i="114"/>
  <c r="AM1399" i="114"/>
  <c r="AO1399" i="114" s="1"/>
  <c r="AD1400" i="114"/>
  <c r="AE1400" i="114" s="1"/>
  <c r="AJ1400" i="114"/>
  <c r="AK1400" i="114"/>
  <c r="AL1400" i="114"/>
  <c r="AM1400" i="114"/>
  <c r="AO1400" i="114" s="1"/>
  <c r="AD1401" i="114"/>
  <c r="AJ1401" i="114"/>
  <c r="AK1401" i="114"/>
  <c r="AL1401" i="114"/>
  <c r="AM1401" i="114"/>
  <c r="AO1401" i="114" s="1"/>
  <c r="AD1402" i="114"/>
  <c r="AE1402" i="114" s="1"/>
  <c r="AJ1402" i="114"/>
  <c r="AK1402" i="114"/>
  <c r="AL1402" i="114"/>
  <c r="AM1402" i="114"/>
  <c r="AO1402" i="114" s="1"/>
  <c r="AD1403" i="114"/>
  <c r="AJ1403" i="114"/>
  <c r="AK1403" i="114"/>
  <c r="AL1403" i="114"/>
  <c r="AM1403" i="114"/>
  <c r="AO1403" i="114" s="1"/>
  <c r="AD1404" i="114"/>
  <c r="AJ1404" i="114"/>
  <c r="AK1404" i="114"/>
  <c r="AL1404" i="114"/>
  <c r="AM1404" i="114"/>
  <c r="AO1404" i="114" s="1"/>
  <c r="AD1405" i="114"/>
  <c r="AJ1405" i="114"/>
  <c r="AK1405" i="114"/>
  <c r="AL1405" i="114"/>
  <c r="AM1405" i="114"/>
  <c r="AO1405" i="114" s="1"/>
  <c r="AD1406" i="114"/>
  <c r="AE1406" i="114" s="1"/>
  <c r="AJ1406" i="114"/>
  <c r="AK1406" i="114"/>
  <c r="AL1406" i="114"/>
  <c r="AM1406" i="114"/>
  <c r="AO1406" i="114" s="1"/>
  <c r="AD1407" i="114"/>
  <c r="AJ1407" i="114"/>
  <c r="AK1407" i="114"/>
  <c r="AL1407" i="114"/>
  <c r="AM1407" i="114"/>
  <c r="AO1407" i="114" s="1"/>
  <c r="AD1408" i="114"/>
  <c r="AE1408" i="114" s="1"/>
  <c r="AJ1408" i="114"/>
  <c r="AK1408" i="114"/>
  <c r="AL1408" i="114"/>
  <c r="AM1408" i="114"/>
  <c r="AO1408" i="114" s="1"/>
  <c r="AD1409" i="114"/>
  <c r="AI1409" i="114"/>
  <c r="AJ1409" i="114"/>
  <c r="AK1409" i="114"/>
  <c r="AL1409" i="114"/>
  <c r="AM1409" i="114"/>
  <c r="AO1409" i="114" s="1"/>
  <c r="AD1410" i="114"/>
  <c r="AE1410" i="114" s="1"/>
  <c r="AJ1410" i="114"/>
  <c r="AK1410" i="114"/>
  <c r="AL1410" i="114"/>
  <c r="AM1410" i="114"/>
  <c r="AO1410" i="114" s="1"/>
  <c r="AD1411" i="114"/>
  <c r="AJ1411" i="114"/>
  <c r="AK1411" i="114"/>
  <c r="AL1411" i="114"/>
  <c r="AM1411" i="114"/>
  <c r="AO1411" i="114" s="1"/>
  <c r="AD1412" i="114"/>
  <c r="AJ1412" i="114"/>
  <c r="AK1412" i="114"/>
  <c r="AL1412" i="114"/>
  <c r="AM1412" i="114"/>
  <c r="AO1412" i="114" s="1"/>
  <c r="AD1413" i="114"/>
  <c r="AJ1413" i="114"/>
  <c r="AK1413" i="114"/>
  <c r="AL1413" i="114"/>
  <c r="AM1413" i="114"/>
  <c r="AO1413" i="114" s="1"/>
  <c r="AD1414" i="114"/>
  <c r="AE1414" i="114" s="1"/>
  <c r="AJ1414" i="114"/>
  <c r="AK1414" i="114"/>
  <c r="AL1414" i="114"/>
  <c r="AM1414" i="114"/>
  <c r="AO1414" i="114" s="1"/>
  <c r="AD1415" i="114"/>
  <c r="AJ1415" i="114"/>
  <c r="AK1415" i="114"/>
  <c r="AL1415" i="114"/>
  <c r="AM1415" i="114"/>
  <c r="AO1415" i="114" s="1"/>
  <c r="AD1416" i="114"/>
  <c r="AE1416" i="114" s="1"/>
  <c r="AJ1416" i="114"/>
  <c r="AK1416" i="114"/>
  <c r="AL1416" i="114"/>
  <c r="AM1416" i="114"/>
  <c r="AO1416" i="114" s="1"/>
  <c r="AD1417" i="114"/>
  <c r="AJ1417" i="114"/>
  <c r="AK1417" i="114"/>
  <c r="AL1417" i="114"/>
  <c r="AM1417" i="114"/>
  <c r="AO1417" i="114" s="1"/>
  <c r="AD1418" i="114"/>
  <c r="AE1418" i="114" s="1"/>
  <c r="AJ1418" i="114"/>
  <c r="AK1418" i="114"/>
  <c r="AL1418" i="114"/>
  <c r="AM1418" i="114"/>
  <c r="AO1418" i="114" s="1"/>
  <c r="AD1419" i="114"/>
  <c r="AJ1419" i="114"/>
  <c r="AK1419" i="114"/>
  <c r="AL1419" i="114"/>
  <c r="AM1419" i="114"/>
  <c r="AO1419" i="114" s="1"/>
  <c r="AD1420" i="114"/>
  <c r="AJ1420" i="114"/>
  <c r="AK1420" i="114"/>
  <c r="AL1420" i="114"/>
  <c r="AM1420" i="114"/>
  <c r="AO1420" i="114" s="1"/>
  <c r="AD1421" i="114"/>
  <c r="AJ1421" i="114"/>
  <c r="AK1421" i="114"/>
  <c r="AL1421" i="114"/>
  <c r="AM1421" i="114"/>
  <c r="AO1421" i="114" s="1"/>
  <c r="AD1422" i="114"/>
  <c r="AE1422" i="114" s="1"/>
  <c r="AJ1422" i="114"/>
  <c r="AK1422" i="114"/>
  <c r="AL1422" i="114"/>
  <c r="AM1422" i="114"/>
  <c r="AO1422" i="114" s="1"/>
  <c r="AD1423" i="114"/>
  <c r="AJ1423" i="114"/>
  <c r="AK1423" i="114"/>
  <c r="AL1423" i="114"/>
  <c r="AM1423" i="114"/>
  <c r="AO1423" i="114" s="1"/>
  <c r="AD1424" i="114"/>
  <c r="AE1424" i="114" s="1"/>
  <c r="AJ1424" i="114"/>
  <c r="AK1424" i="114"/>
  <c r="AL1424" i="114"/>
  <c r="AM1424" i="114"/>
  <c r="AO1424" i="114" s="1"/>
  <c r="AD1425" i="114"/>
  <c r="AE1425" i="114" s="1"/>
  <c r="AJ1425" i="114"/>
  <c r="AK1425" i="114"/>
  <c r="AL1425" i="114"/>
  <c r="AM1425" i="114"/>
  <c r="AO1425" i="114" s="1"/>
  <c r="AD1426" i="114"/>
  <c r="AJ1426" i="114"/>
  <c r="AK1426" i="114"/>
  <c r="AL1426" i="114"/>
  <c r="AM1426" i="114"/>
  <c r="AO1426" i="114" s="1"/>
  <c r="AD1427" i="114"/>
  <c r="AE1427" i="114" s="1"/>
  <c r="AJ1427" i="114"/>
  <c r="AK1427" i="114"/>
  <c r="AL1427" i="114"/>
  <c r="AM1427" i="114"/>
  <c r="AO1427" i="114" s="1"/>
  <c r="AD1428" i="114"/>
  <c r="AJ1428" i="114"/>
  <c r="AK1428" i="114"/>
  <c r="AL1428" i="114"/>
  <c r="AM1428" i="114"/>
  <c r="AO1428" i="114" s="1"/>
  <c r="AD1429" i="114"/>
  <c r="AE1429" i="114" s="1"/>
  <c r="AJ1429" i="114"/>
  <c r="AK1429" i="114"/>
  <c r="AL1429" i="114"/>
  <c r="AM1429" i="114"/>
  <c r="AO1429" i="114" s="1"/>
  <c r="AD1430" i="114"/>
  <c r="AJ1430" i="114"/>
  <c r="AK1430" i="114"/>
  <c r="AL1430" i="114"/>
  <c r="AM1430" i="114"/>
  <c r="AO1430" i="114" s="1"/>
  <c r="AD1431" i="114"/>
  <c r="AE1431" i="114" s="1"/>
  <c r="AJ1431" i="114"/>
  <c r="AK1431" i="114"/>
  <c r="AL1431" i="114"/>
  <c r="AM1431" i="114"/>
  <c r="AO1431" i="114" s="1"/>
  <c r="AD1432" i="114"/>
  <c r="AJ1432" i="114"/>
  <c r="AK1432" i="114"/>
  <c r="AL1432" i="114"/>
  <c r="AM1432" i="114"/>
  <c r="AO1432" i="114" s="1"/>
  <c r="AD1433" i="114"/>
  <c r="AE1433" i="114" s="1"/>
  <c r="AJ1433" i="114"/>
  <c r="AK1433" i="114"/>
  <c r="AL1433" i="114"/>
  <c r="AM1433" i="114"/>
  <c r="AO1433" i="114" s="1"/>
  <c r="AD1434" i="114"/>
  <c r="AJ1434" i="114"/>
  <c r="AK1434" i="114"/>
  <c r="AL1434" i="114"/>
  <c r="AM1434" i="114"/>
  <c r="AO1434" i="114" s="1"/>
  <c r="AD1435" i="114"/>
  <c r="AE1435" i="114" s="1"/>
  <c r="AJ1435" i="114"/>
  <c r="AK1435" i="114"/>
  <c r="AL1435" i="114"/>
  <c r="AM1435" i="114"/>
  <c r="AO1435" i="114" s="1"/>
  <c r="AD1436" i="114"/>
  <c r="AJ1436" i="114"/>
  <c r="AK1436" i="114"/>
  <c r="AL1436" i="114"/>
  <c r="AM1436" i="114"/>
  <c r="AO1436" i="114" s="1"/>
  <c r="AD1437" i="114"/>
  <c r="AE1437" i="114" s="1"/>
  <c r="AJ1437" i="114"/>
  <c r="AK1437" i="114"/>
  <c r="AL1437" i="114"/>
  <c r="AM1437" i="114"/>
  <c r="AO1437" i="114" s="1"/>
  <c r="AD1438" i="114"/>
  <c r="AJ1438" i="114"/>
  <c r="AK1438" i="114"/>
  <c r="AL1438" i="114"/>
  <c r="AM1438" i="114"/>
  <c r="AO1438" i="114" s="1"/>
  <c r="AD1439" i="114"/>
  <c r="AE1439" i="114" s="1"/>
  <c r="AJ1439" i="114"/>
  <c r="AK1439" i="114"/>
  <c r="AL1439" i="114"/>
  <c r="AM1439" i="114"/>
  <c r="AO1439" i="114" s="1"/>
  <c r="AD1440" i="114"/>
  <c r="AJ1440" i="114"/>
  <c r="AK1440" i="114"/>
  <c r="AL1440" i="114"/>
  <c r="AM1440" i="114"/>
  <c r="AO1440" i="114" s="1"/>
  <c r="AD1441" i="114"/>
  <c r="AE1441" i="114" s="1"/>
  <c r="AJ1441" i="114"/>
  <c r="AK1441" i="114"/>
  <c r="AL1441" i="114"/>
  <c r="AM1441" i="114"/>
  <c r="AO1441" i="114" s="1"/>
  <c r="AD1442" i="114"/>
  <c r="AJ1442" i="114"/>
  <c r="AK1442" i="114"/>
  <c r="AL1442" i="114"/>
  <c r="AM1442" i="114"/>
  <c r="AO1442" i="114" s="1"/>
  <c r="AD1443" i="114"/>
  <c r="AE1443" i="114" s="1"/>
  <c r="AJ1443" i="114"/>
  <c r="AK1443" i="114"/>
  <c r="AL1443" i="114"/>
  <c r="AM1443" i="114"/>
  <c r="AO1443" i="114" s="1"/>
  <c r="AD1444" i="114"/>
  <c r="AJ1444" i="114"/>
  <c r="AK1444" i="114"/>
  <c r="AL1444" i="114"/>
  <c r="AM1444" i="114"/>
  <c r="AO1444" i="114" s="1"/>
  <c r="AD1445" i="114"/>
  <c r="AE1445" i="114" s="1"/>
  <c r="AJ1445" i="114"/>
  <c r="AK1445" i="114"/>
  <c r="AL1445" i="114"/>
  <c r="AM1445" i="114"/>
  <c r="AO1445" i="114" s="1"/>
  <c r="AD1446" i="114"/>
  <c r="AJ1446" i="114"/>
  <c r="AK1446" i="114"/>
  <c r="AL1446" i="114"/>
  <c r="AM1446" i="114"/>
  <c r="AO1446" i="114" s="1"/>
  <c r="AD1447" i="114"/>
  <c r="AE1447" i="114" s="1"/>
  <c r="AJ1447" i="114"/>
  <c r="AK1447" i="114"/>
  <c r="AL1447" i="114"/>
  <c r="AM1447" i="114"/>
  <c r="AO1447" i="114" s="1"/>
  <c r="AD1448" i="114"/>
  <c r="AJ1448" i="114"/>
  <c r="AK1448" i="114"/>
  <c r="AL1448" i="114"/>
  <c r="AM1448" i="114"/>
  <c r="AO1448" i="114" s="1"/>
  <c r="AD1449" i="114"/>
  <c r="AE1449" i="114" s="1"/>
  <c r="AJ1449" i="114"/>
  <c r="AK1449" i="114"/>
  <c r="AL1449" i="114"/>
  <c r="AM1449" i="114"/>
  <c r="AO1449" i="114" s="1"/>
  <c r="AD1450" i="114"/>
  <c r="AJ1450" i="114"/>
  <c r="AK1450" i="114"/>
  <c r="AL1450" i="114"/>
  <c r="AM1450" i="114"/>
  <c r="AO1450" i="114" s="1"/>
  <c r="AD1451" i="114"/>
  <c r="AE1451" i="114" s="1"/>
  <c r="AJ1451" i="114"/>
  <c r="AK1451" i="114"/>
  <c r="AL1451" i="114"/>
  <c r="AM1451" i="114"/>
  <c r="AO1451" i="114" s="1"/>
  <c r="AD1452" i="114"/>
  <c r="AJ1452" i="114"/>
  <c r="AK1452" i="114"/>
  <c r="AL1452" i="114"/>
  <c r="AM1452" i="114"/>
  <c r="AO1452" i="114" s="1"/>
  <c r="AD1453" i="114"/>
  <c r="AE1453" i="114" s="1"/>
  <c r="AJ1453" i="114"/>
  <c r="AK1453" i="114"/>
  <c r="AL1453" i="114"/>
  <c r="AM1453" i="114"/>
  <c r="AO1453" i="114" s="1"/>
  <c r="AD1454" i="114"/>
  <c r="AJ1454" i="114"/>
  <c r="AK1454" i="114"/>
  <c r="AL1454" i="114"/>
  <c r="AM1454" i="114"/>
  <c r="AO1454" i="114" s="1"/>
  <c r="AD1455" i="114"/>
  <c r="AE1455" i="114" s="1"/>
  <c r="AJ1455" i="114"/>
  <c r="AK1455" i="114"/>
  <c r="AL1455" i="114"/>
  <c r="AM1455" i="114"/>
  <c r="AO1455" i="114" s="1"/>
  <c r="AD1456" i="114"/>
  <c r="AJ1456" i="114"/>
  <c r="AK1456" i="114"/>
  <c r="AL1456" i="114"/>
  <c r="AM1456" i="114"/>
  <c r="AO1456" i="114" s="1"/>
  <c r="AD1457" i="114"/>
  <c r="AE1457" i="114" s="1"/>
  <c r="AJ1457" i="114"/>
  <c r="AK1457" i="114"/>
  <c r="AL1457" i="114"/>
  <c r="AM1457" i="114"/>
  <c r="AO1457" i="114" s="1"/>
  <c r="AD1458" i="114"/>
  <c r="AJ1458" i="114"/>
  <c r="AK1458" i="114"/>
  <c r="AL1458" i="114"/>
  <c r="AM1458" i="114"/>
  <c r="AO1458" i="114" s="1"/>
  <c r="AD1459" i="114"/>
  <c r="AE1459" i="114" s="1"/>
  <c r="AJ1459" i="114"/>
  <c r="AK1459" i="114"/>
  <c r="AL1459" i="114"/>
  <c r="AM1459" i="114"/>
  <c r="AO1459" i="114" s="1"/>
  <c r="AD1460" i="114"/>
  <c r="AJ1460" i="114"/>
  <c r="AK1460" i="114"/>
  <c r="AL1460" i="114"/>
  <c r="AM1460" i="114"/>
  <c r="AO1460" i="114" s="1"/>
  <c r="AD1461" i="114"/>
  <c r="AE1461" i="114" s="1"/>
  <c r="AJ1461" i="114"/>
  <c r="AK1461" i="114"/>
  <c r="AL1461" i="114"/>
  <c r="AM1461" i="114"/>
  <c r="AO1461" i="114" s="1"/>
  <c r="AD1462" i="114"/>
  <c r="AJ1462" i="114"/>
  <c r="AK1462" i="114"/>
  <c r="AL1462" i="114"/>
  <c r="AM1462" i="114"/>
  <c r="AO1462" i="114" s="1"/>
  <c r="AD1463" i="114"/>
  <c r="AE1463" i="114" s="1"/>
  <c r="AJ1463" i="114"/>
  <c r="AK1463" i="114"/>
  <c r="AL1463" i="114"/>
  <c r="AM1463" i="114"/>
  <c r="AO1463" i="114" s="1"/>
  <c r="AD1464" i="114"/>
  <c r="AJ1464" i="114"/>
  <c r="AK1464" i="114"/>
  <c r="AL1464" i="114"/>
  <c r="AM1464" i="114"/>
  <c r="AO1464" i="114" s="1"/>
  <c r="AD1465" i="114"/>
  <c r="AE1465" i="114" s="1"/>
  <c r="AJ1465" i="114"/>
  <c r="AK1465" i="114"/>
  <c r="AL1465" i="114"/>
  <c r="AM1465" i="114"/>
  <c r="AO1465" i="114" s="1"/>
  <c r="AD1466" i="114"/>
  <c r="AJ1466" i="114"/>
  <c r="AK1466" i="114"/>
  <c r="AL1466" i="114"/>
  <c r="AM1466" i="114"/>
  <c r="AO1466" i="114" s="1"/>
  <c r="AD1467" i="114"/>
  <c r="AE1467" i="114" s="1"/>
  <c r="AJ1467" i="114"/>
  <c r="AK1467" i="114"/>
  <c r="AL1467" i="114"/>
  <c r="AM1467" i="114"/>
  <c r="AO1467" i="114" s="1"/>
  <c r="AD1468" i="114"/>
  <c r="AJ1468" i="114"/>
  <c r="AK1468" i="114"/>
  <c r="AL1468" i="114"/>
  <c r="AM1468" i="114"/>
  <c r="AO1468" i="114" s="1"/>
  <c r="AD1469" i="114"/>
  <c r="AE1469" i="114" s="1"/>
  <c r="AJ1469" i="114"/>
  <c r="AK1469" i="114"/>
  <c r="AL1469" i="114"/>
  <c r="AM1469" i="114"/>
  <c r="AO1469" i="114" s="1"/>
  <c r="AD1470" i="114"/>
  <c r="AJ1470" i="114"/>
  <c r="AK1470" i="114"/>
  <c r="AL1470" i="114"/>
  <c r="AM1470" i="114"/>
  <c r="AO1470" i="114" s="1"/>
  <c r="AD1471" i="114"/>
  <c r="AE1471" i="114" s="1"/>
  <c r="AJ1471" i="114"/>
  <c r="AK1471" i="114"/>
  <c r="AL1471" i="114"/>
  <c r="AM1471" i="114"/>
  <c r="AO1471" i="114" s="1"/>
  <c r="AD1472" i="114"/>
  <c r="AJ1472" i="114"/>
  <c r="AK1472" i="114"/>
  <c r="AL1472" i="114"/>
  <c r="AM1472" i="114"/>
  <c r="AO1472" i="114" s="1"/>
  <c r="AD1473" i="114"/>
  <c r="AE1473" i="114" s="1"/>
  <c r="AJ1473" i="114"/>
  <c r="AK1473" i="114"/>
  <c r="AL1473" i="114"/>
  <c r="AM1473" i="114"/>
  <c r="AO1473" i="114" s="1"/>
  <c r="AD1474" i="114"/>
  <c r="AJ1474" i="114"/>
  <c r="AK1474" i="114"/>
  <c r="AL1474" i="114"/>
  <c r="AM1474" i="114"/>
  <c r="AO1474" i="114" s="1"/>
  <c r="AD1475" i="114"/>
  <c r="AE1475" i="114" s="1"/>
  <c r="AJ1475" i="114"/>
  <c r="AK1475" i="114"/>
  <c r="AL1475" i="114"/>
  <c r="AM1475" i="114"/>
  <c r="AO1475" i="114" s="1"/>
  <c r="AD1476" i="114"/>
  <c r="AJ1476" i="114"/>
  <c r="AK1476" i="114"/>
  <c r="AL1476" i="114"/>
  <c r="AM1476" i="114"/>
  <c r="AO1476" i="114" s="1"/>
  <c r="AD1477" i="114"/>
  <c r="AE1477" i="114" s="1"/>
  <c r="AJ1477" i="114"/>
  <c r="AK1477" i="114"/>
  <c r="AL1477" i="114"/>
  <c r="AM1477" i="114"/>
  <c r="AO1477" i="114" s="1"/>
  <c r="AD1478" i="114"/>
  <c r="AJ1478" i="114"/>
  <c r="AK1478" i="114"/>
  <c r="AL1478" i="114"/>
  <c r="AM1478" i="114"/>
  <c r="AO1478" i="114" s="1"/>
  <c r="AD1479" i="114"/>
  <c r="AE1479" i="114" s="1"/>
  <c r="AJ1479" i="114"/>
  <c r="AK1479" i="114"/>
  <c r="AL1479" i="114"/>
  <c r="AM1479" i="114"/>
  <c r="AO1479" i="114" s="1"/>
  <c r="AD1480" i="114"/>
  <c r="AJ1480" i="114"/>
  <c r="AK1480" i="114"/>
  <c r="AL1480" i="114"/>
  <c r="AM1480" i="114"/>
  <c r="AO1480" i="114" s="1"/>
  <c r="AD1481" i="114"/>
  <c r="AE1481" i="114" s="1"/>
  <c r="AJ1481" i="114"/>
  <c r="AK1481" i="114"/>
  <c r="AL1481" i="114"/>
  <c r="AM1481" i="114"/>
  <c r="AO1481" i="114" s="1"/>
  <c r="AD1482" i="114"/>
  <c r="AJ1482" i="114"/>
  <c r="AK1482" i="114"/>
  <c r="AL1482" i="114"/>
  <c r="AM1482" i="114"/>
  <c r="AO1482" i="114" s="1"/>
  <c r="AD1483" i="114"/>
  <c r="AE1483" i="114" s="1"/>
  <c r="AJ1483" i="114"/>
  <c r="AK1483" i="114"/>
  <c r="AL1483" i="114"/>
  <c r="AM1483" i="114"/>
  <c r="AO1483" i="114" s="1"/>
  <c r="AD1484" i="114"/>
  <c r="AJ1484" i="114"/>
  <c r="AK1484" i="114"/>
  <c r="AL1484" i="114"/>
  <c r="AM1484" i="114"/>
  <c r="AO1484" i="114" s="1"/>
  <c r="AD1485" i="114"/>
  <c r="AE1485" i="114" s="1"/>
  <c r="AJ1485" i="114"/>
  <c r="AK1485" i="114"/>
  <c r="AL1485" i="114"/>
  <c r="AM1485" i="114"/>
  <c r="AO1485" i="114" s="1"/>
  <c r="AD1486" i="114"/>
  <c r="AJ1486" i="114"/>
  <c r="AK1486" i="114"/>
  <c r="AL1486" i="114"/>
  <c r="AM1486" i="114"/>
  <c r="AO1486" i="114" s="1"/>
  <c r="AD1487" i="114"/>
  <c r="AE1487" i="114" s="1"/>
  <c r="AJ1487" i="114"/>
  <c r="AK1487" i="114"/>
  <c r="AL1487" i="114"/>
  <c r="AM1487" i="114"/>
  <c r="AO1487" i="114" s="1"/>
  <c r="AD1488" i="114"/>
  <c r="AJ1488" i="114"/>
  <c r="AK1488" i="114"/>
  <c r="AL1488" i="114"/>
  <c r="AM1488" i="114"/>
  <c r="AO1488" i="114" s="1"/>
  <c r="AD1489" i="114"/>
  <c r="AE1489" i="114" s="1"/>
  <c r="AJ1489" i="114"/>
  <c r="AK1489" i="114"/>
  <c r="AL1489" i="114"/>
  <c r="AM1489" i="114"/>
  <c r="AO1489" i="114" s="1"/>
  <c r="AD1490" i="114"/>
  <c r="AJ1490" i="114"/>
  <c r="AK1490" i="114"/>
  <c r="AL1490" i="114"/>
  <c r="AM1490" i="114"/>
  <c r="AO1490" i="114" s="1"/>
  <c r="AD1491" i="114"/>
  <c r="AE1491" i="114" s="1"/>
  <c r="AJ1491" i="114"/>
  <c r="AK1491" i="114"/>
  <c r="AL1491" i="114"/>
  <c r="AM1491" i="114"/>
  <c r="AO1491" i="114" s="1"/>
  <c r="AD1492" i="114"/>
  <c r="AJ1492" i="114"/>
  <c r="AK1492" i="114"/>
  <c r="AL1492" i="114"/>
  <c r="AM1492" i="114"/>
  <c r="AO1492" i="114" s="1"/>
  <c r="AD1493" i="114"/>
  <c r="AE1493" i="114" s="1"/>
  <c r="AJ1493" i="114"/>
  <c r="AK1493" i="114"/>
  <c r="AL1493" i="114"/>
  <c r="AM1493" i="114"/>
  <c r="AO1493" i="114" s="1"/>
  <c r="AD1494" i="114"/>
  <c r="AJ1494" i="114"/>
  <c r="AK1494" i="114"/>
  <c r="AL1494" i="114"/>
  <c r="AM1494" i="114"/>
  <c r="AO1494" i="114" s="1"/>
  <c r="AD1495" i="114"/>
  <c r="AE1495" i="114" s="1"/>
  <c r="AJ1495" i="114"/>
  <c r="AK1495" i="114"/>
  <c r="AL1495" i="114"/>
  <c r="AM1495" i="114"/>
  <c r="AO1495" i="114" s="1"/>
  <c r="AD1496" i="114"/>
  <c r="AJ1496" i="114"/>
  <c r="AK1496" i="114"/>
  <c r="AL1496" i="114"/>
  <c r="AM1496" i="114"/>
  <c r="AO1496" i="114" s="1"/>
  <c r="AD1497" i="114"/>
  <c r="AE1497" i="114" s="1"/>
  <c r="AJ1497" i="114"/>
  <c r="AK1497" i="114"/>
  <c r="AL1497" i="114"/>
  <c r="AM1497" i="114"/>
  <c r="AO1497" i="114" s="1"/>
  <c r="AD1498" i="114"/>
  <c r="AJ1498" i="114"/>
  <c r="AK1498" i="114"/>
  <c r="AL1498" i="114"/>
  <c r="AM1498" i="114"/>
  <c r="AO1498" i="114" s="1"/>
  <c r="AD1499" i="114"/>
  <c r="AE1499" i="114" s="1"/>
  <c r="AJ1499" i="114"/>
  <c r="AK1499" i="114"/>
  <c r="AL1499" i="114"/>
  <c r="AM1499" i="114"/>
  <c r="AO1499" i="114" s="1"/>
  <c r="AD1500" i="114"/>
  <c r="AJ1500" i="114"/>
  <c r="AK1500" i="114"/>
  <c r="AL1500" i="114"/>
  <c r="AM1500" i="114"/>
  <c r="AO1500" i="114" s="1"/>
  <c r="AD1501" i="114"/>
  <c r="AE1501" i="114" s="1"/>
  <c r="AJ1501" i="114"/>
  <c r="AK1501" i="114"/>
  <c r="AL1501" i="114"/>
  <c r="AM1501" i="114"/>
  <c r="AO1501" i="114" s="1"/>
  <c r="AD1502" i="114"/>
  <c r="AJ1502" i="114"/>
  <c r="AK1502" i="114"/>
  <c r="AL1502" i="114"/>
  <c r="AM1502" i="114"/>
  <c r="AO1502" i="114" s="1"/>
  <c r="AD1503" i="114"/>
  <c r="AE1503" i="114" s="1"/>
  <c r="AJ1503" i="114"/>
  <c r="AK1503" i="114"/>
  <c r="AL1503" i="114"/>
  <c r="AM1503" i="114"/>
  <c r="AO1503" i="114" s="1"/>
  <c r="AD1504" i="114"/>
  <c r="AJ1504" i="114"/>
  <c r="AK1504" i="114"/>
  <c r="AL1504" i="114"/>
  <c r="AM1504" i="114"/>
  <c r="AO1504" i="114" s="1"/>
  <c r="AD1505" i="114"/>
  <c r="AE1505" i="114" s="1"/>
  <c r="AJ1505" i="114"/>
  <c r="AK1505" i="114"/>
  <c r="AL1505" i="114"/>
  <c r="AM1505" i="114"/>
  <c r="AO1505" i="114" s="1"/>
  <c r="AD1506" i="114"/>
  <c r="AJ1506" i="114"/>
  <c r="AK1506" i="114"/>
  <c r="AL1506" i="114"/>
  <c r="AM1506" i="114"/>
  <c r="AO1506" i="114" s="1"/>
  <c r="AD1507" i="114"/>
  <c r="AE1507" i="114" s="1"/>
  <c r="AJ1507" i="114"/>
  <c r="AK1507" i="114"/>
  <c r="AL1507" i="114"/>
  <c r="AM1507" i="114"/>
  <c r="AO1507" i="114" s="1"/>
  <c r="AD1508" i="114"/>
  <c r="AJ1508" i="114"/>
  <c r="AK1508" i="114"/>
  <c r="AL1508" i="114"/>
  <c r="AM1508" i="114"/>
  <c r="AO1508" i="114" s="1"/>
  <c r="AD1509" i="114"/>
  <c r="AE1509" i="114" s="1"/>
  <c r="AJ1509" i="114"/>
  <c r="AK1509" i="114"/>
  <c r="AL1509" i="114"/>
  <c r="AM1509" i="114"/>
  <c r="AO1509" i="114" s="1"/>
  <c r="AD1510" i="114"/>
  <c r="AJ1510" i="114"/>
  <c r="AK1510" i="114"/>
  <c r="AL1510" i="114"/>
  <c r="AM1510" i="114"/>
  <c r="AO1510" i="114" s="1"/>
  <c r="AD1511" i="114"/>
  <c r="AE1511" i="114" s="1"/>
  <c r="AJ1511" i="114"/>
  <c r="AK1511" i="114"/>
  <c r="AL1511" i="114"/>
  <c r="AM1511" i="114"/>
  <c r="AO1511" i="114" s="1"/>
  <c r="AD1512" i="114"/>
  <c r="AJ1512" i="114"/>
  <c r="AK1512" i="114"/>
  <c r="AL1512" i="114"/>
  <c r="AM1512" i="114"/>
  <c r="AO1512" i="114" s="1"/>
  <c r="AD1513" i="114"/>
  <c r="AE1513" i="114" s="1"/>
  <c r="AJ1513" i="114"/>
  <c r="AK1513" i="114"/>
  <c r="AL1513" i="114"/>
  <c r="AM1513" i="114"/>
  <c r="AO1513" i="114" s="1"/>
  <c r="AD1514" i="114"/>
  <c r="AJ1514" i="114"/>
  <c r="AK1514" i="114"/>
  <c r="AL1514" i="114"/>
  <c r="AM1514" i="114"/>
  <c r="AO1514" i="114" s="1"/>
  <c r="AD1515" i="114"/>
  <c r="AE1515" i="114" s="1"/>
  <c r="AJ1515" i="114"/>
  <c r="AK1515" i="114"/>
  <c r="AL1515" i="114"/>
  <c r="AM1515" i="114"/>
  <c r="AO1515" i="114" s="1"/>
  <c r="AD1516" i="114"/>
  <c r="AJ1516" i="114"/>
  <c r="AK1516" i="114"/>
  <c r="AL1516" i="114"/>
  <c r="AM1516" i="114"/>
  <c r="AO1516" i="114" s="1"/>
  <c r="AD1517" i="114"/>
  <c r="AE1517" i="114" s="1"/>
  <c r="AJ1517" i="114"/>
  <c r="AK1517" i="114"/>
  <c r="AL1517" i="114"/>
  <c r="AM1517" i="114"/>
  <c r="AO1517" i="114" s="1"/>
  <c r="AD1518" i="114"/>
  <c r="AJ1518" i="114"/>
  <c r="AK1518" i="114"/>
  <c r="AL1518" i="114"/>
  <c r="AM1518" i="114"/>
  <c r="AO1518" i="114" s="1"/>
  <c r="AD1519" i="114"/>
  <c r="AE1519" i="114" s="1"/>
  <c r="AJ1519" i="114"/>
  <c r="AK1519" i="114"/>
  <c r="AL1519" i="114"/>
  <c r="AM1519" i="114"/>
  <c r="AO1519" i="114" s="1"/>
  <c r="AD1520" i="114"/>
  <c r="AJ1520" i="114"/>
  <c r="AK1520" i="114"/>
  <c r="AL1520" i="114"/>
  <c r="AM1520" i="114"/>
  <c r="AO1520" i="114" s="1"/>
  <c r="AD1521" i="114"/>
  <c r="AE1521" i="114" s="1"/>
  <c r="AJ1521" i="114"/>
  <c r="AK1521" i="114"/>
  <c r="AL1521" i="114"/>
  <c r="AM1521" i="114"/>
  <c r="AO1521" i="114" s="1"/>
  <c r="AD1522" i="114"/>
  <c r="AJ1522" i="114"/>
  <c r="AK1522" i="114"/>
  <c r="AL1522" i="114"/>
  <c r="AM1522" i="114"/>
  <c r="AO1522" i="114" s="1"/>
  <c r="AD1523" i="114"/>
  <c r="AE1523" i="114" s="1"/>
  <c r="AJ1523" i="114"/>
  <c r="AK1523" i="114"/>
  <c r="AL1523" i="114"/>
  <c r="AM1523" i="114"/>
  <c r="AO1523" i="114" s="1"/>
  <c r="AD1524" i="114"/>
  <c r="AJ1524" i="114"/>
  <c r="AK1524" i="114"/>
  <c r="AL1524" i="114"/>
  <c r="AM1524" i="114"/>
  <c r="AO1524" i="114" s="1"/>
  <c r="AD1525" i="114"/>
  <c r="AE1525" i="114" s="1"/>
  <c r="AJ1525" i="114"/>
  <c r="AK1525" i="114"/>
  <c r="AL1525" i="114"/>
  <c r="AM1525" i="114"/>
  <c r="AO1525" i="114" s="1"/>
  <c r="AD1526" i="114"/>
  <c r="AJ1526" i="114"/>
  <c r="AK1526" i="114"/>
  <c r="AL1526" i="114"/>
  <c r="AM1526" i="114"/>
  <c r="AO1526" i="114" s="1"/>
  <c r="AD1527" i="114"/>
  <c r="AE1527" i="114" s="1"/>
  <c r="AJ1527" i="114"/>
  <c r="AK1527" i="114"/>
  <c r="AL1527" i="114"/>
  <c r="AM1527" i="114"/>
  <c r="AO1527" i="114" s="1"/>
  <c r="AD1528" i="114"/>
  <c r="AJ1528" i="114"/>
  <c r="AK1528" i="114"/>
  <c r="AL1528" i="114"/>
  <c r="AM1528" i="114"/>
  <c r="AO1528" i="114" s="1"/>
  <c r="AD1529" i="114"/>
  <c r="AE1529" i="114" s="1"/>
  <c r="AJ1529" i="114"/>
  <c r="AK1529" i="114"/>
  <c r="AL1529" i="114"/>
  <c r="AM1529" i="114"/>
  <c r="AO1529" i="114" s="1"/>
  <c r="AD1530" i="114"/>
  <c r="AJ1530" i="114"/>
  <c r="AK1530" i="114"/>
  <c r="AL1530" i="114"/>
  <c r="AM1530" i="114"/>
  <c r="AO1530" i="114" s="1"/>
  <c r="AD1531" i="114"/>
  <c r="AE1531" i="114" s="1"/>
  <c r="AJ1531" i="114"/>
  <c r="AK1531" i="114"/>
  <c r="AL1531" i="114"/>
  <c r="AM1531" i="114"/>
  <c r="AO1531" i="114" s="1"/>
  <c r="AD1532" i="114"/>
  <c r="AJ1532" i="114"/>
  <c r="AK1532" i="114"/>
  <c r="AL1532" i="114"/>
  <c r="AM1532" i="114"/>
  <c r="AO1532" i="114" s="1"/>
  <c r="AD1533" i="114"/>
  <c r="AE1533" i="114" s="1"/>
  <c r="AJ1533" i="114"/>
  <c r="AK1533" i="114"/>
  <c r="AL1533" i="114"/>
  <c r="AM1533" i="114"/>
  <c r="AO1533" i="114" s="1"/>
  <c r="AD1534" i="114"/>
  <c r="AJ1534" i="114"/>
  <c r="AK1534" i="114"/>
  <c r="AL1534" i="114"/>
  <c r="AM1534" i="114"/>
  <c r="AO1534" i="114" s="1"/>
  <c r="AD1535" i="114"/>
  <c r="AE1535" i="114" s="1"/>
  <c r="AJ1535" i="114"/>
  <c r="AK1535" i="114"/>
  <c r="AL1535" i="114"/>
  <c r="AM1535" i="114"/>
  <c r="AO1535" i="114" s="1"/>
  <c r="AD1536" i="114"/>
  <c r="AJ1536" i="114"/>
  <c r="AK1536" i="114"/>
  <c r="AL1536" i="114"/>
  <c r="AM1536" i="114"/>
  <c r="AO1536" i="114" s="1"/>
  <c r="AD1537" i="114"/>
  <c r="AE1537" i="114" s="1"/>
  <c r="AJ1537" i="114"/>
  <c r="AK1537" i="114"/>
  <c r="AL1537" i="114"/>
  <c r="AM1537" i="114"/>
  <c r="AO1537" i="114" s="1"/>
  <c r="AD1538" i="114"/>
  <c r="AJ1538" i="114"/>
  <c r="AK1538" i="114"/>
  <c r="AL1538" i="114"/>
  <c r="AM1538" i="114"/>
  <c r="AO1538" i="114" s="1"/>
  <c r="AD1539" i="114"/>
  <c r="AE1539" i="114" s="1"/>
  <c r="AJ1539" i="114"/>
  <c r="AK1539" i="114"/>
  <c r="AL1539" i="114"/>
  <c r="AM1539" i="114"/>
  <c r="AO1539" i="114" s="1"/>
  <c r="AD1540" i="114"/>
  <c r="AJ1540" i="114"/>
  <c r="AK1540" i="114"/>
  <c r="AL1540" i="114"/>
  <c r="AM1540" i="114"/>
  <c r="AO1540" i="114" s="1"/>
  <c r="AD1541" i="114"/>
  <c r="AE1541" i="114" s="1"/>
  <c r="AJ1541" i="114"/>
  <c r="AK1541" i="114"/>
  <c r="AL1541" i="114"/>
  <c r="AM1541" i="114"/>
  <c r="AO1541" i="114" s="1"/>
  <c r="AD1542" i="114"/>
  <c r="AJ1542" i="114"/>
  <c r="AK1542" i="114"/>
  <c r="AL1542" i="114"/>
  <c r="AM1542" i="114"/>
  <c r="AO1542" i="114" s="1"/>
  <c r="AD1543" i="114"/>
  <c r="AE1543" i="114" s="1"/>
  <c r="AJ1543" i="114"/>
  <c r="AK1543" i="114"/>
  <c r="AL1543" i="114"/>
  <c r="AM1543" i="114"/>
  <c r="AO1543" i="114" s="1"/>
  <c r="AD1544" i="114"/>
  <c r="AJ1544" i="114"/>
  <c r="AK1544" i="114"/>
  <c r="AL1544" i="114"/>
  <c r="AM1544" i="114"/>
  <c r="AO1544" i="114" s="1"/>
  <c r="AD1545" i="114"/>
  <c r="AE1545" i="114" s="1"/>
  <c r="AJ1545" i="114"/>
  <c r="AK1545" i="114"/>
  <c r="AL1545" i="114"/>
  <c r="AM1545" i="114"/>
  <c r="AO1545" i="114" s="1"/>
  <c r="AD1546" i="114"/>
  <c r="AJ1546" i="114"/>
  <c r="AK1546" i="114"/>
  <c r="AL1546" i="114"/>
  <c r="AM1546" i="114"/>
  <c r="AO1546" i="114" s="1"/>
  <c r="AD1547" i="114"/>
  <c r="AE1547" i="114" s="1"/>
  <c r="AJ1547" i="114"/>
  <c r="AK1547" i="114"/>
  <c r="AL1547" i="114"/>
  <c r="AM1547" i="114"/>
  <c r="AO1547" i="114" s="1"/>
  <c r="AD1548" i="114"/>
  <c r="AJ1548" i="114"/>
  <c r="AK1548" i="114"/>
  <c r="AL1548" i="114"/>
  <c r="AM1548" i="114"/>
  <c r="AO1548" i="114" s="1"/>
  <c r="AD1549" i="114"/>
  <c r="AE1549" i="114" s="1"/>
  <c r="AJ1549" i="114"/>
  <c r="AK1549" i="114"/>
  <c r="AL1549" i="114"/>
  <c r="AM1549" i="114"/>
  <c r="AO1549" i="114" s="1"/>
  <c r="AD1550" i="114"/>
  <c r="AJ1550" i="114"/>
  <c r="AK1550" i="114"/>
  <c r="AL1550" i="114"/>
  <c r="AM1550" i="114"/>
  <c r="AO1550" i="114" s="1"/>
  <c r="AD1551" i="114"/>
  <c r="AE1551" i="114" s="1"/>
  <c r="AJ1551" i="114"/>
  <c r="AK1551" i="114"/>
  <c r="AL1551" i="114"/>
  <c r="AM1551" i="114"/>
  <c r="AO1551" i="114" s="1"/>
  <c r="AD1552" i="114"/>
  <c r="AJ1552" i="114"/>
  <c r="AK1552" i="114"/>
  <c r="AL1552" i="114"/>
  <c r="AM1552" i="114"/>
  <c r="AO1552" i="114" s="1"/>
  <c r="AD1553" i="114"/>
  <c r="AE1553" i="114" s="1"/>
  <c r="AJ1553" i="114"/>
  <c r="AK1553" i="114"/>
  <c r="AL1553" i="114"/>
  <c r="AM1553" i="114"/>
  <c r="AO1553" i="114" s="1"/>
  <c r="AD1554" i="114"/>
  <c r="AJ1554" i="114"/>
  <c r="AK1554" i="114"/>
  <c r="AL1554" i="114"/>
  <c r="AM1554" i="114"/>
  <c r="AO1554" i="114" s="1"/>
  <c r="AD1555" i="114"/>
  <c r="AE1555" i="114" s="1"/>
  <c r="AJ1555" i="114"/>
  <c r="AK1555" i="114"/>
  <c r="AL1555" i="114"/>
  <c r="AM1555" i="114"/>
  <c r="AO1555" i="114" s="1"/>
  <c r="AD1556" i="114"/>
  <c r="AJ1556" i="114"/>
  <c r="AK1556" i="114"/>
  <c r="AL1556" i="114"/>
  <c r="AM1556" i="114"/>
  <c r="AO1556" i="114" s="1"/>
  <c r="AD1557" i="114"/>
  <c r="AE1557" i="114" s="1"/>
  <c r="AJ1557" i="114"/>
  <c r="AK1557" i="114"/>
  <c r="AL1557" i="114"/>
  <c r="AM1557" i="114"/>
  <c r="AO1557" i="114" s="1"/>
  <c r="AD1558" i="114"/>
  <c r="AJ1558" i="114"/>
  <c r="AK1558" i="114"/>
  <c r="AL1558" i="114"/>
  <c r="AM1558" i="114"/>
  <c r="AO1558" i="114" s="1"/>
  <c r="AD1559" i="114"/>
  <c r="AE1559" i="114" s="1"/>
  <c r="AJ1559" i="114"/>
  <c r="AK1559" i="114"/>
  <c r="AL1559" i="114"/>
  <c r="AM1559" i="114"/>
  <c r="AO1559" i="114" s="1"/>
  <c r="AD1560" i="114"/>
  <c r="AJ1560" i="114"/>
  <c r="AK1560" i="114"/>
  <c r="AL1560" i="114"/>
  <c r="AM1560" i="114"/>
  <c r="AO1560" i="114" s="1"/>
  <c r="AD1561" i="114"/>
  <c r="AE1561" i="114" s="1"/>
  <c r="AJ1561" i="114"/>
  <c r="AK1561" i="114"/>
  <c r="AL1561" i="114"/>
  <c r="AM1561" i="114"/>
  <c r="AO1561" i="114" s="1"/>
  <c r="AD1562" i="114"/>
  <c r="AJ1562" i="114"/>
  <c r="AK1562" i="114"/>
  <c r="AL1562" i="114"/>
  <c r="AM1562" i="114"/>
  <c r="AO1562" i="114" s="1"/>
  <c r="AD1563" i="114"/>
  <c r="AE1563" i="114" s="1"/>
  <c r="AJ1563" i="114"/>
  <c r="AK1563" i="114"/>
  <c r="AL1563" i="114"/>
  <c r="AM1563" i="114"/>
  <c r="AO1563" i="114" s="1"/>
  <c r="AD1564" i="114"/>
  <c r="AJ1564" i="114"/>
  <c r="AK1564" i="114"/>
  <c r="AL1564" i="114"/>
  <c r="AM1564" i="114"/>
  <c r="AO1564" i="114" s="1"/>
  <c r="AD1565" i="114"/>
  <c r="AE1565" i="114" s="1"/>
  <c r="AJ1565" i="114"/>
  <c r="AK1565" i="114"/>
  <c r="AL1565" i="114"/>
  <c r="AM1565" i="114"/>
  <c r="AO1565" i="114" s="1"/>
  <c r="AD1566" i="114"/>
  <c r="AJ1566" i="114"/>
  <c r="AK1566" i="114"/>
  <c r="AL1566" i="114"/>
  <c r="AM1566" i="114"/>
  <c r="AO1566" i="114" s="1"/>
  <c r="AD1567" i="114"/>
  <c r="AE1567" i="114" s="1"/>
  <c r="AJ1567" i="114"/>
  <c r="AK1567" i="114"/>
  <c r="AL1567" i="114"/>
  <c r="AM1567" i="114"/>
  <c r="AO1567" i="114" s="1"/>
  <c r="AD1568" i="114"/>
  <c r="AJ1568" i="114"/>
  <c r="AK1568" i="114"/>
  <c r="AL1568" i="114"/>
  <c r="AM1568" i="114"/>
  <c r="AO1568" i="114" s="1"/>
  <c r="AD1569" i="114"/>
  <c r="AE1569" i="114" s="1"/>
  <c r="AJ1569" i="114"/>
  <c r="AK1569" i="114"/>
  <c r="AL1569" i="114"/>
  <c r="AM1569" i="114"/>
  <c r="AO1569" i="114" s="1"/>
  <c r="AD1570" i="114"/>
  <c r="AJ1570" i="114"/>
  <c r="AK1570" i="114"/>
  <c r="AL1570" i="114"/>
  <c r="AM1570" i="114"/>
  <c r="AO1570" i="114" s="1"/>
  <c r="AD1571" i="114"/>
  <c r="AE1571" i="114" s="1"/>
  <c r="AJ1571" i="114"/>
  <c r="AK1571" i="114"/>
  <c r="AL1571" i="114"/>
  <c r="AM1571" i="114"/>
  <c r="AO1571" i="114" s="1"/>
  <c r="AD1572" i="114"/>
  <c r="AJ1572" i="114"/>
  <c r="AK1572" i="114"/>
  <c r="AL1572" i="114"/>
  <c r="AM1572" i="114"/>
  <c r="AO1572" i="114" s="1"/>
  <c r="AD1573" i="114"/>
  <c r="AE1573" i="114" s="1"/>
  <c r="AJ1573" i="114"/>
  <c r="AK1573" i="114"/>
  <c r="AL1573" i="114"/>
  <c r="AM1573" i="114"/>
  <c r="AO1573" i="114" s="1"/>
  <c r="AD1574" i="114"/>
  <c r="AJ1574" i="114"/>
  <c r="AK1574" i="114"/>
  <c r="AL1574" i="114"/>
  <c r="AM1574" i="114"/>
  <c r="AO1574" i="114" s="1"/>
  <c r="AD1575" i="114"/>
  <c r="AE1575" i="114" s="1"/>
  <c r="AJ1575" i="114"/>
  <c r="AK1575" i="114"/>
  <c r="AL1575" i="114"/>
  <c r="AM1575" i="114"/>
  <c r="AO1575" i="114" s="1"/>
  <c r="AD1576" i="114"/>
  <c r="AJ1576" i="114"/>
  <c r="AK1576" i="114"/>
  <c r="AL1576" i="114"/>
  <c r="AM1576" i="114"/>
  <c r="AO1576" i="114" s="1"/>
  <c r="AD1577" i="114"/>
  <c r="AE1577" i="114" s="1"/>
  <c r="AJ1577" i="114"/>
  <c r="AK1577" i="114"/>
  <c r="AL1577" i="114"/>
  <c r="AM1577" i="114"/>
  <c r="AO1577" i="114" s="1"/>
  <c r="AD1578" i="114"/>
  <c r="AJ1578" i="114"/>
  <c r="AK1578" i="114"/>
  <c r="AL1578" i="114"/>
  <c r="AM1578" i="114"/>
  <c r="AO1578" i="114" s="1"/>
  <c r="AD1579" i="114"/>
  <c r="AE1579" i="114" s="1"/>
  <c r="AJ1579" i="114"/>
  <c r="AK1579" i="114"/>
  <c r="AL1579" i="114"/>
  <c r="AM1579" i="114"/>
  <c r="AO1579" i="114" s="1"/>
  <c r="AD1580" i="114"/>
  <c r="AJ1580" i="114"/>
  <c r="AK1580" i="114"/>
  <c r="AL1580" i="114"/>
  <c r="AM1580" i="114"/>
  <c r="AO1580" i="114" s="1"/>
  <c r="AD1581" i="114"/>
  <c r="AE1581" i="114" s="1"/>
  <c r="AJ1581" i="114"/>
  <c r="AK1581" i="114"/>
  <c r="AL1581" i="114"/>
  <c r="AM1581" i="114"/>
  <c r="AO1581" i="114" s="1"/>
  <c r="AD1582" i="114"/>
  <c r="AJ1582" i="114"/>
  <c r="AK1582" i="114"/>
  <c r="AL1582" i="114"/>
  <c r="AM1582" i="114"/>
  <c r="AO1582" i="114" s="1"/>
  <c r="AD1583" i="114"/>
  <c r="AE1583" i="114" s="1"/>
  <c r="AJ1583" i="114"/>
  <c r="AK1583" i="114"/>
  <c r="AL1583" i="114"/>
  <c r="AM1583" i="114"/>
  <c r="AO1583" i="114" s="1"/>
  <c r="AD1584" i="114"/>
  <c r="AJ1584" i="114"/>
  <c r="AK1584" i="114"/>
  <c r="AL1584" i="114"/>
  <c r="AM1584" i="114"/>
  <c r="AO1584" i="114" s="1"/>
  <c r="AD1585" i="114"/>
  <c r="AE1585" i="114" s="1"/>
  <c r="AJ1585" i="114"/>
  <c r="AK1585" i="114"/>
  <c r="AL1585" i="114"/>
  <c r="AM1585" i="114"/>
  <c r="AO1585" i="114" s="1"/>
  <c r="AD1586" i="114"/>
  <c r="AJ1586" i="114"/>
  <c r="AK1586" i="114"/>
  <c r="AL1586" i="114"/>
  <c r="AM1586" i="114"/>
  <c r="AO1586" i="114" s="1"/>
  <c r="AD1587" i="114"/>
  <c r="AE1587" i="114" s="1"/>
  <c r="AJ1587" i="114"/>
  <c r="AK1587" i="114"/>
  <c r="AL1587" i="114"/>
  <c r="AM1587" i="114"/>
  <c r="AO1587" i="114" s="1"/>
  <c r="AD1588" i="114"/>
  <c r="AJ1588" i="114"/>
  <c r="AK1588" i="114"/>
  <c r="AL1588" i="114"/>
  <c r="AM1588" i="114"/>
  <c r="AO1588" i="114" s="1"/>
  <c r="AD1589" i="114"/>
  <c r="AE1589" i="114" s="1"/>
  <c r="AJ1589" i="114"/>
  <c r="AK1589" i="114"/>
  <c r="AL1589" i="114"/>
  <c r="AM1589" i="114"/>
  <c r="AO1589" i="114" s="1"/>
  <c r="AD1590" i="114"/>
  <c r="AJ1590" i="114"/>
  <c r="AK1590" i="114"/>
  <c r="AL1590" i="114"/>
  <c r="AM1590" i="114"/>
  <c r="AO1590" i="114" s="1"/>
  <c r="AD1591" i="114"/>
  <c r="AE1591" i="114" s="1"/>
  <c r="AJ1591" i="114"/>
  <c r="AK1591" i="114"/>
  <c r="AL1591" i="114"/>
  <c r="AM1591" i="114"/>
  <c r="AO1591" i="114" s="1"/>
  <c r="AD1592" i="114"/>
  <c r="AJ1592" i="114"/>
  <c r="AK1592" i="114"/>
  <c r="AL1592" i="114"/>
  <c r="AM1592" i="114"/>
  <c r="AO1592" i="114" s="1"/>
  <c r="AD1593" i="114"/>
  <c r="AE1593" i="114" s="1"/>
  <c r="AJ1593" i="114"/>
  <c r="AK1593" i="114"/>
  <c r="AL1593" i="114"/>
  <c r="AM1593" i="114"/>
  <c r="AO1593" i="114" s="1"/>
  <c r="AD1594" i="114"/>
  <c r="AJ1594" i="114"/>
  <c r="AK1594" i="114"/>
  <c r="AL1594" i="114"/>
  <c r="AM1594" i="114"/>
  <c r="AO1594" i="114" s="1"/>
  <c r="AD1595" i="114"/>
  <c r="AE1595" i="114" s="1"/>
  <c r="AJ1595" i="114"/>
  <c r="AK1595" i="114"/>
  <c r="AL1595" i="114"/>
  <c r="AM1595" i="114"/>
  <c r="AO1595" i="114" s="1"/>
  <c r="AD1596" i="114"/>
  <c r="AJ1596" i="114"/>
  <c r="AK1596" i="114"/>
  <c r="AL1596" i="114"/>
  <c r="AM1596" i="114"/>
  <c r="AO1596" i="114" s="1"/>
  <c r="AD1597" i="114"/>
  <c r="AE1597" i="114" s="1"/>
  <c r="AJ1597" i="114"/>
  <c r="AK1597" i="114"/>
  <c r="AL1597" i="114"/>
  <c r="AM1597" i="114"/>
  <c r="AO1597" i="114" s="1"/>
  <c r="AD1598" i="114"/>
  <c r="AJ1598" i="114"/>
  <c r="AK1598" i="114"/>
  <c r="AL1598" i="114"/>
  <c r="AM1598" i="114"/>
  <c r="AO1598" i="114" s="1"/>
  <c r="AD1599" i="114"/>
  <c r="AE1599" i="114" s="1"/>
  <c r="AJ1599" i="114"/>
  <c r="AK1599" i="114"/>
  <c r="AL1599" i="114"/>
  <c r="AM1599" i="114"/>
  <c r="AO1599" i="114" s="1"/>
  <c r="AN1600" i="114"/>
  <c r="AI1019" i="114" l="1"/>
  <c r="AI867" i="114"/>
  <c r="AI559" i="114"/>
  <c r="AI290" i="114"/>
  <c r="AI257" i="114"/>
  <c r="AG208" i="114"/>
  <c r="AI51" i="114"/>
  <c r="AG1422" i="114"/>
  <c r="AI1360" i="114"/>
  <c r="AI1238" i="114"/>
  <c r="AI1086" i="114"/>
  <c r="AG1039" i="114"/>
  <c r="AG701" i="114"/>
  <c r="AI662" i="114"/>
  <c r="AI595" i="114"/>
  <c r="AI107" i="114"/>
  <c r="AG51" i="114"/>
  <c r="AG1086" i="114"/>
  <c r="AG1244" i="114"/>
  <c r="AG1238" i="114"/>
  <c r="AG1138" i="114"/>
  <c r="AI1111" i="114"/>
  <c r="AF1039" i="114"/>
  <c r="AI823" i="114"/>
  <c r="AI79" i="114"/>
  <c r="AF871" i="114"/>
  <c r="AF823" i="114"/>
  <c r="AF820" i="114"/>
  <c r="AI791" i="114"/>
  <c r="AG725" i="114"/>
  <c r="AG723" i="114"/>
  <c r="AG717" i="114"/>
  <c r="AG707" i="114"/>
  <c r="AI690" i="114"/>
  <c r="AI646" i="114"/>
  <c r="AI593" i="114"/>
  <c r="AF572" i="114"/>
  <c r="AI527" i="114"/>
  <c r="AI375" i="114"/>
  <c r="AF1424" i="114"/>
  <c r="AI1147" i="114"/>
  <c r="AG1059" i="114"/>
  <c r="AI1039" i="114"/>
  <c r="AI991" i="114"/>
  <c r="AI666" i="114"/>
  <c r="AI618" i="114"/>
  <c r="AI599" i="114"/>
  <c r="AI455" i="114"/>
  <c r="AI140" i="114"/>
  <c r="AE1072" i="115"/>
  <c r="AG1072" i="115"/>
  <c r="AE1016" i="115"/>
  <c r="AG1016" i="115"/>
  <c r="AE911" i="115"/>
  <c r="AF911" i="115"/>
  <c r="AG911" i="115"/>
  <c r="AE879" i="115"/>
  <c r="AF879" i="115"/>
  <c r="AG879" i="115"/>
  <c r="AE657" i="115"/>
  <c r="AI657" i="115"/>
  <c r="AE588" i="115"/>
  <c r="AF588" i="115"/>
  <c r="AG588" i="115"/>
  <c r="AE577" i="115"/>
  <c r="AG577" i="115"/>
  <c r="AE457" i="115"/>
  <c r="AF457" i="115"/>
  <c r="AE381" i="115"/>
  <c r="AG381" i="115"/>
  <c r="AE335" i="115"/>
  <c r="AF335" i="115"/>
  <c r="AI335" i="115"/>
  <c r="AE282" i="115"/>
  <c r="AF282" i="115"/>
  <c r="AI282" i="115"/>
  <c r="AI1390" i="115"/>
  <c r="AG1379" i="115"/>
  <c r="AI1370" i="115"/>
  <c r="AF1341" i="115"/>
  <c r="AG1299" i="115"/>
  <c r="AG1293" i="115"/>
  <c r="AI1285" i="115"/>
  <c r="AF1277" i="115"/>
  <c r="AG1267" i="115"/>
  <c r="AE1226" i="115"/>
  <c r="AI1226" i="115"/>
  <c r="AF1214" i="115"/>
  <c r="AG1207" i="115"/>
  <c r="AE1198" i="115"/>
  <c r="AG1198" i="115"/>
  <c r="AG1190" i="115"/>
  <c r="AG1182" i="115"/>
  <c r="AE1181" i="115"/>
  <c r="AF1181" i="115" s="1"/>
  <c r="AG1181" i="115"/>
  <c r="AE1130" i="115"/>
  <c r="AF1130" i="115" s="1"/>
  <c r="AG1130" i="115"/>
  <c r="AG1128" i="115"/>
  <c r="AG1098" i="115"/>
  <c r="AG1082" i="115"/>
  <c r="AG1080" i="115"/>
  <c r="AG1078" i="115"/>
  <c r="AE1077" i="115"/>
  <c r="AF1077" i="115" s="1"/>
  <c r="AI1077" i="115"/>
  <c r="AG1062" i="115"/>
  <c r="AE1061" i="115"/>
  <c r="AF1061" i="115" s="1"/>
  <c r="AG1061" i="115"/>
  <c r="AE1048" i="115"/>
  <c r="AF1048" i="115" s="1"/>
  <c r="AG1048" i="115"/>
  <c r="AE1037" i="115"/>
  <c r="AF1037" i="115"/>
  <c r="AE1033" i="115"/>
  <c r="AF1033" i="115" s="1"/>
  <c r="AG1033" i="115"/>
  <c r="AE1028" i="115"/>
  <c r="AG1028" i="115"/>
  <c r="AE1013" i="115"/>
  <c r="AF1013" i="115" s="1"/>
  <c r="AI1013" i="115"/>
  <c r="AE996" i="115"/>
  <c r="AG996" i="115"/>
  <c r="AE823" i="115"/>
  <c r="AF823" i="115"/>
  <c r="AG823" i="115"/>
  <c r="AE759" i="115"/>
  <c r="AF759" i="115" s="1"/>
  <c r="AG759" i="115"/>
  <c r="AE701" i="115"/>
  <c r="AG701" i="115"/>
  <c r="AE685" i="115"/>
  <c r="AG685" i="115"/>
  <c r="AE677" i="115"/>
  <c r="AG677" i="115"/>
  <c r="AI677" i="115"/>
  <c r="AE600" i="115"/>
  <c r="AF600" i="115"/>
  <c r="AE576" i="115"/>
  <c r="AF576" i="115" s="1"/>
  <c r="AG576" i="115"/>
  <c r="AI576" i="115"/>
  <c r="AE553" i="115"/>
  <c r="AF553" i="115" s="1"/>
  <c r="AI553" i="115"/>
  <c r="AE466" i="115"/>
  <c r="AI466" i="115"/>
  <c r="AE429" i="115"/>
  <c r="AF429" i="115" s="1"/>
  <c r="AG429" i="115"/>
  <c r="AE1125" i="115"/>
  <c r="AG1125" i="115"/>
  <c r="AE1101" i="115"/>
  <c r="AF1101" i="115" s="1"/>
  <c r="AE1097" i="115"/>
  <c r="AG1097" i="115"/>
  <c r="AE1081" i="115"/>
  <c r="AF1081" i="115" s="1"/>
  <c r="AE1046" i="115"/>
  <c r="AG1046" i="115"/>
  <c r="AE1008" i="115"/>
  <c r="AF1008" i="115" s="1"/>
  <c r="AG1008" i="115"/>
  <c r="AE614" i="115"/>
  <c r="AF614" i="115"/>
  <c r="AI614" i="115"/>
  <c r="AE583" i="115"/>
  <c r="AG583" i="115"/>
  <c r="AE488" i="115"/>
  <c r="AI488" i="115"/>
  <c r="AE400" i="115"/>
  <c r="AI400" i="115"/>
  <c r="AE226" i="115"/>
  <c r="AI226" i="115"/>
  <c r="AE72" i="115"/>
  <c r="AG72" i="115"/>
  <c r="AI72" i="115"/>
  <c r="AE40" i="115"/>
  <c r="AG40" i="115"/>
  <c r="AI40" i="115"/>
  <c r="AE1229" i="115"/>
  <c r="AF1229" i="115" s="1"/>
  <c r="AG1229" i="115"/>
  <c r="AE1176" i="115"/>
  <c r="AG1176" i="115"/>
  <c r="AE1151" i="115"/>
  <c r="AF1151" i="115" s="1"/>
  <c r="AG1151" i="115"/>
  <c r="AE1138" i="115"/>
  <c r="AG1138" i="115"/>
  <c r="AI1125" i="115"/>
  <c r="AE1124" i="115"/>
  <c r="AG1124" i="115"/>
  <c r="AE1109" i="115"/>
  <c r="AF1109" i="115"/>
  <c r="AI1104" i="115"/>
  <c r="AE1066" i="115"/>
  <c r="AG1066" i="115"/>
  <c r="AG1049" i="115"/>
  <c r="AE927" i="115"/>
  <c r="AF927" i="115"/>
  <c r="AG927" i="115"/>
  <c r="AE895" i="115"/>
  <c r="AF895" i="115" s="1"/>
  <c r="AG895" i="115"/>
  <c r="AE684" i="115"/>
  <c r="AF684" i="115"/>
  <c r="AG684" i="115"/>
  <c r="AI684" i="115"/>
  <c r="AE616" i="115"/>
  <c r="AF616" i="115"/>
  <c r="AG616" i="115"/>
  <c r="AE569" i="115"/>
  <c r="AG569" i="115"/>
  <c r="AE407" i="115"/>
  <c r="AF407" i="115" s="1"/>
  <c r="AG407" i="115"/>
  <c r="AI407" i="115"/>
  <c r="AE1261" i="115"/>
  <c r="AG1261" i="115"/>
  <c r="AE1205" i="115"/>
  <c r="AI1205" i="115"/>
  <c r="AE1112" i="115"/>
  <c r="AF1112" i="115" s="1"/>
  <c r="AG1112" i="115"/>
  <c r="AI1488" i="115"/>
  <c r="AG1485" i="115"/>
  <c r="AI1471" i="115"/>
  <c r="AF1463" i="115"/>
  <c r="AG1413" i="115"/>
  <c r="AI1380" i="115"/>
  <c r="AF1374" i="115"/>
  <c r="AF1318" i="115"/>
  <c r="AF1179" i="115"/>
  <c r="AG1158" i="115"/>
  <c r="AF1125" i="115"/>
  <c r="AE1110" i="115"/>
  <c r="AG1110" i="115"/>
  <c r="AG1104" i="115"/>
  <c r="AF1097" i="115"/>
  <c r="AE1088" i="115"/>
  <c r="AI1088" i="115"/>
  <c r="AG1081" i="115"/>
  <c r="AE1076" i="115"/>
  <c r="AF1076" i="115" s="1"/>
  <c r="AI1076" i="115"/>
  <c r="AI1072" i="115"/>
  <c r="AE1070" i="115"/>
  <c r="AG1070" i="115"/>
  <c r="AI1061" i="115"/>
  <c r="AE1060" i="115"/>
  <c r="AG1060" i="115"/>
  <c r="AF1053" i="115"/>
  <c r="AF1049" i="115"/>
  <c r="AE1045" i="115"/>
  <c r="AF1045" i="115"/>
  <c r="AG1038" i="115"/>
  <c r="AE1017" i="115"/>
  <c r="AF1017" i="115"/>
  <c r="AI1008" i="115"/>
  <c r="AE1005" i="115"/>
  <c r="AF1005" i="115" s="1"/>
  <c r="AE855" i="115"/>
  <c r="AF855" i="115"/>
  <c r="AG855" i="115"/>
  <c r="AE791" i="115"/>
  <c r="AF791" i="115"/>
  <c r="AG791" i="115"/>
  <c r="AE727" i="115"/>
  <c r="AF727" i="115" s="1"/>
  <c r="AG727" i="115"/>
  <c r="AE644" i="115"/>
  <c r="AG644" i="115"/>
  <c r="AE575" i="115"/>
  <c r="AG575" i="115"/>
  <c r="AI575" i="115"/>
  <c r="AE571" i="115"/>
  <c r="AF571" i="115" s="1"/>
  <c r="AG571" i="115"/>
  <c r="AI571" i="115"/>
  <c r="AE454" i="115"/>
  <c r="AI454" i="115"/>
  <c r="AE389" i="115"/>
  <c r="AI389" i="115"/>
  <c r="AG988" i="115"/>
  <c r="AF919" i="115"/>
  <c r="AF903" i="115"/>
  <c r="AF887" i="115"/>
  <c r="AE558" i="115"/>
  <c r="AI558" i="115"/>
  <c r="AE487" i="115"/>
  <c r="AI487" i="115"/>
  <c r="AE471" i="115"/>
  <c r="AF471" i="115" s="1"/>
  <c r="AI471" i="115"/>
  <c r="AE445" i="115"/>
  <c r="AG445" i="115"/>
  <c r="AE292" i="115"/>
  <c r="AF292" i="115"/>
  <c r="AE241" i="115"/>
  <c r="AG241" i="115"/>
  <c r="AE234" i="115"/>
  <c r="AF234" i="115"/>
  <c r="AI234" i="115"/>
  <c r="AE229" i="115"/>
  <c r="AI229" i="115"/>
  <c r="AE217" i="115"/>
  <c r="AF217" i="115" s="1"/>
  <c r="AI217" i="115"/>
  <c r="AE203" i="115"/>
  <c r="AG203" i="115"/>
  <c r="AE169" i="115"/>
  <c r="AF169" i="115" s="1"/>
  <c r="AI169" i="115"/>
  <c r="AE137" i="115"/>
  <c r="AF137" i="115"/>
  <c r="AE104" i="115"/>
  <c r="AG104" i="115"/>
  <c r="AE71" i="115"/>
  <c r="AG71" i="115"/>
  <c r="AI71" i="115"/>
  <c r="AI678" i="115"/>
  <c r="AG639" i="115"/>
  <c r="AF638" i="115"/>
  <c r="AG631" i="115"/>
  <c r="AI612" i="115"/>
  <c r="AG610" i="115"/>
  <c r="AF604" i="115"/>
  <c r="AG599" i="115"/>
  <c r="AG593" i="115"/>
  <c r="AF592" i="115"/>
  <c r="AG591" i="115"/>
  <c r="AG587" i="115"/>
  <c r="AG585" i="115"/>
  <c r="AF557" i="115"/>
  <c r="AF554" i="115"/>
  <c r="AE525" i="115"/>
  <c r="AF525" i="115"/>
  <c r="AG521" i="115"/>
  <c r="AE512" i="115"/>
  <c r="AF512" i="115" s="1"/>
  <c r="AI512" i="115"/>
  <c r="AI508" i="115"/>
  <c r="AG505" i="115"/>
  <c r="AE489" i="115"/>
  <c r="AF489" i="115" s="1"/>
  <c r="AG489" i="115"/>
  <c r="AE421" i="115"/>
  <c r="AI421" i="115"/>
  <c r="AF373" i="115"/>
  <c r="AI362" i="115"/>
  <c r="AE361" i="115"/>
  <c r="AF361" i="115" s="1"/>
  <c r="AI361" i="115"/>
  <c r="AG355" i="115"/>
  <c r="AI350" i="115"/>
  <c r="AE324" i="115"/>
  <c r="AI324" i="115"/>
  <c r="AE294" i="115"/>
  <c r="AF294" i="115" s="1"/>
  <c r="AG294" i="115"/>
  <c r="AE276" i="115"/>
  <c r="AG276" i="115"/>
  <c r="AE262" i="115"/>
  <c r="AF262" i="115" s="1"/>
  <c r="AI1024" i="115"/>
  <c r="AI1012" i="115"/>
  <c r="AG997" i="115"/>
  <c r="AG931" i="115"/>
  <c r="AG915" i="115"/>
  <c r="AG899" i="115"/>
  <c r="AG883" i="115"/>
  <c r="AG847" i="115"/>
  <c r="AG815" i="115"/>
  <c r="AG783" i="115"/>
  <c r="AG751" i="115"/>
  <c r="AG719" i="115"/>
  <c r="AG678" i="115"/>
  <c r="AI670" i="115"/>
  <c r="AG572" i="115"/>
  <c r="AE533" i="115"/>
  <c r="AF533" i="115"/>
  <c r="AE496" i="115"/>
  <c r="AI496" i="115"/>
  <c r="AG471" i="115"/>
  <c r="AE467" i="115"/>
  <c r="AF467" i="115" s="1"/>
  <c r="AI467" i="115"/>
  <c r="AE461" i="115"/>
  <c r="AF461" i="115" s="1"/>
  <c r="AG461" i="115"/>
  <c r="AE432" i="115"/>
  <c r="AI432" i="115"/>
  <c r="AE403" i="115"/>
  <c r="AF403" i="115" s="1"/>
  <c r="AE360" i="115"/>
  <c r="AI360" i="115"/>
  <c r="AE329" i="115"/>
  <c r="AF329" i="115" s="1"/>
  <c r="AE304" i="115"/>
  <c r="AF304" i="115"/>
  <c r="AI304" i="115"/>
  <c r="AE236" i="115"/>
  <c r="AG236" i="115"/>
  <c r="AE205" i="115"/>
  <c r="AG205" i="115"/>
  <c r="AE117" i="115"/>
  <c r="AI117" i="115"/>
  <c r="AI259" i="115"/>
  <c r="AG242" i="115"/>
  <c r="AI240" i="115"/>
  <c r="AF232" i="115"/>
  <c r="AG231" i="115"/>
  <c r="AI222" i="115"/>
  <c r="AF218" i="115"/>
  <c r="AI213" i="115"/>
  <c r="AG195" i="115"/>
  <c r="AI141" i="115"/>
  <c r="AF99" i="115"/>
  <c r="AF91" i="115"/>
  <c r="AG53" i="115"/>
  <c r="AI34" i="115"/>
  <c r="AI11" i="115"/>
  <c r="AI232" i="115"/>
  <c r="AG129" i="115"/>
  <c r="AG77" i="115"/>
  <c r="AI67" i="115"/>
  <c r="AI41" i="115"/>
  <c r="AG1596" i="114"/>
  <c r="AE1596" i="114"/>
  <c r="AG1572" i="114"/>
  <c r="AE1572" i="114"/>
  <c r="AG1564" i="114"/>
  <c r="AE1564" i="114"/>
  <c r="AG1584" i="114"/>
  <c r="AE1584" i="114"/>
  <c r="AG1580" i="114"/>
  <c r="AE1580" i="114"/>
  <c r="AG1556" i="114"/>
  <c r="AE1556" i="114"/>
  <c r="AG1592" i="114"/>
  <c r="AE1592" i="114"/>
  <c r="AG1588" i="114"/>
  <c r="AE1588" i="114"/>
  <c r="AG1576" i="114"/>
  <c r="AE1576" i="114"/>
  <c r="AG1568" i="114"/>
  <c r="AE1568" i="114"/>
  <c r="AG1560" i="114"/>
  <c r="AE1560" i="114"/>
  <c r="AG1548" i="114"/>
  <c r="AE1548" i="114"/>
  <c r="AG1516" i="114"/>
  <c r="AE1516" i="114"/>
  <c r="AG1512" i="114"/>
  <c r="AE1512" i="114"/>
  <c r="AG1488" i="114"/>
  <c r="AE1488" i="114"/>
  <c r="AG1472" i="114"/>
  <c r="AE1472" i="114"/>
  <c r="AG1468" i="114"/>
  <c r="AE1468" i="114"/>
  <c r="AG1456" i="114"/>
  <c r="AE1456" i="114"/>
  <c r="AG1415" i="114"/>
  <c r="AE1415" i="114"/>
  <c r="AG1409" i="114"/>
  <c r="AE1409" i="114"/>
  <c r="AG1405" i="114"/>
  <c r="AE1405" i="114"/>
  <c r="AF1405" i="114" s="1"/>
  <c r="AG1401" i="114"/>
  <c r="AE1401" i="114"/>
  <c r="AG1395" i="114"/>
  <c r="AE1395" i="114"/>
  <c r="AF1388" i="114"/>
  <c r="AE1388" i="114"/>
  <c r="AE1380" i="114"/>
  <c r="AF1380" i="114" s="1"/>
  <c r="AG1369" i="114"/>
  <c r="AE1369" i="114"/>
  <c r="AE1356" i="114"/>
  <c r="AF1356" i="114" s="1"/>
  <c r="AF1334" i="114"/>
  <c r="AE1334" i="114"/>
  <c r="AE1330" i="114"/>
  <c r="AF1330" i="114" s="1"/>
  <c r="AE1326" i="114"/>
  <c r="AF1326" i="114" s="1"/>
  <c r="AE1322" i="114"/>
  <c r="AF1322" i="114" s="1"/>
  <c r="AF1270" i="114"/>
  <c r="AE1270" i="114"/>
  <c r="AE1266" i="114"/>
  <c r="AF1266" i="114" s="1"/>
  <c r="AE1262" i="114"/>
  <c r="AF1262" i="114" s="1"/>
  <c r="AE1258" i="114"/>
  <c r="AF1258" i="114" s="1"/>
  <c r="AG1251" i="114"/>
  <c r="AE1251" i="114"/>
  <c r="AG1230" i="114"/>
  <c r="AG1227" i="114"/>
  <c r="AE1227" i="114"/>
  <c r="AI1204" i="114"/>
  <c r="AE1204" i="114"/>
  <c r="AI1201" i="114"/>
  <c r="AE1201" i="114"/>
  <c r="AG1185" i="114"/>
  <c r="AE1185" i="114"/>
  <c r="AE1181" i="114"/>
  <c r="AF1181" i="114" s="1"/>
  <c r="AI1174" i="114"/>
  <c r="AI1172" i="114"/>
  <c r="AE1172" i="114"/>
  <c r="AI1164" i="114"/>
  <c r="AE1164" i="114"/>
  <c r="AE1157" i="114"/>
  <c r="AF1157" i="114" s="1"/>
  <c r="AI1141" i="114"/>
  <c r="AE1141" i="114"/>
  <c r="AG1131" i="114"/>
  <c r="AE1131" i="114"/>
  <c r="AI1125" i="114"/>
  <c r="AE1125" i="114"/>
  <c r="AI1114" i="114"/>
  <c r="AE1114" i="114"/>
  <c r="AG1111" i="114"/>
  <c r="AI1109" i="114"/>
  <c r="AE1109" i="114"/>
  <c r="AE1103" i="114"/>
  <c r="AF1103" i="114" s="1"/>
  <c r="AG1095" i="114"/>
  <c r="AE1095" i="114"/>
  <c r="AG1079" i="114"/>
  <c r="AE1079" i="114"/>
  <c r="AG1075" i="114"/>
  <c r="AE1075" i="114"/>
  <c r="AE1042" i="114"/>
  <c r="AG1042" i="114"/>
  <c r="AG1032" i="114"/>
  <c r="AE1032" i="114"/>
  <c r="AE1027" i="114"/>
  <c r="AF1027" i="114" s="1"/>
  <c r="AI1023" i="114"/>
  <c r="AE1019" i="114"/>
  <c r="AF1019" i="114" s="1"/>
  <c r="AG1002" i="114"/>
  <c r="AE1002" i="114"/>
  <c r="AG998" i="114"/>
  <c r="AE998" i="114"/>
  <c r="AG994" i="114"/>
  <c r="AE994" i="114"/>
  <c r="AI984" i="114"/>
  <c r="AE984" i="114"/>
  <c r="AF984" i="114" s="1"/>
  <c r="AI976" i="114"/>
  <c r="AE976" i="114"/>
  <c r="AE972" i="114"/>
  <c r="AF972" i="114" s="1"/>
  <c r="AI964" i="114"/>
  <c r="AE964" i="114"/>
  <c r="AE903" i="114"/>
  <c r="AF903" i="114" s="1"/>
  <c r="AG896" i="114"/>
  <c r="AE896" i="114"/>
  <c r="AE796" i="114"/>
  <c r="AI796" i="114"/>
  <c r="AI792" i="114"/>
  <c r="AG790" i="114"/>
  <c r="AE790" i="114"/>
  <c r="AF783" i="114"/>
  <c r="AI780" i="114"/>
  <c r="AG744" i="114"/>
  <c r="AE744" i="114"/>
  <c r="AF744" i="114" s="1"/>
  <c r="AG737" i="114"/>
  <c r="AE737" i="114"/>
  <c r="AF737" i="114" s="1"/>
  <c r="AG734" i="114"/>
  <c r="AE734" i="114"/>
  <c r="AF734" i="114" s="1"/>
  <c r="AG726" i="114"/>
  <c r="AE726" i="114"/>
  <c r="AF726" i="114" s="1"/>
  <c r="AG718" i="114"/>
  <c r="AE718" i="114"/>
  <c r="AI712" i="114"/>
  <c r="AG709" i="114"/>
  <c r="AE634" i="114"/>
  <c r="AI634" i="114"/>
  <c r="AI630" i="114"/>
  <c r="AI627" i="114"/>
  <c r="AE627" i="114"/>
  <c r="AI623" i="114"/>
  <c r="AE623" i="114"/>
  <c r="AI619" i="114"/>
  <c r="AE619" i="114"/>
  <c r="AI612" i="114"/>
  <c r="AE612" i="114"/>
  <c r="AI589" i="114"/>
  <c r="AE589" i="114"/>
  <c r="AI585" i="114"/>
  <c r="AE585" i="114"/>
  <c r="AI578" i="114"/>
  <c r="AE578" i="114"/>
  <c r="AE574" i="114"/>
  <c r="AF574" i="114" s="1"/>
  <c r="AE454" i="114"/>
  <c r="AG454" i="114"/>
  <c r="AG426" i="114"/>
  <c r="AE426" i="114"/>
  <c r="AG383" i="114"/>
  <c r="AE383" i="114"/>
  <c r="AF383" i="114" s="1"/>
  <c r="AI282" i="114"/>
  <c r="AE282" i="114"/>
  <c r="AE172" i="114"/>
  <c r="AI172" i="114"/>
  <c r="AI165" i="114"/>
  <c r="AE165" i="114"/>
  <c r="AI157" i="114"/>
  <c r="AE157" i="114"/>
  <c r="AG142" i="114"/>
  <c r="AE142" i="114"/>
  <c r="AG118" i="114"/>
  <c r="AE118" i="114"/>
  <c r="AF118" i="114" s="1"/>
  <c r="AI26" i="114"/>
  <c r="AE26" i="114"/>
  <c r="AI22" i="114"/>
  <c r="AE22" i="114"/>
  <c r="AF22" i="114" s="1"/>
  <c r="AI19" i="114"/>
  <c r="AE19" i="114"/>
  <c r="AG1575" i="115"/>
  <c r="AE1575" i="115"/>
  <c r="AF1575" i="115" s="1"/>
  <c r="AI1575" i="115"/>
  <c r="AG1571" i="115"/>
  <c r="AE1571" i="115"/>
  <c r="AG1565" i="115"/>
  <c r="AE1565" i="115"/>
  <c r="AG1511" i="115"/>
  <c r="AE1511" i="115"/>
  <c r="AI1511" i="115"/>
  <c r="AG1507" i="115"/>
  <c r="AE1507" i="115"/>
  <c r="AG1501" i="115"/>
  <c r="AE1501" i="115"/>
  <c r="AG1478" i="115"/>
  <c r="AE1478" i="115"/>
  <c r="AE1455" i="115"/>
  <c r="AF1455" i="115"/>
  <c r="AG1455" i="115"/>
  <c r="AG1452" i="115"/>
  <c r="AE1452" i="115"/>
  <c r="AE1399" i="115"/>
  <c r="AF1399" i="115" s="1"/>
  <c r="AG1399" i="115"/>
  <c r="AI1399" i="115"/>
  <c r="AE1350" i="115"/>
  <c r="AI1350" i="115"/>
  <c r="AG1347" i="115"/>
  <c r="AE1347" i="115"/>
  <c r="AE1269" i="115"/>
  <c r="AF1269" i="115" s="1"/>
  <c r="AG1269" i="115"/>
  <c r="AI1269" i="115"/>
  <c r="AG1266" i="115"/>
  <c r="AE1266" i="115"/>
  <c r="AG1262" i="115"/>
  <c r="AE1262" i="115"/>
  <c r="AG1202" i="115"/>
  <c r="AE1202" i="115"/>
  <c r="AE1199" i="115"/>
  <c r="AF1199" i="115" s="1"/>
  <c r="AG1199" i="115"/>
  <c r="AI1199" i="115"/>
  <c r="AE1180" i="115"/>
  <c r="AI1180" i="115"/>
  <c r="AI1153" i="115"/>
  <c r="AE1153" i="115"/>
  <c r="AE1149" i="115"/>
  <c r="AF1149" i="115" s="1"/>
  <c r="AG1149" i="115"/>
  <c r="AI1149" i="115"/>
  <c r="AI1146" i="115"/>
  <c r="AE1146" i="115"/>
  <c r="AE1116" i="115"/>
  <c r="AG1116" i="115"/>
  <c r="AI1116" i="115"/>
  <c r="AE1100" i="115"/>
  <c r="AG1100" i="115"/>
  <c r="AI1100" i="115"/>
  <c r="AE1084" i="115"/>
  <c r="AG1084" i="115"/>
  <c r="AI1084" i="115"/>
  <c r="AE1068" i="115"/>
  <c r="AG1068" i="115"/>
  <c r="AI1068" i="115"/>
  <c r="AE1052" i="115"/>
  <c r="AG1052" i="115"/>
  <c r="AI1052" i="115"/>
  <c r="AE1036" i="115"/>
  <c r="AG1036" i="115"/>
  <c r="AI1036" i="115"/>
  <c r="AE1020" i="115"/>
  <c r="AG1020" i="115"/>
  <c r="AI1020" i="115"/>
  <c r="AE1004" i="115"/>
  <c r="AG1004" i="115"/>
  <c r="AI1004" i="115"/>
  <c r="AG990" i="115"/>
  <c r="AE990" i="115"/>
  <c r="AE985" i="115"/>
  <c r="AF985" i="115" s="1"/>
  <c r="AG985" i="115"/>
  <c r="AI985" i="115"/>
  <c r="AI974" i="115"/>
  <c r="AE974" i="115"/>
  <c r="AG974" i="115"/>
  <c r="AE969" i="115"/>
  <c r="AF969" i="115" s="1"/>
  <c r="AG969" i="115"/>
  <c r="AI969" i="115"/>
  <c r="AI958" i="115"/>
  <c r="AE958" i="115"/>
  <c r="AG958" i="115"/>
  <c r="AE953" i="115"/>
  <c r="AF953" i="115" s="1"/>
  <c r="AG953" i="115"/>
  <c r="AI953" i="115"/>
  <c r="AI942" i="115"/>
  <c r="AE942" i="115"/>
  <c r="AG942" i="115"/>
  <c r="AE937" i="115"/>
  <c r="AF937" i="115" s="1"/>
  <c r="AG937" i="115"/>
  <c r="AI937" i="115"/>
  <c r="AE851" i="115"/>
  <c r="AF851" i="115" s="1"/>
  <c r="AG851" i="115"/>
  <c r="AI851" i="115"/>
  <c r="AE819" i="115"/>
  <c r="AF819" i="115" s="1"/>
  <c r="AG819" i="115"/>
  <c r="AI819" i="115"/>
  <c r="AE787" i="115"/>
  <c r="AF787" i="115" s="1"/>
  <c r="AG787" i="115"/>
  <c r="AI787" i="115"/>
  <c r="AE755" i="115"/>
  <c r="AF755" i="115" s="1"/>
  <c r="AG755" i="115"/>
  <c r="AI755" i="115"/>
  <c r="AE723" i="115"/>
  <c r="AF723" i="115" s="1"/>
  <c r="AG723" i="115"/>
  <c r="AI723" i="115"/>
  <c r="AG706" i="115"/>
  <c r="AE706" i="115"/>
  <c r="AF706" i="115" s="1"/>
  <c r="AE682" i="115"/>
  <c r="AG682" i="115"/>
  <c r="AE672" i="115"/>
  <c r="AG672" i="115"/>
  <c r="AE665" i="115"/>
  <c r="AI665" i="115"/>
  <c r="AE660" i="115"/>
  <c r="AF660" i="115" s="1"/>
  <c r="AG660" i="115"/>
  <c r="AI660" i="115"/>
  <c r="AE636" i="115"/>
  <c r="AF636" i="115" s="1"/>
  <c r="AG636" i="115"/>
  <c r="AE597" i="115"/>
  <c r="AG597" i="115"/>
  <c r="AG550" i="115"/>
  <c r="AE550" i="115"/>
  <c r="AI550" i="115"/>
  <c r="AE530" i="115"/>
  <c r="AF530" i="115"/>
  <c r="AG527" i="115"/>
  <c r="AE527" i="115"/>
  <c r="AE492" i="115"/>
  <c r="AI492" i="115"/>
  <c r="AE476" i="115"/>
  <c r="AI476" i="115"/>
  <c r="AE448" i="115"/>
  <c r="AI448" i="115"/>
  <c r="AE423" i="115"/>
  <c r="AF423" i="115" s="1"/>
  <c r="AG423" i="115"/>
  <c r="AI423" i="115"/>
  <c r="AE419" i="115"/>
  <c r="AF419" i="115" s="1"/>
  <c r="AG419" i="115"/>
  <c r="AI419" i="115"/>
  <c r="AI392" i="115"/>
  <c r="AE392" i="115"/>
  <c r="AI374" i="115"/>
  <c r="AE374" i="115"/>
  <c r="AF374" i="115" s="1"/>
  <c r="AE367" i="115"/>
  <c r="AF367" i="115" s="1"/>
  <c r="AG367" i="115"/>
  <c r="AI367" i="115"/>
  <c r="AE348" i="115"/>
  <c r="AI348" i="115"/>
  <c r="AE345" i="115"/>
  <c r="AF345" i="115"/>
  <c r="AG345" i="115"/>
  <c r="AI345" i="115"/>
  <c r="AI326" i="115"/>
  <c r="AE326" i="115"/>
  <c r="AF326" i="115" s="1"/>
  <c r="AE308" i="115"/>
  <c r="AG308" i="115"/>
  <c r="AI308" i="115"/>
  <c r="AE300" i="115"/>
  <c r="AF300" i="115" s="1"/>
  <c r="AG300" i="115"/>
  <c r="AI300" i="115"/>
  <c r="AG286" i="115"/>
  <c r="AE286" i="115"/>
  <c r="AF286" i="115" s="1"/>
  <c r="AI286" i="115"/>
  <c r="AG1552" i="114"/>
  <c r="AE1552" i="114"/>
  <c r="AG1544" i="114"/>
  <c r="AE1544" i="114"/>
  <c r="AG1540" i="114"/>
  <c r="AE1540" i="114"/>
  <c r="AG1524" i="114"/>
  <c r="AE1524" i="114"/>
  <c r="AG1520" i="114"/>
  <c r="AE1520" i="114"/>
  <c r="AG1508" i="114"/>
  <c r="AE1508" i="114"/>
  <c r="AG1504" i="114"/>
  <c r="AE1504" i="114"/>
  <c r="AG1500" i="114"/>
  <c r="AE1500" i="114"/>
  <c r="AG1492" i="114"/>
  <c r="AE1492" i="114"/>
  <c r="AG1476" i="114"/>
  <c r="AE1476" i="114"/>
  <c r="AG1460" i="114"/>
  <c r="AE1460" i="114"/>
  <c r="AG1598" i="114"/>
  <c r="AE1598" i="114"/>
  <c r="AG1594" i="114"/>
  <c r="AE1594" i="114"/>
  <c r="AG1590" i="114"/>
  <c r="AE1590" i="114"/>
  <c r="AG1586" i="114"/>
  <c r="AE1586" i="114"/>
  <c r="AG1582" i="114"/>
  <c r="AE1582" i="114"/>
  <c r="AG1578" i="114"/>
  <c r="AE1578" i="114"/>
  <c r="AG1574" i="114"/>
  <c r="AE1574" i="114"/>
  <c r="AG1570" i="114"/>
  <c r="AE1570" i="114"/>
  <c r="AG1566" i="114"/>
  <c r="AE1566" i="114"/>
  <c r="AG1562" i="114"/>
  <c r="AE1562" i="114"/>
  <c r="AG1558" i="114"/>
  <c r="AE1558" i="114"/>
  <c r="AG1554" i="114"/>
  <c r="AE1554" i="114"/>
  <c r="AG1550" i="114"/>
  <c r="AE1550" i="114"/>
  <c r="AG1546" i="114"/>
  <c r="AE1546" i="114"/>
  <c r="AG1542" i="114"/>
  <c r="AE1542" i="114"/>
  <c r="AG1538" i="114"/>
  <c r="AE1538" i="114"/>
  <c r="AG1534" i="114"/>
  <c r="AE1534" i="114"/>
  <c r="AG1530" i="114"/>
  <c r="AE1530" i="114"/>
  <c r="AG1526" i="114"/>
  <c r="AE1526" i="114"/>
  <c r="AG1522" i="114"/>
  <c r="AE1522" i="114"/>
  <c r="AG1518" i="114"/>
  <c r="AE1518" i="114"/>
  <c r="AG1514" i="114"/>
  <c r="AE1514" i="114"/>
  <c r="AG1510" i="114"/>
  <c r="AE1510" i="114"/>
  <c r="AG1506" i="114"/>
  <c r="AE1506" i="114"/>
  <c r="AG1502" i="114"/>
  <c r="AE1502" i="114"/>
  <c r="AG1498" i="114"/>
  <c r="AE1498" i="114"/>
  <c r="AG1494" i="114"/>
  <c r="AE1494" i="114"/>
  <c r="AG1490" i="114"/>
  <c r="AE1490" i="114"/>
  <c r="AG1486" i="114"/>
  <c r="AE1486" i="114"/>
  <c r="AG1482" i="114"/>
  <c r="AE1482" i="114"/>
  <c r="AG1478" i="114"/>
  <c r="AE1478" i="114"/>
  <c r="AG1474" i="114"/>
  <c r="AE1474" i="114"/>
  <c r="AG1470" i="114"/>
  <c r="AE1470" i="114"/>
  <c r="AG1466" i="114"/>
  <c r="AE1466" i="114"/>
  <c r="AG1462" i="114"/>
  <c r="AE1462" i="114"/>
  <c r="AG1458" i="114"/>
  <c r="AE1458" i="114"/>
  <c r="AG1454" i="114"/>
  <c r="AE1454" i="114"/>
  <c r="AG1450" i="114"/>
  <c r="AE1450" i="114"/>
  <c r="AG1446" i="114"/>
  <c r="AE1446" i="114"/>
  <c r="AG1442" i="114"/>
  <c r="AE1442" i="114"/>
  <c r="AG1438" i="114"/>
  <c r="AE1438" i="114"/>
  <c r="AG1434" i="114"/>
  <c r="AE1434" i="114"/>
  <c r="AG1430" i="114"/>
  <c r="AE1430" i="114"/>
  <c r="AG1426" i="114"/>
  <c r="AE1426" i="114"/>
  <c r="AG1421" i="114"/>
  <c r="AE1421" i="114"/>
  <c r="AG1417" i="114"/>
  <c r="AE1417" i="114"/>
  <c r="AG1411" i="114"/>
  <c r="AE1411" i="114"/>
  <c r="AI1404" i="114"/>
  <c r="AE1404" i="114"/>
  <c r="AI1396" i="114"/>
  <c r="AG1391" i="114"/>
  <c r="AE1391" i="114"/>
  <c r="AF1391" i="114" s="1"/>
  <c r="AG1387" i="114"/>
  <c r="AE1387" i="114"/>
  <c r="AG1383" i="114"/>
  <c r="AE1383" i="114"/>
  <c r="AF1383" i="114" s="1"/>
  <c r="AG1379" i="114"/>
  <c r="AE1379" i="114"/>
  <c r="AG1375" i="114"/>
  <c r="AE1375" i="114"/>
  <c r="AF1375" i="114" s="1"/>
  <c r="AE1372" i="114"/>
  <c r="AF1372" i="114" s="1"/>
  <c r="AG1365" i="114"/>
  <c r="AE1365" i="114"/>
  <c r="AG1359" i="114"/>
  <c r="AE1359" i="114"/>
  <c r="AG1355" i="114"/>
  <c r="AE1355" i="114"/>
  <c r="AE1318" i="114"/>
  <c r="AF1318" i="114" s="1"/>
  <c r="AE1314" i="114"/>
  <c r="AF1314" i="114" s="1"/>
  <c r="AE1310" i="114"/>
  <c r="AF1310" i="114" s="1"/>
  <c r="AE1306" i="114"/>
  <c r="AF1306" i="114" s="1"/>
  <c r="AE1254" i="114"/>
  <c r="AF1254" i="114" s="1"/>
  <c r="AG1243" i="114"/>
  <c r="AE1243" i="114"/>
  <c r="AI1237" i="114"/>
  <c r="AE1237" i="114"/>
  <c r="AF1237" i="114" s="1"/>
  <c r="AI1219" i="114"/>
  <c r="AE1211" i="114"/>
  <c r="AF1211" i="114" s="1"/>
  <c r="AI1197" i="114"/>
  <c r="AE1197" i="114"/>
  <c r="AE1193" i="114"/>
  <c r="AF1193" i="114" s="1"/>
  <c r="AE1187" i="114"/>
  <c r="AF1187" i="114" s="1"/>
  <c r="AG1180" i="114"/>
  <c r="AG1177" i="114"/>
  <c r="AE1177" i="114"/>
  <c r="AF1177" i="114" s="1"/>
  <c r="AG1174" i="114"/>
  <c r="AG1171" i="114"/>
  <c r="AE1171" i="114"/>
  <c r="AI1167" i="114"/>
  <c r="AE1167" i="114"/>
  <c r="AG1163" i="114"/>
  <c r="AE1163" i="114"/>
  <c r="AE1153" i="114"/>
  <c r="AF1153" i="114" s="1"/>
  <c r="AI1149" i="114"/>
  <c r="AE1149" i="114"/>
  <c r="AE1147" i="114"/>
  <c r="AF1147" i="114" s="1"/>
  <c r="AI1137" i="114"/>
  <c r="AE1137" i="114"/>
  <c r="AI1130" i="114"/>
  <c r="AG1127" i="114"/>
  <c r="AE1127" i="114"/>
  <c r="AI1121" i="114"/>
  <c r="AE1121" i="114"/>
  <c r="AI1117" i="114"/>
  <c r="AE1117" i="114"/>
  <c r="AF1111" i="114"/>
  <c r="AI1105" i="114"/>
  <c r="AE1105" i="114"/>
  <c r="AG1071" i="114"/>
  <c r="AE1071" i="114"/>
  <c r="AI1071" i="114"/>
  <c r="AG1067" i="114"/>
  <c r="AE1067" i="114"/>
  <c r="AE1063" i="114"/>
  <c r="AF1063" i="114" s="1"/>
  <c r="AI1041" i="114"/>
  <c r="AE1041" i="114"/>
  <c r="AE1035" i="114"/>
  <c r="AF1035" i="114" s="1"/>
  <c r="AI1035" i="114"/>
  <c r="AG1020" i="114"/>
  <c r="AE1020" i="114"/>
  <c r="AI1018" i="114"/>
  <c r="AG1008" i="114"/>
  <c r="AE1008" i="114"/>
  <c r="AF1008" i="114" s="1"/>
  <c r="AE963" i="114"/>
  <c r="AF963" i="114" s="1"/>
  <c r="AG963" i="114"/>
  <c r="AE955" i="114"/>
  <c r="AF955" i="114" s="1"/>
  <c r="AI951" i="114"/>
  <c r="AE951" i="114"/>
  <c r="AG947" i="114"/>
  <c r="AE947" i="114"/>
  <c r="AF947" i="114" s="1"/>
  <c r="AI943" i="114"/>
  <c r="AE943" i="114"/>
  <c r="AI931" i="114"/>
  <c r="AG928" i="114"/>
  <c r="AE928" i="114"/>
  <c r="AI924" i="114"/>
  <c r="AE924" i="114"/>
  <c r="AI916" i="114"/>
  <c r="AE916" i="114"/>
  <c r="AF899" i="114"/>
  <c r="AE899" i="114"/>
  <c r="AF895" i="114"/>
  <c r="AE819" i="114"/>
  <c r="AI819" i="114"/>
  <c r="AG810" i="114"/>
  <c r="AE810" i="114"/>
  <c r="AG806" i="114"/>
  <c r="AE806" i="114"/>
  <c r="AG786" i="114"/>
  <c r="AE786" i="114"/>
  <c r="AF786" i="114" s="1"/>
  <c r="AE772" i="114"/>
  <c r="AI772" i="114"/>
  <c r="AG762" i="114"/>
  <c r="AE762" i="114"/>
  <c r="AF762" i="114" s="1"/>
  <c r="AG758" i="114"/>
  <c r="AE758" i="114"/>
  <c r="AG747" i="114"/>
  <c r="AE747" i="114"/>
  <c r="AG743" i="114"/>
  <c r="AE743" i="114"/>
  <c r="AG739" i="114"/>
  <c r="AG733" i="114"/>
  <c r="AE733" i="114"/>
  <c r="AG729" i="114"/>
  <c r="AE729" i="114"/>
  <c r="AG721" i="114"/>
  <c r="AE721" i="114"/>
  <c r="AG715" i="114"/>
  <c r="AE715" i="114"/>
  <c r="AE706" i="114"/>
  <c r="AF706" i="114" s="1"/>
  <c r="AI706" i="114"/>
  <c r="AG697" i="114"/>
  <c r="AE697" i="114"/>
  <c r="AG693" i="114"/>
  <c r="AG691" i="114"/>
  <c r="AG689" i="114"/>
  <c r="AE689" i="114"/>
  <c r="AG685" i="114"/>
  <c r="AG683" i="114"/>
  <c r="AE683" i="114"/>
  <c r="AG679" i="114"/>
  <c r="AE679" i="114"/>
  <c r="AF679" i="114" s="1"/>
  <c r="AI671" i="114"/>
  <c r="AE671" i="114"/>
  <c r="AI667" i="114"/>
  <c r="AE667" i="114"/>
  <c r="AF667" i="114" s="1"/>
  <c r="AI661" i="114"/>
  <c r="AE661" i="114"/>
  <c r="AI650" i="114"/>
  <c r="AI647" i="114"/>
  <c r="AE647" i="114"/>
  <c r="AI637" i="114"/>
  <c r="AE637" i="114"/>
  <c r="AI615" i="114"/>
  <c r="AE615" i="114"/>
  <c r="AI611" i="114"/>
  <c r="AE611" i="114"/>
  <c r="AG539" i="114"/>
  <c r="AE539" i="114"/>
  <c r="AI539" i="114"/>
  <c r="AG518" i="114"/>
  <c r="AE518" i="114"/>
  <c r="AF518" i="114" s="1"/>
  <c r="AG516" i="114"/>
  <c r="AE516" i="114"/>
  <c r="AG512" i="114"/>
  <c r="AE512" i="114"/>
  <c r="AG508" i="114"/>
  <c r="AE508" i="114"/>
  <c r="AG504" i="114"/>
  <c r="AE504" i="114"/>
  <c r="AI501" i="114"/>
  <c r="AE501" i="114"/>
  <c r="AI497" i="114"/>
  <c r="AE497" i="114"/>
  <c r="AF497" i="114" s="1"/>
  <c r="AI493" i="114"/>
  <c r="AI489" i="114"/>
  <c r="AI476" i="114"/>
  <c r="AF471" i="114"/>
  <c r="AE471" i="114"/>
  <c r="AI441" i="114"/>
  <c r="AE441" i="114"/>
  <c r="AE410" i="114"/>
  <c r="AF410" i="114" s="1"/>
  <c r="AG406" i="114"/>
  <c r="AE406" i="114"/>
  <c r="AE175" i="114"/>
  <c r="AI175" i="114"/>
  <c r="AI43" i="114"/>
  <c r="AE43" i="114"/>
  <c r="AG43" i="114"/>
  <c r="AI36" i="114"/>
  <c r="AE36" i="114"/>
  <c r="AI32" i="114"/>
  <c r="AE32" i="114"/>
  <c r="AG29" i="114"/>
  <c r="AE29" i="114"/>
  <c r="AG1591" i="115"/>
  <c r="AE1591" i="115"/>
  <c r="AI1591" i="115"/>
  <c r="AG1587" i="115"/>
  <c r="AE1587" i="115"/>
  <c r="AG1581" i="115"/>
  <c r="AE1581" i="115"/>
  <c r="AG1527" i="115"/>
  <c r="AE1527" i="115"/>
  <c r="AI1527" i="115"/>
  <c r="AG1523" i="115"/>
  <c r="AE1523" i="115"/>
  <c r="AF1523" i="115" s="1"/>
  <c r="AG1517" i="115"/>
  <c r="AE1517" i="115"/>
  <c r="AE1487" i="115"/>
  <c r="AF1487" i="115"/>
  <c r="AG1487" i="115"/>
  <c r="AG1484" i="115"/>
  <c r="AE1484" i="115"/>
  <c r="AG1414" i="115"/>
  <c r="AE1414" i="115"/>
  <c r="AG1402" i="115"/>
  <c r="AE1402" i="115"/>
  <c r="AE1357" i="115"/>
  <c r="AF1357" i="115" s="1"/>
  <c r="AG1357" i="115"/>
  <c r="AI1353" i="115"/>
  <c r="AE1353" i="115"/>
  <c r="AG1335" i="115"/>
  <c r="AE1335" i="115"/>
  <c r="AG1326" i="115"/>
  <c r="AE1326" i="115"/>
  <c r="AF1326" i="115"/>
  <c r="AI1326" i="115"/>
  <c r="AI1317" i="115"/>
  <c r="AE1317" i="115"/>
  <c r="AG1250" i="115"/>
  <c r="AE1250" i="115"/>
  <c r="AI1250" i="115"/>
  <c r="AG1210" i="115"/>
  <c r="AE1210" i="115"/>
  <c r="AI1210" i="115"/>
  <c r="AE1163" i="115"/>
  <c r="AF1163" i="115" s="1"/>
  <c r="AG1163" i="115"/>
  <c r="AI1163" i="115"/>
  <c r="AG1155" i="115"/>
  <c r="AE1155" i="115"/>
  <c r="AE1132" i="115"/>
  <c r="AF1132" i="115" s="1"/>
  <c r="AI1132" i="115"/>
  <c r="AE1122" i="115"/>
  <c r="AG1122" i="115"/>
  <c r="AE1106" i="115"/>
  <c r="AF1106" i="115" s="1"/>
  <c r="AG1106" i="115"/>
  <c r="AE1090" i="115"/>
  <c r="AG1090" i="115"/>
  <c r="AE1074" i="115"/>
  <c r="AF1074" i="115" s="1"/>
  <c r="AG1074" i="115"/>
  <c r="AE1058" i="115"/>
  <c r="AG1058" i="115"/>
  <c r="AE1042" i="115"/>
  <c r="AF1042" i="115" s="1"/>
  <c r="AG1042" i="115"/>
  <c r="AI1026" i="115"/>
  <c r="AE1026" i="115"/>
  <c r="AG1026" i="115"/>
  <c r="AI1010" i="115"/>
  <c r="AE1010" i="115"/>
  <c r="AG1010" i="115"/>
  <c r="AI994" i="115"/>
  <c r="AE994" i="115"/>
  <c r="AG994" i="115"/>
  <c r="AE989" i="115"/>
  <c r="AF989" i="115"/>
  <c r="AG989" i="115"/>
  <c r="AI989" i="115"/>
  <c r="AE978" i="115"/>
  <c r="AG978" i="115"/>
  <c r="AE973" i="115"/>
  <c r="AF973" i="115" s="1"/>
  <c r="AG973" i="115"/>
  <c r="AI973" i="115"/>
  <c r="AI962" i="115"/>
  <c r="AE962" i="115"/>
  <c r="AG962" i="115"/>
  <c r="AE957" i="115"/>
  <c r="AF957" i="115" s="1"/>
  <c r="AG957" i="115"/>
  <c r="AI957" i="115"/>
  <c r="AI946" i="115"/>
  <c r="AE946" i="115"/>
  <c r="AF946" i="115" s="1"/>
  <c r="AG946" i="115"/>
  <c r="AE941" i="115"/>
  <c r="AF941" i="115"/>
  <c r="AG941" i="115"/>
  <c r="AI941" i="115"/>
  <c r="AE843" i="115"/>
  <c r="AF843" i="115"/>
  <c r="AG843" i="115"/>
  <c r="AI843" i="115"/>
  <c r="AE811" i="115"/>
  <c r="AF811" i="115"/>
  <c r="AG811" i="115"/>
  <c r="AI811" i="115"/>
  <c r="AE779" i="115"/>
  <c r="AF779" i="115"/>
  <c r="AG779" i="115"/>
  <c r="AI779" i="115"/>
  <c r="AE747" i="115"/>
  <c r="AF747" i="115"/>
  <c r="AG747" i="115"/>
  <c r="AI747" i="115"/>
  <c r="AE715" i="115"/>
  <c r="AF715" i="115"/>
  <c r="AG715" i="115"/>
  <c r="AI715" i="115"/>
  <c r="AE646" i="115"/>
  <c r="AG646" i="115"/>
  <c r="AI646" i="115"/>
  <c r="AE615" i="115"/>
  <c r="AG615" i="115"/>
  <c r="AE596" i="115"/>
  <c r="AF596" i="115" s="1"/>
  <c r="AG596" i="115"/>
  <c r="AI596" i="115"/>
  <c r="AG594" i="115"/>
  <c r="AE594" i="115"/>
  <c r="AF594" i="115"/>
  <c r="AI594" i="115"/>
  <c r="AE579" i="115"/>
  <c r="AG579" i="115"/>
  <c r="AI579" i="115"/>
  <c r="AE565" i="115"/>
  <c r="AF565" i="115" s="1"/>
  <c r="AI565" i="115"/>
  <c r="AG534" i="115"/>
  <c r="AE534" i="115"/>
  <c r="AI534" i="115"/>
  <c r="AI484" i="115"/>
  <c r="AE484" i="115"/>
  <c r="AE469" i="115"/>
  <c r="AI469" i="115"/>
  <c r="AE465" i="115"/>
  <c r="AF465" i="115" s="1"/>
  <c r="AG465" i="115"/>
  <c r="AI465" i="115"/>
  <c r="AE460" i="115"/>
  <c r="AI460" i="115"/>
  <c r="AE444" i="115"/>
  <c r="AF444" i="115" s="1"/>
  <c r="AI444" i="115"/>
  <c r="AE416" i="115"/>
  <c r="AI416" i="115"/>
  <c r="AE391" i="115"/>
  <c r="AF391" i="115" s="1"/>
  <c r="AG391" i="115"/>
  <c r="AI391" i="115"/>
  <c r="AE387" i="115"/>
  <c r="AF387" i="115" s="1"/>
  <c r="AG387" i="115"/>
  <c r="AI387" i="115"/>
  <c r="AE339" i="115"/>
  <c r="AF339" i="115" s="1"/>
  <c r="AI339" i="115"/>
  <c r="AI336" i="115"/>
  <c r="AE336" i="115"/>
  <c r="AE291" i="115"/>
  <c r="AG291" i="115"/>
  <c r="AI291" i="115"/>
  <c r="AG1423" i="114"/>
  <c r="AE1423" i="114"/>
  <c r="AE1420" i="114"/>
  <c r="AF1420" i="114" s="1"/>
  <c r="AF1416" i="114"/>
  <c r="AG1413" i="114"/>
  <c r="AE1413" i="114"/>
  <c r="AG1407" i="114"/>
  <c r="AE1407" i="114"/>
  <c r="AG1403" i="114"/>
  <c r="AE1403" i="114"/>
  <c r="AG1399" i="114"/>
  <c r="AE1399" i="114"/>
  <c r="AG1393" i="114"/>
  <c r="AE1393" i="114"/>
  <c r="AG1371" i="114"/>
  <c r="AE1371" i="114"/>
  <c r="AE1364" i="114"/>
  <c r="AF1364" i="114" s="1"/>
  <c r="AG1361" i="114"/>
  <c r="AE1361" i="114"/>
  <c r="AF1361" i="114" s="1"/>
  <c r="AE1354" i="114"/>
  <c r="AF1354" i="114" s="1"/>
  <c r="AE1302" i="114"/>
  <c r="AF1302" i="114" s="1"/>
  <c r="AE1298" i="114"/>
  <c r="AF1298" i="114" s="1"/>
  <c r="AE1294" i="114"/>
  <c r="AF1294" i="114" s="1"/>
  <c r="AE1290" i="114"/>
  <c r="AF1290" i="114" s="1"/>
  <c r="AG1249" i="114"/>
  <c r="AE1249" i="114"/>
  <c r="AE1245" i="114"/>
  <c r="AF1245" i="114" s="1"/>
  <c r="AI1236" i="114"/>
  <c r="AE1236" i="114"/>
  <c r="AI1229" i="114"/>
  <c r="AE1229" i="114"/>
  <c r="AE1217" i="114"/>
  <c r="AF1217" i="114" s="1"/>
  <c r="AG1203" i="114"/>
  <c r="AE1203" i="114"/>
  <c r="AI1199" i="114"/>
  <c r="AE1199" i="114"/>
  <c r="AI1196" i="114"/>
  <c r="AE1196" i="114"/>
  <c r="AE1189" i="114"/>
  <c r="AF1189" i="114" s="1"/>
  <c r="AI1152" i="114"/>
  <c r="AE1152" i="114"/>
  <c r="AF1152" i="114" s="1"/>
  <c r="AI1146" i="114"/>
  <c r="AE1146" i="114"/>
  <c r="AE1143" i="114"/>
  <c r="AF1143" i="114" s="1"/>
  <c r="AI1133" i="114"/>
  <c r="AE1133" i="114"/>
  <c r="AI1126" i="114"/>
  <c r="AG1123" i="114"/>
  <c r="AG1107" i="114"/>
  <c r="AE1107" i="114"/>
  <c r="AI1101" i="114"/>
  <c r="AE1101" i="114"/>
  <c r="AI1097" i="114"/>
  <c r="AE1097" i="114"/>
  <c r="AI1093" i="114"/>
  <c r="AE1093" i="114"/>
  <c r="AI1077" i="114"/>
  <c r="AE1077" i="114"/>
  <c r="AI1073" i="114"/>
  <c r="AI1070" i="114"/>
  <c r="AE1070" i="114"/>
  <c r="AF1070" i="114" s="1"/>
  <c r="AI1062" i="114"/>
  <c r="AE1062" i="114"/>
  <c r="AI1057" i="114"/>
  <c r="AE1057" i="114"/>
  <c r="AF1057" i="114" s="1"/>
  <c r="AE1051" i="114"/>
  <c r="AF1051" i="114" s="1"/>
  <c r="AG1047" i="114"/>
  <c r="AE1047" i="114"/>
  <c r="AG1043" i="114"/>
  <c r="AE1043" i="114"/>
  <c r="AG1036" i="114"/>
  <c r="AE1036" i="114"/>
  <c r="AE1031" i="114"/>
  <c r="AF1031" i="114" s="1"/>
  <c r="AG1031" i="114"/>
  <c r="AE1023" i="114"/>
  <c r="AF1023" i="114" s="1"/>
  <c r="AG1023" i="114"/>
  <c r="AE1015" i="114"/>
  <c r="AF1015" i="114" s="1"/>
  <c r="AG1011" i="114"/>
  <c r="AE1011" i="114"/>
  <c r="AE1004" i="114"/>
  <c r="AG1004" i="114"/>
  <c r="AG996" i="114"/>
  <c r="AE996" i="114"/>
  <c r="AF996" i="114" s="1"/>
  <c r="AG986" i="114"/>
  <c r="AE986" i="114"/>
  <c r="AG978" i="114"/>
  <c r="AE978" i="114"/>
  <c r="AG970" i="114"/>
  <c r="AE970" i="114"/>
  <c r="AG962" i="114"/>
  <c r="AE962" i="114"/>
  <c r="AG954" i="114"/>
  <c r="AE954" i="114"/>
  <c r="AG946" i="114"/>
  <c r="AE946" i="114"/>
  <c r="AF946" i="114" s="1"/>
  <c r="AG938" i="114"/>
  <c r="AE938" i="114"/>
  <c r="AG915" i="114"/>
  <c r="AE915" i="114"/>
  <c r="AF915" i="114" s="1"/>
  <c r="AE908" i="114"/>
  <c r="AF908" i="114" s="1"/>
  <c r="AG898" i="114"/>
  <c r="AE898" i="114"/>
  <c r="AE855" i="114"/>
  <c r="AI855" i="114"/>
  <c r="AI851" i="114"/>
  <c r="AE851" i="114"/>
  <c r="AI843" i="114"/>
  <c r="AE843" i="114"/>
  <c r="AI831" i="114"/>
  <c r="AE831" i="114"/>
  <c r="AG827" i="114"/>
  <c r="AE827" i="114"/>
  <c r="AG816" i="114"/>
  <c r="AE816" i="114"/>
  <c r="AG802" i="114"/>
  <c r="AE802" i="114"/>
  <c r="AG798" i="114"/>
  <c r="AE798" i="114"/>
  <c r="AG794" i="114"/>
  <c r="AE794" i="114"/>
  <c r="AE788" i="114"/>
  <c r="AF788" i="114" s="1"/>
  <c r="AE779" i="114"/>
  <c r="AI779" i="114"/>
  <c r="AI764" i="114"/>
  <c r="AG757" i="114"/>
  <c r="AE757" i="114"/>
  <c r="AG753" i="114"/>
  <c r="AE753" i="114"/>
  <c r="AG749" i="114"/>
  <c r="AE749" i="114"/>
  <c r="AG705" i="114"/>
  <c r="AE705" i="114"/>
  <c r="AG702" i="114"/>
  <c r="AE702" i="114"/>
  <c r="AI696" i="114"/>
  <c r="AE696" i="114"/>
  <c r="AG678" i="114"/>
  <c r="AE678" i="114"/>
  <c r="AI663" i="114"/>
  <c r="AE663" i="114"/>
  <c r="AI653" i="114"/>
  <c r="AE653" i="114"/>
  <c r="AI643" i="114"/>
  <c r="AE643" i="114"/>
  <c r="AI629" i="114"/>
  <c r="AE629" i="114"/>
  <c r="AI597" i="114"/>
  <c r="AE597" i="114"/>
  <c r="AI591" i="114"/>
  <c r="AE591" i="114"/>
  <c r="AI587" i="114"/>
  <c r="AE587" i="114"/>
  <c r="AI583" i="114"/>
  <c r="AE583" i="114"/>
  <c r="AE580" i="114"/>
  <c r="AF580" i="114" s="1"/>
  <c r="AG565" i="114"/>
  <c r="AE565" i="114"/>
  <c r="AG524" i="114"/>
  <c r="AE524" i="114"/>
  <c r="AG520" i="114"/>
  <c r="AE520" i="114"/>
  <c r="AI487" i="114"/>
  <c r="AE487" i="114"/>
  <c r="AI479" i="114"/>
  <c r="AE479" i="114"/>
  <c r="AI470" i="114"/>
  <c r="AE470" i="114"/>
  <c r="AI463" i="114"/>
  <c r="AE463" i="114"/>
  <c r="AE417" i="114"/>
  <c r="AF417" i="114" s="1"/>
  <c r="AG417" i="114"/>
  <c r="AG177" i="114"/>
  <c r="AE177" i="114"/>
  <c r="AF177" i="114" s="1"/>
  <c r="AG59" i="114"/>
  <c r="AE59" i="114"/>
  <c r="AI59" i="114"/>
  <c r="AI52" i="114"/>
  <c r="AE52" i="114"/>
  <c r="AI14" i="114"/>
  <c r="AE14" i="114"/>
  <c r="AG1597" i="115"/>
  <c r="AE1597" i="115"/>
  <c r="AG1543" i="115"/>
  <c r="AE1543" i="115"/>
  <c r="AI1543" i="115"/>
  <c r="AG1539" i="115"/>
  <c r="AE1539" i="115"/>
  <c r="AG1533" i="115"/>
  <c r="AE1533" i="115"/>
  <c r="AE1443" i="115"/>
  <c r="AF1443" i="115" s="1"/>
  <c r="AI1443" i="115"/>
  <c r="AE1429" i="115"/>
  <c r="AG1429" i="115"/>
  <c r="AG1426" i="115"/>
  <c r="AE1426" i="115"/>
  <c r="AG1422" i="115"/>
  <c r="AE1422" i="115"/>
  <c r="AF1422" i="115" s="1"/>
  <c r="AF1416" i="115"/>
  <c r="AE1416" i="115"/>
  <c r="AG1404" i="115"/>
  <c r="AE1404" i="115"/>
  <c r="AF1404" i="115" s="1"/>
  <c r="AI1404" i="115"/>
  <c r="AE1392" i="115"/>
  <c r="AF1392" i="115" s="1"/>
  <c r="AG1310" i="115"/>
  <c r="AE1310" i="115"/>
  <c r="AF1310" i="115" s="1"/>
  <c r="AI1310" i="115"/>
  <c r="AG1275" i="115"/>
  <c r="AE1275" i="115"/>
  <c r="AE1253" i="115"/>
  <c r="AF1253" i="115" s="1"/>
  <c r="AI1253" i="115"/>
  <c r="AG1246" i="115"/>
  <c r="AE1246" i="115"/>
  <c r="AF1246" i="115" s="1"/>
  <c r="AI1246" i="115"/>
  <c r="AG1234" i="115"/>
  <c r="AE1234" i="115"/>
  <c r="AE1223" i="115"/>
  <c r="AG1223" i="115"/>
  <c r="AG1193" i="115"/>
  <c r="AE1193" i="115"/>
  <c r="AG1185" i="115"/>
  <c r="AE1185" i="115"/>
  <c r="AF1185" i="115" s="1"/>
  <c r="AE1172" i="115"/>
  <c r="AI1172" i="115"/>
  <c r="AE1157" i="115"/>
  <c r="AG1157" i="115"/>
  <c r="AI1157" i="115"/>
  <c r="AE1121" i="115"/>
  <c r="AF1121" i="115" s="1"/>
  <c r="AG1121" i="115"/>
  <c r="AI1121" i="115"/>
  <c r="AE1105" i="115"/>
  <c r="AF1105" i="115" s="1"/>
  <c r="AG1105" i="115"/>
  <c r="AI1105" i="115"/>
  <c r="AE1089" i="115"/>
  <c r="AF1089" i="115" s="1"/>
  <c r="AG1089" i="115"/>
  <c r="AI1089" i="115"/>
  <c r="AE1073" i="115"/>
  <c r="AF1073" i="115" s="1"/>
  <c r="AG1073" i="115"/>
  <c r="AI1073" i="115"/>
  <c r="AE1057" i="115"/>
  <c r="AF1057" i="115" s="1"/>
  <c r="AG1057" i="115"/>
  <c r="AI1057" i="115"/>
  <c r="AE1041" i="115"/>
  <c r="AF1041" i="115" s="1"/>
  <c r="AG1041" i="115"/>
  <c r="AI1041" i="115"/>
  <c r="AE1025" i="115"/>
  <c r="AF1025" i="115" s="1"/>
  <c r="AG1025" i="115"/>
  <c r="AI1025" i="115"/>
  <c r="AE1009" i="115"/>
  <c r="AF1009" i="115" s="1"/>
  <c r="AG1009" i="115"/>
  <c r="AI1009" i="115"/>
  <c r="AE993" i="115"/>
  <c r="AF993" i="115" s="1"/>
  <c r="AG993" i="115"/>
  <c r="AI993" i="115"/>
  <c r="AE982" i="115"/>
  <c r="AG982" i="115"/>
  <c r="AE977" i="115"/>
  <c r="AF977" i="115" s="1"/>
  <c r="AG977" i="115"/>
  <c r="AI977" i="115"/>
  <c r="AI966" i="115"/>
  <c r="AE966" i="115"/>
  <c r="AG966" i="115"/>
  <c r="AE961" i="115"/>
  <c r="AF961" i="115" s="1"/>
  <c r="AG961" i="115"/>
  <c r="AI961" i="115"/>
  <c r="AI950" i="115"/>
  <c r="AE950" i="115"/>
  <c r="AG950" i="115"/>
  <c r="AE945" i="115"/>
  <c r="AF945" i="115" s="1"/>
  <c r="AG945" i="115"/>
  <c r="AI945" i="115"/>
  <c r="AI934" i="115"/>
  <c r="AE934" i="115"/>
  <c r="AF934" i="115" s="1"/>
  <c r="AG934" i="115"/>
  <c r="AE867" i="115"/>
  <c r="AF867" i="115"/>
  <c r="AG867" i="115"/>
  <c r="AI867" i="115"/>
  <c r="AE835" i="115"/>
  <c r="AF835" i="115"/>
  <c r="AG835" i="115"/>
  <c r="AI835" i="115"/>
  <c r="AE803" i="115"/>
  <c r="AF803" i="115"/>
  <c r="AG803" i="115"/>
  <c r="AI803" i="115"/>
  <c r="AE771" i="115"/>
  <c r="AF771" i="115"/>
  <c r="AG771" i="115"/>
  <c r="AI771" i="115"/>
  <c r="AE739" i="115"/>
  <c r="AF739" i="115"/>
  <c r="AG739" i="115"/>
  <c r="AI739" i="115"/>
  <c r="AE690" i="115"/>
  <c r="AG690" i="115"/>
  <c r="AI690" i="115"/>
  <c r="AG669" i="115"/>
  <c r="AE669" i="115"/>
  <c r="AI669" i="115"/>
  <c r="AE581" i="115"/>
  <c r="AF581" i="115" s="1"/>
  <c r="AG581" i="115"/>
  <c r="AE559" i="115"/>
  <c r="AG559" i="115"/>
  <c r="AE537" i="115"/>
  <c r="AF537" i="115" s="1"/>
  <c r="AG537" i="115"/>
  <c r="AE513" i="115"/>
  <c r="AF513" i="115" s="1"/>
  <c r="AI513" i="115"/>
  <c r="AG507" i="115"/>
  <c r="AE507" i="115"/>
  <c r="AI504" i="115"/>
  <c r="AE504" i="115"/>
  <c r="AI500" i="115"/>
  <c r="AE500" i="115"/>
  <c r="AE483" i="115"/>
  <c r="AF483" i="115" s="1"/>
  <c r="AG483" i="115"/>
  <c r="AI483" i="115"/>
  <c r="AI456" i="115"/>
  <c r="AE456" i="115"/>
  <c r="AE437" i="115"/>
  <c r="AI437" i="115"/>
  <c r="AF433" i="115"/>
  <c r="AE433" i="115"/>
  <c r="AG433" i="115"/>
  <c r="AI433" i="115"/>
  <c r="AE428" i="115"/>
  <c r="AI428" i="115"/>
  <c r="AE412" i="115"/>
  <c r="AI412" i="115"/>
  <c r="AE384" i="115"/>
  <c r="AI384" i="115"/>
  <c r="AI357" i="115"/>
  <c r="AE357" i="115"/>
  <c r="AF357" i="115" s="1"/>
  <c r="AG357" i="115"/>
  <c r="AE354" i="115"/>
  <c r="AI354" i="115"/>
  <c r="AE334" i="115"/>
  <c r="AF334" i="115" s="1"/>
  <c r="AI334" i="115"/>
  <c r="AE328" i="115"/>
  <c r="AI328" i="115"/>
  <c r="AE298" i="115"/>
  <c r="AF298" i="115" s="1"/>
  <c r="AE281" i="115"/>
  <c r="AG281" i="115"/>
  <c r="AG1536" i="114"/>
  <c r="AE1536" i="114"/>
  <c r="AG1532" i="114"/>
  <c r="AE1532" i="114"/>
  <c r="AG1528" i="114"/>
  <c r="AE1528" i="114"/>
  <c r="AG1496" i="114"/>
  <c r="AE1496" i="114"/>
  <c r="AG1484" i="114"/>
  <c r="AE1484" i="114"/>
  <c r="AG1480" i="114"/>
  <c r="AE1480" i="114"/>
  <c r="AG1464" i="114"/>
  <c r="AE1464" i="114"/>
  <c r="AG1452" i="114"/>
  <c r="AE1452" i="114"/>
  <c r="AG1448" i="114"/>
  <c r="AE1448" i="114"/>
  <c r="AG1444" i="114"/>
  <c r="AE1444" i="114"/>
  <c r="AG1440" i="114"/>
  <c r="AE1440" i="114"/>
  <c r="AG1436" i="114"/>
  <c r="AE1436" i="114"/>
  <c r="AG1432" i="114"/>
  <c r="AE1432" i="114"/>
  <c r="AG1428" i="114"/>
  <c r="AE1428" i="114"/>
  <c r="AG1419" i="114"/>
  <c r="AE1419" i="114"/>
  <c r="AE1412" i="114"/>
  <c r="AF1412" i="114" s="1"/>
  <c r="AE1396" i="114"/>
  <c r="AF1396" i="114" s="1"/>
  <c r="AI1389" i="114"/>
  <c r="AE1389" i="114"/>
  <c r="AF1389" i="114" s="1"/>
  <c r="AG1385" i="114"/>
  <c r="AE1385" i="114"/>
  <c r="AG1381" i="114"/>
  <c r="AE1381" i="114"/>
  <c r="AG1377" i="114"/>
  <c r="AE1377" i="114"/>
  <c r="AG1373" i="114"/>
  <c r="AE1373" i="114"/>
  <c r="AG1367" i="114"/>
  <c r="AE1367" i="114"/>
  <c r="AG1363" i="114"/>
  <c r="AE1363" i="114"/>
  <c r="AF1363" i="114" s="1"/>
  <c r="AE1350" i="114"/>
  <c r="AF1350" i="114" s="1"/>
  <c r="AE1346" i="114"/>
  <c r="AF1346" i="114" s="1"/>
  <c r="AE1342" i="114"/>
  <c r="AF1342" i="114" s="1"/>
  <c r="AE1338" i="114"/>
  <c r="AF1338" i="114" s="1"/>
  <c r="AE1286" i="114"/>
  <c r="AF1286" i="114" s="1"/>
  <c r="AE1282" i="114"/>
  <c r="AF1282" i="114" s="1"/>
  <c r="AE1278" i="114"/>
  <c r="AF1278" i="114" s="1"/>
  <c r="AE1274" i="114"/>
  <c r="AF1274" i="114" s="1"/>
  <c r="AI1248" i="114"/>
  <c r="AE1248" i="114"/>
  <c r="AG1241" i="114"/>
  <c r="AE1241" i="114"/>
  <c r="AF1241" i="114" s="1"/>
  <c r="AG1235" i="114"/>
  <c r="AE1235" i="114"/>
  <c r="AI1231" i="114"/>
  <c r="AE1231" i="114"/>
  <c r="AF1231" i="114" s="1"/>
  <c r="AI1228" i="114"/>
  <c r="AE1228" i="114"/>
  <c r="AE1225" i="114"/>
  <c r="AF1225" i="114" s="1"/>
  <c r="AE1221" i="114"/>
  <c r="AF1221" i="114" s="1"/>
  <c r="AG1219" i="114"/>
  <c r="AE1219" i="114"/>
  <c r="AF1219" i="114" s="1"/>
  <c r="AE1213" i="114"/>
  <c r="AF1213" i="114" s="1"/>
  <c r="AG1209" i="114"/>
  <c r="AE1209" i="114"/>
  <c r="AI1205" i="114"/>
  <c r="AE1205" i="114"/>
  <c r="AG1195" i="114"/>
  <c r="AE1195" i="114"/>
  <c r="AG1179" i="114"/>
  <c r="AE1179" i="114"/>
  <c r="AI1173" i="114"/>
  <c r="AE1173" i="114"/>
  <c r="AI1169" i="114"/>
  <c r="AE1169" i="114"/>
  <c r="AI1165" i="114"/>
  <c r="AE1165" i="114"/>
  <c r="AE1161" i="114"/>
  <c r="AF1161" i="114" s="1"/>
  <c r="AG1155" i="114"/>
  <c r="AE1155" i="114"/>
  <c r="AI1151" i="114"/>
  <c r="AE1151" i="114"/>
  <c r="AE1115" i="114"/>
  <c r="AF1115" i="114" s="1"/>
  <c r="AI1110" i="114"/>
  <c r="AE1110" i="114"/>
  <c r="AI1089" i="114"/>
  <c r="AE1089" i="114"/>
  <c r="AG1083" i="114"/>
  <c r="AE1083" i="114"/>
  <c r="AI1069" i="114"/>
  <c r="AE1069" i="114"/>
  <c r="AI1065" i="114"/>
  <c r="AE1065" i="114"/>
  <c r="AI1061" i="114"/>
  <c r="AE1061" i="114"/>
  <c r="AI1053" i="114"/>
  <c r="AE1053" i="114"/>
  <c r="AI1030" i="114"/>
  <c r="AE1030" i="114"/>
  <c r="AG1024" i="114"/>
  <c r="AE1024" i="114"/>
  <c r="AG1007" i="114"/>
  <c r="AE1007" i="114"/>
  <c r="AF1007" i="114"/>
  <c r="AE1003" i="114"/>
  <c r="AF1003" i="114" s="1"/>
  <c r="AE999" i="114"/>
  <c r="AF999" i="114" s="1"/>
  <c r="AE995" i="114"/>
  <c r="AF995" i="114" s="1"/>
  <c r="AG992" i="114"/>
  <c r="AE992" i="114"/>
  <c r="AF992" i="114" s="1"/>
  <c r="AG930" i="114"/>
  <c r="AE930" i="114"/>
  <c r="AG922" i="114"/>
  <c r="AE922" i="114"/>
  <c r="AG904" i="114"/>
  <c r="AE904" i="114"/>
  <c r="AG890" i="114"/>
  <c r="AE890" i="114"/>
  <c r="AG882" i="114"/>
  <c r="AE882" i="114"/>
  <c r="AG874" i="114"/>
  <c r="AE874" i="114"/>
  <c r="AG866" i="114"/>
  <c r="AE866" i="114"/>
  <c r="AG862" i="114"/>
  <c r="AE862" i="114"/>
  <c r="AG858" i="114"/>
  <c r="AE858" i="114"/>
  <c r="AG854" i="114"/>
  <c r="AE854" i="114"/>
  <c r="AG850" i="114"/>
  <c r="AE850" i="114"/>
  <c r="AG846" i="114"/>
  <c r="AE846" i="114"/>
  <c r="AG842" i="114"/>
  <c r="AE842" i="114"/>
  <c r="AG838" i="114"/>
  <c r="AE838" i="114"/>
  <c r="AG834" i="114"/>
  <c r="AE834" i="114"/>
  <c r="AG830" i="114"/>
  <c r="AE830" i="114"/>
  <c r="AG826" i="114"/>
  <c r="AE826" i="114"/>
  <c r="AG818" i="114"/>
  <c r="AE818" i="114"/>
  <c r="AI808" i="114"/>
  <c r="AE808" i="114"/>
  <c r="AG784" i="114"/>
  <c r="AE784" i="114"/>
  <c r="AI784" i="114"/>
  <c r="AG778" i="114"/>
  <c r="AE778" i="114"/>
  <c r="AG774" i="114"/>
  <c r="AE774" i="114"/>
  <c r="AF774" i="114" s="1"/>
  <c r="AE771" i="114"/>
  <c r="AF771" i="114" s="1"/>
  <c r="AG745" i="114"/>
  <c r="AE745" i="114"/>
  <c r="AE738" i="114"/>
  <c r="AI738" i="114"/>
  <c r="AG731" i="114"/>
  <c r="AE731" i="114"/>
  <c r="AG727" i="114"/>
  <c r="AE727" i="114"/>
  <c r="AG719" i="114"/>
  <c r="AE719" i="114"/>
  <c r="AG713" i="114"/>
  <c r="AE713" i="114"/>
  <c r="AG710" i="114"/>
  <c r="AE710" i="114"/>
  <c r="AG699" i="114"/>
  <c r="AE699" i="114"/>
  <c r="AG695" i="114"/>
  <c r="AE695" i="114"/>
  <c r="AG687" i="114"/>
  <c r="AE687" i="114"/>
  <c r="AG681" i="114"/>
  <c r="AE681" i="114"/>
  <c r="AI669" i="114"/>
  <c r="AE669" i="114"/>
  <c r="AI659" i="114"/>
  <c r="AE659" i="114"/>
  <c r="AI639" i="114"/>
  <c r="AE639" i="114"/>
  <c r="AI635" i="114"/>
  <c r="AE635" i="114"/>
  <c r="AI617" i="114"/>
  <c r="AE617" i="114"/>
  <c r="AI613" i="114"/>
  <c r="AE613" i="114"/>
  <c r="AI609" i="114"/>
  <c r="AE609" i="114"/>
  <c r="AI605" i="114"/>
  <c r="AE605" i="114"/>
  <c r="AI601" i="114"/>
  <c r="AE601" i="114"/>
  <c r="AG596" i="114"/>
  <c r="AE596" i="114"/>
  <c r="AI579" i="114"/>
  <c r="AE579" i="114"/>
  <c r="AG557" i="114"/>
  <c r="AE557" i="114"/>
  <c r="AG549" i="114"/>
  <c r="AE549" i="114"/>
  <c r="AG541" i="114"/>
  <c r="AE541" i="114"/>
  <c r="AG537" i="114"/>
  <c r="AE537" i="114"/>
  <c r="AE534" i="114"/>
  <c r="AF534" i="114" s="1"/>
  <c r="AG514" i="114"/>
  <c r="AE514" i="114"/>
  <c r="AG510" i="114"/>
  <c r="AE510" i="114"/>
  <c r="AG506" i="114"/>
  <c r="AE506" i="114"/>
  <c r="AI503" i="114"/>
  <c r="AE503" i="114"/>
  <c r="AI495" i="114"/>
  <c r="AE495" i="114"/>
  <c r="AG478" i="114"/>
  <c r="AE478" i="114"/>
  <c r="AE439" i="114"/>
  <c r="AF439" i="114" s="1"/>
  <c r="AI439" i="114"/>
  <c r="AI435" i="114"/>
  <c r="AE435" i="114"/>
  <c r="AI427" i="114"/>
  <c r="AE427" i="114"/>
  <c r="AG374" i="114"/>
  <c r="AE374" i="114"/>
  <c r="AI374" i="114"/>
  <c r="AI306" i="114"/>
  <c r="AE306" i="114"/>
  <c r="AI298" i="114"/>
  <c r="AE298" i="114"/>
  <c r="AF298" i="114" s="1"/>
  <c r="AE245" i="114"/>
  <c r="AF245" i="114" s="1"/>
  <c r="AI238" i="114"/>
  <c r="AE238" i="114"/>
  <c r="AE235" i="114"/>
  <c r="AF235" i="114" s="1"/>
  <c r="AI206" i="114"/>
  <c r="AE206" i="114"/>
  <c r="AG200" i="114"/>
  <c r="AE200" i="114"/>
  <c r="AF200" i="114" s="1"/>
  <c r="AG196" i="114"/>
  <c r="AE196" i="114"/>
  <c r="AG192" i="114"/>
  <c r="AE192" i="114"/>
  <c r="AF192" i="114" s="1"/>
  <c r="AI180" i="114"/>
  <c r="AE180" i="114"/>
  <c r="AG92" i="114"/>
  <c r="AE92" i="114"/>
  <c r="AF92" i="114" s="1"/>
  <c r="AI92" i="114"/>
  <c r="AG85" i="114"/>
  <c r="AE85" i="114"/>
  <c r="AG81" i="114"/>
  <c r="AE81" i="114"/>
  <c r="AG62" i="114"/>
  <c r="AE62" i="114"/>
  <c r="AG1559" i="115"/>
  <c r="AE1559" i="115"/>
  <c r="AI1559" i="115"/>
  <c r="AG1555" i="115"/>
  <c r="AE1555" i="115"/>
  <c r="AG1549" i="115"/>
  <c r="AE1549" i="115"/>
  <c r="AG1495" i="115"/>
  <c r="AE1495" i="115"/>
  <c r="AI1495" i="115"/>
  <c r="AG1491" i="115"/>
  <c r="AE1491" i="115"/>
  <c r="AE1475" i="115"/>
  <c r="AF1475" i="115" s="1"/>
  <c r="AI1475" i="115"/>
  <c r="AE1461" i="115"/>
  <c r="AG1461" i="115"/>
  <c r="AG1446" i="115"/>
  <c r="AE1446" i="115"/>
  <c r="AE1407" i="115"/>
  <c r="AG1407" i="115"/>
  <c r="AI1407" i="115"/>
  <c r="AG1400" i="115"/>
  <c r="AE1400" i="115"/>
  <c r="AF1400" i="115" s="1"/>
  <c r="AI1400" i="115"/>
  <c r="AE1397" i="115"/>
  <c r="AG1397" i="115"/>
  <c r="AE1368" i="115"/>
  <c r="AF1368" i="115" s="1"/>
  <c r="AI1363" i="115"/>
  <c r="AE1363" i="115"/>
  <c r="AF1363" i="115" s="1"/>
  <c r="AE1309" i="115"/>
  <c r="AF1309" i="115" s="1"/>
  <c r="AG1309" i="115"/>
  <c r="AI1309" i="115"/>
  <c r="AG1270" i="115"/>
  <c r="AE1270" i="115"/>
  <c r="AF1270" i="115" s="1"/>
  <c r="AI1270" i="115"/>
  <c r="AE1245" i="115"/>
  <c r="AF1245" i="115" s="1"/>
  <c r="AG1245" i="115"/>
  <c r="AI1245" i="115"/>
  <c r="AG1239" i="115"/>
  <c r="AE1239" i="115"/>
  <c r="AE1225" i="115"/>
  <c r="AF1225" i="115" s="1"/>
  <c r="AI1225" i="115"/>
  <c r="AI1200" i="115"/>
  <c r="AE1200" i="115"/>
  <c r="AG1200" i="115"/>
  <c r="AE1177" i="115"/>
  <c r="AF1177" i="115" s="1"/>
  <c r="AG1177" i="115"/>
  <c r="AI1177" i="115"/>
  <c r="AG1165" i="115"/>
  <c r="AE1165" i="115"/>
  <c r="AG1143" i="115"/>
  <c r="AE1143" i="115"/>
  <c r="AI1131" i="115"/>
  <c r="AE1131" i="115"/>
  <c r="AF1131" i="115" s="1"/>
  <c r="AG1131" i="115"/>
  <c r="AG1127" i="115"/>
  <c r="AE1127" i="115"/>
  <c r="AF1127" i="115" s="1"/>
  <c r="AI1127" i="115"/>
  <c r="AG1111" i="115"/>
  <c r="AE1111" i="115"/>
  <c r="AF1111" i="115" s="1"/>
  <c r="AI1111" i="115"/>
  <c r="AG1095" i="115"/>
  <c r="AE1095" i="115"/>
  <c r="AF1095" i="115" s="1"/>
  <c r="AI1095" i="115"/>
  <c r="AG1079" i="115"/>
  <c r="AE1079" i="115"/>
  <c r="AF1079" i="115" s="1"/>
  <c r="AI1079" i="115"/>
  <c r="AG1063" i="115"/>
  <c r="AE1063" i="115"/>
  <c r="AF1063" i="115" s="1"/>
  <c r="AI1063" i="115"/>
  <c r="AG1047" i="115"/>
  <c r="AE1047" i="115"/>
  <c r="AF1047" i="115" s="1"/>
  <c r="AI1047" i="115"/>
  <c r="AG1031" i="115"/>
  <c r="AE1031" i="115"/>
  <c r="AF1031" i="115" s="1"/>
  <c r="AI1031" i="115"/>
  <c r="AG1015" i="115"/>
  <c r="AE1015" i="115"/>
  <c r="AF1015" i="115" s="1"/>
  <c r="AI1015" i="115"/>
  <c r="AG999" i="115"/>
  <c r="AE999" i="115"/>
  <c r="AF999" i="115" s="1"/>
  <c r="AI999" i="115"/>
  <c r="AE981" i="115"/>
  <c r="AF981" i="115" s="1"/>
  <c r="AG981" i="115"/>
  <c r="AI981" i="115"/>
  <c r="AI970" i="115"/>
  <c r="AE970" i="115"/>
  <c r="AG970" i="115"/>
  <c r="AE965" i="115"/>
  <c r="AF965" i="115" s="1"/>
  <c r="AG965" i="115"/>
  <c r="AI965" i="115"/>
  <c r="AI954" i="115"/>
  <c r="AE954" i="115"/>
  <c r="AG954" i="115"/>
  <c r="AE949" i="115"/>
  <c r="AF949" i="115" s="1"/>
  <c r="AG949" i="115"/>
  <c r="AI949" i="115"/>
  <c r="AI938" i="115"/>
  <c r="AE938" i="115"/>
  <c r="AG938" i="115"/>
  <c r="AE933" i="115"/>
  <c r="AF933" i="115" s="1"/>
  <c r="AG933" i="115"/>
  <c r="AI933" i="115"/>
  <c r="AE859" i="115"/>
  <c r="AF859" i="115" s="1"/>
  <c r="AG859" i="115"/>
  <c r="AI859" i="115"/>
  <c r="AE827" i="115"/>
  <c r="AF827" i="115" s="1"/>
  <c r="AG827" i="115"/>
  <c r="AI827" i="115"/>
  <c r="AE795" i="115"/>
  <c r="AF795" i="115" s="1"/>
  <c r="AG795" i="115"/>
  <c r="AI795" i="115"/>
  <c r="AE763" i="115"/>
  <c r="AF763" i="115" s="1"/>
  <c r="AG763" i="115"/>
  <c r="AI763" i="115"/>
  <c r="AE731" i="115"/>
  <c r="AF731" i="115" s="1"/>
  <c r="AG731" i="115"/>
  <c r="AI731" i="115"/>
  <c r="AE680" i="115"/>
  <c r="AG680" i="115"/>
  <c r="AE647" i="115"/>
  <c r="AG647" i="115"/>
  <c r="AE642" i="115"/>
  <c r="AI642" i="115"/>
  <c r="AE622" i="115"/>
  <c r="AF622" i="115" s="1"/>
  <c r="AG622" i="115"/>
  <c r="AI622" i="115"/>
  <c r="AE618" i="115"/>
  <c r="AF618" i="115" s="1"/>
  <c r="AG618" i="115"/>
  <c r="AI618" i="115"/>
  <c r="AG608" i="115"/>
  <c r="AE608" i="115"/>
  <c r="AF608" i="115" s="1"/>
  <c r="AE595" i="115"/>
  <c r="AG595" i="115"/>
  <c r="AI595" i="115"/>
  <c r="AE580" i="115"/>
  <c r="AF580" i="115" s="1"/>
  <c r="AG580" i="115"/>
  <c r="AI580" i="115"/>
  <c r="AG578" i="115"/>
  <c r="AE578" i="115"/>
  <c r="AF578" i="115"/>
  <c r="AI578" i="115"/>
  <c r="AE561" i="115"/>
  <c r="AG561" i="115"/>
  <c r="AI522" i="115"/>
  <c r="AE522" i="115"/>
  <c r="AF522" i="115" s="1"/>
  <c r="AE480" i="115"/>
  <c r="AI480" i="115"/>
  <c r="AE455" i="115"/>
  <c r="AF455" i="115"/>
  <c r="AG455" i="115"/>
  <c r="AI455" i="115"/>
  <c r="AE451" i="115"/>
  <c r="AF451" i="115"/>
  <c r="AG451" i="115"/>
  <c r="AI451" i="115"/>
  <c r="AI424" i="115"/>
  <c r="AE424" i="115"/>
  <c r="AE405" i="115"/>
  <c r="AI405" i="115"/>
  <c r="AE401" i="115"/>
  <c r="AF401" i="115" s="1"/>
  <c r="AG401" i="115"/>
  <c r="AI401" i="115"/>
  <c r="AE396" i="115"/>
  <c r="AI396" i="115"/>
  <c r="AE380" i="115"/>
  <c r="AF380" i="115" s="1"/>
  <c r="AI380" i="115"/>
  <c r="AI346" i="115"/>
  <c r="AE346" i="115"/>
  <c r="AE278" i="115"/>
  <c r="AF278" i="115" s="1"/>
  <c r="AG278" i="115"/>
  <c r="AI278" i="115"/>
  <c r="AG265" i="115"/>
  <c r="AE265" i="115"/>
  <c r="AG256" i="115"/>
  <c r="AE256" i="115"/>
  <c r="AE252" i="115"/>
  <c r="AF252" i="115" s="1"/>
  <c r="AG250" i="115"/>
  <c r="AE250" i="115"/>
  <c r="AG235" i="115"/>
  <c r="AE235" i="115"/>
  <c r="AF235" i="115" s="1"/>
  <c r="AG228" i="115"/>
  <c r="AE228" i="115"/>
  <c r="AG193" i="115"/>
  <c r="AE193" i="115"/>
  <c r="AF193" i="115" s="1"/>
  <c r="AG185" i="115"/>
  <c r="AE185" i="115"/>
  <c r="AG180" i="115"/>
  <c r="AE180" i="115"/>
  <c r="AI159" i="115"/>
  <c r="AE159" i="115"/>
  <c r="AG157" i="115"/>
  <c r="AE157" i="115"/>
  <c r="AF157" i="115" s="1"/>
  <c r="AG155" i="115"/>
  <c r="AE155" i="115"/>
  <c r="AI115" i="115"/>
  <c r="AE115" i="115"/>
  <c r="AF115" i="115" s="1"/>
  <c r="AI111" i="115"/>
  <c r="AE111" i="115"/>
  <c r="AG106" i="115"/>
  <c r="AE106" i="115"/>
  <c r="AF106" i="115" s="1"/>
  <c r="AE95" i="115"/>
  <c r="AF95" i="115" s="1"/>
  <c r="AI84" i="115"/>
  <c r="AE84" i="115"/>
  <c r="AG82" i="115"/>
  <c r="AE82" i="115"/>
  <c r="AI69" i="115"/>
  <c r="AE69" i="115"/>
  <c r="AG31" i="115"/>
  <c r="AE31" i="115"/>
  <c r="AG28" i="115"/>
  <c r="AE28" i="115"/>
  <c r="AI23" i="115"/>
  <c r="AE23" i="115"/>
  <c r="AI274" i="114"/>
  <c r="AE274" i="114"/>
  <c r="AI266" i="114"/>
  <c r="AE266" i="114"/>
  <c r="AG248" i="114"/>
  <c r="AE248" i="114"/>
  <c r="AI222" i="114"/>
  <c r="AE222" i="114"/>
  <c r="AI214" i="114"/>
  <c r="AE214" i="114"/>
  <c r="AI210" i="114"/>
  <c r="AE210" i="114"/>
  <c r="AI199" i="114"/>
  <c r="AE199" i="114"/>
  <c r="AI191" i="114"/>
  <c r="AE191" i="114"/>
  <c r="AI187" i="114"/>
  <c r="AE187" i="114"/>
  <c r="AI156" i="114"/>
  <c r="AE156" i="114"/>
  <c r="AE136" i="114"/>
  <c r="AF136" i="114" s="1"/>
  <c r="AG133" i="114"/>
  <c r="AE133" i="114"/>
  <c r="AG125" i="114"/>
  <c r="AE125" i="114"/>
  <c r="AI113" i="114"/>
  <c r="AE113" i="114"/>
  <c r="AG110" i="114"/>
  <c r="AE110" i="114"/>
  <c r="AF110" i="114" s="1"/>
  <c r="AI105" i="114"/>
  <c r="AE105" i="114"/>
  <c r="AG94" i="114"/>
  <c r="AE94" i="114"/>
  <c r="AI87" i="114"/>
  <c r="AE87" i="114"/>
  <c r="AG77" i="114"/>
  <c r="AE77" i="114"/>
  <c r="AG73" i="114"/>
  <c r="AE73" i="114"/>
  <c r="AG69" i="114"/>
  <c r="AE69" i="114"/>
  <c r="AG65" i="114"/>
  <c r="AE65" i="114"/>
  <c r="AG61" i="114"/>
  <c r="AE61" i="114"/>
  <c r="AG58" i="114"/>
  <c r="AE58" i="114"/>
  <c r="AI55" i="114"/>
  <c r="AE55" i="114"/>
  <c r="AI39" i="114"/>
  <c r="AE39" i="114"/>
  <c r="AF39" i="114" s="1"/>
  <c r="AI28" i="114"/>
  <c r="AE28" i="114"/>
  <c r="AI25" i="114"/>
  <c r="AE25" i="114"/>
  <c r="AI18" i="114"/>
  <c r="AE18" i="114"/>
  <c r="AI10" i="114"/>
  <c r="AE10" i="114"/>
  <c r="AG1593" i="115"/>
  <c r="AE1593" i="115"/>
  <c r="AG1577" i="115"/>
  <c r="AE1577" i="115"/>
  <c r="AG1561" i="115"/>
  <c r="AE1561" i="115"/>
  <c r="AG1545" i="115"/>
  <c r="AE1545" i="115"/>
  <c r="AG1529" i="115"/>
  <c r="AE1529" i="115"/>
  <c r="AG1513" i="115"/>
  <c r="AE1513" i="115"/>
  <c r="AG1497" i="115"/>
  <c r="AE1497" i="115"/>
  <c r="AG1486" i="115"/>
  <c r="AE1486" i="115"/>
  <c r="AG1480" i="115"/>
  <c r="AE1480" i="115"/>
  <c r="AG1474" i="115"/>
  <c r="AE1474" i="115"/>
  <c r="AG1466" i="115"/>
  <c r="AE1466" i="115"/>
  <c r="AG1464" i="115"/>
  <c r="AE1464" i="115"/>
  <c r="AF1464" i="115" s="1"/>
  <c r="AG1458" i="115"/>
  <c r="AE1458" i="115"/>
  <c r="AG1456" i="115"/>
  <c r="AE1456" i="115"/>
  <c r="AF1456" i="115" s="1"/>
  <c r="AG1454" i="115"/>
  <c r="AE1454" i="115"/>
  <c r="AG1448" i="115"/>
  <c r="AE1448" i="115"/>
  <c r="AG1442" i="115"/>
  <c r="AE1442" i="115"/>
  <c r="AG1434" i="115"/>
  <c r="AE1434" i="115"/>
  <c r="AG1432" i="115"/>
  <c r="AE1432" i="115"/>
  <c r="AF1432" i="115" s="1"/>
  <c r="AF1419" i="115"/>
  <c r="AE1419" i="115"/>
  <c r="AE1411" i="115"/>
  <c r="AF1411" i="115" s="1"/>
  <c r="AG1406" i="115"/>
  <c r="AE1406" i="115"/>
  <c r="AJ1600" i="115"/>
  <c r="AI1394" i="115"/>
  <c r="AE1394" i="115"/>
  <c r="AG1391" i="115"/>
  <c r="AE1391" i="115"/>
  <c r="AG1383" i="115"/>
  <c r="AE1383" i="115"/>
  <c r="AF1383" i="115" s="1"/>
  <c r="AG1375" i="115"/>
  <c r="AE1375" i="115"/>
  <c r="AI1362" i="115"/>
  <c r="AE1362" i="115"/>
  <c r="AF1362" i="115" s="1"/>
  <c r="AE1360" i="115"/>
  <c r="AF1360" i="115" s="1"/>
  <c r="AI1356" i="115"/>
  <c r="AE1356" i="115"/>
  <c r="AG1342" i="115"/>
  <c r="AE1342" i="115"/>
  <c r="AF1342" i="115" s="1"/>
  <c r="AG1330" i="115"/>
  <c r="AE1330" i="115"/>
  <c r="AG1325" i="115"/>
  <c r="AE1325" i="115"/>
  <c r="AG1319" i="115"/>
  <c r="AE1319" i="115"/>
  <c r="AG1314" i="115"/>
  <c r="AE1314" i="115"/>
  <c r="AG1311" i="115"/>
  <c r="AE1311" i="115"/>
  <c r="AG1282" i="115"/>
  <c r="AE1282" i="115"/>
  <c r="AG1278" i="115"/>
  <c r="AE1278" i="115"/>
  <c r="AF1278" i="115" s="1"/>
  <c r="AG1271" i="115"/>
  <c r="AE1271" i="115"/>
  <c r="AG1247" i="115"/>
  <c r="AE1247" i="115"/>
  <c r="AG1222" i="115"/>
  <c r="AE1222" i="115"/>
  <c r="AE1217" i="115"/>
  <c r="AF1217" i="115" s="1"/>
  <c r="AI1195" i="115"/>
  <c r="AE1195" i="115"/>
  <c r="AG1192" i="115"/>
  <c r="AE1192" i="115"/>
  <c r="AE1187" i="115"/>
  <c r="AF1187" i="115" s="1"/>
  <c r="AG1184" i="115"/>
  <c r="AE1184" i="115"/>
  <c r="AE1175" i="115"/>
  <c r="AF1175" i="115" s="1"/>
  <c r="AG1170" i="115"/>
  <c r="AE1170" i="115"/>
  <c r="AF1170" i="115" s="1"/>
  <c r="AG1168" i="115"/>
  <c r="AE1168" i="115"/>
  <c r="AI1167" i="115"/>
  <c r="AE1167" i="115"/>
  <c r="AF1167" i="115" s="1"/>
  <c r="AI1161" i="115"/>
  <c r="AE1161" i="115"/>
  <c r="AF1161" i="115" s="1"/>
  <c r="AI1148" i="115"/>
  <c r="AE1148" i="115"/>
  <c r="AF1148" i="115" s="1"/>
  <c r="AG1141" i="115"/>
  <c r="AE1141" i="115"/>
  <c r="AF1141" i="115" s="1"/>
  <c r="AI1139" i="115"/>
  <c r="AE1139" i="115"/>
  <c r="AF1139" i="115" s="1"/>
  <c r="AI1136" i="115"/>
  <c r="AE1136" i="115"/>
  <c r="AG1123" i="115"/>
  <c r="AE1123" i="115"/>
  <c r="AF1123" i="115" s="1"/>
  <c r="AG1107" i="115"/>
  <c r="AE1107" i="115"/>
  <c r="AF1107" i="115" s="1"/>
  <c r="AG1091" i="115"/>
  <c r="AE1091" i="115"/>
  <c r="AF1091" i="115" s="1"/>
  <c r="AG1075" i="115"/>
  <c r="AE1075" i="115"/>
  <c r="AF1075" i="115" s="1"/>
  <c r="AG1059" i="115"/>
  <c r="AE1059" i="115"/>
  <c r="AF1059" i="115" s="1"/>
  <c r="AG1043" i="115"/>
  <c r="AE1043" i="115"/>
  <c r="AF1043" i="115" s="1"/>
  <c r="AG1027" i="115"/>
  <c r="AE1027" i="115"/>
  <c r="AF1027" i="115" s="1"/>
  <c r="AI1022" i="115"/>
  <c r="AE1022" i="115"/>
  <c r="AG1011" i="115"/>
  <c r="AE1011" i="115"/>
  <c r="AF1011" i="115" s="1"/>
  <c r="AI1006" i="115"/>
  <c r="AE1006" i="115"/>
  <c r="AG995" i="115"/>
  <c r="AE995" i="115"/>
  <c r="AF995" i="115" s="1"/>
  <c r="AG983" i="115"/>
  <c r="AE983" i="115"/>
  <c r="AF983" i="115" s="1"/>
  <c r="AG979" i="115"/>
  <c r="AE979" i="115"/>
  <c r="AF979" i="115" s="1"/>
  <c r="AG975" i="115"/>
  <c r="AE975" i="115"/>
  <c r="AF975" i="115" s="1"/>
  <c r="AG971" i="115"/>
  <c r="AE971" i="115"/>
  <c r="AF971" i="115" s="1"/>
  <c r="AG967" i="115"/>
  <c r="AE967" i="115"/>
  <c r="AF967" i="115" s="1"/>
  <c r="AG963" i="115"/>
  <c r="AE963" i="115"/>
  <c r="AF963" i="115" s="1"/>
  <c r="AG959" i="115"/>
  <c r="AE959" i="115"/>
  <c r="AF959" i="115" s="1"/>
  <c r="AG955" i="115"/>
  <c r="AE955" i="115"/>
  <c r="AF955" i="115" s="1"/>
  <c r="AG951" i="115"/>
  <c r="AE951" i="115"/>
  <c r="AF951" i="115" s="1"/>
  <c r="AG947" i="115"/>
  <c r="AE947" i="115"/>
  <c r="AF947" i="115" s="1"/>
  <c r="AG943" i="115"/>
  <c r="AE943" i="115"/>
  <c r="AF943" i="115" s="1"/>
  <c r="AG939" i="115"/>
  <c r="AE939" i="115"/>
  <c r="AF939" i="115" s="1"/>
  <c r="AG935" i="115"/>
  <c r="AE935" i="115"/>
  <c r="AF935" i="115" s="1"/>
  <c r="AG688" i="115"/>
  <c r="AE688" i="115"/>
  <c r="AF688" i="115" s="1"/>
  <c r="AG681" i="115"/>
  <c r="AE681" i="115"/>
  <c r="AG673" i="115"/>
  <c r="AE673" i="115"/>
  <c r="AG652" i="115"/>
  <c r="AE652" i="115"/>
  <c r="AF652" i="115" s="1"/>
  <c r="AG641" i="115"/>
  <c r="AE641" i="115"/>
  <c r="AI628" i="115"/>
  <c r="AE628" i="115"/>
  <c r="AF628" i="115" s="1"/>
  <c r="AG626" i="115"/>
  <c r="AE626" i="115"/>
  <c r="AF626" i="115" s="1"/>
  <c r="AI624" i="115"/>
  <c r="AE624" i="115"/>
  <c r="AF624" i="115" s="1"/>
  <c r="AG598" i="115"/>
  <c r="AE598" i="115"/>
  <c r="AF598" i="115" s="1"/>
  <c r="AG582" i="115"/>
  <c r="AE582" i="115"/>
  <c r="AF582" i="115" s="1"/>
  <c r="AE515" i="115"/>
  <c r="AF515" i="115" s="1"/>
  <c r="AI506" i="115"/>
  <c r="AE506" i="115"/>
  <c r="AE497" i="115"/>
  <c r="AF497" i="115" s="1"/>
  <c r="AI486" i="115"/>
  <c r="AE486" i="115"/>
  <c r="AE481" i="115"/>
  <c r="AF481" i="115" s="1"/>
  <c r="AF477" i="115"/>
  <c r="AF473" i="115"/>
  <c r="AI470" i="115"/>
  <c r="AI450" i="115"/>
  <c r="AE449" i="115"/>
  <c r="AF449" i="115" s="1"/>
  <c r="AF445" i="115"/>
  <c r="AF441" i="115"/>
  <c r="AI438" i="115"/>
  <c r="AI418" i="115"/>
  <c r="AE417" i="115"/>
  <c r="AF417" i="115" s="1"/>
  <c r="AF413" i="115"/>
  <c r="AF409" i="115"/>
  <c r="AI406" i="115"/>
  <c r="AF397" i="115"/>
  <c r="AI386" i="115"/>
  <c r="AE385" i="115"/>
  <c r="AF385" i="115" s="1"/>
  <c r="AF381" i="115"/>
  <c r="AF377" i="115"/>
  <c r="AG375" i="115"/>
  <c r="AG369" i="115"/>
  <c r="AE369" i="115"/>
  <c r="AI358" i="115"/>
  <c r="AE358" i="115"/>
  <c r="AI356" i="115"/>
  <c r="AF355" i="115"/>
  <c r="AF353" i="115"/>
  <c r="AI344" i="115"/>
  <c r="AF314" i="115"/>
  <c r="AI302" i="115"/>
  <c r="AG299" i="115"/>
  <c r="AI283" i="115"/>
  <c r="AE283" i="115"/>
  <c r="AI274" i="115"/>
  <c r="AE274" i="115"/>
  <c r="AF274" i="115" s="1"/>
  <c r="AF272" i="115"/>
  <c r="AI260" i="115"/>
  <c r="AG251" i="115"/>
  <c r="AI247" i="115"/>
  <c r="AE247" i="115"/>
  <c r="AI246" i="115"/>
  <c r="AE246" i="115"/>
  <c r="AF246" i="115" s="1"/>
  <c r="AF242" i="115"/>
  <c r="AF236" i="115"/>
  <c r="AG229" i="115"/>
  <c r="AF220" i="115"/>
  <c r="AE216" i="115"/>
  <c r="AF216" i="115" s="1"/>
  <c r="AE206" i="115"/>
  <c r="AF206" i="115" s="1"/>
  <c r="AF203" i="115"/>
  <c r="AG197" i="115"/>
  <c r="AI184" i="115"/>
  <c r="AE182" i="115"/>
  <c r="AF182" i="115" s="1"/>
  <c r="AI175" i="115"/>
  <c r="AE175" i="115"/>
  <c r="AG173" i="115"/>
  <c r="AE173" i="115"/>
  <c r="AI170" i="115"/>
  <c r="AE170" i="115"/>
  <c r="AG167" i="115"/>
  <c r="AG152" i="115"/>
  <c r="AG151" i="115"/>
  <c r="AE151" i="115"/>
  <c r="AF151" i="115" s="1"/>
  <c r="AG149" i="115"/>
  <c r="AG147" i="115"/>
  <c r="AE147" i="115"/>
  <c r="AG141" i="115"/>
  <c r="AI139" i="115"/>
  <c r="AF135" i="115"/>
  <c r="AG128" i="115"/>
  <c r="AG114" i="115"/>
  <c r="AE114" i="115"/>
  <c r="AG113" i="115"/>
  <c r="AE113" i="115"/>
  <c r="AF113" i="115" s="1"/>
  <c r="AI105" i="115"/>
  <c r="AG103" i="115"/>
  <c r="AE103" i="115"/>
  <c r="AF103" i="115" s="1"/>
  <c r="AI101" i="115"/>
  <c r="AI100" i="115"/>
  <c r="AE100" i="115"/>
  <c r="AF97" i="115"/>
  <c r="AG89" i="115"/>
  <c r="AE89" i="115"/>
  <c r="AF89" i="115" s="1"/>
  <c r="AG80" i="115"/>
  <c r="AE80" i="115"/>
  <c r="AG78" i="115"/>
  <c r="AG64" i="115"/>
  <c r="AE64" i="115"/>
  <c r="AI59" i="115"/>
  <c r="AE59" i="115"/>
  <c r="AF59" i="115" s="1"/>
  <c r="AG57" i="115"/>
  <c r="AE57" i="115"/>
  <c r="AI43" i="115"/>
  <c r="AE43" i="115"/>
  <c r="AI37" i="115"/>
  <c r="AE37" i="115"/>
  <c r="AE32" i="115"/>
  <c r="AG26" i="115"/>
  <c r="AE26" i="115"/>
  <c r="AE14" i="115"/>
  <c r="AE9" i="115"/>
  <c r="AG469" i="114"/>
  <c r="AE469" i="114"/>
  <c r="AI462" i="114"/>
  <c r="AE462" i="114"/>
  <c r="AG452" i="114"/>
  <c r="AE452" i="114"/>
  <c r="AE444" i="114"/>
  <c r="AF444" i="114" s="1"/>
  <c r="AG418" i="114"/>
  <c r="AE418" i="114"/>
  <c r="AI408" i="114"/>
  <c r="AE408" i="114"/>
  <c r="AI404" i="114"/>
  <c r="AE404" i="114"/>
  <c r="AG397" i="114"/>
  <c r="AE397" i="114"/>
  <c r="AI389" i="114"/>
  <c r="AE389" i="114"/>
  <c r="AE385" i="114"/>
  <c r="AF385" i="114" s="1"/>
  <c r="AG382" i="114"/>
  <c r="AE382" i="114"/>
  <c r="AG372" i="114"/>
  <c r="AE372" i="114"/>
  <c r="AI368" i="114"/>
  <c r="AE368" i="114"/>
  <c r="AI364" i="114"/>
  <c r="AE364" i="114"/>
  <c r="AI360" i="114"/>
  <c r="AE360" i="114"/>
  <c r="AI356" i="114"/>
  <c r="AE356" i="114"/>
  <c r="AI352" i="114"/>
  <c r="AE352" i="114"/>
  <c r="AI348" i="114"/>
  <c r="AE348" i="114"/>
  <c r="AI344" i="114"/>
  <c r="AE344" i="114"/>
  <c r="AI340" i="114"/>
  <c r="AE340" i="114"/>
  <c r="AI336" i="114"/>
  <c r="AE336" i="114"/>
  <c r="AI332" i="114"/>
  <c r="AE332" i="114"/>
  <c r="AI328" i="114"/>
  <c r="AE328" i="114"/>
  <c r="AI324" i="114"/>
  <c r="AE324" i="114"/>
  <c r="AI320" i="114"/>
  <c r="AE320" i="114"/>
  <c r="AI316" i="114"/>
  <c r="AE316" i="114"/>
  <c r="AI312" i="114"/>
  <c r="AE312" i="114"/>
  <c r="AI308" i="114"/>
  <c r="AE308" i="114"/>
  <c r="AI304" i="114"/>
  <c r="AE304" i="114"/>
  <c r="AI300" i="114"/>
  <c r="AE300" i="114"/>
  <c r="AI296" i="114"/>
  <c r="AE296" i="114"/>
  <c r="AI292" i="114"/>
  <c r="AE292" i="114"/>
  <c r="AG265" i="114"/>
  <c r="AE265" i="114"/>
  <c r="AG240" i="114"/>
  <c r="AE240" i="114"/>
  <c r="AI233" i="114"/>
  <c r="AE233" i="114"/>
  <c r="AI225" i="114"/>
  <c r="AE225" i="114"/>
  <c r="AI202" i="114"/>
  <c r="AE202" i="114"/>
  <c r="AI198" i="114"/>
  <c r="AE198" i="114"/>
  <c r="AI194" i="114"/>
  <c r="AE194" i="114"/>
  <c r="AI186" i="114"/>
  <c r="AE186" i="114"/>
  <c r="AG182" i="114"/>
  <c r="AE182" i="114"/>
  <c r="AE176" i="114"/>
  <c r="AF176" i="114" s="1"/>
  <c r="AI173" i="114"/>
  <c r="AE173" i="114"/>
  <c r="AG152" i="114"/>
  <c r="AE152" i="114"/>
  <c r="AI148" i="114"/>
  <c r="AE148" i="114"/>
  <c r="AG144" i="114"/>
  <c r="AE144" i="114"/>
  <c r="AI124" i="114"/>
  <c r="AE124" i="114"/>
  <c r="AI116" i="114"/>
  <c r="AE116" i="114"/>
  <c r="AI76" i="114"/>
  <c r="AE76" i="114"/>
  <c r="AI64" i="114"/>
  <c r="AE64" i="114"/>
  <c r="AG54" i="114"/>
  <c r="AE54" i="114"/>
  <c r="AI48" i="114"/>
  <c r="AE48" i="114"/>
  <c r="AI44" i="114"/>
  <c r="AE44" i="114"/>
  <c r="AI38" i="114"/>
  <c r="AE38" i="114"/>
  <c r="AI34" i="114"/>
  <c r="AE34" i="114"/>
  <c r="AI24" i="114"/>
  <c r="AE24" i="114"/>
  <c r="AI17" i="114"/>
  <c r="AI16" i="114"/>
  <c r="AE16" i="114"/>
  <c r="AG13" i="114"/>
  <c r="AE13" i="114"/>
  <c r="AF13" i="114" s="1"/>
  <c r="AG1599" i="115"/>
  <c r="AE1599" i="115"/>
  <c r="AG1595" i="115"/>
  <c r="AE1595" i="115"/>
  <c r="AF1595" i="115" s="1"/>
  <c r="AG1589" i="115"/>
  <c r="AE1589" i="115"/>
  <c r="AG1583" i="115"/>
  <c r="AE1583" i="115"/>
  <c r="AF1583" i="115" s="1"/>
  <c r="AG1579" i="115"/>
  <c r="AE1579" i="115"/>
  <c r="AG1573" i="115"/>
  <c r="AE1573" i="115"/>
  <c r="AG1567" i="115"/>
  <c r="AE1567" i="115"/>
  <c r="AG1563" i="115"/>
  <c r="AE1563" i="115"/>
  <c r="AF1563" i="115" s="1"/>
  <c r="AG1557" i="115"/>
  <c r="AE1557" i="115"/>
  <c r="AG1551" i="115"/>
  <c r="AE1551" i="115"/>
  <c r="AF1551" i="115" s="1"/>
  <c r="AG1547" i="115"/>
  <c r="AE1547" i="115"/>
  <c r="AG1541" i="115"/>
  <c r="AE1541" i="115"/>
  <c r="AG1535" i="115"/>
  <c r="AE1535" i="115"/>
  <c r="AG1531" i="115"/>
  <c r="AE1531" i="115"/>
  <c r="AF1531" i="115" s="1"/>
  <c r="AG1525" i="115"/>
  <c r="AE1525" i="115"/>
  <c r="AG1519" i="115"/>
  <c r="AE1519" i="115"/>
  <c r="AF1519" i="115" s="1"/>
  <c r="AG1515" i="115"/>
  <c r="AE1515" i="115"/>
  <c r="AG1509" i="115"/>
  <c r="AE1509" i="115"/>
  <c r="AG1503" i="115"/>
  <c r="AE1503" i="115"/>
  <c r="AG1499" i="115"/>
  <c r="AE1499" i="115"/>
  <c r="AF1499" i="115" s="1"/>
  <c r="AG1493" i="115"/>
  <c r="AE1493" i="115"/>
  <c r="AE1483" i="115"/>
  <c r="AF1483" i="115" s="1"/>
  <c r="AG1476" i="115"/>
  <c r="AE1476" i="115"/>
  <c r="AG1468" i="115"/>
  <c r="AE1468" i="115"/>
  <c r="AI1463" i="115"/>
  <c r="AG1462" i="115"/>
  <c r="AE1462" i="115"/>
  <c r="AG1460" i="115"/>
  <c r="AE1460" i="115"/>
  <c r="AF1460" i="115" s="1"/>
  <c r="AE1451" i="115"/>
  <c r="AF1451" i="115" s="1"/>
  <c r="AG1444" i="115"/>
  <c r="AE1444" i="115"/>
  <c r="AF1444" i="115" s="1"/>
  <c r="AG1436" i="115"/>
  <c r="AE1436" i="115"/>
  <c r="AI1431" i="115"/>
  <c r="AG1430" i="115"/>
  <c r="AE1430" i="115"/>
  <c r="AG1428" i="115"/>
  <c r="AE1428" i="115"/>
  <c r="AG1424" i="115"/>
  <c r="AE1424" i="115"/>
  <c r="AG1418" i="115"/>
  <c r="AE1418" i="115"/>
  <c r="AG1410" i="115"/>
  <c r="AE1410" i="115"/>
  <c r="AE1403" i="115"/>
  <c r="AF1403" i="115" s="1"/>
  <c r="AG1398" i="115"/>
  <c r="AE1398" i="115"/>
  <c r="AF1398" i="115" s="1"/>
  <c r="AG1396" i="115"/>
  <c r="AE1396" i="115"/>
  <c r="AI1393" i="115"/>
  <c r="AE1393" i="115"/>
  <c r="AF1393" i="115" s="1"/>
  <c r="AE1389" i="115"/>
  <c r="AF1389" i="115" s="1"/>
  <c r="AI1385" i="115"/>
  <c r="AE1385" i="115"/>
  <c r="AI1372" i="115"/>
  <c r="AE1372" i="115"/>
  <c r="AI1369" i="115"/>
  <c r="AE1369" i="115"/>
  <c r="AE1365" i="115"/>
  <c r="AF1365" i="115" s="1"/>
  <c r="AG1358" i="115"/>
  <c r="AE1358" i="115"/>
  <c r="AF1358" i="115" s="1"/>
  <c r="AG1351" i="115"/>
  <c r="AE1351" i="115"/>
  <c r="AF1351" i="115" s="1"/>
  <c r="AG1346" i="115"/>
  <c r="AE1346" i="115"/>
  <c r="AG1343" i="115"/>
  <c r="AE1343" i="115"/>
  <c r="AF1343" i="115" s="1"/>
  <c r="AI1341" i="115"/>
  <c r="AG1322" i="115"/>
  <c r="AE1322" i="115"/>
  <c r="AF1313" i="115"/>
  <c r="AE1313" i="115"/>
  <c r="AG1307" i="115"/>
  <c r="AE1307" i="115"/>
  <c r="AG1302" i="115"/>
  <c r="AE1302" i="115"/>
  <c r="AF1302" i="115" s="1"/>
  <c r="AG1290" i="115"/>
  <c r="AE1290" i="115"/>
  <c r="AG1279" i="115"/>
  <c r="AE1279" i="115"/>
  <c r="AI1277" i="115"/>
  <c r="AI1273" i="115"/>
  <c r="AE1273" i="115"/>
  <c r="AF1273" i="115" s="1"/>
  <c r="AE1254" i="115"/>
  <c r="AF1254" i="115" s="1"/>
  <c r="AG1251" i="115"/>
  <c r="AE1251" i="115"/>
  <c r="AE1249" i="115"/>
  <c r="AF1249" i="115" s="1"/>
  <c r="AG1211" i="115"/>
  <c r="AE1211" i="115"/>
  <c r="AI1201" i="115"/>
  <c r="AE1201" i="115"/>
  <c r="AF1201" i="115" s="1"/>
  <c r="AI1194" i="115"/>
  <c r="AE1194" i="115"/>
  <c r="AI1189" i="115"/>
  <c r="AG1186" i="115"/>
  <c r="AE1186" i="115"/>
  <c r="AI1179" i="115"/>
  <c r="AE1173" i="115"/>
  <c r="AF1173" i="115" s="1"/>
  <c r="AI1154" i="115"/>
  <c r="AE1154" i="115"/>
  <c r="AI1152" i="115"/>
  <c r="AE1152" i="115"/>
  <c r="AI1135" i="115"/>
  <c r="AG1134" i="115"/>
  <c r="AE1134" i="115"/>
  <c r="AG1119" i="115"/>
  <c r="AE1119" i="115"/>
  <c r="AF1119" i="115" s="1"/>
  <c r="AI1117" i="115"/>
  <c r="AG1103" i="115"/>
  <c r="AE1103" i="115"/>
  <c r="AF1103" i="115" s="1"/>
  <c r="AI1101" i="115"/>
  <c r="AG1087" i="115"/>
  <c r="AE1087" i="115"/>
  <c r="AF1087" i="115" s="1"/>
  <c r="AI1085" i="115"/>
  <c r="AG1071" i="115"/>
  <c r="AE1071" i="115"/>
  <c r="AF1071" i="115" s="1"/>
  <c r="AI1069" i="115"/>
  <c r="AG1055" i="115"/>
  <c r="AE1055" i="115"/>
  <c r="AF1055" i="115" s="1"/>
  <c r="AI1053" i="115"/>
  <c r="AG1039" i="115"/>
  <c r="AE1039" i="115"/>
  <c r="AF1039" i="115" s="1"/>
  <c r="AI1037" i="115"/>
  <c r="AG1023" i="115"/>
  <c r="AE1023" i="115"/>
  <c r="AF1023" i="115" s="1"/>
  <c r="AI1021" i="115"/>
  <c r="AI1018" i="115"/>
  <c r="AE1018" i="115"/>
  <c r="AG1007" i="115"/>
  <c r="AE1007" i="115"/>
  <c r="AF1007" i="115" s="1"/>
  <c r="AI1005" i="115"/>
  <c r="AI1002" i="115"/>
  <c r="AE1002" i="115"/>
  <c r="AG991" i="115"/>
  <c r="AE991" i="115"/>
  <c r="AF991" i="115" s="1"/>
  <c r="AG987" i="115"/>
  <c r="AE987" i="115"/>
  <c r="AF987" i="115" s="1"/>
  <c r="AG984" i="115"/>
  <c r="AE984" i="115"/>
  <c r="AF984" i="115" s="1"/>
  <c r="AI698" i="115"/>
  <c r="AG692" i="115"/>
  <c r="AE692" i="115"/>
  <c r="AF692" i="115" s="1"/>
  <c r="AG666" i="115"/>
  <c r="AE666" i="115"/>
  <c r="AF666" i="115" s="1"/>
  <c r="AI656" i="115"/>
  <c r="AG645" i="115"/>
  <c r="AE645" i="115"/>
  <c r="AI634" i="115"/>
  <c r="AG629" i="115"/>
  <c r="AE629" i="115"/>
  <c r="AE620" i="115"/>
  <c r="AF620" i="115" s="1"/>
  <c r="AI605" i="115"/>
  <c r="AE605" i="115"/>
  <c r="AG602" i="115"/>
  <c r="AE602" i="115"/>
  <c r="AF602" i="115" s="1"/>
  <c r="AI600" i="115"/>
  <c r="AG586" i="115"/>
  <c r="AE586" i="115"/>
  <c r="AF586" i="115" s="1"/>
  <c r="AI584" i="115"/>
  <c r="AG570" i="115"/>
  <c r="AE570" i="115"/>
  <c r="AF570" i="115" s="1"/>
  <c r="AI568" i="115"/>
  <c r="AG562" i="115"/>
  <c r="AE562" i="115"/>
  <c r="AF562" i="115" s="1"/>
  <c r="AE545" i="115"/>
  <c r="AF545" i="115" s="1"/>
  <c r="AG538" i="115"/>
  <c r="AE538" i="115"/>
  <c r="AF538" i="115" s="1"/>
  <c r="AG535" i="115"/>
  <c r="AE535" i="115"/>
  <c r="AG526" i="115"/>
  <c r="AE526" i="115"/>
  <c r="AE519" i="115"/>
  <c r="AF519" i="115" s="1"/>
  <c r="AF517" i="115"/>
  <c r="AE517" i="115"/>
  <c r="AI514" i="115"/>
  <c r="AE514" i="115"/>
  <c r="AF499" i="115"/>
  <c r="AE499" i="115"/>
  <c r="AI490" i="115"/>
  <c r="AE490" i="115"/>
  <c r="AI482" i="115"/>
  <c r="AE482" i="115"/>
  <c r="AI478" i="115"/>
  <c r="AE478" i="115"/>
  <c r="AG459" i="115"/>
  <c r="AE459" i="115"/>
  <c r="AI446" i="115"/>
  <c r="AE446" i="115"/>
  <c r="AG427" i="115"/>
  <c r="AE427" i="115"/>
  <c r="AI414" i="115"/>
  <c r="AE414" i="115"/>
  <c r="AG395" i="115"/>
  <c r="AE395" i="115"/>
  <c r="AI382" i="115"/>
  <c r="AE382" i="115"/>
  <c r="AF349" i="115"/>
  <c r="AE349" i="115"/>
  <c r="AG337" i="115"/>
  <c r="AE337" i="115"/>
  <c r="AF337" i="115" s="1"/>
  <c r="AG318" i="115"/>
  <c r="AE318" i="115"/>
  <c r="AF318" i="115" s="1"/>
  <c r="AG307" i="115"/>
  <c r="AE307" i="115"/>
  <c r="AI306" i="115"/>
  <c r="AE306" i="115"/>
  <c r="AF306" i="115" s="1"/>
  <c r="AG275" i="115"/>
  <c r="AE275" i="115"/>
  <c r="AG260" i="115"/>
  <c r="AE258" i="115"/>
  <c r="AF258" i="115" s="1"/>
  <c r="AI256" i="115"/>
  <c r="AI252" i="115"/>
  <c r="AI243" i="115"/>
  <c r="AE243" i="115"/>
  <c r="AI237" i="115"/>
  <c r="AE237" i="115"/>
  <c r="AI225" i="115"/>
  <c r="AE225" i="115"/>
  <c r="AI224" i="115"/>
  <c r="AE224" i="115"/>
  <c r="AF224" i="115" s="1"/>
  <c r="AG204" i="115"/>
  <c r="AE204" i="115"/>
  <c r="AF204" i="115" s="1"/>
  <c r="AI194" i="115"/>
  <c r="AE194" i="115"/>
  <c r="AI168" i="115"/>
  <c r="AG165" i="115"/>
  <c r="AE165" i="115"/>
  <c r="AF165" i="115" s="1"/>
  <c r="AG163" i="115"/>
  <c r="AE163" i="115"/>
  <c r="AF163" i="115" s="1"/>
  <c r="AG160" i="115"/>
  <c r="AE160" i="115"/>
  <c r="AI155" i="115"/>
  <c r="AE145" i="115"/>
  <c r="AF145" i="115" s="1"/>
  <c r="AG139" i="115"/>
  <c r="AG138" i="115"/>
  <c r="AE138" i="115"/>
  <c r="AG136" i="115"/>
  <c r="AE136" i="115"/>
  <c r="AI116" i="115"/>
  <c r="AE116" i="115"/>
  <c r="AG112" i="115"/>
  <c r="AE112" i="115"/>
  <c r="AG101" i="115"/>
  <c r="AG98" i="115"/>
  <c r="AE98" i="115"/>
  <c r="AI95" i="115"/>
  <c r="AI93" i="115"/>
  <c r="AG75" i="115"/>
  <c r="AE75" i="115"/>
  <c r="AG63" i="115"/>
  <c r="AE63" i="115"/>
  <c r="AI61" i="115"/>
  <c r="AG56" i="115"/>
  <c r="AE56" i="115"/>
  <c r="AI51" i="115"/>
  <c r="AE51" i="115"/>
  <c r="AI49" i="115"/>
  <c r="AG48" i="115"/>
  <c r="AE48" i="115"/>
  <c r="AI33" i="115"/>
  <c r="AG30" i="115"/>
  <c r="AE30" i="115"/>
  <c r="AG29" i="115"/>
  <c r="AE29" i="115"/>
  <c r="AF29" i="115" s="1"/>
  <c r="AI27" i="115"/>
  <c r="AG23" i="115"/>
  <c r="AI22" i="115"/>
  <c r="AE22" i="115"/>
  <c r="AI21" i="115"/>
  <c r="AE21" i="115"/>
  <c r="AF21" i="115" s="1"/>
  <c r="AE19" i="115"/>
  <c r="AF19" i="115" s="1"/>
  <c r="AE17" i="115"/>
  <c r="AG15" i="115"/>
  <c r="AE15" i="115"/>
  <c r="AI13" i="115"/>
  <c r="AG12" i="115"/>
  <c r="AE12" i="115"/>
  <c r="AE11" i="115"/>
  <c r="AE8" i="115"/>
  <c r="AI1102" i="114"/>
  <c r="AE1102" i="114"/>
  <c r="AG1091" i="114"/>
  <c r="AE1091" i="114"/>
  <c r="AF1091" i="114" s="1"/>
  <c r="AI1085" i="114"/>
  <c r="AE1085" i="114"/>
  <c r="AI1081" i="114"/>
  <c r="AE1081" i="114"/>
  <c r="AI1049" i="114"/>
  <c r="AE1049" i="114"/>
  <c r="AI1045" i="114"/>
  <c r="AE1045" i="114"/>
  <c r="AI1034" i="114"/>
  <c r="AE1034" i="114"/>
  <c r="AG1028" i="114"/>
  <c r="AE1028" i="114"/>
  <c r="AI1026" i="114"/>
  <c r="AE1026" i="114"/>
  <c r="AI1014" i="114"/>
  <c r="AE1014" i="114"/>
  <c r="AF1014" i="114" s="1"/>
  <c r="AI1010" i="114"/>
  <c r="AE1010" i="114"/>
  <c r="AI1001" i="114"/>
  <c r="AE1001" i="114"/>
  <c r="AF1001" i="114" s="1"/>
  <c r="AI997" i="114"/>
  <c r="AE997" i="114"/>
  <c r="AI987" i="114"/>
  <c r="AE987" i="114"/>
  <c r="AF987" i="114" s="1"/>
  <c r="AI979" i="114"/>
  <c r="AE979" i="114"/>
  <c r="AG975" i="114"/>
  <c r="AE975" i="114"/>
  <c r="AF975" i="114" s="1"/>
  <c r="AI971" i="114"/>
  <c r="AE971" i="114"/>
  <c r="AI960" i="114"/>
  <c r="AE960" i="114"/>
  <c r="AI948" i="114"/>
  <c r="AE948" i="114"/>
  <c r="AE940" i="114"/>
  <c r="AF940" i="114" s="1"/>
  <c r="AG936" i="114"/>
  <c r="AE936" i="114"/>
  <c r="AG914" i="114"/>
  <c r="AE914" i="114"/>
  <c r="AG906" i="114"/>
  <c r="AE906" i="114"/>
  <c r="AF906" i="114" s="1"/>
  <c r="AE883" i="114"/>
  <c r="AF883" i="114" s="1"/>
  <c r="AG872" i="114"/>
  <c r="AE872" i="114"/>
  <c r="AE867" i="114"/>
  <c r="AF867" i="114" s="1"/>
  <c r="AI863" i="114"/>
  <c r="AE863" i="114"/>
  <c r="AG859" i="114"/>
  <c r="AE859" i="114"/>
  <c r="AF859" i="114" s="1"/>
  <c r="AG848" i="114"/>
  <c r="AE848" i="114"/>
  <c r="AI844" i="114"/>
  <c r="AE844" i="114"/>
  <c r="AF844" i="114" s="1"/>
  <c r="AI836" i="114"/>
  <c r="AE836" i="114"/>
  <c r="AI824" i="114"/>
  <c r="AE824" i="114"/>
  <c r="AF824" i="114" s="1"/>
  <c r="AG822" i="114"/>
  <c r="AE822" i="114"/>
  <c r="AG814" i="114"/>
  <c r="AE814" i="114"/>
  <c r="AF814" i="114" s="1"/>
  <c r="AG782" i="114"/>
  <c r="AE782" i="114"/>
  <c r="AI776" i="114"/>
  <c r="AE776" i="114"/>
  <c r="AF776" i="114" s="1"/>
  <c r="AG770" i="114"/>
  <c r="AE770" i="114"/>
  <c r="AG766" i="114"/>
  <c r="AE766" i="114"/>
  <c r="AF766" i="114" s="1"/>
  <c r="AI759" i="114"/>
  <c r="AE759" i="114"/>
  <c r="AG755" i="114"/>
  <c r="AE755" i="114"/>
  <c r="AG751" i="114"/>
  <c r="AE751" i="114"/>
  <c r="AG741" i="114"/>
  <c r="AE741" i="114"/>
  <c r="AF741" i="114" s="1"/>
  <c r="AG735" i="114"/>
  <c r="AE735" i="114"/>
  <c r="AG711" i="114"/>
  <c r="AE711" i="114"/>
  <c r="AF711" i="114" s="1"/>
  <c r="AG703" i="114"/>
  <c r="AE703" i="114"/>
  <c r="AG694" i="114"/>
  <c r="AE694" i="114"/>
  <c r="AF694" i="114" s="1"/>
  <c r="AG686" i="114"/>
  <c r="AE686" i="114"/>
  <c r="AG675" i="114"/>
  <c r="AE675" i="114"/>
  <c r="AI655" i="114"/>
  <c r="AE655" i="114"/>
  <c r="AI651" i="114"/>
  <c r="AE651" i="114"/>
  <c r="AF651" i="114" s="1"/>
  <c r="AI645" i="114"/>
  <c r="AE645" i="114"/>
  <c r="AI631" i="114"/>
  <c r="AE631" i="114"/>
  <c r="AI621" i="114"/>
  <c r="AE621" i="114"/>
  <c r="AI607" i="114"/>
  <c r="AE607" i="114"/>
  <c r="AF607" i="114" s="1"/>
  <c r="AI603" i="114"/>
  <c r="AE603" i="114"/>
  <c r="AG600" i="114"/>
  <c r="AE600" i="114"/>
  <c r="AF600" i="114" s="1"/>
  <c r="AG594" i="114"/>
  <c r="AE594" i="114"/>
  <c r="AF594" i="114" s="1"/>
  <c r="AI581" i="114"/>
  <c r="AE581" i="114"/>
  <c r="AF581" i="114" s="1"/>
  <c r="AI577" i="114"/>
  <c r="AE577" i="114"/>
  <c r="AG570" i="114"/>
  <c r="AE570" i="114"/>
  <c r="AG562" i="114"/>
  <c r="AE562" i="114"/>
  <c r="AE547" i="114"/>
  <c r="AF547" i="114" s="1"/>
  <c r="AG533" i="114"/>
  <c r="AE533" i="114"/>
  <c r="AG529" i="114"/>
  <c r="AE529" i="114"/>
  <c r="AG522" i="114"/>
  <c r="AE522" i="114"/>
  <c r="AI519" i="114"/>
  <c r="AE519" i="114"/>
  <c r="AF519" i="114" s="1"/>
  <c r="AG517" i="114"/>
  <c r="AE517" i="114"/>
  <c r="AF517" i="114" s="1"/>
  <c r="AG492" i="114"/>
  <c r="AE492" i="114"/>
  <c r="AG490" i="114"/>
  <c r="AE490" i="114"/>
  <c r="AG488" i="114"/>
  <c r="AE488" i="114"/>
  <c r="AI485" i="114"/>
  <c r="AE485" i="114"/>
  <c r="AI481" i="114"/>
  <c r="AE481" i="114"/>
  <c r="AE472" i="114"/>
  <c r="AF472" i="114" s="1"/>
  <c r="AE436" i="114"/>
  <c r="AF436" i="114" s="1"/>
  <c r="AI428" i="114"/>
  <c r="AE428" i="114"/>
  <c r="AG424" i="114"/>
  <c r="AE424" i="114"/>
  <c r="AI420" i="114"/>
  <c r="AE420" i="114"/>
  <c r="AG407" i="114"/>
  <c r="AE407" i="114"/>
  <c r="AF407" i="114" s="1"/>
  <c r="AG400" i="114"/>
  <c r="AE400" i="114"/>
  <c r="AF400" i="114" s="1"/>
  <c r="AI396" i="114"/>
  <c r="AE396" i="114"/>
  <c r="AE384" i="114"/>
  <c r="AF384" i="114" s="1"/>
  <c r="AI367" i="114"/>
  <c r="AE367" i="114"/>
  <c r="AF367" i="114" s="1"/>
  <c r="AI363" i="114"/>
  <c r="AE363" i="114"/>
  <c r="AI359" i="114"/>
  <c r="AE359" i="114"/>
  <c r="AF359" i="114" s="1"/>
  <c r="AI355" i="114"/>
  <c r="AE355" i="114"/>
  <c r="AI351" i="114"/>
  <c r="AE351" i="114"/>
  <c r="AF351" i="114" s="1"/>
  <c r="AI347" i="114"/>
  <c r="AE347" i="114"/>
  <c r="AI343" i="114"/>
  <c r="AE343" i="114"/>
  <c r="AF343" i="114" s="1"/>
  <c r="AI339" i="114"/>
  <c r="AE339" i="114"/>
  <c r="AI335" i="114"/>
  <c r="AE335" i="114"/>
  <c r="AF335" i="114" s="1"/>
  <c r="AI331" i="114"/>
  <c r="AE331" i="114"/>
  <c r="AI327" i="114"/>
  <c r="AE327" i="114"/>
  <c r="AF327" i="114" s="1"/>
  <c r="AI323" i="114"/>
  <c r="AE323" i="114"/>
  <c r="AI319" i="114"/>
  <c r="AE319" i="114"/>
  <c r="AF319" i="114" s="1"/>
  <c r="AI315" i="114"/>
  <c r="AE315" i="114"/>
  <c r="AI311" i="114"/>
  <c r="AE311" i="114"/>
  <c r="AF311" i="114" s="1"/>
  <c r="AI288" i="114"/>
  <c r="AE288" i="114"/>
  <c r="AI284" i="114"/>
  <c r="AE284" i="114"/>
  <c r="AF284" i="114" s="1"/>
  <c r="AI280" i="114"/>
  <c r="AE280" i="114"/>
  <c r="AI276" i="114"/>
  <c r="AE276" i="114"/>
  <c r="AI272" i="114"/>
  <c r="AE272" i="114"/>
  <c r="AI268" i="114"/>
  <c r="AE268" i="114"/>
  <c r="AF268" i="114" s="1"/>
  <c r="AG264" i="114"/>
  <c r="AE264" i="114"/>
  <c r="AE261" i="114"/>
  <c r="AF261" i="114" s="1"/>
  <c r="AG256" i="114"/>
  <c r="AE256" i="114"/>
  <c r="AE253" i="114"/>
  <c r="AF253" i="114" s="1"/>
  <c r="AG232" i="114"/>
  <c r="AE232" i="114"/>
  <c r="AF232" i="114" s="1"/>
  <c r="AG228" i="114"/>
  <c r="AE228" i="114"/>
  <c r="AG224" i="114"/>
  <c r="AE224" i="114"/>
  <c r="AF224" i="114" s="1"/>
  <c r="AG220" i="114"/>
  <c r="AE220" i="114"/>
  <c r="AG216" i="114"/>
  <c r="AE216" i="114"/>
  <c r="AI197" i="114"/>
  <c r="AE197" i="114"/>
  <c r="AE193" i="114"/>
  <c r="AF193" i="114" s="1"/>
  <c r="AI189" i="114"/>
  <c r="AE189" i="114"/>
  <c r="AI158" i="114"/>
  <c r="AE158" i="114"/>
  <c r="AI123" i="114"/>
  <c r="AE123" i="114"/>
  <c r="AF123" i="114" s="1"/>
  <c r="AI119" i="114"/>
  <c r="AE119" i="114"/>
  <c r="AI115" i="114"/>
  <c r="AE115" i="114"/>
  <c r="AF115" i="114" s="1"/>
  <c r="AE109" i="114"/>
  <c r="AF109" i="114" s="1"/>
  <c r="AI63" i="114"/>
  <c r="AE63" i="114"/>
  <c r="AF63" i="114" s="1"/>
  <c r="AG47" i="114"/>
  <c r="AE47" i="114"/>
  <c r="AI40" i="114"/>
  <c r="AE40" i="114"/>
  <c r="AF40" i="114" s="1"/>
  <c r="AI30" i="114"/>
  <c r="AE30" i="114"/>
  <c r="AE27" i="114"/>
  <c r="AF27" i="114" s="1"/>
  <c r="AE23" i="114"/>
  <c r="AF23" i="114" s="1"/>
  <c r="AI20" i="114"/>
  <c r="AE20" i="114"/>
  <c r="AG17" i="114"/>
  <c r="AI15" i="114"/>
  <c r="AE15" i="114"/>
  <c r="AI12" i="114"/>
  <c r="AE12" i="114"/>
  <c r="AI8" i="114"/>
  <c r="AE8" i="114"/>
  <c r="AG1585" i="115"/>
  <c r="AE1585" i="115"/>
  <c r="AG1569" i="115"/>
  <c r="AE1569" i="115"/>
  <c r="AG1553" i="115"/>
  <c r="AE1553" i="115"/>
  <c r="AG1537" i="115"/>
  <c r="AE1537" i="115"/>
  <c r="AG1521" i="115"/>
  <c r="AE1521" i="115"/>
  <c r="AG1505" i="115"/>
  <c r="AE1505" i="115"/>
  <c r="AG1489" i="115"/>
  <c r="AE1489" i="115"/>
  <c r="AG1482" i="115"/>
  <c r="AE1482" i="115"/>
  <c r="AF1482" i="115" s="1"/>
  <c r="AG1472" i="115"/>
  <c r="AE1472" i="115"/>
  <c r="AG1470" i="115"/>
  <c r="AE1470" i="115"/>
  <c r="AF1470" i="115" s="1"/>
  <c r="AE1467" i="115"/>
  <c r="AF1467" i="115" s="1"/>
  <c r="AI1464" i="115"/>
  <c r="AG1463" i="115"/>
  <c r="AE1459" i="115"/>
  <c r="AF1459" i="115" s="1"/>
  <c r="AI1456" i="115"/>
  <c r="AG1450" i="115"/>
  <c r="AE1450" i="115"/>
  <c r="AG1440" i="115"/>
  <c r="AE1440" i="115"/>
  <c r="AF1440" i="115" s="1"/>
  <c r="AG1438" i="115"/>
  <c r="AE1438" i="115"/>
  <c r="AE1435" i="115"/>
  <c r="AF1435" i="115" s="1"/>
  <c r="AI1432" i="115"/>
  <c r="AG1431" i="115"/>
  <c r="AI1388" i="115"/>
  <c r="AE1388" i="115"/>
  <c r="AF1388" i="115" s="1"/>
  <c r="AI1379" i="115"/>
  <c r="AI1364" i="115"/>
  <c r="AE1364" i="115"/>
  <c r="AI1354" i="115"/>
  <c r="AE1354" i="115"/>
  <c r="AF1345" i="115"/>
  <c r="AE1345" i="115"/>
  <c r="AI1342" i="115"/>
  <c r="AG1341" i="115"/>
  <c r="AG1339" i="115"/>
  <c r="AE1339" i="115"/>
  <c r="AG1334" i="115"/>
  <c r="AE1334" i="115"/>
  <c r="AF1334" i="115" s="1"/>
  <c r="AG1315" i="115"/>
  <c r="AE1315" i="115"/>
  <c r="AG1303" i="115"/>
  <c r="AE1303" i="115"/>
  <c r="AI1301" i="115"/>
  <c r="AG1298" i="115"/>
  <c r="AE1298" i="115"/>
  <c r="AG1294" i="115"/>
  <c r="AE1294" i="115"/>
  <c r="AG1283" i="115"/>
  <c r="AE1283" i="115"/>
  <c r="AE1281" i="115"/>
  <c r="AF1281" i="115" s="1"/>
  <c r="AI1278" i="115"/>
  <c r="AG1277" i="115"/>
  <c r="AG1258" i="115"/>
  <c r="AE1258" i="115"/>
  <c r="AG1243" i="115"/>
  <c r="AE1243" i="115"/>
  <c r="AG1238" i="115"/>
  <c r="AE1238" i="115"/>
  <c r="AF1238" i="115" s="1"/>
  <c r="AG1230" i="115"/>
  <c r="AE1230" i="115"/>
  <c r="AF1230" i="115" s="1"/>
  <c r="AG1215" i="115"/>
  <c r="AE1215" i="115"/>
  <c r="AE1206" i="115"/>
  <c r="AF1206" i="115" s="1"/>
  <c r="AI1204" i="115"/>
  <c r="AE1204" i="115"/>
  <c r="AI1203" i="115"/>
  <c r="AE1203" i="115"/>
  <c r="AF1203" i="115" s="1"/>
  <c r="AI1197" i="115"/>
  <c r="AI1196" i="115"/>
  <c r="AE1196" i="115"/>
  <c r="AI1191" i="115"/>
  <c r="AE1191" i="115"/>
  <c r="AG1189" i="115"/>
  <c r="AI1187" i="115"/>
  <c r="AI1183" i="115"/>
  <c r="AE1183" i="115"/>
  <c r="AI1181" i="115"/>
  <c r="AG1179" i="115"/>
  <c r="AG1171" i="115"/>
  <c r="AE1171" i="115"/>
  <c r="AF1171" i="115" s="1"/>
  <c r="AG1169" i="115"/>
  <c r="AE1169" i="115"/>
  <c r="AG1167" i="115"/>
  <c r="AG1161" i="115"/>
  <c r="AI1160" i="115"/>
  <c r="AE1160" i="115"/>
  <c r="AI1151" i="115"/>
  <c r="AG1150" i="115"/>
  <c r="AE1150" i="115"/>
  <c r="AG1147" i="115"/>
  <c r="AE1147" i="115"/>
  <c r="AF1147" i="115" s="1"/>
  <c r="AI1141" i="115"/>
  <c r="AI1140" i="115"/>
  <c r="AE1140" i="115"/>
  <c r="AI1137" i="115"/>
  <c r="AE1137" i="115"/>
  <c r="AF1137" i="115" s="1"/>
  <c r="AG1135" i="115"/>
  <c r="AI1133" i="115"/>
  <c r="AI1129" i="115"/>
  <c r="AI1128" i="115"/>
  <c r="AI1123" i="115"/>
  <c r="AG1117" i="115"/>
  <c r="AG1115" i="115"/>
  <c r="AE1115" i="115"/>
  <c r="AF1115" i="115" s="1"/>
  <c r="AI1113" i="115"/>
  <c r="AI1112" i="115"/>
  <c r="AI1107" i="115"/>
  <c r="AG1101" i="115"/>
  <c r="AG1099" i="115"/>
  <c r="AE1099" i="115"/>
  <c r="AF1099" i="115" s="1"/>
  <c r="AI1097" i="115"/>
  <c r="AI1096" i="115"/>
  <c r="AI1091" i="115"/>
  <c r="AG1085" i="115"/>
  <c r="AG1083" i="115"/>
  <c r="AE1083" i="115"/>
  <c r="AF1083" i="115" s="1"/>
  <c r="AI1081" i="115"/>
  <c r="AI1080" i="115"/>
  <c r="AI1075" i="115"/>
  <c r="AG1069" i="115"/>
  <c r="AG1067" i="115"/>
  <c r="AE1067" i="115"/>
  <c r="AF1067" i="115" s="1"/>
  <c r="AI1065" i="115"/>
  <c r="AI1064" i="115"/>
  <c r="AI1059" i="115"/>
  <c r="AG1053" i="115"/>
  <c r="AG1051" i="115"/>
  <c r="AE1051" i="115"/>
  <c r="AF1051" i="115" s="1"/>
  <c r="AI1049" i="115"/>
  <c r="AI1048" i="115"/>
  <c r="AI1043" i="115"/>
  <c r="AG1037" i="115"/>
  <c r="AG1035" i="115"/>
  <c r="AE1035" i="115"/>
  <c r="AF1035" i="115" s="1"/>
  <c r="AI1033" i="115"/>
  <c r="AI1032" i="115"/>
  <c r="AI1030" i="115"/>
  <c r="AE1030" i="115"/>
  <c r="AI1027" i="115"/>
  <c r="AG1021" i="115"/>
  <c r="AG1019" i="115"/>
  <c r="AE1019" i="115"/>
  <c r="AF1019" i="115" s="1"/>
  <c r="AI1017" i="115"/>
  <c r="AI1016" i="115"/>
  <c r="AI1014" i="115"/>
  <c r="AE1014" i="115"/>
  <c r="AI1011" i="115"/>
  <c r="AG1005" i="115"/>
  <c r="AG1003" i="115"/>
  <c r="AE1003" i="115"/>
  <c r="AF1003" i="115" s="1"/>
  <c r="AI1001" i="115"/>
  <c r="AI1000" i="115"/>
  <c r="AI998" i="115"/>
  <c r="AE998" i="115"/>
  <c r="AI995" i="115"/>
  <c r="AI983" i="115"/>
  <c r="AI979" i="115"/>
  <c r="AI975" i="115"/>
  <c r="AI971" i="115"/>
  <c r="AI967" i="115"/>
  <c r="AI963" i="115"/>
  <c r="AI959" i="115"/>
  <c r="AI955" i="115"/>
  <c r="AI951" i="115"/>
  <c r="AI947" i="115"/>
  <c r="AI943" i="115"/>
  <c r="AI939" i="115"/>
  <c r="AI935" i="115"/>
  <c r="AI931" i="115"/>
  <c r="AI927" i="115"/>
  <c r="AI923" i="115"/>
  <c r="AI919" i="115"/>
  <c r="AI915" i="115"/>
  <c r="AI911" i="115"/>
  <c r="AI907" i="115"/>
  <c r="AI903" i="115"/>
  <c r="AI899" i="115"/>
  <c r="AI895" i="115"/>
  <c r="AI891" i="115"/>
  <c r="AI887" i="115"/>
  <c r="AI883" i="115"/>
  <c r="AI879" i="115"/>
  <c r="AI875" i="115"/>
  <c r="AI871" i="115"/>
  <c r="AI863" i="115"/>
  <c r="AI855" i="115"/>
  <c r="AI847" i="115"/>
  <c r="AI839" i="115"/>
  <c r="AI831" i="115"/>
  <c r="AI823" i="115"/>
  <c r="AI815" i="115"/>
  <c r="AI807" i="115"/>
  <c r="AI799" i="115"/>
  <c r="AI791" i="115"/>
  <c r="AI783" i="115"/>
  <c r="AI775" i="115"/>
  <c r="AI767" i="115"/>
  <c r="AI759" i="115"/>
  <c r="AI751" i="115"/>
  <c r="AI743" i="115"/>
  <c r="AI735" i="115"/>
  <c r="AI727" i="115"/>
  <c r="AI719" i="115"/>
  <c r="AI711" i="115"/>
  <c r="AI702" i="115"/>
  <c r="AI701" i="115"/>
  <c r="AG698" i="115"/>
  <c r="AI696" i="115"/>
  <c r="AI688" i="115"/>
  <c r="AG664" i="115"/>
  <c r="AE664" i="115"/>
  <c r="AF664" i="115" s="1"/>
  <c r="AG656" i="115"/>
  <c r="AI652" i="115"/>
  <c r="AG649" i="115"/>
  <c r="AE649" i="115"/>
  <c r="AF649" i="115" s="1"/>
  <c r="AI638" i="115"/>
  <c r="AI637" i="115"/>
  <c r="AG634" i="115"/>
  <c r="AG633" i="115"/>
  <c r="AE633" i="115"/>
  <c r="AI626" i="115"/>
  <c r="AI616" i="115"/>
  <c r="AI604" i="115"/>
  <c r="AG600" i="115"/>
  <c r="AI599" i="115"/>
  <c r="AI598" i="115"/>
  <c r="AG590" i="115"/>
  <c r="AE590" i="115"/>
  <c r="AF590" i="115" s="1"/>
  <c r="AI588" i="115"/>
  <c r="AG584" i="115"/>
  <c r="AI583" i="115"/>
  <c r="AI582" i="115"/>
  <c r="AG574" i="115"/>
  <c r="AE574" i="115"/>
  <c r="AF574" i="115" s="1"/>
  <c r="AI572" i="115"/>
  <c r="AG568" i="115"/>
  <c r="AG567" i="115"/>
  <c r="AE567" i="115"/>
  <c r="AI557" i="115"/>
  <c r="AG542" i="115"/>
  <c r="AE542" i="115"/>
  <c r="AG539" i="115"/>
  <c r="AE539" i="115"/>
  <c r="AF539" i="115" s="1"/>
  <c r="AI525" i="115"/>
  <c r="AI520" i="115"/>
  <c r="AE520" i="115"/>
  <c r="AI516" i="115"/>
  <c r="AE516" i="115"/>
  <c r="AE503" i="115"/>
  <c r="AF503" i="115" s="1"/>
  <c r="AF501" i="115"/>
  <c r="AE501" i="115"/>
  <c r="AI498" i="115"/>
  <c r="AE498" i="115"/>
  <c r="AI489" i="115"/>
  <c r="AI481" i="115"/>
  <c r="AI477" i="115"/>
  <c r="AI472" i="115"/>
  <c r="AE472" i="115"/>
  <c r="AI461" i="115"/>
  <c r="AI449" i="115"/>
  <c r="AI445" i="115"/>
  <c r="AI440" i="115"/>
  <c r="AE440" i="115"/>
  <c r="AI429" i="115"/>
  <c r="AI417" i="115"/>
  <c r="AI413" i="115"/>
  <c r="AI408" i="115"/>
  <c r="AE408" i="115"/>
  <c r="AI397" i="115"/>
  <c r="AI385" i="115"/>
  <c r="AI381" i="115"/>
  <c r="AI376" i="115"/>
  <c r="AE376" i="115"/>
  <c r="AI368" i="115"/>
  <c r="AE368" i="115"/>
  <c r="AI355" i="115"/>
  <c r="AG351" i="115"/>
  <c r="AG347" i="115"/>
  <c r="AE347" i="115"/>
  <c r="AF347" i="115" s="1"/>
  <c r="AI343" i="115"/>
  <c r="AI342" i="115"/>
  <c r="AE342" i="115"/>
  <c r="AF342" i="115" s="1"/>
  <c r="AG335" i="115"/>
  <c r="AI331" i="115"/>
  <c r="AE331" i="115"/>
  <c r="AG329" i="115"/>
  <c r="AI325" i="115"/>
  <c r="AE325" i="115"/>
  <c r="AG323" i="115"/>
  <c r="AI314" i="115"/>
  <c r="AG305" i="115"/>
  <c r="AE305" i="115"/>
  <c r="AI294" i="115"/>
  <c r="AG292" i="115"/>
  <c r="AG288" i="115"/>
  <c r="AE288" i="115"/>
  <c r="AG282" i="115"/>
  <c r="AF280" i="115"/>
  <c r="AE280" i="115"/>
  <c r="AI276" i="115"/>
  <c r="AI272" i="115"/>
  <c r="AI264" i="115"/>
  <c r="AE264" i="115"/>
  <c r="AG262" i="115"/>
  <c r="AF260" i="115"/>
  <c r="AF256" i="115"/>
  <c r="AG252" i="115"/>
  <c r="AF250" i="115"/>
  <c r="AG246" i="115"/>
  <c r="AI242" i="115"/>
  <c r="AG240" i="115"/>
  <c r="AI236" i="115"/>
  <c r="AG234" i="115"/>
  <c r="AF230" i="115"/>
  <c r="AE230" i="115"/>
  <c r="AF228" i="115"/>
  <c r="AI220" i="115"/>
  <c r="AG218" i="115"/>
  <c r="AG214" i="115"/>
  <c r="AG212" i="115"/>
  <c r="AE212" i="115"/>
  <c r="AF212" i="115" s="1"/>
  <c r="AF210" i="115"/>
  <c r="AI207" i="115"/>
  <c r="AI203" i="115"/>
  <c r="AI202" i="115"/>
  <c r="AE202" i="115"/>
  <c r="AF202" i="115" s="1"/>
  <c r="AI193" i="115"/>
  <c r="AI183" i="115"/>
  <c r="AE183" i="115"/>
  <c r="AF180" i="115"/>
  <c r="AF174" i="115"/>
  <c r="AI171" i="115"/>
  <c r="AG169" i="115"/>
  <c r="AG168" i="115"/>
  <c r="AF155" i="115"/>
  <c r="AI151" i="115"/>
  <c r="AG146" i="115"/>
  <c r="AE146" i="115"/>
  <c r="AF139" i="115"/>
  <c r="AI135" i="115"/>
  <c r="AI133" i="115"/>
  <c r="AG131" i="115"/>
  <c r="AI130" i="115"/>
  <c r="AE130" i="115"/>
  <c r="AI113" i="115"/>
  <c r="AG109" i="115"/>
  <c r="AE109" i="115"/>
  <c r="AI106" i="115"/>
  <c r="AI104" i="115"/>
  <c r="AI103" i="115"/>
  <c r="AG102" i="115"/>
  <c r="AE102" i="115"/>
  <c r="AF101" i="115"/>
  <c r="AG99" i="115"/>
  <c r="AI97" i="115"/>
  <c r="AI96" i="115"/>
  <c r="AG95" i="115"/>
  <c r="AG93" i="115"/>
  <c r="AG91" i="115"/>
  <c r="AI89" i="115"/>
  <c r="AG88" i="115"/>
  <c r="AE88" i="115"/>
  <c r="AG81" i="115"/>
  <c r="AE81" i="115"/>
  <c r="AF81" i="115" s="1"/>
  <c r="AG79" i="115"/>
  <c r="AG69" i="115"/>
  <c r="AI66" i="115"/>
  <c r="AI65" i="115"/>
  <c r="AE65" i="115"/>
  <c r="AF65" i="115" s="1"/>
  <c r="AG62" i="115"/>
  <c r="AG61" i="115"/>
  <c r="AG55" i="115"/>
  <c r="AE55" i="115"/>
  <c r="AF55" i="115" s="1"/>
  <c r="AI53" i="115"/>
  <c r="AI50" i="115"/>
  <c r="AG49" i="115"/>
  <c r="AI35" i="115"/>
  <c r="AE35" i="115"/>
  <c r="AG33" i="115"/>
  <c r="AF31" i="115"/>
  <c r="AI28" i="115"/>
  <c r="AG27" i="115"/>
  <c r="AE25" i="115"/>
  <c r="AF23" i="115"/>
  <c r="AE20" i="115"/>
  <c r="AF20" i="115" s="1"/>
  <c r="AG18" i="115"/>
  <c r="AE18" i="115"/>
  <c r="AE16" i="115"/>
  <c r="AI14" i="115"/>
  <c r="AG13" i="115"/>
  <c r="AG10" i="115"/>
  <c r="AE10" i="115"/>
  <c r="AF13" i="115"/>
  <c r="AG680" i="114"/>
  <c r="AF680" i="114"/>
  <c r="AF550" i="114"/>
  <c r="AI550" i="114"/>
  <c r="AG716" i="114"/>
  <c r="AF716" i="114"/>
  <c r="AF126" i="114"/>
  <c r="AG126" i="114"/>
  <c r="AI1435" i="114"/>
  <c r="AI1416" i="114"/>
  <c r="AF1381" i="114"/>
  <c r="AI1364" i="114"/>
  <c r="AF1360" i="114"/>
  <c r="AG1358" i="114"/>
  <c r="AG1346" i="114"/>
  <c r="AG1330" i="114"/>
  <c r="AG1314" i="114"/>
  <c r="AG1298" i="114"/>
  <c r="AG1282" i="114"/>
  <c r="AG1266" i="114"/>
  <c r="AF1235" i="114"/>
  <c r="AI1227" i="114"/>
  <c r="AG1220" i="114"/>
  <c r="AG1217" i="114"/>
  <c r="AG1213" i="114"/>
  <c r="AI1211" i="114"/>
  <c r="AF1203" i="114"/>
  <c r="AI1198" i="114"/>
  <c r="AG1187" i="114"/>
  <c r="AF1171" i="114"/>
  <c r="AG1166" i="114"/>
  <c r="AF1155" i="114"/>
  <c r="AI1153" i="114"/>
  <c r="AG1150" i="114"/>
  <c r="AG1143" i="114"/>
  <c r="AI1131" i="114"/>
  <c r="AI1127" i="114"/>
  <c r="AI1115" i="114"/>
  <c r="AG1103" i="114"/>
  <c r="AI1095" i="114"/>
  <c r="AF1071" i="114"/>
  <c r="AI1063" i="114"/>
  <c r="AG1051" i="114"/>
  <c r="AG1015" i="114"/>
  <c r="AG1012" i="114"/>
  <c r="AF991" i="114"/>
  <c r="AI967" i="114"/>
  <c r="AG889" i="114"/>
  <c r="AG833" i="114"/>
  <c r="AG796" i="114"/>
  <c r="AF796" i="114"/>
  <c r="AG712" i="114"/>
  <c r="AF712" i="114"/>
  <c r="AG598" i="114"/>
  <c r="AF598" i="114"/>
  <c r="AG564" i="114"/>
  <c r="AG484" i="114"/>
  <c r="AI484" i="114"/>
  <c r="AG480" i="114"/>
  <c r="AG442" i="114"/>
  <c r="AI442" i="114"/>
  <c r="AI431" i="114"/>
  <c r="AG968" i="114"/>
  <c r="AF968" i="114"/>
  <c r="AG754" i="114"/>
  <c r="AF754" i="114"/>
  <c r="AG728" i="114"/>
  <c r="AF728" i="114"/>
  <c r="AF558" i="114"/>
  <c r="AI558" i="114"/>
  <c r="AG543" i="114"/>
  <c r="AF543" i="114"/>
  <c r="AG498" i="114"/>
  <c r="AI498" i="114"/>
  <c r="AI1385" i="114"/>
  <c r="AG1342" i="114"/>
  <c r="AG1326" i="114"/>
  <c r="AG1310" i="114"/>
  <c r="AG1294" i="114"/>
  <c r="AG1278" i="114"/>
  <c r="AG1262" i="114"/>
  <c r="AI1249" i="114"/>
  <c r="AG1245" i="114"/>
  <c r="AI1243" i="114"/>
  <c r="AF1227" i="114"/>
  <c r="AI1225" i="114"/>
  <c r="AG1211" i="114"/>
  <c r="AG1198" i="114"/>
  <c r="AG1188" i="114"/>
  <c r="AI1185" i="114"/>
  <c r="AG1181" i="114"/>
  <c r="AI1179" i="114"/>
  <c r="AI1163" i="114"/>
  <c r="AG1156" i="114"/>
  <c r="AG1153" i="114"/>
  <c r="AF1131" i="114"/>
  <c r="AF1127" i="114"/>
  <c r="AI1122" i="114"/>
  <c r="AI1118" i="114"/>
  <c r="AG1115" i="114"/>
  <c r="AG1106" i="114"/>
  <c r="AI1098" i="114"/>
  <c r="AF1095" i="114"/>
  <c r="AI1083" i="114"/>
  <c r="AG1074" i="114"/>
  <c r="AG1063" i="114"/>
  <c r="AG1054" i="114"/>
  <c r="AI1046" i="114"/>
  <c r="AG960" i="114"/>
  <c r="AG892" i="114"/>
  <c r="AF892" i="114"/>
  <c r="AG888" i="114"/>
  <c r="AG876" i="114"/>
  <c r="AF876" i="114"/>
  <c r="AF843" i="114"/>
  <c r="AG843" i="114"/>
  <c r="AG836" i="114"/>
  <c r="AF836" i="114"/>
  <c r="AG776" i="114"/>
  <c r="AG700" i="114"/>
  <c r="AF700" i="114"/>
  <c r="AG606" i="114"/>
  <c r="AF606" i="114"/>
  <c r="AG563" i="114"/>
  <c r="AF563" i="114"/>
  <c r="AG556" i="114"/>
  <c r="AG500" i="114"/>
  <c r="AI500" i="114"/>
  <c r="AG496" i="114"/>
  <c r="AI496" i="114"/>
  <c r="AI459" i="114"/>
  <c r="AF459" i="114"/>
  <c r="AG386" i="114"/>
  <c r="AG226" i="114"/>
  <c r="AF226" i="114"/>
  <c r="AI226" i="114"/>
  <c r="AF923" i="114"/>
  <c r="AG923" i="114"/>
  <c r="AI1426" i="114"/>
  <c r="AF1385" i="114"/>
  <c r="AG1382" i="114"/>
  <c r="AI1380" i="114"/>
  <c r="AF1365" i="114"/>
  <c r="AG1354" i="114"/>
  <c r="AG1338" i="114"/>
  <c r="AG1322" i="114"/>
  <c r="AG1306" i="114"/>
  <c r="AG1290" i="114"/>
  <c r="AG1274" i="114"/>
  <c r="AG1258" i="114"/>
  <c r="AF1249" i="114"/>
  <c r="AF1243" i="114"/>
  <c r="AI1241" i="114"/>
  <c r="AG1221" i="114"/>
  <c r="AG1212" i="114"/>
  <c r="AI1209" i="114"/>
  <c r="AG1206" i="114"/>
  <c r="AF1195" i="114"/>
  <c r="AI1193" i="114"/>
  <c r="AF1185" i="114"/>
  <c r="AF1179" i="114"/>
  <c r="AI1177" i="114"/>
  <c r="AF1163" i="114"/>
  <c r="AI1161" i="114"/>
  <c r="AG1134" i="114"/>
  <c r="AG1122" i="114"/>
  <c r="AG1118" i="114"/>
  <c r="AG1098" i="114"/>
  <c r="AF1083" i="114"/>
  <c r="AG1078" i="114"/>
  <c r="AG1066" i="114"/>
  <c r="AG1046" i="114"/>
  <c r="AG1016" i="114"/>
  <c r="AI1011" i="114"/>
  <c r="AF1011" i="114"/>
  <c r="AI923" i="114"/>
  <c r="AI879" i="114"/>
  <c r="AG808" i="114"/>
  <c r="AI754" i="114"/>
  <c r="AG748" i="114"/>
  <c r="AG732" i="114"/>
  <c r="AF732" i="114"/>
  <c r="AI728" i="114"/>
  <c r="AG696" i="114"/>
  <c r="AF696" i="114"/>
  <c r="AG684" i="114"/>
  <c r="AF684" i="114"/>
  <c r="AI680" i="114"/>
  <c r="AG559" i="114"/>
  <c r="AG555" i="114"/>
  <c r="AI555" i="114"/>
  <c r="AI543" i="114"/>
  <c r="AG482" i="114"/>
  <c r="AI482" i="114"/>
  <c r="AG161" i="114"/>
  <c r="AF161" i="114"/>
  <c r="AI125" i="114"/>
  <c r="AF94" i="114"/>
  <c r="AF79" i="114"/>
  <c r="AG63" i="114"/>
  <c r="AG25" i="114"/>
  <c r="AI899" i="114"/>
  <c r="AI734" i="114"/>
  <c r="AI718" i="114"/>
  <c r="AI686" i="114"/>
  <c r="AF1408" i="114"/>
  <c r="AG1357" i="114"/>
  <c r="AF1348" i="114"/>
  <c r="AG1348" i="114"/>
  <c r="AF1268" i="114"/>
  <c r="AG1268" i="114"/>
  <c r="AF1119" i="114"/>
  <c r="AI1119" i="114"/>
  <c r="AF1099" i="114"/>
  <c r="AI1099" i="114"/>
  <c r="AI1055" i="114"/>
  <c r="AF1055" i="114"/>
  <c r="AF961" i="114"/>
  <c r="AG961" i="114"/>
  <c r="AF935" i="114"/>
  <c r="AF457" i="114"/>
  <c r="AI457" i="114"/>
  <c r="AF377" i="114"/>
  <c r="AG68" i="114"/>
  <c r="AI68" i="114"/>
  <c r="AI1486" i="114"/>
  <c r="AI1483" i="114"/>
  <c r="AI1440" i="114"/>
  <c r="AI1437" i="114"/>
  <c r="AG1420" i="114"/>
  <c r="AG1414" i="114"/>
  <c r="AF1376" i="114"/>
  <c r="AL1600" i="114"/>
  <c r="AF1344" i="114"/>
  <c r="AG1344" i="114"/>
  <c r="AF1328" i="114"/>
  <c r="AG1328" i="114"/>
  <c r="AF1312" i="114"/>
  <c r="AG1312" i="114"/>
  <c r="AF1296" i="114"/>
  <c r="AG1296" i="114"/>
  <c r="AF1280" i="114"/>
  <c r="AG1280" i="114"/>
  <c r="AF1264" i="114"/>
  <c r="AG1264" i="114"/>
  <c r="AG1222" i="114"/>
  <c r="AG1207" i="114"/>
  <c r="AI1207" i="114"/>
  <c r="AG1201" i="114"/>
  <c r="AF1201" i="114"/>
  <c r="AF1191" i="114"/>
  <c r="AI1191" i="114"/>
  <c r="AG1175" i="114"/>
  <c r="AI1175" i="114"/>
  <c r="AG1169" i="114"/>
  <c r="AF1169" i="114"/>
  <c r="AF1159" i="114"/>
  <c r="AI1159" i="114"/>
  <c r="AF1114" i="114"/>
  <c r="AG1114" i="114"/>
  <c r="AG1070" i="114"/>
  <c r="AF1034" i="114"/>
  <c r="AG1034" i="114"/>
  <c r="AG1018" i="114"/>
  <c r="AI996" i="114"/>
  <c r="AG976" i="114"/>
  <c r="AF976" i="114"/>
  <c r="AF943" i="114"/>
  <c r="AF931" i="114"/>
  <c r="AG931" i="114"/>
  <c r="AG916" i="114"/>
  <c r="AF916" i="114"/>
  <c r="AF891" i="114"/>
  <c r="AG891" i="114"/>
  <c r="AI891" i="114"/>
  <c r="AG840" i="114"/>
  <c r="AG616" i="114"/>
  <c r="AF616" i="114"/>
  <c r="AG513" i="114"/>
  <c r="AI513" i="114"/>
  <c r="AG1397" i="114"/>
  <c r="AF1397" i="114"/>
  <c r="AF1316" i="114"/>
  <c r="AG1316" i="114"/>
  <c r="AF1300" i="114"/>
  <c r="AG1300" i="114"/>
  <c r="AG1252" i="114"/>
  <c r="AG1233" i="114"/>
  <c r="AF1233" i="114"/>
  <c r="AI1139" i="114"/>
  <c r="AF1139" i="114"/>
  <c r="AI1135" i="114"/>
  <c r="AF1135" i="114"/>
  <c r="AG1058" i="114"/>
  <c r="AF1050" i="114"/>
  <c r="AG1050" i="114"/>
  <c r="AG1022" i="114"/>
  <c r="AF1006" i="114"/>
  <c r="AG1006" i="114"/>
  <c r="AI1000" i="114"/>
  <c r="AG956" i="114"/>
  <c r="AF956" i="114"/>
  <c r="AF847" i="114"/>
  <c r="AI847" i="114"/>
  <c r="AG828" i="114"/>
  <c r="AF828" i="114"/>
  <c r="AF803" i="114"/>
  <c r="AG803" i="114"/>
  <c r="AF391" i="114"/>
  <c r="AG391" i="114"/>
  <c r="AI391" i="114"/>
  <c r="AG129" i="114"/>
  <c r="AF129" i="114"/>
  <c r="AI1421" i="114"/>
  <c r="AI1417" i="114"/>
  <c r="AF1404" i="114"/>
  <c r="AG1404" i="114"/>
  <c r="AG1389" i="114"/>
  <c r="AG1384" i="114"/>
  <c r="AF1340" i="114"/>
  <c r="AG1340" i="114"/>
  <c r="AF1324" i="114"/>
  <c r="AG1324" i="114"/>
  <c r="AF1308" i="114"/>
  <c r="AG1308" i="114"/>
  <c r="AF1292" i="114"/>
  <c r="AG1292" i="114"/>
  <c r="AF1276" i="114"/>
  <c r="AG1276" i="114"/>
  <c r="AF1260" i="114"/>
  <c r="AG1260" i="114"/>
  <c r="AI1251" i="114"/>
  <c r="AF1251" i="114"/>
  <c r="AF1247" i="114"/>
  <c r="AG1247" i="114"/>
  <c r="AF1215" i="114"/>
  <c r="AG1215" i="114"/>
  <c r="AG1190" i="114"/>
  <c r="AF1158" i="114"/>
  <c r="AG1158" i="114"/>
  <c r="AG1110" i="114"/>
  <c r="AI1107" i="114"/>
  <c r="AF1107" i="114"/>
  <c r="AG1102" i="114"/>
  <c r="AI1079" i="114"/>
  <c r="AF1079" i="114"/>
  <c r="AI1075" i="114"/>
  <c r="AF1075" i="114"/>
  <c r="AF1047" i="114"/>
  <c r="AI1047" i="114"/>
  <c r="AG1030" i="114"/>
  <c r="AG1014" i="114"/>
  <c r="AG984" i="114"/>
  <c r="AG948" i="114"/>
  <c r="AF948" i="114"/>
  <c r="AG924" i="114"/>
  <c r="AF924" i="114"/>
  <c r="AG884" i="114"/>
  <c r="AF884" i="114"/>
  <c r="AI884" i="114"/>
  <c r="AG668" i="114"/>
  <c r="AF668" i="114"/>
  <c r="AG660" i="114"/>
  <c r="AG648" i="114"/>
  <c r="AG636" i="114"/>
  <c r="AF636" i="114"/>
  <c r="AG628" i="114"/>
  <c r="AG586" i="114"/>
  <c r="AF586" i="114"/>
  <c r="AI586" i="114"/>
  <c r="AF1392" i="114"/>
  <c r="AI1392" i="114"/>
  <c r="AG1374" i="114"/>
  <c r="AF1332" i="114"/>
  <c r="AG1332" i="114"/>
  <c r="AF1284" i="114"/>
  <c r="AG1284" i="114"/>
  <c r="AG1239" i="114"/>
  <c r="AI1239" i="114"/>
  <c r="AF1223" i="114"/>
  <c r="AI1223" i="114"/>
  <c r="AF1182" i="114"/>
  <c r="AG1182" i="114"/>
  <c r="AG1142" i="114"/>
  <c r="AF1094" i="114"/>
  <c r="AG1094" i="114"/>
  <c r="AG1090" i="114"/>
  <c r="AF1087" i="114"/>
  <c r="AI1087" i="114"/>
  <c r="AG1082" i="114"/>
  <c r="AG1038" i="114"/>
  <c r="AF983" i="114"/>
  <c r="AI983" i="114"/>
  <c r="AF911" i="114"/>
  <c r="AF460" i="114"/>
  <c r="AG460" i="114"/>
  <c r="AI460" i="114"/>
  <c r="AG102" i="114"/>
  <c r="AG23" i="114"/>
  <c r="AI23" i="114"/>
  <c r="AI1598" i="114"/>
  <c r="AI1511" i="114"/>
  <c r="AI1433" i="114"/>
  <c r="AI1430" i="114"/>
  <c r="AI1424" i="114"/>
  <c r="AF1421" i="114"/>
  <c r="AF1417" i="114"/>
  <c r="AF1413" i="114"/>
  <c r="AF1406" i="114"/>
  <c r="AG1406" i="114"/>
  <c r="AI1397" i="114"/>
  <c r="AG1390" i="114"/>
  <c r="AF1384" i="114"/>
  <c r="AF1377" i="114"/>
  <c r="AI1357" i="114"/>
  <c r="AF1352" i="114"/>
  <c r="AG1352" i="114"/>
  <c r="AF1336" i="114"/>
  <c r="AG1336" i="114"/>
  <c r="AF1320" i="114"/>
  <c r="AG1320" i="114"/>
  <c r="AF1304" i="114"/>
  <c r="AG1304" i="114"/>
  <c r="AF1288" i="114"/>
  <c r="AG1288" i="114"/>
  <c r="AF1272" i="114"/>
  <c r="AG1272" i="114"/>
  <c r="AF1256" i="114"/>
  <c r="AG1256" i="114"/>
  <c r="AG1246" i="114"/>
  <c r="AI1233" i="114"/>
  <c r="AG1214" i="114"/>
  <c r="AF1183" i="114"/>
  <c r="AG1183" i="114"/>
  <c r="AG1151" i="114"/>
  <c r="AF1151" i="114"/>
  <c r="AG1146" i="114"/>
  <c r="AI1142" i="114"/>
  <c r="AG1139" i="114"/>
  <c r="AG1135" i="114"/>
  <c r="AF1130" i="114"/>
  <c r="AG1130" i="114"/>
  <c r="AG1126" i="114"/>
  <c r="AF1123" i="114"/>
  <c r="AI1123" i="114"/>
  <c r="AG1119" i="114"/>
  <c r="AG1099" i="114"/>
  <c r="AI1094" i="114"/>
  <c r="AI1090" i="114"/>
  <c r="AG1087" i="114"/>
  <c r="AI1082" i="114"/>
  <c r="AI1067" i="114"/>
  <c r="AF1067" i="114"/>
  <c r="AG1062" i="114"/>
  <c r="AI1058" i="114"/>
  <c r="AG1055" i="114"/>
  <c r="AI1050" i="114"/>
  <c r="AF1043" i="114"/>
  <c r="AI1043" i="114"/>
  <c r="AI1038" i="114"/>
  <c r="AG1026" i="114"/>
  <c r="AI1022" i="114"/>
  <c r="AG1010" i="114"/>
  <c r="AI1006" i="114"/>
  <c r="AF1004" i="114"/>
  <c r="AI1004" i="114"/>
  <c r="AG1000" i="114"/>
  <c r="AG983" i="114"/>
  <c r="AI975" i="114"/>
  <c r="AI956" i="114"/>
  <c r="AI935" i="114"/>
  <c r="AG929" i="114"/>
  <c r="AG921" i="114"/>
  <c r="AI911" i="114"/>
  <c r="AG592" i="114"/>
  <c r="AF592" i="114"/>
  <c r="AF904" i="114"/>
  <c r="AG897" i="114"/>
  <c r="AG883" i="114"/>
  <c r="AG881" i="114"/>
  <c r="AF879" i="114"/>
  <c r="AG865" i="114"/>
  <c r="AG857" i="114"/>
  <c r="AF855" i="114"/>
  <c r="AG841" i="114"/>
  <c r="AG825" i="114"/>
  <c r="AF811" i="114"/>
  <c r="AG811" i="114"/>
  <c r="AF791" i="114"/>
  <c r="AG777" i="114"/>
  <c r="AG772" i="114"/>
  <c r="AF772" i="114"/>
  <c r="AG769" i="114"/>
  <c r="AG706" i="114"/>
  <c r="AG662" i="114"/>
  <c r="AF662" i="114"/>
  <c r="AG656" i="114"/>
  <c r="AF656" i="114"/>
  <c r="AG650" i="114"/>
  <c r="AF650" i="114"/>
  <c r="AG630" i="114"/>
  <c r="AF630" i="114"/>
  <c r="AG624" i="114"/>
  <c r="AF624" i="114"/>
  <c r="AG618" i="114"/>
  <c r="AF618" i="114"/>
  <c r="AG610" i="114"/>
  <c r="AF610" i="114"/>
  <c r="AG588" i="114"/>
  <c r="AF588" i="114"/>
  <c r="AG575" i="114"/>
  <c r="AF575" i="114"/>
  <c r="AG507" i="114"/>
  <c r="AF507" i="114"/>
  <c r="AI507" i="114"/>
  <c r="AF450" i="114"/>
  <c r="AG450" i="114"/>
  <c r="AI450" i="114"/>
  <c r="AI433" i="114"/>
  <c r="AG411" i="114"/>
  <c r="AI411" i="114"/>
  <c r="AG398" i="114"/>
  <c r="AI398" i="114"/>
  <c r="AG246" i="114"/>
  <c r="AI246" i="114"/>
  <c r="AG236" i="114"/>
  <c r="AF236" i="114"/>
  <c r="AG37" i="114"/>
  <c r="AI37" i="114"/>
  <c r="AF759" i="114"/>
  <c r="AG750" i="114"/>
  <c r="AF750" i="114"/>
  <c r="AI750" i="114"/>
  <c r="AG664" i="114"/>
  <c r="AG652" i="114"/>
  <c r="AF652" i="114"/>
  <c r="AG644" i="114"/>
  <c r="AG632" i="114"/>
  <c r="AF632" i="114"/>
  <c r="AG620" i="114"/>
  <c r="AF620" i="114"/>
  <c r="AG612" i="114"/>
  <c r="AF612" i="114"/>
  <c r="AG582" i="114"/>
  <c r="AF554" i="114"/>
  <c r="AG554" i="114"/>
  <c r="AI554" i="114"/>
  <c r="AG523" i="114"/>
  <c r="AF523" i="114"/>
  <c r="AI523" i="114"/>
  <c r="AF453" i="114"/>
  <c r="AI453" i="114"/>
  <c r="AG263" i="114"/>
  <c r="AG242" i="114"/>
  <c r="AF242" i="114"/>
  <c r="AI242" i="114"/>
  <c r="AF174" i="114"/>
  <c r="AG174" i="114"/>
  <c r="AI174" i="114"/>
  <c r="AG145" i="114"/>
  <c r="AF145" i="114"/>
  <c r="AF33" i="114"/>
  <c r="AG33" i="114"/>
  <c r="AI33" i="114"/>
  <c r="AI9" i="114"/>
  <c r="AF9" i="114"/>
  <c r="AG9" i="114"/>
  <c r="AI1365" i="114"/>
  <c r="AI1361" i="114"/>
  <c r="AG1360" i="114"/>
  <c r="AI1235" i="114"/>
  <c r="AI1230" i="114"/>
  <c r="AI1206" i="114"/>
  <c r="AI1195" i="114"/>
  <c r="AI1171" i="114"/>
  <c r="AI1166" i="114"/>
  <c r="AI1138" i="114"/>
  <c r="AI1134" i="114"/>
  <c r="AI1106" i="114"/>
  <c r="AI1078" i="114"/>
  <c r="AI1074" i="114"/>
  <c r="AI1066" i="114"/>
  <c r="AI1054" i="114"/>
  <c r="AI992" i="114"/>
  <c r="AG991" i="114"/>
  <c r="AI968" i="114"/>
  <c r="AI963" i="114"/>
  <c r="AI936" i="114"/>
  <c r="AI928" i="114"/>
  <c r="AI903" i="114"/>
  <c r="AI896" i="114"/>
  <c r="AI892" i="114"/>
  <c r="AI871" i="114"/>
  <c r="AI848" i="114"/>
  <c r="AG809" i="114"/>
  <c r="AG804" i="114"/>
  <c r="AF804" i="114"/>
  <c r="AF779" i="114"/>
  <c r="AG779" i="114"/>
  <c r="AG764" i="114"/>
  <c r="AF764" i="114"/>
  <c r="AG738" i="114"/>
  <c r="AF738" i="114"/>
  <c r="AG722" i="114"/>
  <c r="AF722" i="114"/>
  <c r="AG690" i="114"/>
  <c r="AF690" i="114"/>
  <c r="AG672" i="114"/>
  <c r="AF672" i="114"/>
  <c r="AG666" i="114"/>
  <c r="AF666" i="114"/>
  <c r="AG646" i="114"/>
  <c r="AF646" i="114"/>
  <c r="AG640" i="114"/>
  <c r="AF640" i="114"/>
  <c r="AG634" i="114"/>
  <c r="AF634" i="114"/>
  <c r="AG614" i="114"/>
  <c r="AG602" i="114"/>
  <c r="AF602" i="114"/>
  <c r="AI602" i="114"/>
  <c r="AF538" i="114"/>
  <c r="AG538" i="114"/>
  <c r="AI538" i="114"/>
  <c r="AG494" i="114"/>
  <c r="AI494" i="114"/>
  <c r="AG465" i="114"/>
  <c r="AF465" i="114"/>
  <c r="AF241" i="114"/>
  <c r="AI241" i="114"/>
  <c r="AG241" i="114"/>
  <c r="AI21" i="114"/>
  <c r="AF21" i="114"/>
  <c r="AG21" i="114"/>
  <c r="AF718" i="114"/>
  <c r="AF702" i="114"/>
  <c r="AF686" i="114"/>
  <c r="AI606" i="114"/>
  <c r="AI598" i="114"/>
  <c r="AG584" i="114"/>
  <c r="AF584" i="114"/>
  <c r="AF566" i="114"/>
  <c r="AI566" i="114"/>
  <c r="AF532" i="114"/>
  <c r="AG532" i="114"/>
  <c r="AG502" i="114"/>
  <c r="AI502" i="114"/>
  <c r="AG479" i="114"/>
  <c r="AF479" i="114"/>
  <c r="AI449" i="114"/>
  <c r="AF427" i="114"/>
  <c r="AG427" i="114"/>
  <c r="AG420" i="114"/>
  <c r="AF420" i="114"/>
  <c r="AF225" i="114"/>
  <c r="AG225" i="114"/>
  <c r="AF221" i="114"/>
  <c r="AI221" i="114"/>
  <c r="AG199" i="114"/>
  <c r="AF199" i="114"/>
  <c r="AG153" i="114"/>
  <c r="AF153" i="114"/>
  <c r="AF107" i="114"/>
  <c r="AG107" i="114"/>
  <c r="AI67" i="114"/>
  <c r="AG67" i="114"/>
  <c r="AG49" i="114"/>
  <c r="AI49" i="114"/>
  <c r="AG19" i="114"/>
  <c r="AF19" i="114"/>
  <c r="AI771" i="114"/>
  <c r="AF748" i="114"/>
  <c r="AI744" i="114"/>
  <c r="AG573" i="114"/>
  <c r="AF573" i="114"/>
  <c r="AG548" i="114"/>
  <c r="AG527" i="114"/>
  <c r="AF527" i="114"/>
  <c r="AG511" i="114"/>
  <c r="AF511" i="114"/>
  <c r="AI511" i="114"/>
  <c r="AG486" i="114"/>
  <c r="AI486" i="114"/>
  <c r="AF478" i="114"/>
  <c r="AI478" i="114"/>
  <c r="AF454" i="114"/>
  <c r="AI454" i="114"/>
  <c r="AG441" i="114"/>
  <c r="AG434" i="114"/>
  <c r="AI434" i="114"/>
  <c r="AG41" i="114"/>
  <c r="AI41" i="114"/>
  <c r="AI31" i="114"/>
  <c r="AG31" i="114"/>
  <c r="AI400" i="114"/>
  <c r="AG243" i="114"/>
  <c r="AI126" i="114"/>
  <c r="AG39" i="114"/>
  <c r="AI1546" i="114"/>
  <c r="AI1412" i="114"/>
  <c r="AI1405" i="114"/>
  <c r="AI1400" i="114"/>
  <c r="AI1393" i="114"/>
  <c r="AI1376" i="114"/>
  <c r="AI1373" i="114"/>
  <c r="AI1369" i="114"/>
  <c r="AG1368" i="114"/>
  <c r="AG1237" i="114"/>
  <c r="AG1236" i="114"/>
  <c r="AG1231" i="114"/>
  <c r="AG1229" i="114"/>
  <c r="AG1228" i="114"/>
  <c r="AG1205" i="114"/>
  <c r="AG1204" i="114"/>
  <c r="AG1199" i="114"/>
  <c r="AG1197" i="114"/>
  <c r="AG1196" i="114"/>
  <c r="AG1173" i="114"/>
  <c r="AG1172" i="114"/>
  <c r="AG1167" i="114"/>
  <c r="AG1165" i="114"/>
  <c r="AG1164" i="114"/>
  <c r="AG1152" i="114"/>
  <c r="AF1145" i="114"/>
  <c r="AG1145" i="114"/>
  <c r="AG1140" i="114"/>
  <c r="AI1140" i="114"/>
  <c r="AF1129" i="114"/>
  <c r="AG1129" i="114"/>
  <c r="AG1124" i="114"/>
  <c r="AI1124" i="114"/>
  <c r="AF1113" i="114"/>
  <c r="AG1113" i="114"/>
  <c r="AG1108" i="114"/>
  <c r="AI1108" i="114"/>
  <c r="AF1101" i="114"/>
  <c r="AG1101" i="114"/>
  <c r="AG1096" i="114"/>
  <c r="AI1096" i="114"/>
  <c r="AF1085" i="114"/>
  <c r="AG1085" i="114"/>
  <c r="AG1080" i="114"/>
  <c r="AI1080" i="114"/>
  <c r="AF1069" i="114"/>
  <c r="AG1069" i="114"/>
  <c r="AG1064" i="114"/>
  <c r="AI1064" i="114"/>
  <c r="AF1053" i="114"/>
  <c r="AG1053" i="114"/>
  <c r="AG1048" i="114"/>
  <c r="AI1048" i="114"/>
  <c r="AI1564" i="114"/>
  <c r="AI1487" i="114"/>
  <c r="AI1439" i="114"/>
  <c r="AI1428" i="114"/>
  <c r="AI1420" i="114"/>
  <c r="AI1413" i="114"/>
  <c r="AG1412" i="114"/>
  <c r="AI1408" i="114"/>
  <c r="AI1401" i="114"/>
  <c r="AF1400" i="114"/>
  <c r="AG1398" i="114"/>
  <c r="AJ1600" i="114"/>
  <c r="AI1388" i="114"/>
  <c r="AI1384" i="114"/>
  <c r="AI1381" i="114"/>
  <c r="AI1377" i="114"/>
  <c r="AG1376" i="114"/>
  <c r="AF1369" i="114"/>
  <c r="AF1368" i="114"/>
  <c r="AG1366" i="114"/>
  <c r="AI1356" i="114"/>
  <c r="AI1354" i="114"/>
  <c r="AI1352" i="114"/>
  <c r="AI1350" i="114"/>
  <c r="AI1348" i="114"/>
  <c r="AI1346" i="114"/>
  <c r="AI1344" i="114"/>
  <c r="AI1342" i="114"/>
  <c r="AI1340" i="114"/>
  <c r="AI1338" i="114"/>
  <c r="AI1336" i="114"/>
  <c r="AI1334" i="114"/>
  <c r="AI1332" i="114"/>
  <c r="AI1330" i="114"/>
  <c r="AI1328" i="114"/>
  <c r="AI1326" i="114"/>
  <c r="AI1324" i="114"/>
  <c r="AI1322" i="114"/>
  <c r="AI1320" i="114"/>
  <c r="AI1318" i="114"/>
  <c r="AI1316" i="114"/>
  <c r="AI1314" i="114"/>
  <c r="AI1312" i="114"/>
  <c r="AI1310" i="114"/>
  <c r="AI1308" i="114"/>
  <c r="AI1306" i="114"/>
  <c r="AI1304" i="114"/>
  <c r="AI1302" i="114"/>
  <c r="AI1300" i="114"/>
  <c r="AI1298" i="114"/>
  <c r="AI1296" i="114"/>
  <c r="AI1294" i="114"/>
  <c r="AI1292" i="114"/>
  <c r="AI1290" i="114"/>
  <c r="AI1288" i="114"/>
  <c r="AI1286" i="114"/>
  <c r="AI1284" i="114"/>
  <c r="AI1282" i="114"/>
  <c r="AI1280" i="114"/>
  <c r="AI1278" i="114"/>
  <c r="AI1276" i="114"/>
  <c r="AI1274" i="114"/>
  <c r="AI1272" i="114"/>
  <c r="AI1270" i="114"/>
  <c r="AI1268" i="114"/>
  <c r="AI1266" i="114"/>
  <c r="AI1264" i="114"/>
  <c r="AI1262" i="114"/>
  <c r="AI1260" i="114"/>
  <c r="AI1258" i="114"/>
  <c r="AI1256" i="114"/>
  <c r="AI1254" i="114"/>
  <c r="AI1252" i="114"/>
  <c r="AI1247" i="114"/>
  <c r="AI1246" i="114"/>
  <c r="AI1245" i="114"/>
  <c r="AI1244" i="114"/>
  <c r="AF1239" i="114"/>
  <c r="AF1229" i="114"/>
  <c r="AG1225" i="114"/>
  <c r="AG1223" i="114"/>
  <c r="AI1222" i="114"/>
  <c r="AI1221" i="114"/>
  <c r="AI1220" i="114"/>
  <c r="AI1215" i="114"/>
  <c r="AI1214" i="114"/>
  <c r="AI1213" i="114"/>
  <c r="AI1212" i="114"/>
  <c r="AF1209" i="114"/>
  <c r="AF1207" i="114"/>
  <c r="AF1205" i="114"/>
  <c r="AF1199" i="114"/>
  <c r="AF1197" i="114"/>
  <c r="AG1193" i="114"/>
  <c r="AG1191" i="114"/>
  <c r="AI1190" i="114"/>
  <c r="AI1189" i="114"/>
  <c r="AI1188" i="114"/>
  <c r="AI1183" i="114"/>
  <c r="AI1182" i="114"/>
  <c r="AI1181" i="114"/>
  <c r="AI1180" i="114"/>
  <c r="AF1175" i="114"/>
  <c r="AF1173" i="114"/>
  <c r="AF1167" i="114"/>
  <c r="AF1165" i="114"/>
  <c r="AG1161" i="114"/>
  <c r="AG1159" i="114"/>
  <c r="AI1158" i="114"/>
  <c r="AI1157" i="114"/>
  <c r="AI1156" i="114"/>
  <c r="AI1150" i="114"/>
  <c r="AF1141" i="114"/>
  <c r="AG1141" i="114"/>
  <c r="AG1136" i="114"/>
  <c r="AI1136" i="114"/>
  <c r="AF1125" i="114"/>
  <c r="AG1125" i="114"/>
  <c r="AG1120" i="114"/>
  <c r="AI1120" i="114"/>
  <c r="AF1109" i="114"/>
  <c r="AG1109" i="114"/>
  <c r="AG1104" i="114"/>
  <c r="AI1104" i="114"/>
  <c r="AF1097" i="114"/>
  <c r="AG1097" i="114"/>
  <c r="AG1092" i="114"/>
  <c r="AI1092" i="114"/>
  <c r="AF1081" i="114"/>
  <c r="AG1081" i="114"/>
  <c r="AG1076" i="114"/>
  <c r="AI1076" i="114"/>
  <c r="AF1065" i="114"/>
  <c r="AG1065" i="114"/>
  <c r="AG1060" i="114"/>
  <c r="AI1060" i="114"/>
  <c r="AF1049" i="114"/>
  <c r="AG1049" i="114"/>
  <c r="AG1044" i="114"/>
  <c r="AI1044" i="114"/>
  <c r="AG1148" i="114"/>
  <c r="AI1148" i="114"/>
  <c r="AF1137" i="114"/>
  <c r="AG1137" i="114"/>
  <c r="AG1132" i="114"/>
  <c r="AI1132" i="114"/>
  <c r="AF1121" i="114"/>
  <c r="AG1121" i="114"/>
  <c r="AG1116" i="114"/>
  <c r="AI1116" i="114"/>
  <c r="AF1105" i="114"/>
  <c r="AG1105" i="114"/>
  <c r="AF1093" i="114"/>
  <c r="AG1093" i="114"/>
  <c r="AG1088" i="114"/>
  <c r="AI1088" i="114"/>
  <c r="AF1077" i="114"/>
  <c r="AG1077" i="114"/>
  <c r="AG1072" i="114"/>
  <c r="AI1072" i="114"/>
  <c r="AF1061" i="114"/>
  <c r="AG1061" i="114"/>
  <c r="AG1056" i="114"/>
  <c r="AI1056" i="114"/>
  <c r="AF1045" i="114"/>
  <c r="AG1045" i="114"/>
  <c r="AG1040" i="114"/>
  <c r="AI1040" i="114"/>
  <c r="AK1600" i="114"/>
  <c r="AI1368" i="114"/>
  <c r="AF1149" i="114"/>
  <c r="AG1149" i="114"/>
  <c r="AI1145" i="114"/>
  <c r="AG1144" i="114"/>
  <c r="AI1144" i="114"/>
  <c r="AF1140" i="114"/>
  <c r="AF1133" i="114"/>
  <c r="AG1133" i="114"/>
  <c r="AI1129" i="114"/>
  <c r="AG1128" i="114"/>
  <c r="AI1128" i="114"/>
  <c r="AF1117" i="114"/>
  <c r="AG1117" i="114"/>
  <c r="AI1113" i="114"/>
  <c r="AG1112" i="114"/>
  <c r="AI1112" i="114"/>
  <c r="AF1108" i="114"/>
  <c r="AG1100" i="114"/>
  <c r="AI1100" i="114"/>
  <c r="AF1089" i="114"/>
  <c r="AG1089" i="114"/>
  <c r="AG1084" i="114"/>
  <c r="AI1084" i="114"/>
  <c r="AF1073" i="114"/>
  <c r="AG1073" i="114"/>
  <c r="AG1068" i="114"/>
  <c r="AI1068" i="114"/>
  <c r="AG1057" i="114"/>
  <c r="AG1052" i="114"/>
  <c r="AI1052" i="114"/>
  <c r="AF1041" i="114"/>
  <c r="AG1041" i="114"/>
  <c r="AF1037" i="114"/>
  <c r="AG1037" i="114"/>
  <c r="AI1037" i="114"/>
  <c r="AF1033" i="114"/>
  <c r="AG1033" i="114"/>
  <c r="AI1033" i="114"/>
  <c r="AF1029" i="114"/>
  <c r="AG1029" i="114"/>
  <c r="AI1029" i="114"/>
  <c r="AF1025" i="114"/>
  <c r="AG1025" i="114"/>
  <c r="AI1025" i="114"/>
  <c r="AF1021" i="114"/>
  <c r="AG1021" i="114"/>
  <c r="AI1021" i="114"/>
  <c r="AF1017" i="114"/>
  <c r="AG1017" i="114"/>
  <c r="AI1017" i="114"/>
  <c r="AF1013" i="114"/>
  <c r="AG1013" i="114"/>
  <c r="AI1013" i="114"/>
  <c r="AF1009" i="114"/>
  <c r="AG1009" i="114"/>
  <c r="AI1009" i="114"/>
  <c r="AF1005" i="114"/>
  <c r="AG1005" i="114"/>
  <c r="AI1005" i="114"/>
  <c r="AF979" i="114"/>
  <c r="AG969" i="114"/>
  <c r="AG952" i="114"/>
  <c r="AI952" i="114"/>
  <c r="AF939" i="114"/>
  <c r="AI939" i="114"/>
  <c r="AG939" i="114"/>
  <c r="AG932" i="114"/>
  <c r="AI932" i="114"/>
  <c r="AF932" i="114"/>
  <c r="AF927" i="114"/>
  <c r="AI927" i="114"/>
  <c r="AG912" i="114"/>
  <c r="AI912" i="114"/>
  <c r="AF912" i="114"/>
  <c r="AG908" i="114"/>
  <c r="AI908" i="114"/>
  <c r="AG905" i="114"/>
  <c r="AF887" i="114"/>
  <c r="AI887" i="114"/>
  <c r="AG852" i="114"/>
  <c r="AI852" i="114"/>
  <c r="AF852" i="114"/>
  <c r="AG793" i="114"/>
  <c r="AF767" i="114"/>
  <c r="AI767" i="114"/>
  <c r="AI1036" i="114"/>
  <c r="AI1032" i="114"/>
  <c r="AI1028" i="114"/>
  <c r="AI1024" i="114"/>
  <c r="AI1020" i="114"/>
  <c r="AI1016" i="114"/>
  <c r="AI1012" i="114"/>
  <c r="AI1008" i="114"/>
  <c r="AI1003" i="114"/>
  <c r="AI1002" i="114"/>
  <c r="AG1001" i="114"/>
  <c r="AI999" i="114"/>
  <c r="AI998" i="114"/>
  <c r="AG997" i="114"/>
  <c r="AI995" i="114"/>
  <c r="AI994" i="114"/>
  <c r="AG993" i="114"/>
  <c r="AG988" i="114"/>
  <c r="AI988" i="114"/>
  <c r="AF971" i="114"/>
  <c r="AG971" i="114"/>
  <c r="AF967" i="114"/>
  <c r="AI955" i="114"/>
  <c r="AG953" i="114"/>
  <c r="AG945" i="114"/>
  <c r="AF907" i="114"/>
  <c r="AI907" i="114"/>
  <c r="AG907" i="114"/>
  <c r="AG900" i="114"/>
  <c r="AI900" i="114"/>
  <c r="AF900" i="114"/>
  <c r="AG880" i="114"/>
  <c r="AI880" i="114"/>
  <c r="AG873" i="114"/>
  <c r="AG864" i="114"/>
  <c r="AI864" i="114"/>
  <c r="AG856" i="114"/>
  <c r="AI856" i="114"/>
  <c r="AI807" i="114"/>
  <c r="AF807" i="114"/>
  <c r="AF795" i="114"/>
  <c r="AI795" i="114"/>
  <c r="AG795" i="114"/>
  <c r="AG740" i="114"/>
  <c r="AF740" i="114"/>
  <c r="AI740" i="114"/>
  <c r="AG736" i="114"/>
  <c r="AF736" i="114"/>
  <c r="AI736" i="114"/>
  <c r="AG1003" i="114"/>
  <c r="AG999" i="114"/>
  <c r="AF997" i="114"/>
  <c r="AG995" i="114"/>
  <c r="AF994" i="114"/>
  <c r="AG985" i="114"/>
  <c r="AG980" i="114"/>
  <c r="AI980" i="114"/>
  <c r="AG964" i="114"/>
  <c r="AF964" i="114"/>
  <c r="AF959" i="114"/>
  <c r="AI959" i="114"/>
  <c r="AG955" i="114"/>
  <c r="AF951" i="114"/>
  <c r="AI947" i="114"/>
  <c r="AG920" i="114"/>
  <c r="AI920" i="114"/>
  <c r="AG913" i="114"/>
  <c r="AF875" i="114"/>
  <c r="AI875" i="114"/>
  <c r="AG875" i="114"/>
  <c r="AG868" i="114"/>
  <c r="AI868" i="114"/>
  <c r="AF868" i="114"/>
  <c r="AG860" i="114"/>
  <c r="AI860" i="114"/>
  <c r="AF860" i="114"/>
  <c r="AF835" i="114"/>
  <c r="AI835" i="114"/>
  <c r="AG835" i="114"/>
  <c r="AG812" i="114"/>
  <c r="AF812" i="114"/>
  <c r="AI812" i="114"/>
  <c r="AF799" i="114"/>
  <c r="AI799" i="114"/>
  <c r="AF787" i="114"/>
  <c r="AG787" i="114"/>
  <c r="AI787" i="114"/>
  <c r="AG761" i="114"/>
  <c r="AF977" i="114"/>
  <c r="AG977" i="114"/>
  <c r="AG972" i="114"/>
  <c r="AI972" i="114"/>
  <c r="AG944" i="114"/>
  <c r="AI944" i="114"/>
  <c r="AG940" i="114"/>
  <c r="AI940" i="114"/>
  <c r="AF937" i="114"/>
  <c r="AG937" i="114"/>
  <c r="AF919" i="114"/>
  <c r="AI919" i="114"/>
  <c r="AI915" i="114"/>
  <c r="AF815" i="114"/>
  <c r="AI815" i="114"/>
  <c r="AF801" i="114"/>
  <c r="AG801" i="114"/>
  <c r="AF763" i="114"/>
  <c r="AI763" i="114"/>
  <c r="AG763" i="114"/>
  <c r="AG724" i="114"/>
  <c r="AF724" i="114"/>
  <c r="AI724" i="114"/>
  <c r="AG720" i="114"/>
  <c r="AF720" i="114"/>
  <c r="AI720" i="114"/>
  <c r="AG708" i="114"/>
  <c r="AF708" i="114"/>
  <c r="AI708" i="114"/>
  <c r="AG704" i="114"/>
  <c r="AF704" i="114"/>
  <c r="AI704" i="114"/>
  <c r="AG692" i="114"/>
  <c r="AF692" i="114"/>
  <c r="AI692" i="114"/>
  <c r="AG688" i="114"/>
  <c r="AF688" i="114"/>
  <c r="AI688" i="114"/>
  <c r="AG676" i="114"/>
  <c r="AF676" i="114"/>
  <c r="AI676" i="114"/>
  <c r="AI895" i="114"/>
  <c r="AI888" i="114"/>
  <c r="AI883" i="114"/>
  <c r="AI876" i="114"/>
  <c r="AG844" i="114"/>
  <c r="AI840" i="114"/>
  <c r="AF839" i="114"/>
  <c r="AI839" i="114"/>
  <c r="AF831" i="114"/>
  <c r="AI828" i="114"/>
  <c r="AF827" i="114"/>
  <c r="AI827" i="114"/>
  <c r="AF819" i="114"/>
  <c r="AG819" i="114"/>
  <c r="AI803" i="114"/>
  <c r="AG785" i="114"/>
  <c r="AI783" i="114"/>
  <c r="AG768" i="114"/>
  <c r="AI768" i="114"/>
  <c r="AG756" i="114"/>
  <c r="AF756" i="114"/>
  <c r="AG752" i="114"/>
  <c r="AF752" i="114"/>
  <c r="AI752" i="114"/>
  <c r="AG742" i="114"/>
  <c r="AI742" i="114"/>
  <c r="AG730" i="114"/>
  <c r="AF730" i="114"/>
  <c r="AI730" i="114"/>
  <c r="AG714" i="114"/>
  <c r="AF714" i="114"/>
  <c r="AI714" i="114"/>
  <c r="AG698" i="114"/>
  <c r="AF698" i="114"/>
  <c r="AI698" i="114"/>
  <c r="AG682" i="114"/>
  <c r="AF682" i="114"/>
  <c r="AI682" i="114"/>
  <c r="AG567" i="114"/>
  <c r="AI567" i="114"/>
  <c r="AF567" i="114"/>
  <c r="AF458" i="114"/>
  <c r="AI458" i="114"/>
  <c r="AG458" i="114"/>
  <c r="AG531" i="114"/>
  <c r="AI531" i="114"/>
  <c r="AF531" i="114"/>
  <c r="AF526" i="114"/>
  <c r="AI526" i="114"/>
  <c r="AG491" i="114"/>
  <c r="AF491" i="114"/>
  <c r="AI491" i="114"/>
  <c r="AF464" i="114"/>
  <c r="AI464" i="114"/>
  <c r="AG464" i="114"/>
  <c r="AG425" i="114"/>
  <c r="AI425" i="114"/>
  <c r="AF281" i="114"/>
  <c r="AI281" i="114"/>
  <c r="AF277" i="114"/>
  <c r="AI277" i="114"/>
  <c r="AF166" i="114"/>
  <c r="AG166" i="114"/>
  <c r="AI166" i="114"/>
  <c r="AG35" i="114"/>
  <c r="AI35" i="114"/>
  <c r="AF35" i="114"/>
  <c r="AG11" i="114"/>
  <c r="AI11" i="114"/>
  <c r="AF849" i="114"/>
  <c r="AG849" i="114"/>
  <c r="AG832" i="114"/>
  <c r="AI832" i="114"/>
  <c r="AG824" i="114"/>
  <c r="AG820" i="114"/>
  <c r="AI820" i="114"/>
  <c r="AG780" i="114"/>
  <c r="AF780" i="114"/>
  <c r="AF775" i="114"/>
  <c r="AI775" i="114"/>
  <c r="AG760" i="114"/>
  <c r="AI760" i="114"/>
  <c r="AG674" i="114"/>
  <c r="AF674" i="114"/>
  <c r="AI674" i="114"/>
  <c r="AG670" i="114"/>
  <c r="AF670" i="114"/>
  <c r="AI670" i="114"/>
  <c r="AG658" i="114"/>
  <c r="AF658" i="114"/>
  <c r="AI658" i="114"/>
  <c r="AG654" i="114"/>
  <c r="AF654" i="114"/>
  <c r="AI654" i="114"/>
  <c r="AG642" i="114"/>
  <c r="AF642" i="114"/>
  <c r="AI642" i="114"/>
  <c r="AG638" i="114"/>
  <c r="AF638" i="114"/>
  <c r="AI638" i="114"/>
  <c r="AG626" i="114"/>
  <c r="AF626" i="114"/>
  <c r="AI626" i="114"/>
  <c r="AG622" i="114"/>
  <c r="AF622" i="114"/>
  <c r="AI622" i="114"/>
  <c r="AG608" i="114"/>
  <c r="AF608" i="114"/>
  <c r="AI608" i="114"/>
  <c r="AG604" i="114"/>
  <c r="AF604" i="114"/>
  <c r="AI604" i="114"/>
  <c r="AG590" i="114"/>
  <c r="AF590" i="114"/>
  <c r="AI590" i="114"/>
  <c r="AG571" i="114"/>
  <c r="AI571" i="114"/>
  <c r="AF571" i="114"/>
  <c r="AF468" i="114"/>
  <c r="AI468" i="114"/>
  <c r="AG432" i="114"/>
  <c r="AI432" i="114"/>
  <c r="AG390" i="114"/>
  <c r="AI390" i="114"/>
  <c r="AG376" i="114"/>
  <c r="AI376" i="114"/>
  <c r="AF376" i="114"/>
  <c r="AI287" i="114"/>
  <c r="AF287" i="114"/>
  <c r="AF283" i="114"/>
  <c r="AI283" i="114"/>
  <c r="AF229" i="114"/>
  <c r="AI229" i="114"/>
  <c r="AG219" i="114"/>
  <c r="AF190" i="114"/>
  <c r="AG190" i="114"/>
  <c r="AI190" i="114"/>
  <c r="AG185" i="114"/>
  <c r="AF185" i="114"/>
  <c r="AG100" i="114"/>
  <c r="AF100" i="114"/>
  <c r="AI100" i="114"/>
  <c r="AF863" i="114"/>
  <c r="AI859" i="114"/>
  <c r="AF851" i="114"/>
  <c r="AG851" i="114"/>
  <c r="AF817" i="114"/>
  <c r="AG817" i="114"/>
  <c r="AG800" i="114"/>
  <c r="AI800" i="114"/>
  <c r="AG792" i="114"/>
  <c r="AG788" i="114"/>
  <c r="AI788" i="114"/>
  <c r="AF768" i="114"/>
  <c r="AI756" i="114"/>
  <c r="AG746" i="114"/>
  <c r="AF746" i="114"/>
  <c r="AI746" i="114"/>
  <c r="AF742" i="114"/>
  <c r="AG499" i="114"/>
  <c r="AF499" i="114"/>
  <c r="AI499" i="114"/>
  <c r="AG483" i="114"/>
  <c r="AF483" i="114"/>
  <c r="AI483" i="114"/>
  <c r="AF456" i="114"/>
  <c r="AI456" i="114"/>
  <c r="AG456" i="114"/>
  <c r="AF405" i="114"/>
  <c r="AI405" i="114"/>
  <c r="AG405" i="114"/>
  <c r="AI120" i="114"/>
  <c r="AF120" i="114"/>
  <c r="AG580" i="114"/>
  <c r="AI580" i="114"/>
  <c r="AG540" i="114"/>
  <c r="AG535" i="114"/>
  <c r="AI535" i="114"/>
  <c r="AF530" i="114"/>
  <c r="AG530" i="114"/>
  <c r="AI530" i="114"/>
  <c r="AG509" i="114"/>
  <c r="AF509" i="114"/>
  <c r="AI509" i="114"/>
  <c r="AG497" i="114"/>
  <c r="AG489" i="114"/>
  <c r="AF489" i="114"/>
  <c r="AG481" i="114"/>
  <c r="AF481" i="114"/>
  <c r="AF461" i="114"/>
  <c r="AI461" i="114"/>
  <c r="AF443" i="114"/>
  <c r="AG443" i="114"/>
  <c r="AI443" i="114"/>
  <c r="AF419" i="114"/>
  <c r="AI419" i="114"/>
  <c r="AG419" i="114"/>
  <c r="AI417" i="114"/>
  <c r="AI407" i="114"/>
  <c r="AG384" i="114"/>
  <c r="AI384" i="114"/>
  <c r="AG381" i="114"/>
  <c r="AI381" i="114"/>
  <c r="AG378" i="114"/>
  <c r="AF373" i="114"/>
  <c r="AG373" i="114"/>
  <c r="AI373" i="114"/>
  <c r="AG370" i="114"/>
  <c r="AF370" i="114"/>
  <c r="AF303" i="114"/>
  <c r="AI303" i="114"/>
  <c r="AF299" i="114"/>
  <c r="AI299" i="114"/>
  <c r="AF297" i="114"/>
  <c r="AI297" i="114"/>
  <c r="AF293" i="114"/>
  <c r="AI293" i="114"/>
  <c r="AG234" i="114"/>
  <c r="AF234" i="114"/>
  <c r="AI234" i="114"/>
  <c r="AF184" i="114"/>
  <c r="AG184" i="114"/>
  <c r="AF71" i="114"/>
  <c r="AG71" i="114"/>
  <c r="AI71" i="114"/>
  <c r="AI53" i="114"/>
  <c r="AG53" i="114"/>
  <c r="AI726" i="114"/>
  <c r="AI710" i="114"/>
  <c r="AI694" i="114"/>
  <c r="AI678" i="114"/>
  <c r="AI664" i="114"/>
  <c r="AI660" i="114"/>
  <c r="AI648" i="114"/>
  <c r="AI644" i="114"/>
  <c r="AI632" i="114"/>
  <c r="AI628" i="114"/>
  <c r="AI614" i="114"/>
  <c r="AI610" i="114"/>
  <c r="AI596" i="114"/>
  <c r="AI582" i="114"/>
  <c r="AG547" i="114"/>
  <c r="AI547" i="114"/>
  <c r="AF542" i="114"/>
  <c r="AI542" i="114"/>
  <c r="AG525" i="114"/>
  <c r="AF525" i="114"/>
  <c r="AI525" i="114"/>
  <c r="AG505" i="114"/>
  <c r="AF505" i="114"/>
  <c r="AI505" i="114"/>
  <c r="AG503" i="114"/>
  <c r="AF503" i="114"/>
  <c r="AG495" i="114"/>
  <c r="AF495" i="114"/>
  <c r="AG487" i="114"/>
  <c r="AF487" i="114"/>
  <c r="AF470" i="114"/>
  <c r="AG470" i="114"/>
  <c r="AF448" i="114"/>
  <c r="AI448" i="114"/>
  <c r="AG448" i="114"/>
  <c r="AI423" i="114"/>
  <c r="AG412" i="114"/>
  <c r="AF412" i="114"/>
  <c r="AI412" i="114"/>
  <c r="AF399" i="114"/>
  <c r="AI399" i="114"/>
  <c r="AG399" i="114"/>
  <c r="AI397" i="114"/>
  <c r="AF309" i="114"/>
  <c r="AI309" i="114"/>
  <c r="AF249" i="114"/>
  <c r="AI249" i="114"/>
  <c r="AG249" i="114"/>
  <c r="AG238" i="114"/>
  <c r="AF198" i="114"/>
  <c r="AG198" i="114"/>
  <c r="AF128" i="114"/>
  <c r="AG128" i="114"/>
  <c r="AG124" i="114"/>
  <c r="AF124" i="114"/>
  <c r="AG84" i="114"/>
  <c r="AF84" i="114"/>
  <c r="AI84" i="114"/>
  <c r="AI748" i="114"/>
  <c r="AI732" i="114"/>
  <c r="AI716" i="114"/>
  <c r="AF710" i="114"/>
  <c r="AI700" i="114"/>
  <c r="AI684" i="114"/>
  <c r="AF678" i="114"/>
  <c r="AI672" i="114"/>
  <c r="AI668" i="114"/>
  <c r="AF664" i="114"/>
  <c r="AF660" i="114"/>
  <c r="AI656" i="114"/>
  <c r="AI652" i="114"/>
  <c r="AF648" i="114"/>
  <c r="AF644" i="114"/>
  <c r="AI640" i="114"/>
  <c r="AI636" i="114"/>
  <c r="AF628" i="114"/>
  <c r="AI624" i="114"/>
  <c r="AI620" i="114"/>
  <c r="AI616" i="114"/>
  <c r="AF614" i="114"/>
  <c r="AI600" i="114"/>
  <c r="AF596" i="114"/>
  <c r="AI592" i="114"/>
  <c r="AI588" i="114"/>
  <c r="AI584" i="114"/>
  <c r="AF582" i="114"/>
  <c r="AG578" i="114"/>
  <c r="AF578" i="114"/>
  <c r="AG572" i="114"/>
  <c r="AF570" i="114"/>
  <c r="AI570" i="114"/>
  <c r="AI563" i="114"/>
  <c r="AF562" i="114"/>
  <c r="AI562" i="114"/>
  <c r="AG551" i="114"/>
  <c r="AF551" i="114"/>
  <c r="AI551" i="114"/>
  <c r="AF546" i="114"/>
  <c r="AG546" i="114"/>
  <c r="AI546" i="114"/>
  <c r="AG521" i="114"/>
  <c r="AF521" i="114"/>
  <c r="AI521" i="114"/>
  <c r="AG519" i="114"/>
  <c r="AG515" i="114"/>
  <c r="AF515" i="114"/>
  <c r="AI515" i="114"/>
  <c r="AG501" i="114"/>
  <c r="AF501" i="114"/>
  <c r="AG493" i="114"/>
  <c r="AF493" i="114"/>
  <c r="AG485" i="114"/>
  <c r="AF485" i="114"/>
  <c r="AF452" i="114"/>
  <c r="AI452" i="114"/>
  <c r="AG440" i="114"/>
  <c r="AI440" i="114"/>
  <c r="AF415" i="114"/>
  <c r="AI415" i="114"/>
  <c r="AG392" i="114"/>
  <c r="AF392" i="114"/>
  <c r="AI392" i="114"/>
  <c r="AF271" i="114"/>
  <c r="AI271" i="114"/>
  <c r="AG254" i="114"/>
  <c r="AF254" i="114"/>
  <c r="AI254" i="114"/>
  <c r="AG230" i="114"/>
  <c r="AI230" i="114"/>
  <c r="AF230" i="114"/>
  <c r="AG168" i="114"/>
  <c r="AF168" i="114"/>
  <c r="AF160" i="114"/>
  <c r="AG160" i="114"/>
  <c r="AG121" i="114"/>
  <c r="AI121" i="114"/>
  <c r="AG116" i="114"/>
  <c r="AF116" i="114"/>
  <c r="AF91" i="114"/>
  <c r="AG91" i="114"/>
  <c r="AI91" i="114"/>
  <c r="AF83" i="114"/>
  <c r="AI83" i="114"/>
  <c r="AG83" i="114"/>
  <c r="AG80" i="114"/>
  <c r="AI80" i="114"/>
  <c r="AF555" i="114"/>
  <c r="AF539" i="114"/>
  <c r="AF513" i="114"/>
  <c r="AF480" i="114"/>
  <c r="AI469" i="114"/>
  <c r="AF462" i="114"/>
  <c r="AG462" i="114"/>
  <c r="AI451" i="114"/>
  <c r="AG444" i="114"/>
  <c r="AI444" i="114"/>
  <c r="AF435" i="114"/>
  <c r="AG435" i="114"/>
  <c r="AG433" i="114"/>
  <c r="AG428" i="114"/>
  <c r="AF428" i="114"/>
  <c r="AI426" i="114"/>
  <c r="AI424" i="114"/>
  <c r="AG416" i="114"/>
  <c r="AI416" i="114"/>
  <c r="AG408" i="114"/>
  <c r="AF408" i="114"/>
  <c r="AI406" i="114"/>
  <c r="AG262" i="114"/>
  <c r="AI262" i="114"/>
  <c r="AG255" i="114"/>
  <c r="AG250" i="114"/>
  <c r="AF250" i="114"/>
  <c r="AF237" i="114"/>
  <c r="AI237" i="114"/>
  <c r="AG235" i="114"/>
  <c r="AG218" i="114"/>
  <c r="AI218" i="114"/>
  <c r="AF218" i="114"/>
  <c r="AF152" i="114"/>
  <c r="AG135" i="114"/>
  <c r="AI135" i="114"/>
  <c r="AF135" i="114"/>
  <c r="AI132" i="114"/>
  <c r="AG127" i="114"/>
  <c r="AF127" i="114"/>
  <c r="AI127" i="114"/>
  <c r="AG76" i="114"/>
  <c r="AF76" i="114"/>
  <c r="AI45" i="114"/>
  <c r="AG45" i="114"/>
  <c r="AG473" i="114"/>
  <c r="AF473" i="114"/>
  <c r="AG471" i="114"/>
  <c r="AI471" i="114"/>
  <c r="AG436" i="114"/>
  <c r="AI436" i="114"/>
  <c r="AF411" i="114"/>
  <c r="AG389" i="114"/>
  <c r="AI383" i="114"/>
  <c r="AF375" i="114"/>
  <c r="AG375" i="114"/>
  <c r="AF307" i="114"/>
  <c r="AI307" i="114"/>
  <c r="AF305" i="114"/>
  <c r="AI305" i="114"/>
  <c r="AF301" i="114"/>
  <c r="AI301" i="114"/>
  <c r="AF295" i="114"/>
  <c r="AI295" i="114"/>
  <c r="AF291" i="114"/>
  <c r="AI291" i="114"/>
  <c r="AF289" i="114"/>
  <c r="AI289" i="114"/>
  <c r="AF285" i="114"/>
  <c r="AI285" i="114"/>
  <c r="AF279" i="114"/>
  <c r="AI279" i="114"/>
  <c r="AF275" i="114"/>
  <c r="AI275" i="114"/>
  <c r="AF273" i="114"/>
  <c r="AI273" i="114"/>
  <c r="AF269" i="114"/>
  <c r="AI269" i="114"/>
  <c r="AG266" i="114"/>
  <c r="AF266" i="114"/>
  <c r="AF257" i="114"/>
  <c r="AG257" i="114"/>
  <c r="AG247" i="114"/>
  <c r="AG227" i="114"/>
  <c r="AF217" i="114"/>
  <c r="AG217" i="114"/>
  <c r="AI217" i="114"/>
  <c r="AG214" i="114"/>
  <c r="AF206" i="114"/>
  <c r="AG206" i="114"/>
  <c r="AG191" i="114"/>
  <c r="AF191" i="114"/>
  <c r="AG169" i="114"/>
  <c r="AF169" i="114"/>
  <c r="AG151" i="114"/>
  <c r="AI151" i="114"/>
  <c r="AF151" i="114"/>
  <c r="AF144" i="114"/>
  <c r="AF142" i="114"/>
  <c r="AI142" i="114"/>
  <c r="AF134" i="114"/>
  <c r="AI134" i="114"/>
  <c r="AG134" i="114"/>
  <c r="AG72" i="114"/>
  <c r="AI72" i="114"/>
  <c r="AF72" i="114"/>
  <c r="AG60" i="114"/>
  <c r="AF60" i="114"/>
  <c r="AI60" i="114"/>
  <c r="AG207" i="114"/>
  <c r="AF207" i="114"/>
  <c r="AI188" i="114"/>
  <c r="AG188" i="114"/>
  <c r="AG183" i="114"/>
  <c r="AI183" i="114"/>
  <c r="AG175" i="114"/>
  <c r="AF175" i="114"/>
  <c r="AG159" i="114"/>
  <c r="AF159" i="114"/>
  <c r="AF150" i="114"/>
  <c r="AG150" i="114"/>
  <c r="AG143" i="114"/>
  <c r="AI143" i="114"/>
  <c r="AG141" i="114"/>
  <c r="AI141" i="114"/>
  <c r="AF117" i="114"/>
  <c r="AG117" i="114"/>
  <c r="AG108" i="114"/>
  <c r="AF108" i="114"/>
  <c r="AF99" i="114"/>
  <c r="AG99" i="114"/>
  <c r="AF75" i="114"/>
  <c r="AI75" i="114"/>
  <c r="AG64" i="114"/>
  <c r="AF64" i="114"/>
  <c r="AG56" i="114"/>
  <c r="AI56" i="114"/>
  <c r="AF47" i="114"/>
  <c r="AF29" i="114"/>
  <c r="AI27" i="114"/>
  <c r="AG27" i="114"/>
  <c r="AF265" i="114"/>
  <c r="AI265" i="114"/>
  <c r="AG258" i="114"/>
  <c r="AI258" i="114"/>
  <c r="AG244" i="114"/>
  <c r="AF244" i="114"/>
  <c r="AF233" i="114"/>
  <c r="AG233" i="114"/>
  <c r="AG222" i="114"/>
  <c r="AF213" i="114"/>
  <c r="AI213" i="114"/>
  <c r="AF183" i="114"/>
  <c r="AF182" i="114"/>
  <c r="AI182" i="114"/>
  <c r="AG167" i="114"/>
  <c r="AF167" i="114"/>
  <c r="AI159" i="114"/>
  <c r="AF158" i="114"/>
  <c r="AG158" i="114"/>
  <c r="AI150" i="114"/>
  <c r="AF143" i="114"/>
  <c r="AG137" i="114"/>
  <c r="AF137" i="114"/>
  <c r="AG123" i="114"/>
  <c r="AG115" i="114"/>
  <c r="AF102" i="114"/>
  <c r="AF101" i="114"/>
  <c r="AG101" i="114"/>
  <c r="AI99" i="114"/>
  <c r="AF86" i="114"/>
  <c r="AG75" i="114"/>
  <c r="AI47" i="114"/>
  <c r="AI29" i="114"/>
  <c r="AG15" i="114"/>
  <c r="AF15" i="114"/>
  <c r="AF25" i="114"/>
  <c r="AF31" i="114"/>
  <c r="AG976" i="115"/>
  <c r="AI976" i="115"/>
  <c r="AG968" i="115"/>
  <c r="AI968" i="115"/>
  <c r="AF960" i="115"/>
  <c r="AG960" i="115"/>
  <c r="AI960" i="115"/>
  <c r="AG948" i="115"/>
  <c r="AI948" i="115"/>
  <c r="AG944" i="115"/>
  <c r="AI944" i="115"/>
  <c r="AG936" i="115"/>
  <c r="AI936" i="115"/>
  <c r="AI924" i="115"/>
  <c r="AG924" i="115"/>
  <c r="AI916" i="115"/>
  <c r="AG916" i="115"/>
  <c r="AI908" i="115"/>
  <c r="AG908" i="115"/>
  <c r="AI900" i="115"/>
  <c r="AG900" i="115"/>
  <c r="AI896" i="115"/>
  <c r="AG896" i="115"/>
  <c r="AI884" i="115"/>
  <c r="AG884" i="115"/>
  <c r="AI876" i="115"/>
  <c r="AG876" i="115"/>
  <c r="AG869" i="115"/>
  <c r="AF869" i="115"/>
  <c r="AI869" i="115"/>
  <c r="AG861" i="115"/>
  <c r="AF861" i="115"/>
  <c r="AI861" i="115"/>
  <c r="AI856" i="115"/>
  <c r="AF856" i="115"/>
  <c r="AG856" i="115"/>
  <c r="AG850" i="115"/>
  <c r="AI850" i="115"/>
  <c r="AI848" i="115"/>
  <c r="AG848" i="115"/>
  <c r="AG842" i="115"/>
  <c r="AI842" i="115"/>
  <c r="AI840" i="115"/>
  <c r="AF840" i="115"/>
  <c r="AG840" i="115"/>
  <c r="AG834" i="115"/>
  <c r="AI834" i="115"/>
  <c r="AI832" i="115"/>
  <c r="AG832" i="115"/>
  <c r="AG826" i="115"/>
  <c r="AI826" i="115"/>
  <c r="AG818" i="115"/>
  <c r="AI818" i="115"/>
  <c r="AI816" i="115"/>
  <c r="AG816" i="115"/>
  <c r="AI808" i="115"/>
  <c r="AG808" i="115"/>
  <c r="AF802" i="115"/>
  <c r="AG802" i="115"/>
  <c r="AI802" i="115"/>
  <c r="AI800" i="115"/>
  <c r="AF800" i="115"/>
  <c r="AG800" i="115"/>
  <c r="AG794" i="115"/>
  <c r="AI794" i="115"/>
  <c r="AI792" i="115"/>
  <c r="AG792" i="115"/>
  <c r="AF786" i="115"/>
  <c r="AG786" i="115"/>
  <c r="AI786" i="115"/>
  <c r="AG781" i="115"/>
  <c r="AF781" i="115"/>
  <c r="AI781" i="115"/>
  <c r="AG778" i="115"/>
  <c r="AI778" i="115"/>
  <c r="AG773" i="115"/>
  <c r="AF773" i="115"/>
  <c r="AI773" i="115"/>
  <c r="AI768" i="115"/>
  <c r="AG768" i="115"/>
  <c r="AI760" i="115"/>
  <c r="AF760" i="115"/>
  <c r="AG760" i="115"/>
  <c r="AG749" i="115"/>
  <c r="AF749" i="115"/>
  <c r="AI749" i="115"/>
  <c r="AG746" i="115"/>
  <c r="AI746" i="115"/>
  <c r="AF738" i="115"/>
  <c r="AG738" i="115"/>
  <c r="AI738" i="115"/>
  <c r="AG733" i="115"/>
  <c r="AF733" i="115"/>
  <c r="AI733" i="115"/>
  <c r="AG725" i="115"/>
  <c r="AF725" i="115"/>
  <c r="AI725" i="115"/>
  <c r="AI192" i="115"/>
  <c r="AG161" i="115"/>
  <c r="AF161" i="115"/>
  <c r="AI161" i="115"/>
  <c r="AK1600" i="115"/>
  <c r="AI1479" i="115"/>
  <c r="AI1476" i="115"/>
  <c r="AI1472" i="115"/>
  <c r="AG1471" i="115"/>
  <c r="AI1447" i="115"/>
  <c r="AI1444" i="115"/>
  <c r="AI1440" i="115"/>
  <c r="AG1439" i="115"/>
  <c r="AG1423" i="115"/>
  <c r="AF1407" i="115"/>
  <c r="AG1366" i="115"/>
  <c r="AF1366" i="115"/>
  <c r="AI1357" i="115"/>
  <c r="AF1337" i="115"/>
  <c r="AG1318" i="115"/>
  <c r="AI1318" i="115"/>
  <c r="AI1289" i="115"/>
  <c r="AG1274" i="115"/>
  <c r="AI1274" i="115"/>
  <c r="AF1265" i="115"/>
  <c r="AI1265" i="115"/>
  <c r="AI1262" i="115"/>
  <c r="AF1261" i="115"/>
  <c r="AI1261" i="115"/>
  <c r="AG1253" i="115"/>
  <c r="AI1234" i="115"/>
  <c r="AI1229" i="115"/>
  <c r="AG1226" i="115"/>
  <c r="AF1226" i="115"/>
  <c r="AI1222" i="115"/>
  <c r="AF1213" i="115"/>
  <c r="AG1213" i="115"/>
  <c r="AG1201" i="115"/>
  <c r="AG1195" i="115"/>
  <c r="AI1192" i="115"/>
  <c r="AG1191" i="115"/>
  <c r="AI1184" i="115"/>
  <c r="AG1183" i="115"/>
  <c r="AI1175" i="115"/>
  <c r="AI1169" i="115"/>
  <c r="AI1165" i="115"/>
  <c r="AG1153" i="115"/>
  <c r="AI1147" i="115"/>
  <c r="AI1145" i="115"/>
  <c r="AI1144" i="115"/>
  <c r="AI1143" i="115"/>
  <c r="AI1130" i="115"/>
  <c r="AF1126" i="115"/>
  <c r="AI1126" i="115"/>
  <c r="AF1122" i="115"/>
  <c r="AI1122" i="115"/>
  <c r="AF1118" i="115"/>
  <c r="AI1118" i="115"/>
  <c r="AF1114" i="115"/>
  <c r="AI1114" i="115"/>
  <c r="AF1110" i="115"/>
  <c r="AI1110" i="115"/>
  <c r="AI1106" i="115"/>
  <c r="AF1102" i="115"/>
  <c r="AI1102" i="115"/>
  <c r="AF1098" i="115"/>
  <c r="AI1098" i="115"/>
  <c r="AF1094" i="115"/>
  <c r="AI1094" i="115"/>
  <c r="AF1090" i="115"/>
  <c r="AI1090" i="115"/>
  <c r="AF1086" i="115"/>
  <c r="AI1086" i="115"/>
  <c r="AF1082" i="115"/>
  <c r="AI1082" i="115"/>
  <c r="AF1078" i="115"/>
  <c r="AI1078" i="115"/>
  <c r="AI1074" i="115"/>
  <c r="AF1070" i="115"/>
  <c r="AI1070" i="115"/>
  <c r="AF1066" i="115"/>
  <c r="AI1066" i="115"/>
  <c r="AF1062" i="115"/>
  <c r="AI1062" i="115"/>
  <c r="AF1058" i="115"/>
  <c r="AI1058" i="115"/>
  <c r="AF1054" i="115"/>
  <c r="AI1054" i="115"/>
  <c r="AF1050" i="115"/>
  <c r="AI1050" i="115"/>
  <c r="AF1046" i="115"/>
  <c r="AI1046" i="115"/>
  <c r="AI1042" i="115"/>
  <c r="AF1038" i="115"/>
  <c r="AI1038" i="115"/>
  <c r="AF1034" i="115"/>
  <c r="AI1034" i="115"/>
  <c r="AI982" i="115"/>
  <c r="AG930" i="115"/>
  <c r="AI930" i="115"/>
  <c r="AG926" i="115"/>
  <c r="AI926" i="115"/>
  <c r="AG922" i="115"/>
  <c r="AI922" i="115"/>
  <c r="AG918" i="115"/>
  <c r="AI918" i="115"/>
  <c r="AG914" i="115"/>
  <c r="AI914" i="115"/>
  <c r="AG910" i="115"/>
  <c r="AI910" i="115"/>
  <c r="AG906" i="115"/>
  <c r="AI906" i="115"/>
  <c r="AG902" i="115"/>
  <c r="AI902" i="115"/>
  <c r="AG898" i="115"/>
  <c r="AI898" i="115"/>
  <c r="AG894" i="115"/>
  <c r="AI894" i="115"/>
  <c r="AG890" i="115"/>
  <c r="AI890" i="115"/>
  <c r="AG886" i="115"/>
  <c r="AI886" i="115"/>
  <c r="AG882" i="115"/>
  <c r="AI882" i="115"/>
  <c r="AG878" i="115"/>
  <c r="AI878" i="115"/>
  <c r="AG874" i="115"/>
  <c r="AI874" i="115"/>
  <c r="AI661" i="115"/>
  <c r="AF661" i="115"/>
  <c r="AG661" i="115"/>
  <c r="AG1420" i="115"/>
  <c r="AI1420" i="115"/>
  <c r="AG1412" i="115"/>
  <c r="AG1405" i="115"/>
  <c r="AF1381" i="115"/>
  <c r="AI1381" i="115"/>
  <c r="AF1373" i="115"/>
  <c r="AG1373" i="115"/>
  <c r="AF1349" i="115"/>
  <c r="AG1349" i="115"/>
  <c r="AF1305" i="115"/>
  <c r="AG1286" i="115"/>
  <c r="AI1286" i="115"/>
  <c r="AG1242" i="115"/>
  <c r="AI1242" i="115"/>
  <c r="AF1233" i="115"/>
  <c r="AI1233" i="115"/>
  <c r="AI986" i="115"/>
  <c r="AI980" i="115"/>
  <c r="AG972" i="115"/>
  <c r="AI972" i="115"/>
  <c r="AG964" i="115"/>
  <c r="AI964" i="115"/>
  <c r="AF956" i="115"/>
  <c r="AG956" i="115"/>
  <c r="AI956" i="115"/>
  <c r="AG952" i="115"/>
  <c r="AI952" i="115"/>
  <c r="AG940" i="115"/>
  <c r="AI940" i="115"/>
  <c r="AG932" i="115"/>
  <c r="AI932" i="115"/>
  <c r="AI928" i="115"/>
  <c r="AG928" i="115"/>
  <c r="AI920" i="115"/>
  <c r="AF920" i="115"/>
  <c r="AG920" i="115"/>
  <c r="AI912" i="115"/>
  <c r="AG912" i="115"/>
  <c r="AI904" i="115"/>
  <c r="AG904" i="115"/>
  <c r="AI892" i="115"/>
  <c r="AG892" i="115"/>
  <c r="AI888" i="115"/>
  <c r="AF888" i="115"/>
  <c r="AG888" i="115"/>
  <c r="AI880" i="115"/>
  <c r="AG880" i="115"/>
  <c r="AI872" i="115"/>
  <c r="AG872" i="115"/>
  <c r="AF866" i="115"/>
  <c r="AG866" i="115"/>
  <c r="AI866" i="115"/>
  <c r="AI864" i="115"/>
  <c r="AF864" i="115"/>
  <c r="AG864" i="115"/>
  <c r="AG858" i="115"/>
  <c r="AI858" i="115"/>
  <c r="AG853" i="115"/>
  <c r="AF853" i="115"/>
  <c r="AI853" i="115"/>
  <c r="AG845" i="115"/>
  <c r="AF845" i="115"/>
  <c r="AI845" i="115"/>
  <c r="AG837" i="115"/>
  <c r="AF837" i="115"/>
  <c r="AI837" i="115"/>
  <c r="AG829" i="115"/>
  <c r="AF829" i="115"/>
  <c r="AI829" i="115"/>
  <c r="AI824" i="115"/>
  <c r="AG824" i="115"/>
  <c r="AG821" i="115"/>
  <c r="AF821" i="115"/>
  <c r="AI821" i="115"/>
  <c r="AG813" i="115"/>
  <c r="AF813" i="115"/>
  <c r="AI813" i="115"/>
  <c r="AG810" i="115"/>
  <c r="AI810" i="115"/>
  <c r="AG805" i="115"/>
  <c r="AF805" i="115"/>
  <c r="AI805" i="115"/>
  <c r="AG797" i="115"/>
  <c r="AF797" i="115"/>
  <c r="AI797" i="115"/>
  <c r="AG789" i="115"/>
  <c r="AF789" i="115"/>
  <c r="AI789" i="115"/>
  <c r="AI784" i="115"/>
  <c r="AG784" i="115"/>
  <c r="AI776" i="115"/>
  <c r="AG776" i="115"/>
  <c r="AF770" i="115"/>
  <c r="AG770" i="115"/>
  <c r="AI770" i="115"/>
  <c r="AG765" i="115"/>
  <c r="AF765" i="115"/>
  <c r="AI765" i="115"/>
  <c r="AG762" i="115"/>
  <c r="AI762" i="115"/>
  <c r="AG757" i="115"/>
  <c r="AF757" i="115"/>
  <c r="AI757" i="115"/>
  <c r="AF754" i="115"/>
  <c r="AG754" i="115"/>
  <c r="AI754" i="115"/>
  <c r="AI752" i="115"/>
  <c r="AF752" i="115"/>
  <c r="AG752" i="115"/>
  <c r="AI744" i="115"/>
  <c r="AG744" i="115"/>
  <c r="AG741" i="115"/>
  <c r="AF741" i="115"/>
  <c r="AI741" i="115"/>
  <c r="AI736" i="115"/>
  <c r="AG736" i="115"/>
  <c r="AG730" i="115"/>
  <c r="AI730" i="115"/>
  <c r="AI728" i="115"/>
  <c r="AG728" i="115"/>
  <c r="AG722" i="115"/>
  <c r="AI722" i="115"/>
  <c r="AI720" i="115"/>
  <c r="AG720" i="115"/>
  <c r="AG717" i="115"/>
  <c r="AF717" i="115"/>
  <c r="AI717" i="115"/>
  <c r="AG714" i="115"/>
  <c r="AI714" i="115"/>
  <c r="AI712" i="115"/>
  <c r="AG712" i="115"/>
  <c r="AG709" i="115"/>
  <c r="AF709" i="115"/>
  <c r="AI709" i="115"/>
  <c r="AG705" i="115"/>
  <c r="AI705" i="115"/>
  <c r="AF700" i="115"/>
  <c r="AG700" i="115"/>
  <c r="AI700" i="115"/>
  <c r="AI640" i="115"/>
  <c r="AF640" i="115"/>
  <c r="AG640" i="115"/>
  <c r="AF491" i="115"/>
  <c r="AI491" i="115"/>
  <c r="AG491" i="115"/>
  <c r="AF475" i="115"/>
  <c r="AG475" i="115"/>
  <c r="AI475" i="115"/>
  <c r="AI426" i="115"/>
  <c r="AF411" i="115"/>
  <c r="AG411" i="115"/>
  <c r="AI411" i="115"/>
  <c r="AF371" i="115"/>
  <c r="AG371" i="115"/>
  <c r="AI371" i="115"/>
  <c r="AG273" i="115"/>
  <c r="AG266" i="115"/>
  <c r="AF266" i="115"/>
  <c r="AI266" i="115"/>
  <c r="AI92" i="115"/>
  <c r="AF45" i="115"/>
  <c r="AG45" i="115"/>
  <c r="AI45" i="115"/>
  <c r="AI1595" i="115"/>
  <c r="AI1587" i="115"/>
  <c r="AI1579" i="115"/>
  <c r="AI1571" i="115"/>
  <c r="AI1563" i="115"/>
  <c r="AI1555" i="115"/>
  <c r="AI1547" i="115"/>
  <c r="AI1539" i="115"/>
  <c r="AI1531" i="115"/>
  <c r="AI1523" i="115"/>
  <c r="AI1515" i="115"/>
  <c r="AI1507" i="115"/>
  <c r="AI1499" i="115"/>
  <c r="AI1491" i="115"/>
  <c r="AI1489" i="115"/>
  <c r="AI1487" i="115"/>
  <c r="AI1484" i="115"/>
  <c r="AI1480" i="115"/>
  <c r="AG1479" i="115"/>
  <c r="AF1472" i="115"/>
  <c r="AF1471" i="115"/>
  <c r="AG1469" i="115"/>
  <c r="AI1459" i="115"/>
  <c r="AI1455" i="115"/>
  <c r="AI1452" i="115"/>
  <c r="AI1448" i="115"/>
  <c r="AG1447" i="115"/>
  <c r="AF1439" i="115"/>
  <c r="AG1437" i="115"/>
  <c r="AF1427" i="115"/>
  <c r="AI1427" i="115"/>
  <c r="AI1424" i="115"/>
  <c r="AF1415" i="115"/>
  <c r="AG1415" i="115"/>
  <c r="AG1408" i="115"/>
  <c r="AF1408" i="115"/>
  <c r="AG1390" i="115"/>
  <c r="AF1390" i="115"/>
  <c r="AG1382" i="115"/>
  <c r="AI1382" i="115"/>
  <c r="AI1378" i="115"/>
  <c r="AG1374" i="115"/>
  <c r="AI1374" i="115"/>
  <c r="AG1363" i="115"/>
  <c r="AG1350" i="115"/>
  <c r="AF1350" i="115"/>
  <c r="AI1321" i="115"/>
  <c r="AI1313" i="115"/>
  <c r="AG1306" i="115"/>
  <c r="AI1306" i="115"/>
  <c r="AF1297" i="115"/>
  <c r="AI1297" i="115"/>
  <c r="AI1294" i="115"/>
  <c r="AF1293" i="115"/>
  <c r="AI1293" i="115"/>
  <c r="AF1289" i="115"/>
  <c r="AF1285" i="115"/>
  <c r="AG1285" i="115"/>
  <c r="AI1266" i="115"/>
  <c r="AF1262" i="115"/>
  <c r="AF1241" i="115"/>
  <c r="AF1222" i="115"/>
  <c r="AF1221" i="115"/>
  <c r="AI1221" i="115"/>
  <c r="AG1214" i="115"/>
  <c r="AI1214" i="115"/>
  <c r="AF1205" i="115"/>
  <c r="AG1205" i="115"/>
  <c r="AF1195" i="115"/>
  <c r="AI1193" i="115"/>
  <c r="AF1191" i="115"/>
  <c r="AI1185" i="115"/>
  <c r="AF1183" i="115"/>
  <c r="AG1175" i="115"/>
  <c r="AF1169" i="115"/>
  <c r="AF1157" i="115"/>
  <c r="AI1155" i="115"/>
  <c r="AG1154" i="115"/>
  <c r="AF1153" i="115"/>
  <c r="AG1145" i="115"/>
  <c r="AG1144" i="115"/>
  <c r="AF1143" i="115"/>
  <c r="AG1139" i="115"/>
  <c r="AI988" i="115"/>
  <c r="AI978" i="115"/>
  <c r="AF978" i="115"/>
  <c r="AG929" i="115"/>
  <c r="AF929" i="115"/>
  <c r="AI929" i="115"/>
  <c r="AG925" i="115"/>
  <c r="AF925" i="115"/>
  <c r="AI925" i="115"/>
  <c r="AG921" i="115"/>
  <c r="AF921" i="115"/>
  <c r="AI921" i="115"/>
  <c r="AG917" i="115"/>
  <c r="AF917" i="115"/>
  <c r="AI917" i="115"/>
  <c r="AG913" i="115"/>
  <c r="AF913" i="115"/>
  <c r="AI913" i="115"/>
  <c r="AG909" i="115"/>
  <c r="AF909" i="115"/>
  <c r="AI909" i="115"/>
  <c r="AG905" i="115"/>
  <c r="AF905" i="115"/>
  <c r="AI905" i="115"/>
  <c r="AG901" i="115"/>
  <c r="AF901" i="115"/>
  <c r="AI901" i="115"/>
  <c r="AG897" i="115"/>
  <c r="AF897" i="115"/>
  <c r="AI897" i="115"/>
  <c r="AG893" i="115"/>
  <c r="AF893" i="115"/>
  <c r="AI893" i="115"/>
  <c r="AG889" i="115"/>
  <c r="AF889" i="115"/>
  <c r="AI889" i="115"/>
  <c r="AG885" i="115"/>
  <c r="AF885" i="115"/>
  <c r="AI885" i="115"/>
  <c r="AG881" i="115"/>
  <c r="AF881" i="115"/>
  <c r="AI881" i="115"/>
  <c r="AG877" i="115"/>
  <c r="AF877" i="115"/>
  <c r="AI877" i="115"/>
  <c r="AG873" i="115"/>
  <c r="AF873" i="115"/>
  <c r="AI873" i="115"/>
  <c r="AG870" i="115"/>
  <c r="AI870" i="115"/>
  <c r="AI868" i="115"/>
  <c r="AG868" i="115"/>
  <c r="AG865" i="115"/>
  <c r="AF865" i="115"/>
  <c r="AI865" i="115"/>
  <c r="AG862" i="115"/>
  <c r="AI862" i="115"/>
  <c r="AI860" i="115"/>
  <c r="AG860" i="115"/>
  <c r="AG857" i="115"/>
  <c r="AF857" i="115"/>
  <c r="AI857" i="115"/>
  <c r="AF854" i="115"/>
  <c r="AG854" i="115"/>
  <c r="AI854" i="115"/>
  <c r="AI852" i="115"/>
  <c r="AG852" i="115"/>
  <c r="AG849" i="115"/>
  <c r="AF849" i="115"/>
  <c r="AI849" i="115"/>
  <c r="AG846" i="115"/>
  <c r="AI846" i="115"/>
  <c r="AI844" i="115"/>
  <c r="AG844" i="115"/>
  <c r="AG841" i="115"/>
  <c r="AF841" i="115"/>
  <c r="AI841" i="115"/>
  <c r="AG838" i="115"/>
  <c r="AI838" i="115"/>
  <c r="AI836" i="115"/>
  <c r="AG836" i="115"/>
  <c r="AG833" i="115"/>
  <c r="AF833" i="115"/>
  <c r="AI833" i="115"/>
  <c r="AG830" i="115"/>
  <c r="AI830" i="115"/>
  <c r="AI828" i="115"/>
  <c r="AG828" i="115"/>
  <c r="AG825" i="115"/>
  <c r="AF825" i="115"/>
  <c r="AI825" i="115"/>
  <c r="AF822" i="115"/>
  <c r="AG822" i="115"/>
  <c r="AI822" i="115"/>
  <c r="AI820" i="115"/>
  <c r="AG820" i="115"/>
  <c r="AG817" i="115"/>
  <c r="AF817" i="115"/>
  <c r="AI817" i="115"/>
  <c r="AG814" i="115"/>
  <c r="AI814" i="115"/>
  <c r="AI812" i="115"/>
  <c r="AG812" i="115"/>
  <c r="AG809" i="115"/>
  <c r="AF809" i="115"/>
  <c r="AI809" i="115"/>
  <c r="AG806" i="115"/>
  <c r="AI806" i="115"/>
  <c r="AI804" i="115"/>
  <c r="AG804" i="115"/>
  <c r="AG801" i="115"/>
  <c r="AF801" i="115"/>
  <c r="AI801" i="115"/>
  <c r="AG798" i="115"/>
  <c r="AI798" i="115"/>
  <c r="AI796" i="115"/>
  <c r="AG796" i="115"/>
  <c r="AG793" i="115"/>
  <c r="AF793" i="115"/>
  <c r="AI793" i="115"/>
  <c r="AF790" i="115"/>
  <c r="AG790" i="115"/>
  <c r="AI790" i="115"/>
  <c r="AI788" i="115"/>
  <c r="AF788" i="115"/>
  <c r="AG788" i="115"/>
  <c r="AG785" i="115"/>
  <c r="AF785" i="115"/>
  <c r="AI785" i="115"/>
  <c r="AG782" i="115"/>
  <c r="AI782" i="115"/>
  <c r="AI780" i="115"/>
  <c r="AG780" i="115"/>
  <c r="AG777" i="115"/>
  <c r="AF777" i="115"/>
  <c r="AI777" i="115"/>
  <c r="AG774" i="115"/>
  <c r="AI774" i="115"/>
  <c r="AI772" i="115"/>
  <c r="AG772" i="115"/>
  <c r="AG769" i="115"/>
  <c r="AF769" i="115"/>
  <c r="AI769" i="115"/>
  <c r="AG766" i="115"/>
  <c r="AI766" i="115"/>
  <c r="AI764" i="115"/>
  <c r="AG764" i="115"/>
  <c r="AG761" i="115"/>
  <c r="AF761" i="115"/>
  <c r="AI761" i="115"/>
  <c r="AF758" i="115"/>
  <c r="AG758" i="115"/>
  <c r="AI758" i="115"/>
  <c r="AI756" i="115"/>
  <c r="AF756" i="115"/>
  <c r="AG756" i="115"/>
  <c r="AG753" i="115"/>
  <c r="AF753" i="115"/>
  <c r="AI753" i="115"/>
  <c r="AG750" i="115"/>
  <c r="AI750" i="115"/>
  <c r="AI748" i="115"/>
  <c r="AG748" i="115"/>
  <c r="AG745" i="115"/>
  <c r="AF745" i="115"/>
  <c r="AI745" i="115"/>
  <c r="AG742" i="115"/>
  <c r="AI742" i="115"/>
  <c r="AI740" i="115"/>
  <c r="AG740" i="115"/>
  <c r="AG737" i="115"/>
  <c r="AF737" i="115"/>
  <c r="AI737" i="115"/>
  <c r="AG734" i="115"/>
  <c r="AI734" i="115"/>
  <c r="AI732" i="115"/>
  <c r="AG732" i="115"/>
  <c r="AG729" i="115"/>
  <c r="AF729" i="115"/>
  <c r="AI729" i="115"/>
  <c r="AF726" i="115"/>
  <c r="AG726" i="115"/>
  <c r="AI726" i="115"/>
  <c r="AI724" i="115"/>
  <c r="AF724" i="115"/>
  <c r="AG724" i="115"/>
  <c r="AG721" i="115"/>
  <c r="AF721" i="115"/>
  <c r="AI721" i="115"/>
  <c r="AG718" i="115"/>
  <c r="AI718" i="115"/>
  <c r="AI716" i="115"/>
  <c r="AG716" i="115"/>
  <c r="AG713" i="115"/>
  <c r="AF713" i="115"/>
  <c r="AI713" i="115"/>
  <c r="AG710" i="115"/>
  <c r="AI710" i="115"/>
  <c r="AI708" i="115"/>
  <c r="AG708" i="115"/>
  <c r="AI704" i="115"/>
  <c r="AF704" i="115"/>
  <c r="AG704" i="115"/>
  <c r="AG687" i="115"/>
  <c r="AF650" i="115"/>
  <c r="AI650" i="115"/>
  <c r="AG650" i="115"/>
  <c r="AF613" i="115"/>
  <c r="AG613" i="115"/>
  <c r="AI613" i="115"/>
  <c r="AI1597" i="115"/>
  <c r="AI1589" i="115"/>
  <c r="AI1581" i="115"/>
  <c r="AI1573" i="115"/>
  <c r="AI1565" i="115"/>
  <c r="AI1557" i="115"/>
  <c r="AI1549" i="115"/>
  <c r="AI1541" i="115"/>
  <c r="AI1533" i="115"/>
  <c r="AI1525" i="115"/>
  <c r="AI1517" i="115"/>
  <c r="AI1509" i="115"/>
  <c r="AI1501" i="115"/>
  <c r="AI1493" i="115"/>
  <c r="AF1480" i="115"/>
  <c r="AF1479" i="115"/>
  <c r="AG1477" i="115"/>
  <c r="AI1467" i="115"/>
  <c r="AF1448" i="115"/>
  <c r="AF1447" i="115"/>
  <c r="AG1445" i="115"/>
  <c r="AI1435" i="115"/>
  <c r="AF1424" i="115"/>
  <c r="AF1423" i="115"/>
  <c r="AI1423" i="115"/>
  <c r="AG1416" i="115"/>
  <c r="AI1416" i="115"/>
  <c r="AI1412" i="115"/>
  <c r="AF1395" i="115"/>
  <c r="AI1395" i="115"/>
  <c r="AG1381" i="115"/>
  <c r="AI1373" i="115"/>
  <c r="AG1371" i="115"/>
  <c r="AI1371" i="115"/>
  <c r="AI1349" i="115"/>
  <c r="AI1345" i="115"/>
  <c r="AG1338" i="115"/>
  <c r="AI1338" i="115"/>
  <c r="AF1329" i="115"/>
  <c r="AI1329" i="115"/>
  <c r="AF1325" i="115"/>
  <c r="AI1325" i="115"/>
  <c r="AF1321" i="115"/>
  <c r="AF1317" i="115"/>
  <c r="AG1317" i="115"/>
  <c r="AI1305" i="115"/>
  <c r="AF1294" i="115"/>
  <c r="AF1286" i="115"/>
  <c r="AG1254" i="115"/>
  <c r="AI1254" i="115"/>
  <c r="AG1218" i="115"/>
  <c r="AI1218" i="115"/>
  <c r="AG1206" i="115"/>
  <c r="AI1206" i="115"/>
  <c r="AF1193" i="115"/>
  <c r="AI1186" i="115"/>
  <c r="AF1165" i="115"/>
  <c r="AF1155" i="115"/>
  <c r="AF1145" i="115"/>
  <c r="AI990" i="115"/>
  <c r="AG986" i="115"/>
  <c r="AI984" i="115"/>
  <c r="AG980" i="115"/>
  <c r="AG697" i="115"/>
  <c r="AI697" i="115"/>
  <c r="AI668" i="115"/>
  <c r="AF668" i="115"/>
  <c r="AG668" i="115"/>
  <c r="AI653" i="115"/>
  <c r="AG653" i="115"/>
  <c r="AF632" i="115"/>
  <c r="AG632" i="115"/>
  <c r="AI632" i="115"/>
  <c r="AF966" i="115"/>
  <c r="AF950" i="115"/>
  <c r="AF694" i="115"/>
  <c r="AG694" i="115"/>
  <c r="AF690" i="115"/>
  <c r="AI685" i="115"/>
  <c r="AF676" i="115"/>
  <c r="AI676" i="115"/>
  <c r="AF674" i="115"/>
  <c r="AG674" i="115"/>
  <c r="AG657" i="115"/>
  <c r="AF646" i="115"/>
  <c r="AI630" i="115"/>
  <c r="AF630" i="115"/>
  <c r="AG617" i="115"/>
  <c r="AF493" i="115"/>
  <c r="AG493" i="115"/>
  <c r="AI493" i="115"/>
  <c r="AG447" i="115"/>
  <c r="AF447" i="115"/>
  <c r="AI447" i="115"/>
  <c r="AI430" i="115"/>
  <c r="AF383" i="115"/>
  <c r="AG383" i="115"/>
  <c r="AI383" i="115"/>
  <c r="AI341" i="115"/>
  <c r="AG341" i="115"/>
  <c r="AF341" i="115"/>
  <c r="AF333" i="115"/>
  <c r="AG333" i="115"/>
  <c r="AI333" i="115"/>
  <c r="AF310" i="115"/>
  <c r="AG310" i="115"/>
  <c r="AI310" i="115"/>
  <c r="AG695" i="115"/>
  <c r="AI682" i="115"/>
  <c r="AF682" i="115"/>
  <c r="AF670" i="115"/>
  <c r="AG665" i="115"/>
  <c r="AG662" i="115"/>
  <c r="AF662" i="115"/>
  <c r="AF654" i="115"/>
  <c r="AG654" i="115"/>
  <c r="AF648" i="115"/>
  <c r="AI648" i="115"/>
  <c r="AI636" i="115"/>
  <c r="AG612" i="115"/>
  <c r="AF612" i="115"/>
  <c r="AG606" i="115"/>
  <c r="AF606" i="115"/>
  <c r="AI606" i="115"/>
  <c r="AF511" i="115"/>
  <c r="AG511" i="115"/>
  <c r="AI511" i="115"/>
  <c r="AF458" i="115"/>
  <c r="AI458" i="115"/>
  <c r="AF443" i="115"/>
  <c r="AG443" i="115"/>
  <c r="AI443" i="115"/>
  <c r="AI394" i="115"/>
  <c r="AF379" i="115"/>
  <c r="AG379" i="115"/>
  <c r="AI379" i="115"/>
  <c r="AG363" i="115"/>
  <c r="AF363" i="115"/>
  <c r="AI363" i="115"/>
  <c r="AI315" i="115"/>
  <c r="AG315" i="115"/>
  <c r="AF1352" i="115"/>
  <c r="AI706" i="115"/>
  <c r="AI694" i="115"/>
  <c r="AI693" i="115"/>
  <c r="AG689" i="115"/>
  <c r="AG686" i="115"/>
  <c r="AF686" i="115"/>
  <c r="AI680" i="115"/>
  <c r="AF680" i="115"/>
  <c r="AI674" i="115"/>
  <c r="AF672" i="115"/>
  <c r="AI672" i="115"/>
  <c r="AG663" i="115"/>
  <c r="AG655" i="115"/>
  <c r="AI644" i="115"/>
  <c r="AF644" i="115"/>
  <c r="AG642" i="115"/>
  <c r="AF642" i="115"/>
  <c r="AG479" i="115"/>
  <c r="AF479" i="115"/>
  <c r="AI479" i="115"/>
  <c r="AI462" i="115"/>
  <c r="AF415" i="115"/>
  <c r="AG415" i="115"/>
  <c r="AI415" i="115"/>
  <c r="AI398" i="115"/>
  <c r="AF398" i="115"/>
  <c r="AF327" i="115"/>
  <c r="AG327" i="115"/>
  <c r="AI327" i="115"/>
  <c r="AG625" i="115"/>
  <c r="AI625" i="115"/>
  <c r="AG609" i="115"/>
  <c r="AG558" i="115"/>
  <c r="AG554" i="115"/>
  <c r="AI554" i="115"/>
  <c r="AG546" i="115"/>
  <c r="AF546" i="115"/>
  <c r="AF541" i="115"/>
  <c r="AI541" i="115"/>
  <c r="AI537" i="115"/>
  <c r="AG530" i="115"/>
  <c r="AI530" i="115"/>
  <c r="AF505" i="115"/>
  <c r="AI505" i="115"/>
  <c r="AF485" i="115"/>
  <c r="AG485" i="115"/>
  <c r="AG473" i="115"/>
  <c r="AI473" i="115"/>
  <c r="AF469" i="115"/>
  <c r="AG469" i="115"/>
  <c r="AI452" i="115"/>
  <c r="AF446" i="115"/>
  <c r="AG441" i="115"/>
  <c r="AI441" i="115"/>
  <c r="AF437" i="115"/>
  <c r="AG437" i="115"/>
  <c r="AI420" i="115"/>
  <c r="AG409" i="115"/>
  <c r="AI409" i="115"/>
  <c r="AF405" i="115"/>
  <c r="AG405" i="115"/>
  <c r="AF388" i="115"/>
  <c r="AI388" i="115"/>
  <c r="AG377" i="115"/>
  <c r="AI377" i="115"/>
  <c r="AI373" i="115"/>
  <c r="AG373" i="115"/>
  <c r="AF359" i="115"/>
  <c r="AG359" i="115"/>
  <c r="AG353" i="115"/>
  <c r="AI353" i="115"/>
  <c r="AI340" i="115"/>
  <c r="AI322" i="115"/>
  <c r="AG320" i="115"/>
  <c r="AF320" i="115"/>
  <c r="AI320" i="115"/>
  <c r="AF302" i="115"/>
  <c r="AG302" i="115"/>
  <c r="AI299" i="115"/>
  <c r="AG297" i="115"/>
  <c r="AG284" i="115"/>
  <c r="AF284" i="115"/>
  <c r="AI284" i="115"/>
  <c r="AG254" i="115"/>
  <c r="AF254" i="115"/>
  <c r="AI254" i="115"/>
  <c r="AF529" i="115"/>
  <c r="AG529" i="115"/>
  <c r="AI529" i="115"/>
  <c r="AF509" i="115"/>
  <c r="AG509" i="115"/>
  <c r="AI509" i="115"/>
  <c r="AF507" i="115"/>
  <c r="AI507" i="115"/>
  <c r="AF495" i="115"/>
  <c r="AG495" i="115"/>
  <c r="AI495" i="115"/>
  <c r="AI474" i="115"/>
  <c r="AF463" i="115"/>
  <c r="AG463" i="115"/>
  <c r="AF459" i="115"/>
  <c r="AI442" i="115"/>
  <c r="AF431" i="115"/>
  <c r="AG431" i="115"/>
  <c r="AF427" i="115"/>
  <c r="AI410" i="115"/>
  <c r="AF399" i="115"/>
  <c r="AG399" i="115"/>
  <c r="AF395" i="115"/>
  <c r="AI378" i="115"/>
  <c r="AI372" i="115"/>
  <c r="AG331" i="115"/>
  <c r="AF331" i="115"/>
  <c r="AF312" i="115"/>
  <c r="AG312" i="115"/>
  <c r="AI312" i="115"/>
  <c r="AG267" i="115"/>
  <c r="AI267" i="115"/>
  <c r="AG248" i="115"/>
  <c r="AF248" i="115"/>
  <c r="AI248" i="115"/>
  <c r="AI221" i="115"/>
  <c r="AG221" i="115"/>
  <c r="AG196" i="115"/>
  <c r="AI196" i="115"/>
  <c r="AF196" i="115"/>
  <c r="AI187" i="115"/>
  <c r="AF187" i="115"/>
  <c r="AG187" i="115"/>
  <c r="AI681" i="115"/>
  <c r="AI641" i="115"/>
  <c r="AI629" i="115"/>
  <c r="AG628" i="115"/>
  <c r="AG624" i="115"/>
  <c r="AI620" i="115"/>
  <c r="AG614" i="115"/>
  <c r="AF610" i="115"/>
  <c r="AI608" i="115"/>
  <c r="AF607" i="115"/>
  <c r="AG607" i="115"/>
  <c r="AF601" i="115"/>
  <c r="AI601" i="115"/>
  <c r="AF597" i="115"/>
  <c r="AI597" i="115"/>
  <c r="AF593" i="115"/>
  <c r="AI593" i="115"/>
  <c r="AF589" i="115"/>
  <c r="AI589" i="115"/>
  <c r="AF585" i="115"/>
  <c r="AI585" i="115"/>
  <c r="AI581" i="115"/>
  <c r="AF577" i="115"/>
  <c r="AI577" i="115"/>
  <c r="AF573" i="115"/>
  <c r="AI573" i="115"/>
  <c r="AF569" i="115"/>
  <c r="AI569" i="115"/>
  <c r="AG566" i="115"/>
  <c r="AF561" i="115"/>
  <c r="AI561" i="115"/>
  <c r="AG553" i="115"/>
  <c r="AF549" i="115"/>
  <c r="AI549" i="115"/>
  <c r="AF521" i="115"/>
  <c r="AI521" i="115"/>
  <c r="AF487" i="115"/>
  <c r="AG487" i="115"/>
  <c r="AI485" i="115"/>
  <c r="AI468" i="115"/>
  <c r="AG457" i="115"/>
  <c r="AI457" i="115"/>
  <c r="AF453" i="115"/>
  <c r="AG453" i="115"/>
  <c r="AI436" i="115"/>
  <c r="AG425" i="115"/>
  <c r="AI425" i="115"/>
  <c r="AF421" i="115"/>
  <c r="AG421" i="115"/>
  <c r="AI404" i="115"/>
  <c r="AG393" i="115"/>
  <c r="AI393" i="115"/>
  <c r="AF389" i="115"/>
  <c r="AG389" i="115"/>
  <c r="AF365" i="115"/>
  <c r="AG365" i="115"/>
  <c r="AI365" i="115"/>
  <c r="AI352" i="115"/>
  <c r="AG339" i="115"/>
  <c r="AG321" i="115"/>
  <c r="AG316" i="115"/>
  <c r="AF316" i="115"/>
  <c r="AI316" i="115"/>
  <c r="AG298" i="115"/>
  <c r="AI298" i="115"/>
  <c r="AI296" i="115"/>
  <c r="AF296" i="115"/>
  <c r="AG296" i="115"/>
  <c r="AF290" i="115"/>
  <c r="AG290" i="115"/>
  <c r="AI290" i="115"/>
  <c r="AF255" i="115"/>
  <c r="AI255" i="115"/>
  <c r="AG244" i="115"/>
  <c r="AF244" i="115"/>
  <c r="AI244" i="115"/>
  <c r="AG238" i="115"/>
  <c r="AF238" i="115"/>
  <c r="AI238" i="115"/>
  <c r="AF214" i="115"/>
  <c r="AF171" i="115"/>
  <c r="AG171" i="115"/>
  <c r="AF167" i="115"/>
  <c r="AI167" i="115"/>
  <c r="AG143" i="115"/>
  <c r="AF143" i="115"/>
  <c r="AI143" i="115"/>
  <c r="AI123" i="115"/>
  <c r="AG123" i="115"/>
  <c r="AF123" i="115"/>
  <c r="AI119" i="115"/>
  <c r="AF119" i="115"/>
  <c r="AG119" i="115"/>
  <c r="AG110" i="115"/>
  <c r="AG47" i="115"/>
  <c r="AI47" i="115"/>
  <c r="AG515" i="115"/>
  <c r="AG513" i="115"/>
  <c r="AG499" i="115"/>
  <c r="AG497" i="115"/>
  <c r="AF375" i="115"/>
  <c r="AI370" i="115"/>
  <c r="AF369" i="115"/>
  <c r="AI364" i="115"/>
  <c r="AF358" i="115"/>
  <c r="AF343" i="115"/>
  <c r="AI338" i="115"/>
  <c r="AF325" i="115"/>
  <c r="AG289" i="115"/>
  <c r="AF288" i="115"/>
  <c r="AF283" i="115"/>
  <c r="AG280" i="115"/>
  <c r="AF276" i="115"/>
  <c r="AF270" i="115"/>
  <c r="AI268" i="115"/>
  <c r="AF264" i="115"/>
  <c r="AG258" i="115"/>
  <c r="AG222" i="115"/>
  <c r="AF222" i="115"/>
  <c r="AF211" i="115"/>
  <c r="AG211" i="115"/>
  <c r="AG210" i="115"/>
  <c r="AI210" i="115"/>
  <c r="AF195" i="115"/>
  <c r="AI195" i="115"/>
  <c r="AG188" i="115"/>
  <c r="AI188" i="115"/>
  <c r="AF188" i="115"/>
  <c r="AI185" i="115"/>
  <c r="AG166" i="115"/>
  <c r="AG162" i="115"/>
  <c r="AI162" i="115"/>
  <c r="AF107" i="115"/>
  <c r="AI107" i="115"/>
  <c r="AG107" i="115"/>
  <c r="AF73" i="115"/>
  <c r="AG73" i="115"/>
  <c r="AI73" i="115"/>
  <c r="AF308" i="115"/>
  <c r="AI275" i="115"/>
  <c r="AG274" i="115"/>
  <c r="AG268" i="115"/>
  <c r="AI251" i="115"/>
  <c r="AI250" i="115"/>
  <c r="AG249" i="115"/>
  <c r="AI228" i="115"/>
  <c r="AG227" i="115"/>
  <c r="AG226" i="115"/>
  <c r="AF226" i="115"/>
  <c r="AI216" i="115"/>
  <c r="AI214" i="115"/>
  <c r="AI180" i="115"/>
  <c r="AF179" i="115"/>
  <c r="AI179" i="115"/>
  <c r="AG179" i="115"/>
  <c r="AG144" i="115"/>
  <c r="AI144" i="115"/>
  <c r="AG120" i="115"/>
  <c r="AI120" i="115"/>
  <c r="AG85" i="115"/>
  <c r="AF85" i="115"/>
  <c r="AI85" i="115"/>
  <c r="AI160" i="115"/>
  <c r="AG159" i="115"/>
  <c r="AG153" i="115"/>
  <c r="AF149" i="115"/>
  <c r="AI147" i="115"/>
  <c r="AF141" i="115"/>
  <c r="AI137" i="115"/>
  <c r="AG137" i="115"/>
  <c r="AF127" i="115"/>
  <c r="AI127" i="115"/>
  <c r="AG117" i="115"/>
  <c r="AF117" i="115"/>
  <c r="AG115" i="115"/>
  <c r="AI112" i="115"/>
  <c r="AG111" i="115"/>
  <c r="AF105" i="115"/>
  <c r="AG105" i="115"/>
  <c r="AI98" i="115"/>
  <c r="AI87" i="115"/>
  <c r="AF87" i="115"/>
  <c r="AG87" i="115"/>
  <c r="AI83" i="115"/>
  <c r="AF83" i="115"/>
  <c r="AI165" i="115"/>
  <c r="AF159" i="115"/>
  <c r="AI157" i="115"/>
  <c r="AI156" i="115"/>
  <c r="AF153" i="115"/>
  <c r="AI149" i="115"/>
  <c r="AI148" i="115"/>
  <c r="AF147" i="115"/>
  <c r="AF142" i="115"/>
  <c r="AG142" i="115"/>
  <c r="AF133" i="115"/>
  <c r="AG133" i="115"/>
  <c r="AF116" i="115"/>
  <c r="AF111" i="115"/>
  <c r="AF93" i="115"/>
  <c r="AG74" i="115"/>
  <c r="AI74" i="115"/>
  <c r="AG38" i="115"/>
  <c r="AI38" i="115"/>
  <c r="AI136" i="115"/>
  <c r="AI109" i="115"/>
  <c r="AF109" i="115"/>
  <c r="AI56" i="115"/>
  <c r="AG35" i="115"/>
  <c r="AF35" i="115"/>
  <c r="AI25" i="115"/>
  <c r="AG25" i="115"/>
  <c r="AG20" i="115"/>
  <c r="AI20" i="115"/>
  <c r="AF121" i="115"/>
  <c r="AL1600" i="115"/>
  <c r="AI79" i="115"/>
  <c r="AF79" i="115"/>
  <c r="AI63" i="115"/>
  <c r="AI55" i="115"/>
  <c r="AF57" i="115"/>
  <c r="AI57" i="115"/>
  <c r="AG9" i="115"/>
  <c r="AI9" i="115"/>
  <c r="AI31" i="115"/>
  <c r="AI19" i="115"/>
  <c r="AG19" i="115"/>
  <c r="AF1148" i="114"/>
  <c r="AF1144" i="114"/>
  <c r="AF1136" i="114"/>
  <c r="AF1132" i="114"/>
  <c r="AF1128" i="114"/>
  <c r="AF1124" i="114"/>
  <c r="AF1000" i="114"/>
  <c r="AF59" i="114"/>
  <c r="AF11" i="114"/>
  <c r="AF1384" i="115"/>
  <c r="AF63" i="115"/>
  <c r="AF67" i="115"/>
  <c r="AF69" i="115"/>
  <c r="AF37" i="114"/>
  <c r="AF49" i="114"/>
  <c r="AF37" i="115"/>
  <c r="AF49" i="115"/>
  <c r="AF71" i="115"/>
  <c r="AF9" i="115"/>
  <c r="AF17" i="115"/>
  <c r="AF25" i="115"/>
  <c r="AF33" i="115"/>
  <c r="AF38" i="115"/>
  <c r="AF39" i="115"/>
  <c r="AF43" i="115"/>
  <c r="AF61" i="115"/>
  <c r="AF75" i="115"/>
  <c r="AF68" i="114"/>
  <c r="AF56" i="114"/>
  <c r="AF53" i="114"/>
  <c r="AF51" i="114"/>
  <c r="AF41" i="114"/>
  <c r="AF41" i="115"/>
  <c r="AF47" i="115"/>
  <c r="AF67" i="114"/>
  <c r="AF55" i="114"/>
  <c r="AF45" i="114"/>
  <c r="AF43" i="114"/>
  <c r="AF15" i="115"/>
  <c r="AF27" i="115"/>
  <c r="AF11" i="115"/>
  <c r="AF1030" i="115"/>
  <c r="AF1026" i="115"/>
  <c r="AF1022" i="115"/>
  <c r="AF1018" i="115"/>
  <c r="AF1014" i="115"/>
  <c r="AF1010" i="115"/>
  <c r="AF1006" i="115"/>
  <c r="AF1002" i="115"/>
  <c r="AF998" i="115"/>
  <c r="AF994" i="115"/>
  <c r="AF990" i="115"/>
  <c r="AF986" i="115"/>
  <c r="AF982" i="115"/>
  <c r="AF974" i="115"/>
  <c r="AF970" i="115"/>
  <c r="AF962" i="115"/>
  <c r="AF958" i="115"/>
  <c r="AF954" i="115"/>
  <c r="AF942" i="115"/>
  <c r="AF938" i="115"/>
  <c r="AF930" i="115"/>
  <c r="AF926" i="115"/>
  <c r="AF922" i="115"/>
  <c r="AF918" i="115"/>
  <c r="AF914" i="115"/>
  <c r="AF910" i="115"/>
  <c r="AF906" i="115"/>
  <c r="AF902" i="115"/>
  <c r="AF898" i="115"/>
  <c r="AF894" i="115"/>
  <c r="AF890" i="115"/>
  <c r="AF886" i="115"/>
  <c r="AF882" i="115"/>
  <c r="AF878" i="115"/>
  <c r="AF874" i="115"/>
  <c r="AF870" i="115"/>
  <c r="AF862" i="115"/>
  <c r="AF858" i="115"/>
  <c r="AF850" i="115"/>
  <c r="AF846" i="115"/>
  <c r="AF842" i="115"/>
  <c r="AF838" i="115"/>
  <c r="AF834" i="115"/>
  <c r="AF830" i="115"/>
  <c r="AF826" i="115"/>
  <c r="AF818" i="115"/>
  <c r="AF814" i="115"/>
  <c r="AF810" i="115"/>
  <c r="AF806" i="115"/>
  <c r="AF798" i="115"/>
  <c r="AF794" i="115"/>
  <c r="AF782" i="115"/>
  <c r="AF778" i="115"/>
  <c r="AF774" i="115"/>
  <c r="AF766" i="115"/>
  <c r="AF762" i="115"/>
  <c r="AF750" i="115"/>
  <c r="AF746" i="115"/>
  <c r="AF742" i="115"/>
  <c r="AF734" i="115"/>
  <c r="AF730" i="115"/>
  <c r="AF722" i="115"/>
  <c r="AF718" i="115"/>
  <c r="AF714" i="115"/>
  <c r="AF710" i="115"/>
  <c r="AF603" i="115"/>
  <c r="AF599" i="115"/>
  <c r="AF595" i="115"/>
  <c r="AF591" i="115"/>
  <c r="AF587" i="115"/>
  <c r="AF583" i="115"/>
  <c r="AF579" i="115"/>
  <c r="AF575" i="115"/>
  <c r="AF66" i="115"/>
  <c r="AF784" i="115"/>
  <c r="AF780" i="115"/>
  <c r="AF776" i="115"/>
  <c r="AF772" i="115"/>
  <c r="AF768" i="115"/>
  <c r="AF764" i="115"/>
  <c r="AF748" i="115"/>
  <c r="AF744" i="115"/>
  <c r="AF740" i="115"/>
  <c r="AF736" i="115"/>
  <c r="AF732" i="115"/>
  <c r="AF728" i="115"/>
  <c r="AF720" i="115"/>
  <c r="AF716" i="115"/>
  <c r="AF712" i="115"/>
  <c r="AF708" i="115"/>
  <c r="AF354" i="115"/>
  <c r="AF350" i="115"/>
  <c r="AF346" i="115"/>
  <c r="AF338" i="115"/>
  <c r="AF330" i="115"/>
  <c r="AF322" i="115"/>
  <c r="AF53" i="115"/>
  <c r="AF51" i="115"/>
  <c r="AO1600" i="115"/>
  <c r="AO6" i="115" s="1"/>
  <c r="AF1264" i="115"/>
  <c r="AI1592" i="115"/>
  <c r="AI1584" i="115"/>
  <c r="AI1580" i="115"/>
  <c r="AI1576" i="115"/>
  <c r="AI1568" i="115"/>
  <c r="AI1566" i="115"/>
  <c r="AI1560" i="115"/>
  <c r="AI1556" i="115"/>
  <c r="AI1550" i="115"/>
  <c r="AI1546" i="115"/>
  <c r="AI1532" i="115"/>
  <c r="AI1524" i="115"/>
  <c r="AI1512" i="115"/>
  <c r="AI1508" i="115"/>
  <c r="AI1502" i="115"/>
  <c r="AI1498" i="115"/>
  <c r="AI1492" i="115"/>
  <c r="AG1386" i="115"/>
  <c r="AG1376" i="115"/>
  <c r="AI1376" i="115"/>
  <c r="AF1327" i="115"/>
  <c r="AI1327" i="115"/>
  <c r="AG1312" i="115"/>
  <c r="AI1312" i="115"/>
  <c r="AF1312" i="115"/>
  <c r="AG1308" i="115"/>
  <c r="AF1308" i="115"/>
  <c r="AI1308" i="115"/>
  <c r="AG1248" i="115"/>
  <c r="AI1248" i="115"/>
  <c r="AG1244" i="115"/>
  <c r="AI1244" i="115"/>
  <c r="AG1216" i="115"/>
  <c r="AI1216" i="115"/>
  <c r="AF1216" i="115"/>
  <c r="AG1212" i="115"/>
  <c r="AI1212" i="115"/>
  <c r="AF317" i="115"/>
  <c r="AG317" i="115"/>
  <c r="AI317" i="115"/>
  <c r="AF309" i="115"/>
  <c r="AG309" i="115"/>
  <c r="AI309" i="115"/>
  <c r="AF301" i="115"/>
  <c r="AG301" i="115"/>
  <c r="AI301" i="115"/>
  <c r="AF293" i="115"/>
  <c r="AG293" i="115"/>
  <c r="AI293" i="115"/>
  <c r="AF285" i="115"/>
  <c r="AG285" i="115"/>
  <c r="AI285" i="115"/>
  <c r="AF277" i="115"/>
  <c r="AG277" i="115"/>
  <c r="AI277" i="115"/>
  <c r="AF269" i="115"/>
  <c r="AG269" i="115"/>
  <c r="AI269" i="115"/>
  <c r="AF261" i="115"/>
  <c r="AG261" i="115"/>
  <c r="AI261" i="115"/>
  <c r="AF223" i="115"/>
  <c r="AI223" i="115"/>
  <c r="AG223" i="115"/>
  <c r="AG208" i="115"/>
  <c r="AF208" i="115"/>
  <c r="AI208" i="115"/>
  <c r="AF154" i="115"/>
  <c r="AG154" i="115"/>
  <c r="AI154" i="115"/>
  <c r="AG76" i="115"/>
  <c r="AF76" i="115"/>
  <c r="AI76" i="115"/>
  <c r="AF60" i="115"/>
  <c r="AG60" i="115"/>
  <c r="AI60" i="115"/>
  <c r="AF44" i="115"/>
  <c r="AG44" i="115"/>
  <c r="AI44" i="115"/>
  <c r="AM1600" i="115"/>
  <c r="AN5" i="115" s="1"/>
  <c r="AF1599" i="115"/>
  <c r="AG1598" i="115"/>
  <c r="AF1597" i="115"/>
  <c r="AG1596" i="115"/>
  <c r="AG1594" i="115"/>
  <c r="AF1593" i="115"/>
  <c r="AG1592" i="115"/>
  <c r="AF1591" i="115"/>
  <c r="AG1590" i="115"/>
  <c r="AF1589" i="115"/>
  <c r="AG1588" i="115"/>
  <c r="AF1587" i="115"/>
  <c r="AG1586" i="115"/>
  <c r="AF1585" i="115"/>
  <c r="AG1584" i="115"/>
  <c r="AG1582" i="115"/>
  <c r="AF1581" i="115"/>
  <c r="AG1580" i="115"/>
  <c r="AF1579" i="115"/>
  <c r="AG1578" i="115"/>
  <c r="AF1577" i="115"/>
  <c r="AG1576" i="115"/>
  <c r="AG1574" i="115"/>
  <c r="AF1573" i="115"/>
  <c r="AG1572" i="115"/>
  <c r="AF1571" i="115"/>
  <c r="AG1570" i="115"/>
  <c r="AF1569" i="115"/>
  <c r="AG1568" i="115"/>
  <c r="AF1567" i="115"/>
  <c r="AG1566" i="115"/>
  <c r="AF1565" i="115"/>
  <c r="AG1564" i="115"/>
  <c r="AG1562" i="115"/>
  <c r="AF1561" i="115"/>
  <c r="AG1560" i="115"/>
  <c r="AF1559" i="115"/>
  <c r="AG1558" i="115"/>
  <c r="AF1557" i="115"/>
  <c r="AG1556" i="115"/>
  <c r="AF1555" i="115"/>
  <c r="AG1554" i="115"/>
  <c r="AF1553" i="115"/>
  <c r="AG1552" i="115"/>
  <c r="AG1550" i="115"/>
  <c r="AF1549" i="115"/>
  <c r="AG1548" i="115"/>
  <c r="AF1547" i="115"/>
  <c r="AG1546" i="115"/>
  <c r="AF1545" i="115"/>
  <c r="AG1544" i="115"/>
  <c r="AF1543" i="115"/>
  <c r="AG1542" i="115"/>
  <c r="AF1541" i="115"/>
  <c r="AG1540" i="115"/>
  <c r="AF1539" i="115"/>
  <c r="AG1538" i="115"/>
  <c r="AF1537" i="115"/>
  <c r="AG1536" i="115"/>
  <c r="AF1535" i="115"/>
  <c r="AG1534" i="115"/>
  <c r="AF1533" i="115"/>
  <c r="AG1532" i="115"/>
  <c r="AG1530" i="115"/>
  <c r="AF1529" i="115"/>
  <c r="AG1528" i="115"/>
  <c r="AF1527" i="115"/>
  <c r="AG1526" i="115"/>
  <c r="AF1525" i="115"/>
  <c r="AG1524" i="115"/>
  <c r="AG1522" i="115"/>
  <c r="AF1521" i="115"/>
  <c r="AG1520" i="115"/>
  <c r="AG1518" i="115"/>
  <c r="AF1517" i="115"/>
  <c r="AG1516" i="115"/>
  <c r="AF1515" i="115"/>
  <c r="AG1514" i="115"/>
  <c r="AF1513" i="115"/>
  <c r="AG1512" i="115"/>
  <c r="AF1511" i="115"/>
  <c r="AG1510" i="115"/>
  <c r="AF1509" i="115"/>
  <c r="AG1508" i="115"/>
  <c r="AF1507" i="115"/>
  <c r="AG1506" i="115"/>
  <c r="AF1505" i="115"/>
  <c r="AG1504" i="115"/>
  <c r="AF1503" i="115"/>
  <c r="AG1502" i="115"/>
  <c r="AF1501" i="115"/>
  <c r="AG1500" i="115"/>
  <c r="AG1498" i="115"/>
  <c r="AF1497" i="115"/>
  <c r="AG1496" i="115"/>
  <c r="AF1495" i="115"/>
  <c r="AG1494" i="115"/>
  <c r="AF1493" i="115"/>
  <c r="AG1492" i="115"/>
  <c r="AF1491" i="115"/>
  <c r="AG1490" i="115"/>
  <c r="AF1489" i="115"/>
  <c r="AG1488" i="115"/>
  <c r="AF1486" i="115"/>
  <c r="AF1485" i="115"/>
  <c r="AF1484" i="115"/>
  <c r="AG1483" i="115"/>
  <c r="AI1482" i="115"/>
  <c r="AI1481" i="115"/>
  <c r="AF1478" i="115"/>
  <c r="AF1477" i="115"/>
  <c r="AF1476" i="115"/>
  <c r="AG1475" i="115"/>
  <c r="AI1474" i="115"/>
  <c r="AI1473" i="115"/>
  <c r="AF1469" i="115"/>
  <c r="AF1468" i="115"/>
  <c r="AG1467" i="115"/>
  <c r="AI1466" i="115"/>
  <c r="AI1465" i="115"/>
  <c r="AF1462" i="115"/>
  <c r="AF1461" i="115"/>
  <c r="AG1459" i="115"/>
  <c r="AI1458" i="115"/>
  <c r="AI1457" i="115"/>
  <c r="AF1454" i="115"/>
  <c r="AF1453" i="115"/>
  <c r="AF1452" i="115"/>
  <c r="AG1451" i="115"/>
  <c r="AI1450" i="115"/>
  <c r="AI1449" i="115"/>
  <c r="AF1446" i="115"/>
  <c r="AF1445" i="115"/>
  <c r="AG1443" i="115"/>
  <c r="AI1442" i="115"/>
  <c r="AI1441" i="115"/>
  <c r="AF1438" i="115"/>
  <c r="AF1437" i="115"/>
  <c r="AF1436" i="115"/>
  <c r="AG1435" i="115"/>
  <c r="AI1434" i="115"/>
  <c r="AI1433" i="115"/>
  <c r="AF1430" i="115"/>
  <c r="AF1429" i="115"/>
  <c r="AF1428" i="115"/>
  <c r="AG1427" i="115"/>
  <c r="AI1426" i="115"/>
  <c r="AI1425" i="115"/>
  <c r="AF1421" i="115"/>
  <c r="AF1420" i="115"/>
  <c r="AG1419" i="115"/>
  <c r="AI1418" i="115"/>
  <c r="AI1417" i="115"/>
  <c r="AF1414" i="115"/>
  <c r="AF1413" i="115"/>
  <c r="AF1412" i="115"/>
  <c r="AG1411" i="115"/>
  <c r="AI1410" i="115"/>
  <c r="AI1409" i="115"/>
  <c r="AF1406" i="115"/>
  <c r="AF1405" i="115"/>
  <c r="AG1403" i="115"/>
  <c r="AI1402" i="115"/>
  <c r="AI1401" i="115"/>
  <c r="AF1397" i="115"/>
  <c r="AF1396" i="115"/>
  <c r="AG1395" i="115"/>
  <c r="AF1391" i="115"/>
  <c r="AI1391" i="115"/>
  <c r="AG1388" i="115"/>
  <c r="AF1379" i="115"/>
  <c r="AG1378" i="115"/>
  <c r="AF1378" i="115"/>
  <c r="AF1369" i="115"/>
  <c r="AG1369" i="115"/>
  <c r="AG1368" i="115"/>
  <c r="AI1368" i="115"/>
  <c r="AF1359" i="115"/>
  <c r="AI1359" i="115"/>
  <c r="AG1356" i="115"/>
  <c r="AF1356" i="115"/>
  <c r="AG1348" i="115"/>
  <c r="AF1348" i="115"/>
  <c r="AI1348" i="115"/>
  <c r="AF1335" i="115"/>
  <c r="AI1335" i="115"/>
  <c r="AF1331" i="115"/>
  <c r="AI1331" i="115"/>
  <c r="AG1320" i="115"/>
  <c r="AI1320" i="115"/>
  <c r="AF1320" i="115"/>
  <c r="AG1316" i="115"/>
  <c r="AF1316" i="115"/>
  <c r="AI1316" i="115"/>
  <c r="AF1303" i="115"/>
  <c r="AI1303" i="115"/>
  <c r="AF1299" i="115"/>
  <c r="AI1299" i="115"/>
  <c r="AG1288" i="115"/>
  <c r="AI1288" i="115"/>
  <c r="AF1288" i="115"/>
  <c r="AG1284" i="115"/>
  <c r="AF1284" i="115"/>
  <c r="AI1284" i="115"/>
  <c r="AF1271" i="115"/>
  <c r="AI1271" i="115"/>
  <c r="AF1267" i="115"/>
  <c r="AI1267" i="115"/>
  <c r="AG1256" i="115"/>
  <c r="AI1256" i="115"/>
  <c r="AF1256" i="115"/>
  <c r="AG1252" i="115"/>
  <c r="AF1252" i="115"/>
  <c r="AI1252" i="115"/>
  <c r="AF1239" i="115"/>
  <c r="AI1239" i="115"/>
  <c r="AF1235" i="115"/>
  <c r="AI1235" i="115"/>
  <c r="AG1224" i="115"/>
  <c r="AI1224" i="115"/>
  <c r="AF1224" i="115"/>
  <c r="AG1220" i="115"/>
  <c r="AF1220" i="115"/>
  <c r="AI1220" i="115"/>
  <c r="AF1207" i="115"/>
  <c r="AI1207" i="115"/>
  <c r="AI1198" i="115"/>
  <c r="AF1198" i="115"/>
  <c r="AG1196" i="115"/>
  <c r="AF1196" i="115"/>
  <c r="AF1194" i="115"/>
  <c r="AG1194" i="115"/>
  <c r="AI1596" i="115"/>
  <c r="AI1590" i="115"/>
  <c r="AI1582" i="115"/>
  <c r="AI1574" i="115"/>
  <c r="AI1572" i="115"/>
  <c r="AI1562" i="115"/>
  <c r="AI1558" i="115"/>
  <c r="AI1544" i="115"/>
  <c r="AI1540" i="115"/>
  <c r="AI1538" i="115"/>
  <c r="AI1534" i="115"/>
  <c r="AI1530" i="115"/>
  <c r="AI1526" i="115"/>
  <c r="AI1522" i="115"/>
  <c r="AI1518" i="115"/>
  <c r="AI1514" i="115"/>
  <c r="AI1506" i="115"/>
  <c r="AF1387" i="115"/>
  <c r="AG1377" i="115"/>
  <c r="AF1367" i="115"/>
  <c r="AI1367" i="115"/>
  <c r="AF1355" i="115"/>
  <c r="AG1280" i="115"/>
  <c r="AI1280" i="115"/>
  <c r="AG1276" i="115"/>
  <c r="AF1276" i="115"/>
  <c r="AI1276" i="115"/>
  <c r="AF1263" i="115"/>
  <c r="AI1263" i="115"/>
  <c r="AF1231" i="115"/>
  <c r="AI1231" i="115"/>
  <c r="AF1162" i="115"/>
  <c r="AG1162" i="115"/>
  <c r="AG540" i="115"/>
  <c r="AF540" i="115"/>
  <c r="AI540" i="115"/>
  <c r="AF1598" i="115"/>
  <c r="AF1596" i="115"/>
  <c r="AF1594" i="115"/>
  <c r="AF1592" i="115"/>
  <c r="AF1590" i="115"/>
  <c r="AF1588" i="115"/>
  <c r="AF1586" i="115"/>
  <c r="AF1584" i="115"/>
  <c r="AF1582" i="115"/>
  <c r="AF1580" i="115"/>
  <c r="AF1578" i="115"/>
  <c r="AF1576" i="115"/>
  <c r="AF1574" i="115"/>
  <c r="AF1572" i="115"/>
  <c r="AF1570" i="115"/>
  <c r="AF1568" i="115"/>
  <c r="AF1566" i="115"/>
  <c r="AF1564" i="115"/>
  <c r="AF1562" i="115"/>
  <c r="AF1560" i="115"/>
  <c r="AF1558" i="115"/>
  <c r="AF1556" i="115"/>
  <c r="AF1554" i="115"/>
  <c r="AF1552" i="115"/>
  <c r="AF1550" i="115"/>
  <c r="AF1548" i="115"/>
  <c r="AF1546" i="115"/>
  <c r="AF1544" i="115"/>
  <c r="AF1542" i="115"/>
  <c r="AF1540" i="115"/>
  <c r="AF1538" i="115"/>
  <c r="AF1536" i="115"/>
  <c r="AF1534" i="115"/>
  <c r="AF1532" i="115"/>
  <c r="AF1530" i="115"/>
  <c r="AF1528" i="115"/>
  <c r="AF1526" i="115"/>
  <c r="AF1524" i="115"/>
  <c r="AF1522" i="115"/>
  <c r="AF1520" i="115"/>
  <c r="AF1518" i="115"/>
  <c r="AF1516" i="115"/>
  <c r="AF1514" i="115"/>
  <c r="AF1512" i="115"/>
  <c r="AF1510" i="115"/>
  <c r="AF1508" i="115"/>
  <c r="AF1506" i="115"/>
  <c r="AF1504" i="115"/>
  <c r="AF1502" i="115"/>
  <c r="AF1500" i="115"/>
  <c r="AF1498" i="115"/>
  <c r="AF1496" i="115"/>
  <c r="AF1494" i="115"/>
  <c r="AF1492" i="115"/>
  <c r="AF1490" i="115"/>
  <c r="AF1488" i="115"/>
  <c r="AG1481" i="115"/>
  <c r="AG1473" i="115"/>
  <c r="AG1465" i="115"/>
  <c r="AG1457" i="115"/>
  <c r="AG1449" i="115"/>
  <c r="AG1441" i="115"/>
  <c r="AG1433" i="115"/>
  <c r="AG1425" i="115"/>
  <c r="AG1417" i="115"/>
  <c r="AG1409" i="115"/>
  <c r="AG1401" i="115"/>
  <c r="AG1393" i="115"/>
  <c r="AG1392" i="115"/>
  <c r="AI1392" i="115"/>
  <c r="AI1387" i="115"/>
  <c r="AI1386" i="115"/>
  <c r="AI1383" i="115"/>
  <c r="AG1380" i="115"/>
  <c r="AF1380" i="115"/>
  <c r="AI1377" i="115"/>
  <c r="AF1371" i="115"/>
  <c r="AG1370" i="115"/>
  <c r="AF1370" i="115"/>
  <c r="AG1367" i="115"/>
  <c r="AF1361" i="115"/>
  <c r="AG1361" i="115"/>
  <c r="AG1360" i="115"/>
  <c r="AI1360" i="115"/>
  <c r="AI1355" i="115"/>
  <c r="AI1351" i="115"/>
  <c r="AI1343" i="115"/>
  <c r="AF1339" i="115"/>
  <c r="AI1339" i="115"/>
  <c r="AG1328" i="115"/>
  <c r="AI1328" i="115"/>
  <c r="AF1328" i="115"/>
  <c r="AG1324" i="115"/>
  <c r="AF1324" i="115"/>
  <c r="AI1324" i="115"/>
  <c r="AI1311" i="115"/>
  <c r="AF1311" i="115"/>
  <c r="AF1307" i="115"/>
  <c r="AI1307" i="115"/>
  <c r="AG1296" i="115"/>
  <c r="AI1296" i="115"/>
  <c r="AF1296" i="115"/>
  <c r="AG1292" i="115"/>
  <c r="AF1292" i="115"/>
  <c r="AI1292" i="115"/>
  <c r="AI1279" i="115"/>
  <c r="AF1279" i="115"/>
  <c r="AF1275" i="115"/>
  <c r="AI1275" i="115"/>
  <c r="AG1264" i="115"/>
  <c r="AI1264" i="115"/>
  <c r="AG1260" i="115"/>
  <c r="AF1260" i="115"/>
  <c r="AI1260" i="115"/>
  <c r="AI1247" i="115"/>
  <c r="AF1247" i="115"/>
  <c r="AF1243" i="115"/>
  <c r="AI1243" i="115"/>
  <c r="AG1232" i="115"/>
  <c r="AI1232" i="115"/>
  <c r="AF1232" i="115"/>
  <c r="AG1228" i="115"/>
  <c r="AF1228" i="115"/>
  <c r="AI1228" i="115"/>
  <c r="AI1215" i="115"/>
  <c r="AF1215" i="115"/>
  <c r="AF1211" i="115"/>
  <c r="AI1211" i="115"/>
  <c r="AF1150" i="115"/>
  <c r="AI1150" i="115"/>
  <c r="AG1148" i="115"/>
  <c r="AF1146" i="115"/>
  <c r="AG1146" i="115"/>
  <c r="AI1598" i="115"/>
  <c r="AI1594" i="115"/>
  <c r="AI1588" i="115"/>
  <c r="AI1586" i="115"/>
  <c r="AI1578" i="115"/>
  <c r="AI1570" i="115"/>
  <c r="AI1564" i="115"/>
  <c r="AI1554" i="115"/>
  <c r="AI1552" i="115"/>
  <c r="AI1548" i="115"/>
  <c r="AI1542" i="115"/>
  <c r="AI1536" i="115"/>
  <c r="AI1528" i="115"/>
  <c r="AI1520" i="115"/>
  <c r="AI1516" i="115"/>
  <c r="AI1510" i="115"/>
  <c r="AI1504" i="115"/>
  <c r="AI1500" i="115"/>
  <c r="AI1496" i="115"/>
  <c r="AI1494" i="115"/>
  <c r="AG1364" i="115"/>
  <c r="AF1364" i="115"/>
  <c r="AG1354" i="115"/>
  <c r="AG1344" i="115"/>
  <c r="AI1344" i="115"/>
  <c r="AF1344" i="115"/>
  <c r="AG1340" i="115"/>
  <c r="AF1340" i="115"/>
  <c r="AI1340" i="115"/>
  <c r="AF1323" i="115"/>
  <c r="AI1323" i="115"/>
  <c r="AF1295" i="115"/>
  <c r="AI1295" i="115"/>
  <c r="AF1291" i="115"/>
  <c r="AI1291" i="115"/>
  <c r="AF1259" i="115"/>
  <c r="AI1259" i="115"/>
  <c r="AF1227" i="115"/>
  <c r="AI1227" i="115"/>
  <c r="AI1166" i="115"/>
  <c r="AF1166" i="115"/>
  <c r="AG1164" i="115"/>
  <c r="AF1164" i="115"/>
  <c r="AI1486" i="115"/>
  <c r="AI1485" i="115"/>
  <c r="AF1481" i="115"/>
  <c r="AI1478" i="115"/>
  <c r="AI1477" i="115"/>
  <c r="AF1474" i="115"/>
  <c r="AF1473" i="115"/>
  <c r="AI1470" i="115"/>
  <c r="AI1469" i="115"/>
  <c r="AF1466" i="115"/>
  <c r="AF1465" i="115"/>
  <c r="AI1462" i="115"/>
  <c r="AI1461" i="115"/>
  <c r="AF1458" i="115"/>
  <c r="AF1457" i="115"/>
  <c r="AI1454" i="115"/>
  <c r="AI1453" i="115"/>
  <c r="AF1450" i="115"/>
  <c r="AF1449" i="115"/>
  <c r="AI1446" i="115"/>
  <c r="AI1445" i="115"/>
  <c r="AF1442" i="115"/>
  <c r="AF1441" i="115"/>
  <c r="AI1438" i="115"/>
  <c r="AI1437" i="115"/>
  <c r="AF1434" i="115"/>
  <c r="AF1433" i="115"/>
  <c r="AI1430" i="115"/>
  <c r="AI1429" i="115"/>
  <c r="AF1426" i="115"/>
  <c r="AF1425" i="115"/>
  <c r="AI1422" i="115"/>
  <c r="AI1421" i="115"/>
  <c r="AF1418" i="115"/>
  <c r="AF1417" i="115"/>
  <c r="AI1414" i="115"/>
  <c r="AI1413" i="115"/>
  <c r="AF1410" i="115"/>
  <c r="AF1409" i="115"/>
  <c r="AI1406" i="115"/>
  <c r="AI1405" i="115"/>
  <c r="AF1402" i="115"/>
  <c r="AF1401" i="115"/>
  <c r="AI1398" i="115"/>
  <c r="AI1397" i="115"/>
  <c r="AG1394" i="115"/>
  <c r="AF1394" i="115"/>
  <c r="AG1387" i="115"/>
  <c r="AF1386" i="115"/>
  <c r="AF1385" i="115"/>
  <c r="AG1385" i="115"/>
  <c r="AG1384" i="115"/>
  <c r="AI1384" i="115"/>
  <c r="AF1377" i="115"/>
  <c r="AF1376" i="115"/>
  <c r="AF1375" i="115"/>
  <c r="AI1375" i="115"/>
  <c r="AG1372" i="115"/>
  <c r="AF1372" i="115"/>
  <c r="AG1362" i="115"/>
  <c r="AG1355" i="115"/>
  <c r="AF1354" i="115"/>
  <c r="AF1353" i="115"/>
  <c r="AG1353" i="115"/>
  <c r="AG1352" i="115"/>
  <c r="AI1352" i="115"/>
  <c r="AF1347" i="115"/>
  <c r="AI1347" i="115"/>
  <c r="AG1336" i="115"/>
  <c r="AI1336" i="115"/>
  <c r="AF1336" i="115"/>
  <c r="AG1332" i="115"/>
  <c r="AF1332" i="115"/>
  <c r="AI1332" i="115"/>
  <c r="AG1327" i="115"/>
  <c r="AG1323" i="115"/>
  <c r="AF1319" i="115"/>
  <c r="AI1319" i="115"/>
  <c r="AF1315" i="115"/>
  <c r="AI1315" i="115"/>
  <c r="AG1304" i="115"/>
  <c r="AI1304" i="115"/>
  <c r="AF1304" i="115"/>
  <c r="AG1300" i="115"/>
  <c r="AF1300" i="115"/>
  <c r="AI1300" i="115"/>
  <c r="AG1295" i="115"/>
  <c r="AG1291" i="115"/>
  <c r="AF1287" i="115"/>
  <c r="AI1287" i="115"/>
  <c r="AF1283" i="115"/>
  <c r="AI1283" i="115"/>
  <c r="AF1280" i="115"/>
  <c r="AG1272" i="115"/>
  <c r="AI1272" i="115"/>
  <c r="AF1272" i="115"/>
  <c r="AG1268" i="115"/>
  <c r="AF1268" i="115"/>
  <c r="AI1268" i="115"/>
  <c r="AG1263" i="115"/>
  <c r="AG1259" i="115"/>
  <c r="AI1255" i="115"/>
  <c r="AF1255" i="115"/>
  <c r="AF1251" i="115"/>
  <c r="AI1251" i="115"/>
  <c r="AF1248" i="115"/>
  <c r="AF1244" i="115"/>
  <c r="AG1240" i="115"/>
  <c r="AI1240" i="115"/>
  <c r="AF1240" i="115"/>
  <c r="AG1236" i="115"/>
  <c r="AF1236" i="115"/>
  <c r="AI1236" i="115"/>
  <c r="AG1231" i="115"/>
  <c r="AG1227" i="115"/>
  <c r="AF1223" i="115"/>
  <c r="AI1223" i="115"/>
  <c r="AF1219" i="115"/>
  <c r="AI1219" i="115"/>
  <c r="AF1212" i="115"/>
  <c r="AG1208" i="115"/>
  <c r="AI1208" i="115"/>
  <c r="AF1208" i="115"/>
  <c r="AI1182" i="115"/>
  <c r="AF1182" i="115"/>
  <c r="AG1180" i="115"/>
  <c r="AF1180" i="115"/>
  <c r="AF1178" i="115"/>
  <c r="AG1178" i="115"/>
  <c r="AG1166" i="115"/>
  <c r="AI1164" i="115"/>
  <c r="AI1162" i="115"/>
  <c r="AI1134" i="115"/>
  <c r="AF1134" i="115"/>
  <c r="AG1132" i="115"/>
  <c r="AF1202" i="115"/>
  <c r="AF1188" i="115"/>
  <c r="AG1188" i="115"/>
  <c r="AF1174" i="115"/>
  <c r="AI1174" i="115"/>
  <c r="AF1156" i="115"/>
  <c r="AG1156" i="115"/>
  <c r="AF1142" i="115"/>
  <c r="AI1142" i="115"/>
  <c r="AF1138" i="115"/>
  <c r="AF1346" i="115"/>
  <c r="AG1345" i="115"/>
  <c r="AF1338" i="115"/>
  <c r="AG1337" i="115"/>
  <c r="AF1330" i="115"/>
  <c r="AG1329" i="115"/>
  <c r="AF1322" i="115"/>
  <c r="AG1321" i="115"/>
  <c r="AF1314" i="115"/>
  <c r="AG1313" i="115"/>
  <c r="AF1306" i="115"/>
  <c r="AG1305" i="115"/>
  <c r="AF1298" i="115"/>
  <c r="AG1297" i="115"/>
  <c r="AF1290" i="115"/>
  <c r="AG1289" i="115"/>
  <c r="AF1282" i="115"/>
  <c r="AG1281" i="115"/>
  <c r="AF1274" i="115"/>
  <c r="AG1273" i="115"/>
  <c r="AF1266" i="115"/>
  <c r="AG1265" i="115"/>
  <c r="AF1258" i="115"/>
  <c r="AG1257" i="115"/>
  <c r="AF1250" i="115"/>
  <c r="AG1249" i="115"/>
  <c r="AF1242" i="115"/>
  <c r="AG1241" i="115"/>
  <c r="AF1234" i="115"/>
  <c r="AG1233" i="115"/>
  <c r="AG1225" i="115"/>
  <c r="AF1218" i="115"/>
  <c r="AG1217" i="115"/>
  <c r="AF1210" i="115"/>
  <c r="AG1209" i="115"/>
  <c r="AF1204" i="115"/>
  <c r="AG1204" i="115"/>
  <c r="AI1202" i="115"/>
  <c r="AF1190" i="115"/>
  <c r="AI1190" i="115"/>
  <c r="AI1188" i="115"/>
  <c r="AF1186" i="115"/>
  <c r="AG1174" i="115"/>
  <c r="AF1172" i="115"/>
  <c r="AG1172" i="115"/>
  <c r="AI1170" i="115"/>
  <c r="AF1158" i="115"/>
  <c r="AI1158" i="115"/>
  <c r="AI1156" i="115"/>
  <c r="AF1154" i="115"/>
  <c r="AG1142" i="115"/>
  <c r="AF1140" i="115"/>
  <c r="AG1140" i="115"/>
  <c r="AI1138" i="115"/>
  <c r="AF1128" i="115"/>
  <c r="AF1124" i="115"/>
  <c r="AF1120" i="115"/>
  <c r="AF1116" i="115"/>
  <c r="AF1108" i="115"/>
  <c r="AF1104" i="115"/>
  <c r="AF1100" i="115"/>
  <c r="AF1096" i="115"/>
  <c r="AF1092" i="115"/>
  <c r="AF1088" i="115"/>
  <c r="AF1084" i="115"/>
  <c r="AF1080" i="115"/>
  <c r="AF1072" i="115"/>
  <c r="AF1068" i="115"/>
  <c r="AF1064" i="115"/>
  <c r="AF1060" i="115"/>
  <c r="AF1056" i="115"/>
  <c r="AF1052" i="115"/>
  <c r="AF1044" i="115"/>
  <c r="AF1040" i="115"/>
  <c r="AF1036" i="115"/>
  <c r="AF1032" i="115"/>
  <c r="AF1028" i="115"/>
  <c r="AF1024" i="115"/>
  <c r="AF1020" i="115"/>
  <c r="AF1016" i="115"/>
  <c r="AF1012" i="115"/>
  <c r="AF1004" i="115"/>
  <c r="AF1000" i="115"/>
  <c r="AF996" i="115"/>
  <c r="AF992" i="115"/>
  <c r="AF988" i="115"/>
  <c r="AF980" i="115"/>
  <c r="AF976" i="115"/>
  <c r="AF972" i="115"/>
  <c r="AF968" i="115"/>
  <c r="AF964" i="115"/>
  <c r="AF952" i="115"/>
  <c r="AF948" i="115"/>
  <c r="AF944" i="115"/>
  <c r="AF940" i="115"/>
  <c r="AF936" i="115"/>
  <c r="AF932" i="115"/>
  <c r="AF928" i="115"/>
  <c r="AF924" i="115"/>
  <c r="AF916" i="115"/>
  <c r="AF912" i="115"/>
  <c r="AF908" i="115"/>
  <c r="AF904" i="115"/>
  <c r="AF900" i="115"/>
  <c r="AF896" i="115"/>
  <c r="AF892" i="115"/>
  <c r="AF884" i="115"/>
  <c r="AF880" i="115"/>
  <c r="AF876" i="115"/>
  <c r="AF872" i="115"/>
  <c r="AF868" i="115"/>
  <c r="AF860" i="115"/>
  <c r="AF852" i="115"/>
  <c r="AF848" i="115"/>
  <c r="AF844" i="115"/>
  <c r="AF836" i="115"/>
  <c r="AF832" i="115"/>
  <c r="AF828" i="115"/>
  <c r="AF824" i="115"/>
  <c r="AF820" i="115"/>
  <c r="AF816" i="115"/>
  <c r="AF812" i="115"/>
  <c r="AF808" i="115"/>
  <c r="AF804" i="115"/>
  <c r="AF796" i="115"/>
  <c r="AF792" i="115"/>
  <c r="AF699" i="115"/>
  <c r="AG699" i="115"/>
  <c r="AI699" i="115"/>
  <c r="AF683" i="115"/>
  <c r="AG683" i="115"/>
  <c r="AI683" i="115"/>
  <c r="AF667" i="115"/>
  <c r="AG667" i="115"/>
  <c r="AI667" i="115"/>
  <c r="AF651" i="115"/>
  <c r="AG651" i="115"/>
  <c r="AI651" i="115"/>
  <c r="AF635" i="115"/>
  <c r="AG635" i="115"/>
  <c r="AI635" i="115"/>
  <c r="AF619" i="115"/>
  <c r="AG619" i="115"/>
  <c r="AI619" i="115"/>
  <c r="AF551" i="115"/>
  <c r="AI551" i="115"/>
  <c r="AG551" i="115"/>
  <c r="AF523" i="115"/>
  <c r="AI523" i="115"/>
  <c r="AG523" i="115"/>
  <c r="AG510" i="115"/>
  <c r="AF510" i="115"/>
  <c r="AI510" i="115"/>
  <c r="AG494" i="115"/>
  <c r="AF494" i="115"/>
  <c r="AI494" i="115"/>
  <c r="AF1200" i="115"/>
  <c r="AF1192" i="115"/>
  <c r="AF1184" i="115"/>
  <c r="AF1176" i="115"/>
  <c r="AF1168" i="115"/>
  <c r="AF1160" i="115"/>
  <c r="AF1152" i="115"/>
  <c r="AF1144" i="115"/>
  <c r="AF1136" i="115"/>
  <c r="AG536" i="115"/>
  <c r="AI536" i="115"/>
  <c r="AF536" i="115"/>
  <c r="AF707" i="115"/>
  <c r="AG707" i="115"/>
  <c r="AI707" i="115"/>
  <c r="AF691" i="115"/>
  <c r="AG691" i="115"/>
  <c r="AI691" i="115"/>
  <c r="AF675" i="115"/>
  <c r="AG675" i="115"/>
  <c r="AI675" i="115"/>
  <c r="AF659" i="115"/>
  <c r="AG659" i="115"/>
  <c r="AI659" i="115"/>
  <c r="AF643" i="115"/>
  <c r="AG643" i="115"/>
  <c r="AI643" i="115"/>
  <c r="AF627" i="115"/>
  <c r="AG627" i="115"/>
  <c r="AI627" i="115"/>
  <c r="AF611" i="115"/>
  <c r="AG611" i="115"/>
  <c r="AI611" i="115"/>
  <c r="AF555" i="115"/>
  <c r="AI555" i="115"/>
  <c r="AG555" i="115"/>
  <c r="AG518" i="115"/>
  <c r="AF518" i="115"/>
  <c r="AI518" i="115"/>
  <c r="AG502" i="115"/>
  <c r="AF502" i="115"/>
  <c r="AI502" i="115"/>
  <c r="AF701" i="115"/>
  <c r="AF693" i="115"/>
  <c r="AF685" i="115"/>
  <c r="AF677" i="115"/>
  <c r="AF669" i="115"/>
  <c r="AF653" i="115"/>
  <c r="AF645" i="115"/>
  <c r="AF637" i="115"/>
  <c r="AF629" i="115"/>
  <c r="AF621" i="115"/>
  <c r="AF605" i="115"/>
  <c r="AF563" i="115"/>
  <c r="AI563" i="115"/>
  <c r="AI559" i="115"/>
  <c r="AF559" i="115"/>
  <c r="AG548" i="115"/>
  <c r="AF548" i="115"/>
  <c r="AI548" i="115"/>
  <c r="AG544" i="115"/>
  <c r="AI544" i="115"/>
  <c r="AF544" i="115"/>
  <c r="AF531" i="115"/>
  <c r="AI531" i="115"/>
  <c r="AF527" i="115"/>
  <c r="AI527" i="115"/>
  <c r="AG516" i="115"/>
  <c r="AF516" i="115"/>
  <c r="AG508" i="115"/>
  <c r="AF508" i="115"/>
  <c r="AG500" i="115"/>
  <c r="AF500" i="115"/>
  <c r="AG492" i="115"/>
  <c r="AF492" i="115"/>
  <c r="AF703" i="115"/>
  <c r="AF695" i="115"/>
  <c r="AF687" i="115"/>
  <c r="AF679" i="115"/>
  <c r="AF671" i="115"/>
  <c r="AF663" i="115"/>
  <c r="AF655" i="115"/>
  <c r="AF647" i="115"/>
  <c r="AF639" i="115"/>
  <c r="AF631" i="115"/>
  <c r="AF623" i="115"/>
  <c r="AF615" i="115"/>
  <c r="AF567" i="115"/>
  <c r="AI567" i="115"/>
  <c r="AG556" i="115"/>
  <c r="AF556" i="115"/>
  <c r="AI556" i="115"/>
  <c r="AG552" i="115"/>
  <c r="AI552" i="115"/>
  <c r="AF552" i="115"/>
  <c r="AI539" i="115"/>
  <c r="AF535" i="115"/>
  <c r="AI535" i="115"/>
  <c r="AG524" i="115"/>
  <c r="AF524" i="115"/>
  <c r="AI524" i="115"/>
  <c r="AG522" i="115"/>
  <c r="AG514" i="115"/>
  <c r="AF514" i="115"/>
  <c r="AG506" i="115"/>
  <c r="AF506" i="115"/>
  <c r="AG498" i="115"/>
  <c r="AF498" i="115"/>
  <c r="AG490" i="115"/>
  <c r="AF490" i="115"/>
  <c r="AF705" i="115"/>
  <c r="AI703" i="115"/>
  <c r="AF697" i="115"/>
  <c r="AI695" i="115"/>
  <c r="AF689" i="115"/>
  <c r="AI687" i="115"/>
  <c r="AF681" i="115"/>
  <c r="AI679" i="115"/>
  <c r="AF673" i="115"/>
  <c r="AI671" i="115"/>
  <c r="AF665" i="115"/>
  <c r="AI663" i="115"/>
  <c r="AF657" i="115"/>
  <c r="AI655" i="115"/>
  <c r="AI647" i="115"/>
  <c r="AF641" i="115"/>
  <c r="AI639" i="115"/>
  <c r="AF633" i="115"/>
  <c r="AI631" i="115"/>
  <c r="AF625" i="115"/>
  <c r="AI623" i="115"/>
  <c r="AF617" i="115"/>
  <c r="AI615" i="115"/>
  <c r="AF609" i="115"/>
  <c r="AI607" i="115"/>
  <c r="AG564" i="115"/>
  <c r="AF564" i="115"/>
  <c r="AI564" i="115"/>
  <c r="AG560" i="115"/>
  <c r="AI560" i="115"/>
  <c r="AF560" i="115"/>
  <c r="AF547" i="115"/>
  <c r="AI547" i="115"/>
  <c r="AI543" i="115"/>
  <c r="AF543" i="115"/>
  <c r="AG532" i="115"/>
  <c r="AF532" i="115"/>
  <c r="AI532" i="115"/>
  <c r="AG528" i="115"/>
  <c r="AI528" i="115"/>
  <c r="AF528" i="115"/>
  <c r="AG520" i="115"/>
  <c r="AF520" i="115"/>
  <c r="AG512" i="115"/>
  <c r="AF504" i="115"/>
  <c r="AG504" i="115"/>
  <c r="AG496" i="115"/>
  <c r="AF496" i="115"/>
  <c r="AF566" i="115"/>
  <c r="AG565" i="115"/>
  <c r="AF558" i="115"/>
  <c r="AG557" i="115"/>
  <c r="AF550" i="115"/>
  <c r="AG549" i="115"/>
  <c r="AF542" i="115"/>
  <c r="AG541" i="115"/>
  <c r="AF534" i="115"/>
  <c r="AG533" i="115"/>
  <c r="AF526" i="115"/>
  <c r="AG525" i="115"/>
  <c r="AF488" i="115"/>
  <c r="AG488" i="115"/>
  <c r="AF484" i="115"/>
  <c r="AG484" i="115"/>
  <c r="AF480" i="115"/>
  <c r="AF476" i="115"/>
  <c r="AF472" i="115"/>
  <c r="AF468" i="115"/>
  <c r="AF464" i="115"/>
  <c r="AF460" i="115"/>
  <c r="AF456" i="115"/>
  <c r="AF452" i="115"/>
  <c r="AF448" i="115"/>
  <c r="AF440" i="115"/>
  <c r="AF436" i="115"/>
  <c r="AF432" i="115"/>
  <c r="AF428" i="115"/>
  <c r="AF424" i="115"/>
  <c r="AF420" i="115"/>
  <c r="AF416" i="115"/>
  <c r="AF412" i="115"/>
  <c r="AF408" i="115"/>
  <c r="AF404" i="115"/>
  <c r="AF400" i="115"/>
  <c r="AF396" i="115"/>
  <c r="AF392" i="115"/>
  <c r="AF384" i="115"/>
  <c r="AF376" i="115"/>
  <c r="AF372" i="115"/>
  <c r="AF368" i="115"/>
  <c r="AF364" i="115"/>
  <c r="AF360" i="115"/>
  <c r="AF356" i="115"/>
  <c r="AF352" i="115"/>
  <c r="AF348" i="115"/>
  <c r="AF344" i="115"/>
  <c r="AF340" i="115"/>
  <c r="AF336" i="115"/>
  <c r="AF332" i="115"/>
  <c r="AF328" i="115"/>
  <c r="AF324" i="115"/>
  <c r="AF245" i="115"/>
  <c r="AG245" i="115"/>
  <c r="AI245" i="115"/>
  <c r="AF239" i="115"/>
  <c r="AG239" i="115"/>
  <c r="AI239" i="115"/>
  <c r="AF486" i="115"/>
  <c r="AG486" i="115"/>
  <c r="AF482" i="115"/>
  <c r="AG482" i="115"/>
  <c r="AF478" i="115"/>
  <c r="AF474" i="115"/>
  <c r="AF470" i="115"/>
  <c r="AF466" i="115"/>
  <c r="AF462" i="115"/>
  <c r="AF454" i="115"/>
  <c r="AF450" i="115"/>
  <c r="AF442" i="115"/>
  <c r="AF438" i="115"/>
  <c r="AF434" i="115"/>
  <c r="AF430" i="115"/>
  <c r="AF426" i="115"/>
  <c r="AF422" i="115"/>
  <c r="AF418" i="115"/>
  <c r="AF414" i="115"/>
  <c r="AF410" i="115"/>
  <c r="AF406" i="115"/>
  <c r="AF402" i="115"/>
  <c r="AF394" i="115"/>
  <c r="AF390" i="115"/>
  <c r="AF386" i="115"/>
  <c r="AF382" i="115"/>
  <c r="AF378" i="115"/>
  <c r="AF370" i="115"/>
  <c r="AF366" i="115"/>
  <c r="AF362" i="115"/>
  <c r="AF253" i="115"/>
  <c r="AG253" i="115"/>
  <c r="AI253" i="115"/>
  <c r="AG186" i="115"/>
  <c r="AF186" i="115"/>
  <c r="AI186" i="115"/>
  <c r="AF319" i="115"/>
  <c r="AF311" i="115"/>
  <c r="AF303" i="115"/>
  <c r="AF295" i="115"/>
  <c r="AF287" i="115"/>
  <c r="AF279" i="115"/>
  <c r="AF271" i="115"/>
  <c r="AF263" i="115"/>
  <c r="AF247" i="115"/>
  <c r="AF233" i="115"/>
  <c r="AG233" i="115"/>
  <c r="AG198" i="115"/>
  <c r="AI198" i="115"/>
  <c r="AF198" i="115"/>
  <c r="AF177" i="115"/>
  <c r="AG177" i="115"/>
  <c r="AI177" i="115"/>
  <c r="AG480" i="115"/>
  <c r="AG478" i="115"/>
  <c r="AG476" i="115"/>
  <c r="AG474" i="115"/>
  <c r="AG472" i="115"/>
  <c r="AG470" i="115"/>
  <c r="AG468" i="115"/>
  <c r="AG466" i="115"/>
  <c r="AG464" i="115"/>
  <c r="AG462" i="115"/>
  <c r="AG460" i="115"/>
  <c r="AG458" i="115"/>
  <c r="AG456" i="115"/>
  <c r="AG454" i="115"/>
  <c r="AG452" i="115"/>
  <c r="AG450" i="115"/>
  <c r="AG448" i="115"/>
  <c r="AG446" i="115"/>
  <c r="AG444" i="115"/>
  <c r="AG442" i="115"/>
  <c r="AG440" i="115"/>
  <c r="AG438" i="115"/>
  <c r="AG436" i="115"/>
  <c r="AG434" i="115"/>
  <c r="AG432" i="115"/>
  <c r="AG430" i="115"/>
  <c r="AG428" i="115"/>
  <c r="AG426" i="115"/>
  <c r="AG424" i="115"/>
  <c r="AG422" i="115"/>
  <c r="AG420" i="115"/>
  <c r="AG418" i="115"/>
  <c r="AG416" i="115"/>
  <c r="AG414" i="115"/>
  <c r="AG412" i="115"/>
  <c r="AG410" i="115"/>
  <c r="AG408" i="115"/>
  <c r="AG406" i="115"/>
  <c r="AG404" i="115"/>
  <c r="AG402" i="115"/>
  <c r="AG400" i="115"/>
  <c r="AG398" i="115"/>
  <c r="AG396" i="115"/>
  <c r="AG394" i="115"/>
  <c r="AG392" i="115"/>
  <c r="AG390" i="115"/>
  <c r="AG388" i="115"/>
  <c r="AG386" i="115"/>
  <c r="AG384" i="115"/>
  <c r="AG382" i="115"/>
  <c r="AG380" i="115"/>
  <c r="AG378" i="115"/>
  <c r="AG376" i="115"/>
  <c r="AG374" i="115"/>
  <c r="AG372" i="115"/>
  <c r="AG370" i="115"/>
  <c r="AG368" i="115"/>
  <c r="AG366" i="115"/>
  <c r="AG364" i="115"/>
  <c r="AG362" i="115"/>
  <c r="AG360" i="115"/>
  <c r="AG358" i="115"/>
  <c r="AG356" i="115"/>
  <c r="AG354" i="115"/>
  <c r="AG352" i="115"/>
  <c r="AG350" i="115"/>
  <c r="AG348" i="115"/>
  <c r="AG346" i="115"/>
  <c r="AG344" i="115"/>
  <c r="AG342" i="115"/>
  <c r="AG340" i="115"/>
  <c r="AG338" i="115"/>
  <c r="AG336" i="115"/>
  <c r="AG334" i="115"/>
  <c r="AG332" i="115"/>
  <c r="AG330" i="115"/>
  <c r="AG328" i="115"/>
  <c r="AG326" i="115"/>
  <c r="AG324" i="115"/>
  <c r="AG322" i="115"/>
  <c r="AF321" i="115"/>
  <c r="AI319" i="115"/>
  <c r="AF313" i="115"/>
  <c r="AI311" i="115"/>
  <c r="AF305" i="115"/>
  <c r="AI303" i="115"/>
  <c r="AF297" i="115"/>
  <c r="AI295" i="115"/>
  <c r="AF289" i="115"/>
  <c r="AI287" i="115"/>
  <c r="AF281" i="115"/>
  <c r="AI279" i="115"/>
  <c r="AF273" i="115"/>
  <c r="AI271" i="115"/>
  <c r="AF265" i="115"/>
  <c r="AI263" i="115"/>
  <c r="AF257" i="115"/>
  <c r="AF249" i="115"/>
  <c r="AF241" i="115"/>
  <c r="AF227" i="115"/>
  <c r="AI227" i="115"/>
  <c r="AF215" i="115"/>
  <c r="AG215" i="115"/>
  <c r="AI215" i="115"/>
  <c r="AG176" i="115"/>
  <c r="AF176" i="115"/>
  <c r="AI176" i="115"/>
  <c r="AI321" i="115"/>
  <c r="AG319" i="115"/>
  <c r="AF315" i="115"/>
  <c r="AI313" i="115"/>
  <c r="AG311" i="115"/>
  <c r="AF307" i="115"/>
  <c r="AI305" i="115"/>
  <c r="AG303" i="115"/>
  <c r="AF299" i="115"/>
  <c r="AI297" i="115"/>
  <c r="AG295" i="115"/>
  <c r="AF291" i="115"/>
  <c r="AI289" i="115"/>
  <c r="AG287" i="115"/>
  <c r="AI281" i="115"/>
  <c r="AG279" i="115"/>
  <c r="AF275" i="115"/>
  <c r="AI273" i="115"/>
  <c r="AG271" i="115"/>
  <c r="AF267" i="115"/>
  <c r="AI265" i="115"/>
  <c r="AG263" i="115"/>
  <c r="AF259" i="115"/>
  <c r="AI257" i="115"/>
  <c r="AG255" i="115"/>
  <c r="AF251" i="115"/>
  <c r="AI249" i="115"/>
  <c r="AG247" i="115"/>
  <c r="AF243" i="115"/>
  <c r="AI241" i="115"/>
  <c r="AI235" i="115"/>
  <c r="AI233" i="115"/>
  <c r="AF231" i="115"/>
  <c r="AF209" i="115"/>
  <c r="AG209" i="115"/>
  <c r="AI209" i="115"/>
  <c r="AF199" i="115"/>
  <c r="AG199" i="115"/>
  <c r="AI199" i="115"/>
  <c r="AF189" i="115"/>
  <c r="AI189" i="115"/>
  <c r="AG189" i="115"/>
  <c r="AF225" i="115"/>
  <c r="AF201" i="115"/>
  <c r="AG200" i="115"/>
  <c r="AF200" i="115"/>
  <c r="AF191" i="115"/>
  <c r="AG191" i="115"/>
  <c r="AG190" i="115"/>
  <c r="AI190" i="115"/>
  <c r="AF181" i="115"/>
  <c r="AI181" i="115"/>
  <c r="AG178" i="115"/>
  <c r="AF178" i="115"/>
  <c r="AF172" i="115"/>
  <c r="AG172" i="115"/>
  <c r="AG164" i="115"/>
  <c r="AF164" i="115"/>
  <c r="AI164" i="115"/>
  <c r="AG140" i="115"/>
  <c r="AF140" i="115"/>
  <c r="AI140" i="115"/>
  <c r="AF122" i="115"/>
  <c r="AG122" i="115"/>
  <c r="AI122" i="115"/>
  <c r="AI94" i="115"/>
  <c r="AF94" i="115"/>
  <c r="AG94" i="115"/>
  <c r="AF219" i="115"/>
  <c r="AF205" i="115"/>
  <c r="AI205" i="115"/>
  <c r="AG202" i="115"/>
  <c r="AG192" i="115"/>
  <c r="AF192" i="115"/>
  <c r="AF183" i="115"/>
  <c r="AG183" i="115"/>
  <c r="AG182" i="115"/>
  <c r="AI182" i="115"/>
  <c r="AF173" i="115"/>
  <c r="AI173" i="115"/>
  <c r="AF170" i="115"/>
  <c r="AG170" i="115"/>
  <c r="AI158" i="115"/>
  <c r="AF158" i="115"/>
  <c r="AG158" i="115"/>
  <c r="AG108" i="115"/>
  <c r="AF108" i="115"/>
  <c r="AI108" i="115"/>
  <c r="AF237" i="115"/>
  <c r="AF229" i="115"/>
  <c r="AG225" i="115"/>
  <c r="AF221" i="115"/>
  <c r="AI219" i="115"/>
  <c r="AG217" i="115"/>
  <c r="AF213" i="115"/>
  <c r="AI211" i="115"/>
  <c r="AF207" i="115"/>
  <c r="AG207" i="115"/>
  <c r="AG206" i="115"/>
  <c r="AI206" i="115"/>
  <c r="AI201" i="115"/>
  <c r="AI200" i="115"/>
  <c r="AF197" i="115"/>
  <c r="AI197" i="115"/>
  <c r="AG194" i="115"/>
  <c r="AF194" i="115"/>
  <c r="AI191" i="115"/>
  <c r="AF190" i="115"/>
  <c r="AF185" i="115"/>
  <c r="AG184" i="115"/>
  <c r="AF184" i="115"/>
  <c r="AG181" i="115"/>
  <c r="AI178" i="115"/>
  <c r="AF175" i="115"/>
  <c r="AG175" i="115"/>
  <c r="AG174" i="115"/>
  <c r="AI174" i="115"/>
  <c r="AI172" i="115"/>
  <c r="AI126" i="115"/>
  <c r="AF126" i="115"/>
  <c r="AG126" i="115"/>
  <c r="AF90" i="115"/>
  <c r="AG90" i="115"/>
  <c r="AI90" i="115"/>
  <c r="AF166" i="115"/>
  <c r="AI166" i="115"/>
  <c r="AF162" i="115"/>
  <c r="AG150" i="115"/>
  <c r="AF148" i="115"/>
  <c r="AG148" i="115"/>
  <c r="AI146" i="115"/>
  <c r="AF134" i="115"/>
  <c r="AI134" i="115"/>
  <c r="AI132" i="115"/>
  <c r="AF130" i="115"/>
  <c r="AG118" i="115"/>
  <c r="AG116" i="115"/>
  <c r="AI114" i="115"/>
  <c r="AF102" i="115"/>
  <c r="AI102" i="115"/>
  <c r="AF98" i="115"/>
  <c r="AG86" i="115"/>
  <c r="AF84" i="115"/>
  <c r="AG84" i="115"/>
  <c r="AI82" i="115"/>
  <c r="AF70" i="115"/>
  <c r="AI70" i="115"/>
  <c r="AF36" i="115"/>
  <c r="AG36" i="115"/>
  <c r="AI36" i="115"/>
  <c r="AF156" i="115"/>
  <c r="AG156" i="115"/>
  <c r="AI142" i="115"/>
  <c r="AF138" i="115"/>
  <c r="AF124" i="115"/>
  <c r="AG124" i="115"/>
  <c r="AF110" i="115"/>
  <c r="AI110" i="115"/>
  <c r="AF92" i="115"/>
  <c r="AG92" i="115"/>
  <c r="AF78" i="115"/>
  <c r="AI78" i="115"/>
  <c r="AF74" i="115"/>
  <c r="AF68" i="115"/>
  <c r="AG68" i="115"/>
  <c r="AI68" i="115"/>
  <c r="AF52" i="115"/>
  <c r="AG52" i="115"/>
  <c r="AI52" i="115"/>
  <c r="AF150" i="115"/>
  <c r="AI150" i="115"/>
  <c r="AF146" i="115"/>
  <c r="AF132" i="115"/>
  <c r="AG132" i="115"/>
  <c r="AF118" i="115"/>
  <c r="AI118" i="115"/>
  <c r="AF114" i="115"/>
  <c r="AF100" i="115"/>
  <c r="AG100" i="115"/>
  <c r="AF86" i="115"/>
  <c r="AI86" i="115"/>
  <c r="AF82" i="115"/>
  <c r="AG70" i="115"/>
  <c r="AF32" i="115"/>
  <c r="AG32" i="115"/>
  <c r="AI32" i="115"/>
  <c r="AF24" i="115"/>
  <c r="AG24" i="115"/>
  <c r="AI24" i="115"/>
  <c r="AF16" i="115"/>
  <c r="AG16" i="115"/>
  <c r="AI16" i="115"/>
  <c r="AF8" i="115"/>
  <c r="AG8" i="115"/>
  <c r="AI8" i="115"/>
  <c r="AG66" i="115"/>
  <c r="AF62" i="115"/>
  <c r="AG58" i="115"/>
  <c r="AF54" i="115"/>
  <c r="AG50" i="115"/>
  <c r="AF46" i="115"/>
  <c r="AG42" i="115"/>
  <c r="AG34" i="115"/>
  <c r="AF30" i="115"/>
  <c r="AI26" i="115"/>
  <c r="AF22" i="115"/>
  <c r="AI18" i="115"/>
  <c r="AF14" i="115"/>
  <c r="AI10" i="115"/>
  <c r="AF168" i="115"/>
  <c r="AF160" i="115"/>
  <c r="AF152" i="115"/>
  <c r="AF144" i="115"/>
  <c r="AF136" i="115"/>
  <c r="AF128" i="115"/>
  <c r="AF120" i="115"/>
  <c r="AF112" i="115"/>
  <c r="AF104" i="115"/>
  <c r="AF96" i="115"/>
  <c r="AF88" i="115"/>
  <c r="AF80" i="115"/>
  <c r="AF72" i="115"/>
  <c r="AF64" i="115"/>
  <c r="AI62" i="115"/>
  <c r="AF56" i="115"/>
  <c r="AI54" i="115"/>
  <c r="AF48" i="115"/>
  <c r="AI46" i="115"/>
  <c r="AF40" i="115"/>
  <c r="AF28" i="115"/>
  <c r="AF12" i="115"/>
  <c r="AF58" i="115"/>
  <c r="AF50" i="115"/>
  <c r="AF42" i="115"/>
  <c r="AF34" i="115"/>
  <c r="AF26" i="115"/>
  <c r="AF18" i="115"/>
  <c r="AF10" i="115"/>
  <c r="AO1600" i="114"/>
  <c r="AO6" i="114" s="1"/>
  <c r="AI1595" i="114"/>
  <c r="AI1593" i="114"/>
  <c r="AI1591" i="114"/>
  <c r="AI1579" i="114"/>
  <c r="AI1569" i="114"/>
  <c r="AI1561" i="114"/>
  <c r="AI1557" i="114"/>
  <c r="AI1555" i="114"/>
  <c r="AI1549" i="114"/>
  <c r="AI1535" i="114"/>
  <c r="AI1517" i="114"/>
  <c r="AI1515" i="114"/>
  <c r="AI1507" i="114"/>
  <c r="AI1501" i="114"/>
  <c r="AI1477" i="114"/>
  <c r="AG1353" i="114"/>
  <c r="AG1351" i="114"/>
  <c r="AG1349" i="114"/>
  <c r="AG1347" i="114"/>
  <c r="AG1345" i="114"/>
  <c r="AG1343" i="114"/>
  <c r="AG1341" i="114"/>
  <c r="AG1339" i="114"/>
  <c r="AG1337" i="114"/>
  <c r="AG1335" i="114"/>
  <c r="AG1333" i="114"/>
  <c r="AG1331" i="114"/>
  <c r="AG1329" i="114"/>
  <c r="AG1327" i="114"/>
  <c r="AG1325" i="114"/>
  <c r="AG1323" i="114"/>
  <c r="AG1321" i="114"/>
  <c r="AG1319" i="114"/>
  <c r="AG1317" i="114"/>
  <c r="AG1315" i="114"/>
  <c r="AG1313" i="114"/>
  <c r="AG1311" i="114"/>
  <c r="AG1309" i="114"/>
  <c r="AG1307" i="114"/>
  <c r="AG1305" i="114"/>
  <c r="AG1303" i="114"/>
  <c r="AG1301" i="114"/>
  <c r="AG1299" i="114"/>
  <c r="AG1297" i="114"/>
  <c r="AG1295" i="114"/>
  <c r="AG1293" i="114"/>
  <c r="AG1291" i="114"/>
  <c r="AG1289" i="114"/>
  <c r="AG1287" i="114"/>
  <c r="AG1285" i="114"/>
  <c r="AG1283" i="114"/>
  <c r="AG1281" i="114"/>
  <c r="AG1279" i="114"/>
  <c r="AG1277" i="114"/>
  <c r="AG1275" i="114"/>
  <c r="AG1273" i="114"/>
  <c r="AG1271" i="114"/>
  <c r="AG1269" i="114"/>
  <c r="AG1267" i="114"/>
  <c r="AG1265" i="114"/>
  <c r="AG1263" i="114"/>
  <c r="AG1261" i="114"/>
  <c r="AG1259" i="114"/>
  <c r="AG1257" i="114"/>
  <c r="AG1255" i="114"/>
  <c r="AG1253" i="114"/>
  <c r="AG1250" i="114"/>
  <c r="AI1250" i="114"/>
  <c r="AI1589" i="114"/>
  <c r="AI1585" i="114"/>
  <c r="AI1583" i="114"/>
  <c r="AI1575" i="114"/>
  <c r="AI1573" i="114"/>
  <c r="AI1571" i="114"/>
  <c r="AI1563" i="114"/>
  <c r="AI1551" i="114"/>
  <c r="AI1547" i="114"/>
  <c r="AI1545" i="114"/>
  <c r="AI1537" i="114"/>
  <c r="AI1525" i="114"/>
  <c r="AI1521" i="114"/>
  <c r="AI1505" i="114"/>
  <c r="AI1499" i="114"/>
  <c r="AI1491" i="114"/>
  <c r="AI1489" i="114"/>
  <c r="AI1479" i="114"/>
  <c r="AI1473" i="114"/>
  <c r="AI1467" i="114"/>
  <c r="AI1463" i="114"/>
  <c r="AI1457" i="114"/>
  <c r="AI1449" i="114"/>
  <c r="AI1445" i="114"/>
  <c r="AG1599" i="114"/>
  <c r="AF1598" i="114"/>
  <c r="AG1597" i="114"/>
  <c r="AF1596" i="114"/>
  <c r="AG1595" i="114"/>
  <c r="AF1594" i="114"/>
  <c r="AG1593" i="114"/>
  <c r="AF1592" i="114"/>
  <c r="AG1591" i="114"/>
  <c r="AF1590" i="114"/>
  <c r="AG1589" i="114"/>
  <c r="AF1588" i="114"/>
  <c r="AG1587" i="114"/>
  <c r="AF1586" i="114"/>
  <c r="AG1585" i="114"/>
  <c r="AF1584" i="114"/>
  <c r="AG1583" i="114"/>
  <c r="AF1582" i="114"/>
  <c r="AG1581" i="114"/>
  <c r="AF1580" i="114"/>
  <c r="AG1579" i="114"/>
  <c r="AF1578" i="114"/>
  <c r="AG1577" i="114"/>
  <c r="AF1576" i="114"/>
  <c r="AG1575" i="114"/>
  <c r="AF1574" i="114"/>
  <c r="AG1573" i="114"/>
  <c r="AF1572" i="114"/>
  <c r="AG1571" i="114"/>
  <c r="AF1570" i="114"/>
  <c r="AG1569" i="114"/>
  <c r="AF1568" i="114"/>
  <c r="AG1567" i="114"/>
  <c r="AF1566" i="114"/>
  <c r="AG1565" i="114"/>
  <c r="AF1564" i="114"/>
  <c r="AG1563" i="114"/>
  <c r="AF1562" i="114"/>
  <c r="AG1561" i="114"/>
  <c r="AF1560" i="114"/>
  <c r="AG1559" i="114"/>
  <c r="AF1558" i="114"/>
  <c r="AG1557" i="114"/>
  <c r="AF1556" i="114"/>
  <c r="AG1555" i="114"/>
  <c r="AF1554" i="114"/>
  <c r="AG1553" i="114"/>
  <c r="AF1552" i="114"/>
  <c r="AG1551" i="114"/>
  <c r="AF1550" i="114"/>
  <c r="AG1549" i="114"/>
  <c r="AF1548" i="114"/>
  <c r="AG1547" i="114"/>
  <c r="AF1546" i="114"/>
  <c r="AG1545" i="114"/>
  <c r="AF1544" i="114"/>
  <c r="AG1543" i="114"/>
  <c r="AF1542" i="114"/>
  <c r="AG1541" i="114"/>
  <c r="AF1540" i="114"/>
  <c r="AG1539" i="114"/>
  <c r="AF1538" i="114"/>
  <c r="AG1537" i="114"/>
  <c r="AF1536" i="114"/>
  <c r="AG1535" i="114"/>
  <c r="AF1534" i="114"/>
  <c r="AG1533" i="114"/>
  <c r="AF1532" i="114"/>
  <c r="AG1531" i="114"/>
  <c r="AF1530" i="114"/>
  <c r="AG1529" i="114"/>
  <c r="AF1528" i="114"/>
  <c r="AG1527" i="114"/>
  <c r="AF1526" i="114"/>
  <c r="AG1525" i="114"/>
  <c r="AF1524" i="114"/>
  <c r="AG1523" i="114"/>
  <c r="AF1522" i="114"/>
  <c r="AG1521" i="114"/>
  <c r="AF1520" i="114"/>
  <c r="AG1519" i="114"/>
  <c r="AF1518" i="114"/>
  <c r="AG1517" i="114"/>
  <c r="AF1516" i="114"/>
  <c r="AG1515" i="114"/>
  <c r="AF1514" i="114"/>
  <c r="AG1513" i="114"/>
  <c r="AF1512" i="114"/>
  <c r="AG1511" i="114"/>
  <c r="AF1510" i="114"/>
  <c r="AG1509" i="114"/>
  <c r="AF1508" i="114"/>
  <c r="AG1507" i="114"/>
  <c r="AF1506" i="114"/>
  <c r="AG1505" i="114"/>
  <c r="AF1504" i="114"/>
  <c r="AG1503" i="114"/>
  <c r="AF1502" i="114"/>
  <c r="AG1501" i="114"/>
  <c r="AF1500" i="114"/>
  <c r="AG1499" i="114"/>
  <c r="AF1498" i="114"/>
  <c r="AG1497" i="114"/>
  <c r="AF1496" i="114"/>
  <c r="AG1495" i="114"/>
  <c r="AF1494" i="114"/>
  <c r="AG1493" i="114"/>
  <c r="AF1492" i="114"/>
  <c r="AG1491" i="114"/>
  <c r="AF1490" i="114"/>
  <c r="AG1489" i="114"/>
  <c r="AF1488" i="114"/>
  <c r="AG1487" i="114"/>
  <c r="AF1486" i="114"/>
  <c r="AG1485" i="114"/>
  <c r="AF1484" i="114"/>
  <c r="AG1483" i="114"/>
  <c r="AF1482" i="114"/>
  <c r="AG1481" i="114"/>
  <c r="AF1480" i="114"/>
  <c r="AG1479" i="114"/>
  <c r="AF1478" i="114"/>
  <c r="AG1477" i="114"/>
  <c r="AF1476" i="114"/>
  <c r="AG1475" i="114"/>
  <c r="AF1474" i="114"/>
  <c r="AG1473" i="114"/>
  <c r="AF1472" i="114"/>
  <c r="AG1471" i="114"/>
  <c r="AF1470" i="114"/>
  <c r="AG1469" i="114"/>
  <c r="AF1468" i="114"/>
  <c r="AG1467" i="114"/>
  <c r="AF1466" i="114"/>
  <c r="AG1465" i="114"/>
  <c r="AF1464" i="114"/>
  <c r="AG1463" i="114"/>
  <c r="AF1462" i="114"/>
  <c r="AG1461" i="114"/>
  <c r="AF1460" i="114"/>
  <c r="AG1459" i="114"/>
  <c r="AF1458" i="114"/>
  <c r="AG1457" i="114"/>
  <c r="AF1456" i="114"/>
  <c r="AG1455" i="114"/>
  <c r="AF1454" i="114"/>
  <c r="AG1453" i="114"/>
  <c r="AF1452" i="114"/>
  <c r="AG1451" i="114"/>
  <c r="AF1450" i="114"/>
  <c r="AG1449" i="114"/>
  <c r="AF1448" i="114"/>
  <c r="AG1447" i="114"/>
  <c r="AF1446" i="114"/>
  <c r="AG1445" i="114"/>
  <c r="AF1444" i="114"/>
  <c r="AG1443" i="114"/>
  <c r="AF1442" i="114"/>
  <c r="AG1441" i="114"/>
  <c r="AF1440" i="114"/>
  <c r="AG1439" i="114"/>
  <c r="AF1438" i="114"/>
  <c r="AG1437" i="114"/>
  <c r="AF1436" i="114"/>
  <c r="AG1435" i="114"/>
  <c r="AF1434" i="114"/>
  <c r="AG1433" i="114"/>
  <c r="AF1432" i="114"/>
  <c r="AG1431" i="114"/>
  <c r="AF1430" i="114"/>
  <c r="AG1429" i="114"/>
  <c r="AF1428" i="114"/>
  <c r="AG1427" i="114"/>
  <c r="AF1426" i="114"/>
  <c r="AG1425" i="114"/>
  <c r="AF1423" i="114"/>
  <c r="AF1422" i="114"/>
  <c r="AI1419" i="114"/>
  <c r="AI1418" i="114"/>
  <c r="AF1415" i="114"/>
  <c r="AF1414" i="114"/>
  <c r="AI1411" i="114"/>
  <c r="AI1410" i="114"/>
  <c r="AF1407" i="114"/>
  <c r="AI1403" i="114"/>
  <c r="AI1402" i="114"/>
  <c r="AF1399" i="114"/>
  <c r="AF1398" i="114"/>
  <c r="AI1395" i="114"/>
  <c r="AI1394" i="114"/>
  <c r="AF1390" i="114"/>
  <c r="AG1388" i="114"/>
  <c r="AI1387" i="114"/>
  <c r="AI1386" i="114"/>
  <c r="AF1382" i="114"/>
  <c r="AG1380" i="114"/>
  <c r="AI1379" i="114"/>
  <c r="AI1378" i="114"/>
  <c r="AF1374" i="114"/>
  <c r="AF1373" i="114"/>
  <c r="AG1372" i="114"/>
  <c r="AI1371" i="114"/>
  <c r="AI1370" i="114"/>
  <c r="AF1367" i="114"/>
  <c r="AF1366" i="114"/>
  <c r="AG1364" i="114"/>
  <c r="AI1363" i="114"/>
  <c r="AI1362" i="114"/>
  <c r="AF1359" i="114"/>
  <c r="AF1358" i="114"/>
  <c r="AF1357" i="114"/>
  <c r="AG1356" i="114"/>
  <c r="AI1355" i="114"/>
  <c r="AF1248" i="114"/>
  <c r="AG1248" i="114"/>
  <c r="AF1232" i="114"/>
  <c r="AG1232" i="114"/>
  <c r="AI1232" i="114"/>
  <c r="AF1216" i="114"/>
  <c r="AG1216" i="114"/>
  <c r="AI1216" i="114"/>
  <c r="AF1200" i="114"/>
  <c r="AG1200" i="114"/>
  <c r="AI1200" i="114"/>
  <c r="AF1184" i="114"/>
  <c r="AG1184" i="114"/>
  <c r="AI1184" i="114"/>
  <c r="AF1168" i="114"/>
  <c r="AG1168" i="114"/>
  <c r="AI1168" i="114"/>
  <c r="AI1599" i="114"/>
  <c r="AI1597" i="114"/>
  <c r="AI1565" i="114"/>
  <c r="AI1559" i="114"/>
  <c r="AI1543" i="114"/>
  <c r="AI1539" i="114"/>
  <c r="AI1529" i="114"/>
  <c r="AI1527" i="114"/>
  <c r="AI1523" i="114"/>
  <c r="AI1519" i="114"/>
  <c r="AI1503" i="114"/>
  <c r="AI1481" i="114"/>
  <c r="AI1469" i="114"/>
  <c r="AI1455" i="114"/>
  <c r="AI1443" i="114"/>
  <c r="AI1441" i="114"/>
  <c r="AI1431" i="114"/>
  <c r="AI1427" i="114"/>
  <c r="AF1599" i="114"/>
  <c r="AI1596" i="114"/>
  <c r="AF1595" i="114"/>
  <c r="AI1594" i="114"/>
  <c r="AF1593" i="114"/>
  <c r="AI1590" i="114"/>
  <c r="AF1589" i="114"/>
  <c r="AI1588" i="114"/>
  <c r="AF1587" i="114"/>
  <c r="AI1584" i="114"/>
  <c r="AF1583" i="114"/>
  <c r="AI1582" i="114"/>
  <c r="AF1581" i="114"/>
  <c r="AI1574" i="114"/>
  <c r="AF1573" i="114"/>
  <c r="AI1568" i="114"/>
  <c r="AF1563" i="114"/>
  <c r="AI1558" i="114"/>
  <c r="AI1552" i="114"/>
  <c r="AF1551" i="114"/>
  <c r="AI1550" i="114"/>
  <c r="AF1549" i="114"/>
  <c r="AF1545" i="114"/>
  <c r="AF1541" i="114"/>
  <c r="AI1540" i="114"/>
  <c r="AF1539" i="114"/>
  <c r="AI1536" i="114"/>
  <c r="AF1535" i="114"/>
  <c r="AI1532" i="114"/>
  <c r="AF1531" i="114"/>
  <c r="AI1530" i="114"/>
  <c r="AF1527" i="114"/>
  <c r="AI1526" i="114"/>
  <c r="AF1525" i="114"/>
  <c r="AI1522" i="114"/>
  <c r="AF1521" i="114"/>
  <c r="AI1516" i="114"/>
  <c r="AF1515" i="114"/>
  <c r="AI1514" i="114"/>
  <c r="AI1510" i="114"/>
  <c r="AF1509" i="114"/>
  <c r="AF1505" i="114"/>
  <c r="AI1504" i="114"/>
  <c r="AF1503" i="114"/>
  <c r="AI1502" i="114"/>
  <c r="AF1501" i="114"/>
  <c r="AI1498" i="114"/>
  <c r="AF1497" i="114"/>
  <c r="AI1496" i="114"/>
  <c r="AF1495" i="114"/>
  <c r="AI1492" i="114"/>
  <c r="AF1491" i="114"/>
  <c r="AI1488" i="114"/>
  <c r="AF1487" i="114"/>
  <c r="AI1484" i="114"/>
  <c r="AF1483" i="114"/>
  <c r="AI1482" i="114"/>
  <c r="AF1481" i="114"/>
  <c r="AI1480" i="114"/>
  <c r="AF1479" i="114"/>
  <c r="AI1474" i="114"/>
  <c r="AF1473" i="114"/>
  <c r="AI1470" i="114"/>
  <c r="AF1469" i="114"/>
  <c r="AI1468" i="114"/>
  <c r="AF1467" i="114"/>
  <c r="AI1466" i="114"/>
  <c r="AF1465" i="114"/>
  <c r="AI1462" i="114"/>
  <c r="AF1461" i="114"/>
  <c r="AI1456" i="114"/>
  <c r="AF1455" i="114"/>
  <c r="AI1452" i="114"/>
  <c r="AF1451" i="114"/>
  <c r="AF1449" i="114"/>
  <c r="AI1448" i="114"/>
  <c r="AF1447" i="114"/>
  <c r="AI1446" i="114"/>
  <c r="AF1445" i="114"/>
  <c r="AI1438" i="114"/>
  <c r="AF1437" i="114"/>
  <c r="AI1436" i="114"/>
  <c r="AF1435" i="114"/>
  <c r="AF1433" i="114"/>
  <c r="AI1432" i="114"/>
  <c r="AF1431" i="114"/>
  <c r="AF1429" i="114"/>
  <c r="AF1427" i="114"/>
  <c r="AF1425" i="114"/>
  <c r="AG1418" i="114"/>
  <c r="AG1410" i="114"/>
  <c r="AG1402" i="114"/>
  <c r="AG1394" i="114"/>
  <c r="AG1386" i="114"/>
  <c r="AG1362" i="114"/>
  <c r="AI1353" i="114"/>
  <c r="AI1351" i="114"/>
  <c r="AI1349" i="114"/>
  <c r="AI1347" i="114"/>
  <c r="AI1345" i="114"/>
  <c r="AI1343" i="114"/>
  <c r="AI1341" i="114"/>
  <c r="AI1339" i="114"/>
  <c r="AI1337" i="114"/>
  <c r="AI1335" i="114"/>
  <c r="AI1333" i="114"/>
  <c r="AI1331" i="114"/>
  <c r="AI1329" i="114"/>
  <c r="AI1327" i="114"/>
  <c r="AI1325" i="114"/>
  <c r="AI1323" i="114"/>
  <c r="AI1321" i="114"/>
  <c r="AI1319" i="114"/>
  <c r="AI1317" i="114"/>
  <c r="AI1315" i="114"/>
  <c r="AI1313" i="114"/>
  <c r="AI1311" i="114"/>
  <c r="AI1309" i="114"/>
  <c r="AI1307" i="114"/>
  <c r="AI1305" i="114"/>
  <c r="AI1303" i="114"/>
  <c r="AI1301" i="114"/>
  <c r="AI1299" i="114"/>
  <c r="AI1297" i="114"/>
  <c r="AI1295" i="114"/>
  <c r="AI1293" i="114"/>
  <c r="AI1291" i="114"/>
  <c r="AI1289" i="114"/>
  <c r="AI1287" i="114"/>
  <c r="AI1285" i="114"/>
  <c r="AI1283" i="114"/>
  <c r="AI1281" i="114"/>
  <c r="AI1279" i="114"/>
  <c r="AI1277" i="114"/>
  <c r="AI1275" i="114"/>
  <c r="AI1273" i="114"/>
  <c r="AI1271" i="114"/>
  <c r="AI1269" i="114"/>
  <c r="AI1267" i="114"/>
  <c r="AI1265" i="114"/>
  <c r="AI1263" i="114"/>
  <c r="AI1261" i="114"/>
  <c r="AI1259" i="114"/>
  <c r="AI1257" i="114"/>
  <c r="AI1255" i="114"/>
  <c r="AI1253" i="114"/>
  <c r="AI1587" i="114"/>
  <c r="AI1581" i="114"/>
  <c r="AI1577" i="114"/>
  <c r="AI1567" i="114"/>
  <c r="AI1553" i="114"/>
  <c r="AI1541" i="114"/>
  <c r="AI1533" i="114"/>
  <c r="AI1531" i="114"/>
  <c r="AI1513" i="114"/>
  <c r="AI1509" i="114"/>
  <c r="AI1497" i="114"/>
  <c r="AI1495" i="114"/>
  <c r="AI1493" i="114"/>
  <c r="AI1485" i="114"/>
  <c r="AI1475" i="114"/>
  <c r="AI1471" i="114"/>
  <c r="AI1465" i="114"/>
  <c r="AI1461" i="114"/>
  <c r="AI1459" i="114"/>
  <c r="AI1453" i="114"/>
  <c r="AI1451" i="114"/>
  <c r="AI1447" i="114"/>
  <c r="AI1429" i="114"/>
  <c r="AI1425" i="114"/>
  <c r="AF1597" i="114"/>
  <c r="AI1592" i="114"/>
  <c r="AF1591" i="114"/>
  <c r="AI1586" i="114"/>
  <c r="AF1585" i="114"/>
  <c r="AI1580" i="114"/>
  <c r="AF1579" i="114"/>
  <c r="AI1578" i="114"/>
  <c r="AF1577" i="114"/>
  <c r="AI1576" i="114"/>
  <c r="AF1575" i="114"/>
  <c r="AI1572" i="114"/>
  <c r="AF1571" i="114"/>
  <c r="AI1570" i="114"/>
  <c r="AF1569" i="114"/>
  <c r="AF1567" i="114"/>
  <c r="AI1566" i="114"/>
  <c r="AF1565" i="114"/>
  <c r="AI1562" i="114"/>
  <c r="AF1561" i="114"/>
  <c r="AI1560" i="114"/>
  <c r="AF1559" i="114"/>
  <c r="AF1557" i="114"/>
  <c r="AI1556" i="114"/>
  <c r="AF1555" i="114"/>
  <c r="AI1554" i="114"/>
  <c r="AF1553" i="114"/>
  <c r="AI1548" i="114"/>
  <c r="AF1547" i="114"/>
  <c r="AI1544" i="114"/>
  <c r="AF1543" i="114"/>
  <c r="AI1542" i="114"/>
  <c r="AI1538" i="114"/>
  <c r="AF1537" i="114"/>
  <c r="AI1534" i="114"/>
  <c r="AF1533" i="114"/>
  <c r="AF1529" i="114"/>
  <c r="AI1528" i="114"/>
  <c r="AI1524" i="114"/>
  <c r="AF1523" i="114"/>
  <c r="AI1520" i="114"/>
  <c r="AF1519" i="114"/>
  <c r="AI1518" i="114"/>
  <c r="AF1517" i="114"/>
  <c r="AF1513" i="114"/>
  <c r="AI1512" i="114"/>
  <c r="AF1511" i="114"/>
  <c r="AI1508" i="114"/>
  <c r="AF1507" i="114"/>
  <c r="AI1506" i="114"/>
  <c r="AI1500" i="114"/>
  <c r="AF1499" i="114"/>
  <c r="AI1494" i="114"/>
  <c r="AF1493" i="114"/>
  <c r="AI1490" i="114"/>
  <c r="AF1489" i="114"/>
  <c r="AF1485" i="114"/>
  <c r="AI1478" i="114"/>
  <c r="AF1477" i="114"/>
  <c r="AI1476" i="114"/>
  <c r="AF1475" i="114"/>
  <c r="AI1472" i="114"/>
  <c r="AF1471" i="114"/>
  <c r="AI1464" i="114"/>
  <c r="AF1463" i="114"/>
  <c r="AI1460" i="114"/>
  <c r="AF1459" i="114"/>
  <c r="AI1458" i="114"/>
  <c r="AF1457" i="114"/>
  <c r="AI1454" i="114"/>
  <c r="AF1453" i="114"/>
  <c r="AI1450" i="114"/>
  <c r="AI1444" i="114"/>
  <c r="AF1443" i="114"/>
  <c r="AI1442" i="114"/>
  <c r="AF1441" i="114"/>
  <c r="AF1439" i="114"/>
  <c r="AI1434" i="114"/>
  <c r="AG1378" i="114"/>
  <c r="AG1370" i="114"/>
  <c r="AM1600" i="114"/>
  <c r="AN5" i="114" s="1"/>
  <c r="AG1424" i="114"/>
  <c r="AI1423" i="114"/>
  <c r="AI1422" i="114"/>
  <c r="AF1419" i="114"/>
  <c r="AF1418" i="114"/>
  <c r="AG1416" i="114"/>
  <c r="AI1415" i="114"/>
  <c r="AI1414" i="114"/>
  <c r="AF1411" i="114"/>
  <c r="AF1410" i="114"/>
  <c r="AF1409" i="114"/>
  <c r="AG1408" i="114"/>
  <c r="AI1407" i="114"/>
  <c r="AI1406" i="114"/>
  <c r="AF1403" i="114"/>
  <c r="AF1402" i="114"/>
  <c r="AF1401" i="114"/>
  <c r="AG1400" i="114"/>
  <c r="AI1399" i="114"/>
  <c r="AI1398" i="114"/>
  <c r="AF1395" i="114"/>
  <c r="AF1394" i="114"/>
  <c r="AF1393" i="114"/>
  <c r="AG1392" i="114"/>
  <c r="AI1391" i="114"/>
  <c r="AI1390" i="114"/>
  <c r="AF1387" i="114"/>
  <c r="AF1386" i="114"/>
  <c r="AI1383" i="114"/>
  <c r="AI1382" i="114"/>
  <c r="AF1379" i="114"/>
  <c r="AF1378" i="114"/>
  <c r="AI1375" i="114"/>
  <c r="AI1374" i="114"/>
  <c r="AF1371" i="114"/>
  <c r="AF1370" i="114"/>
  <c r="AI1367" i="114"/>
  <c r="AI1366" i="114"/>
  <c r="AF1362" i="114"/>
  <c r="AI1359" i="114"/>
  <c r="AI1358" i="114"/>
  <c r="AF1355" i="114"/>
  <c r="AF1353" i="114"/>
  <c r="AF1351" i="114"/>
  <c r="AF1349" i="114"/>
  <c r="AF1347" i="114"/>
  <c r="AF1345" i="114"/>
  <c r="AF1343" i="114"/>
  <c r="AF1341" i="114"/>
  <c r="AF1339" i="114"/>
  <c r="AF1337" i="114"/>
  <c r="AF1335" i="114"/>
  <c r="AF1333" i="114"/>
  <c r="AF1331" i="114"/>
  <c r="AF1329" i="114"/>
  <c r="AF1327" i="114"/>
  <c r="AF1325" i="114"/>
  <c r="AF1323" i="114"/>
  <c r="AF1321" i="114"/>
  <c r="AF1319" i="114"/>
  <c r="AF1317" i="114"/>
  <c r="AF1315" i="114"/>
  <c r="AF1313" i="114"/>
  <c r="AF1311" i="114"/>
  <c r="AF1309" i="114"/>
  <c r="AF1307" i="114"/>
  <c r="AF1305" i="114"/>
  <c r="AF1303" i="114"/>
  <c r="AF1301" i="114"/>
  <c r="AF1299" i="114"/>
  <c r="AF1297" i="114"/>
  <c r="AF1295" i="114"/>
  <c r="AF1293" i="114"/>
  <c r="AF1291" i="114"/>
  <c r="AF1289" i="114"/>
  <c r="AF1287" i="114"/>
  <c r="AF1285" i="114"/>
  <c r="AF1283" i="114"/>
  <c r="AF1281" i="114"/>
  <c r="AF1279" i="114"/>
  <c r="AF1277" i="114"/>
  <c r="AF1275" i="114"/>
  <c r="AF1273" i="114"/>
  <c r="AF1271" i="114"/>
  <c r="AF1269" i="114"/>
  <c r="AF1267" i="114"/>
  <c r="AF1265" i="114"/>
  <c r="AF1263" i="114"/>
  <c r="AF1261" i="114"/>
  <c r="AF1259" i="114"/>
  <c r="AF1257" i="114"/>
  <c r="AF1255" i="114"/>
  <c r="AF1253" i="114"/>
  <c r="AF1250" i="114"/>
  <c r="AF1240" i="114"/>
  <c r="AG1240" i="114"/>
  <c r="AI1240" i="114"/>
  <c r="AF1224" i="114"/>
  <c r="AG1224" i="114"/>
  <c r="AI1224" i="114"/>
  <c r="AF1208" i="114"/>
  <c r="AG1208" i="114"/>
  <c r="AI1208" i="114"/>
  <c r="AF1192" i="114"/>
  <c r="AG1192" i="114"/>
  <c r="AI1192" i="114"/>
  <c r="AF1176" i="114"/>
  <c r="AG1176" i="114"/>
  <c r="AI1176" i="114"/>
  <c r="AF1160" i="114"/>
  <c r="AG1160" i="114"/>
  <c r="AI1160" i="114"/>
  <c r="AF973" i="114"/>
  <c r="AI973" i="114"/>
  <c r="AG973" i="114"/>
  <c r="AG966" i="114"/>
  <c r="AI966" i="114"/>
  <c r="AF966" i="114"/>
  <c r="AF941" i="114"/>
  <c r="AI941" i="114"/>
  <c r="AG941" i="114"/>
  <c r="AG934" i="114"/>
  <c r="AI934" i="114"/>
  <c r="AF934" i="114"/>
  <c r="AF909" i="114"/>
  <c r="AI909" i="114"/>
  <c r="AG909" i="114"/>
  <c r="AG902" i="114"/>
  <c r="AI902" i="114"/>
  <c r="AF902" i="114"/>
  <c r="AF877" i="114"/>
  <c r="AI877" i="114"/>
  <c r="AG877" i="114"/>
  <c r="AG870" i="114"/>
  <c r="AI870" i="114"/>
  <c r="AF870" i="114"/>
  <c r="AF1242" i="114"/>
  <c r="AF1234" i="114"/>
  <c r="AF1226" i="114"/>
  <c r="AF1218" i="114"/>
  <c r="AF1210" i="114"/>
  <c r="AF1202" i="114"/>
  <c r="AF1194" i="114"/>
  <c r="AF1186" i="114"/>
  <c r="AF1178" i="114"/>
  <c r="AF1170" i="114"/>
  <c r="AF1162" i="114"/>
  <c r="AF1154" i="114"/>
  <c r="AF1150" i="114"/>
  <c r="AF1146" i="114"/>
  <c r="AF1142" i="114"/>
  <c r="AF1138" i="114"/>
  <c r="AF1134" i="114"/>
  <c r="AF1126" i="114"/>
  <c r="AF1122" i="114"/>
  <c r="AF1118" i="114"/>
  <c r="AF1110" i="114"/>
  <c r="AF1106" i="114"/>
  <c r="AF1102" i="114"/>
  <c r="AF1098" i="114"/>
  <c r="AF1090" i="114"/>
  <c r="AF1086" i="114"/>
  <c r="AF1082" i="114"/>
  <c r="AF1078" i="114"/>
  <c r="AF1074" i="114"/>
  <c r="AF1066" i="114"/>
  <c r="AF1062" i="114"/>
  <c r="AF1058" i="114"/>
  <c r="AF1054" i="114"/>
  <c r="AF1046" i="114"/>
  <c r="AF1042" i="114"/>
  <c r="AF1038" i="114"/>
  <c r="AF1030" i="114"/>
  <c r="AF1026" i="114"/>
  <c r="AF1022" i="114"/>
  <c r="AF1018" i="114"/>
  <c r="AF1010" i="114"/>
  <c r="AF1002" i="114"/>
  <c r="AF998" i="114"/>
  <c r="AG990" i="114"/>
  <c r="AI990" i="114"/>
  <c r="AF990" i="114"/>
  <c r="AF965" i="114"/>
  <c r="AI965" i="114"/>
  <c r="AG965" i="114"/>
  <c r="AG958" i="114"/>
  <c r="AI958" i="114"/>
  <c r="AF958" i="114"/>
  <c r="AF933" i="114"/>
  <c r="AI933" i="114"/>
  <c r="AG933" i="114"/>
  <c r="AG926" i="114"/>
  <c r="AI926" i="114"/>
  <c r="AF926" i="114"/>
  <c r="AF901" i="114"/>
  <c r="AI901" i="114"/>
  <c r="AG901" i="114"/>
  <c r="AG894" i="114"/>
  <c r="AI894" i="114"/>
  <c r="AF894" i="114"/>
  <c r="AF869" i="114"/>
  <c r="AI869" i="114"/>
  <c r="AG869" i="114"/>
  <c r="AF1252" i="114"/>
  <c r="AF1244" i="114"/>
  <c r="AI1242" i="114"/>
  <c r="AF1236" i="114"/>
  <c r="AI1234" i="114"/>
  <c r="AF1228" i="114"/>
  <c r="AI1226" i="114"/>
  <c r="AF1220" i="114"/>
  <c r="AI1218" i="114"/>
  <c r="AF1212" i="114"/>
  <c r="AI1210" i="114"/>
  <c r="AF1204" i="114"/>
  <c r="AI1202" i="114"/>
  <c r="AF1196" i="114"/>
  <c r="AI1194" i="114"/>
  <c r="AF1188" i="114"/>
  <c r="AI1186" i="114"/>
  <c r="AF1180" i="114"/>
  <c r="AI1178" i="114"/>
  <c r="AF1172" i="114"/>
  <c r="AI1170" i="114"/>
  <c r="AF1164" i="114"/>
  <c r="AI1162" i="114"/>
  <c r="AF1156" i="114"/>
  <c r="AI1154" i="114"/>
  <c r="AF989" i="114"/>
  <c r="AI989" i="114"/>
  <c r="AG989" i="114"/>
  <c r="AG982" i="114"/>
  <c r="AI982" i="114"/>
  <c r="AF982" i="114"/>
  <c r="AF957" i="114"/>
  <c r="AI957" i="114"/>
  <c r="AG957" i="114"/>
  <c r="AG950" i="114"/>
  <c r="AI950" i="114"/>
  <c r="AF950" i="114"/>
  <c r="AF925" i="114"/>
  <c r="AI925" i="114"/>
  <c r="AG925" i="114"/>
  <c r="AG918" i="114"/>
  <c r="AI918" i="114"/>
  <c r="AF918" i="114"/>
  <c r="AF893" i="114"/>
  <c r="AI893" i="114"/>
  <c r="AG893" i="114"/>
  <c r="AG886" i="114"/>
  <c r="AI886" i="114"/>
  <c r="AF886" i="114"/>
  <c r="AF1246" i="114"/>
  <c r="AG1242" i="114"/>
  <c r="AF1238" i="114"/>
  <c r="AG1234" i="114"/>
  <c r="AF1230" i="114"/>
  <c r="AG1226" i="114"/>
  <c r="AF1222" i="114"/>
  <c r="AG1218" i="114"/>
  <c r="AF1214" i="114"/>
  <c r="AG1210" i="114"/>
  <c r="AF1206" i="114"/>
  <c r="AG1202" i="114"/>
  <c r="AF1198" i="114"/>
  <c r="AG1194" i="114"/>
  <c r="AF1190" i="114"/>
  <c r="AG1186" i="114"/>
  <c r="AG1178" i="114"/>
  <c r="AF1174" i="114"/>
  <c r="AG1170" i="114"/>
  <c r="AF1166" i="114"/>
  <c r="AG1162" i="114"/>
  <c r="AG1154" i="114"/>
  <c r="AF1120" i="114"/>
  <c r="AF1116" i="114"/>
  <c r="AF1112" i="114"/>
  <c r="AF1104" i="114"/>
  <c r="AF1100" i="114"/>
  <c r="AF1096" i="114"/>
  <c r="AF1092" i="114"/>
  <c r="AF1088" i="114"/>
  <c r="AF1084" i="114"/>
  <c r="AF1080" i="114"/>
  <c r="AF1076" i="114"/>
  <c r="AF1072" i="114"/>
  <c r="AF1068" i="114"/>
  <c r="AF1064" i="114"/>
  <c r="AF1060" i="114"/>
  <c r="AF1056" i="114"/>
  <c r="AF1052" i="114"/>
  <c r="AF1048" i="114"/>
  <c r="AF1044" i="114"/>
  <c r="AF1040" i="114"/>
  <c r="AF1036" i="114"/>
  <c r="AF1032" i="114"/>
  <c r="AF1028" i="114"/>
  <c r="AF1024" i="114"/>
  <c r="AF1020" i="114"/>
  <c r="AF1016" i="114"/>
  <c r="AF1012" i="114"/>
  <c r="AF981" i="114"/>
  <c r="AI981" i="114"/>
  <c r="AG981" i="114"/>
  <c r="AG974" i="114"/>
  <c r="AI974" i="114"/>
  <c r="AF974" i="114"/>
  <c r="AF949" i="114"/>
  <c r="AI949" i="114"/>
  <c r="AG949" i="114"/>
  <c r="AG942" i="114"/>
  <c r="AI942" i="114"/>
  <c r="AF942" i="114"/>
  <c r="AF917" i="114"/>
  <c r="AI917" i="114"/>
  <c r="AG917" i="114"/>
  <c r="AG910" i="114"/>
  <c r="AI910" i="114"/>
  <c r="AF910" i="114"/>
  <c r="AI885" i="114"/>
  <c r="AF885" i="114"/>
  <c r="AG885" i="114"/>
  <c r="AG878" i="114"/>
  <c r="AI878" i="114"/>
  <c r="AF878" i="114"/>
  <c r="AG861" i="114"/>
  <c r="AG853" i="114"/>
  <c r="AG845" i="114"/>
  <c r="AG837" i="114"/>
  <c r="AG829" i="114"/>
  <c r="AG821" i="114"/>
  <c r="AG813" i="114"/>
  <c r="AG805" i="114"/>
  <c r="AG797" i="114"/>
  <c r="AG789" i="114"/>
  <c r="AG781" i="114"/>
  <c r="AG773" i="114"/>
  <c r="AG765" i="114"/>
  <c r="AF673" i="114"/>
  <c r="AG673" i="114"/>
  <c r="AF665" i="114"/>
  <c r="AG665" i="114"/>
  <c r="AF657" i="114"/>
  <c r="AG657" i="114"/>
  <c r="AF649" i="114"/>
  <c r="AG649" i="114"/>
  <c r="AF641" i="114"/>
  <c r="AG641" i="114"/>
  <c r="AF633" i="114"/>
  <c r="AG633" i="114"/>
  <c r="AF625" i="114"/>
  <c r="AG625" i="114"/>
  <c r="AF617" i="114"/>
  <c r="AG617" i="114"/>
  <c r="AF609" i="114"/>
  <c r="AG609" i="114"/>
  <c r="AF601" i="114"/>
  <c r="AG601" i="114"/>
  <c r="AF593" i="114"/>
  <c r="AG593" i="114"/>
  <c r="AF585" i="114"/>
  <c r="AG585" i="114"/>
  <c r="AF577" i="114"/>
  <c r="AG577" i="114"/>
  <c r="AF568" i="114"/>
  <c r="AG568" i="114"/>
  <c r="AI568" i="114"/>
  <c r="AF544" i="114"/>
  <c r="AG544" i="114"/>
  <c r="AI544" i="114"/>
  <c r="AI993" i="114"/>
  <c r="AF988" i="114"/>
  <c r="AG987" i="114"/>
  <c r="AI986" i="114"/>
  <c r="AI985" i="114"/>
  <c r="AF980" i="114"/>
  <c r="AG979" i="114"/>
  <c r="AI978" i="114"/>
  <c r="AI977" i="114"/>
  <c r="AI970" i="114"/>
  <c r="AI969" i="114"/>
  <c r="AI962" i="114"/>
  <c r="AI961" i="114"/>
  <c r="AI954" i="114"/>
  <c r="AI953" i="114"/>
  <c r="AI946" i="114"/>
  <c r="AI945" i="114"/>
  <c r="AI938" i="114"/>
  <c r="AI937" i="114"/>
  <c r="AI930" i="114"/>
  <c r="AI929" i="114"/>
  <c r="AI922" i="114"/>
  <c r="AI921" i="114"/>
  <c r="AI914" i="114"/>
  <c r="AI913" i="114"/>
  <c r="AI906" i="114"/>
  <c r="AI905" i="114"/>
  <c r="AI898" i="114"/>
  <c r="AI897" i="114"/>
  <c r="AI890" i="114"/>
  <c r="AI889" i="114"/>
  <c r="AI882" i="114"/>
  <c r="AI881" i="114"/>
  <c r="AI874" i="114"/>
  <c r="AI873" i="114"/>
  <c r="AI866" i="114"/>
  <c r="AI865" i="114"/>
  <c r="AF862" i="114"/>
  <c r="AF861" i="114"/>
  <c r="AI858" i="114"/>
  <c r="AI857" i="114"/>
  <c r="AF854" i="114"/>
  <c r="AF853" i="114"/>
  <c r="AI850" i="114"/>
  <c r="AI849" i="114"/>
  <c r="AF846" i="114"/>
  <c r="AF845" i="114"/>
  <c r="AI842" i="114"/>
  <c r="AI841" i="114"/>
  <c r="AF838" i="114"/>
  <c r="AF837" i="114"/>
  <c r="AI834" i="114"/>
  <c r="AI833" i="114"/>
  <c r="AF830" i="114"/>
  <c r="AF829" i="114"/>
  <c r="AI826" i="114"/>
  <c r="AI825" i="114"/>
  <c r="AF822" i="114"/>
  <c r="AF821" i="114"/>
  <c r="AI818" i="114"/>
  <c r="AI817" i="114"/>
  <c r="AF813" i="114"/>
  <c r="AI810" i="114"/>
  <c r="AI809" i="114"/>
  <c r="AF806" i="114"/>
  <c r="AF805" i="114"/>
  <c r="AI802" i="114"/>
  <c r="AI801" i="114"/>
  <c r="AF798" i="114"/>
  <c r="AF797" i="114"/>
  <c r="AI794" i="114"/>
  <c r="AI793" i="114"/>
  <c r="AF790" i="114"/>
  <c r="AF789" i="114"/>
  <c r="AI786" i="114"/>
  <c r="AI785" i="114"/>
  <c r="AF782" i="114"/>
  <c r="AF781" i="114"/>
  <c r="AI778" i="114"/>
  <c r="AI777" i="114"/>
  <c r="AF773" i="114"/>
  <c r="AI770" i="114"/>
  <c r="AI769" i="114"/>
  <c r="AF765" i="114"/>
  <c r="AI762" i="114"/>
  <c r="AI761" i="114"/>
  <c r="AF758" i="114"/>
  <c r="AF757" i="114"/>
  <c r="AF755" i="114"/>
  <c r="AF753" i="114"/>
  <c r="AF751" i="114"/>
  <c r="AF749" i="114"/>
  <c r="AF747" i="114"/>
  <c r="AF745" i="114"/>
  <c r="AF743" i="114"/>
  <c r="AF739" i="114"/>
  <c r="AF735" i="114"/>
  <c r="AF733" i="114"/>
  <c r="AF731" i="114"/>
  <c r="AF729" i="114"/>
  <c r="AF727" i="114"/>
  <c r="AF725" i="114"/>
  <c r="AF723" i="114"/>
  <c r="AF721" i="114"/>
  <c r="AF719" i="114"/>
  <c r="AF717" i="114"/>
  <c r="AF715" i="114"/>
  <c r="AF713" i="114"/>
  <c r="AF709" i="114"/>
  <c r="AF707" i="114"/>
  <c r="AF705" i="114"/>
  <c r="AF703" i="114"/>
  <c r="AF701" i="114"/>
  <c r="AF699" i="114"/>
  <c r="AF697" i="114"/>
  <c r="AF695" i="114"/>
  <c r="AF693" i="114"/>
  <c r="AF691" i="114"/>
  <c r="AF689" i="114"/>
  <c r="AF687" i="114"/>
  <c r="AF685" i="114"/>
  <c r="AF683" i="114"/>
  <c r="AF681" i="114"/>
  <c r="AF677" i="114"/>
  <c r="AF675" i="114"/>
  <c r="AG667" i="114"/>
  <c r="AF659" i="114"/>
  <c r="AG659" i="114"/>
  <c r="AG651" i="114"/>
  <c r="AF643" i="114"/>
  <c r="AG643" i="114"/>
  <c r="AF635" i="114"/>
  <c r="AG635" i="114"/>
  <c r="AF627" i="114"/>
  <c r="AG627" i="114"/>
  <c r="AF619" i="114"/>
  <c r="AG619" i="114"/>
  <c r="AF611" i="114"/>
  <c r="AG611" i="114"/>
  <c r="AF603" i="114"/>
  <c r="AG603" i="114"/>
  <c r="AF595" i="114"/>
  <c r="AG595" i="114"/>
  <c r="AF587" i="114"/>
  <c r="AG587" i="114"/>
  <c r="AF579" i="114"/>
  <c r="AG579" i="114"/>
  <c r="AF576" i="114"/>
  <c r="AG576" i="114"/>
  <c r="AI576" i="114"/>
  <c r="AG561" i="114"/>
  <c r="AF561" i="114"/>
  <c r="AI561" i="114"/>
  <c r="AF669" i="114"/>
  <c r="AG669" i="114"/>
  <c r="AF661" i="114"/>
  <c r="AG661" i="114"/>
  <c r="AF653" i="114"/>
  <c r="AG653" i="114"/>
  <c r="AF645" i="114"/>
  <c r="AG645" i="114"/>
  <c r="AF637" i="114"/>
  <c r="AG637" i="114"/>
  <c r="AF629" i="114"/>
  <c r="AG629" i="114"/>
  <c r="AF621" i="114"/>
  <c r="AG621" i="114"/>
  <c r="AF613" i="114"/>
  <c r="AG613" i="114"/>
  <c r="AF605" i="114"/>
  <c r="AG605" i="114"/>
  <c r="AF597" i="114"/>
  <c r="AG597" i="114"/>
  <c r="AF589" i="114"/>
  <c r="AG589" i="114"/>
  <c r="AG581" i="114"/>
  <c r="AF560" i="114"/>
  <c r="AG560" i="114"/>
  <c r="AI560" i="114"/>
  <c r="AG553" i="114"/>
  <c r="AF553" i="114"/>
  <c r="AI553" i="114"/>
  <c r="AF993" i="114"/>
  <c r="AF986" i="114"/>
  <c r="AF985" i="114"/>
  <c r="AF978" i="114"/>
  <c r="AF970" i="114"/>
  <c r="AF969" i="114"/>
  <c r="AG967" i="114"/>
  <c r="AF962" i="114"/>
  <c r="AF960" i="114"/>
  <c r="AG959" i="114"/>
  <c r="AF954" i="114"/>
  <c r="AF953" i="114"/>
  <c r="AF952" i="114"/>
  <c r="AG951" i="114"/>
  <c r="AF945" i="114"/>
  <c r="AF944" i="114"/>
  <c r="AG943" i="114"/>
  <c r="AF938" i="114"/>
  <c r="AF936" i="114"/>
  <c r="AG935" i="114"/>
  <c r="AF930" i="114"/>
  <c r="AF929" i="114"/>
  <c r="AF928" i="114"/>
  <c r="AG927" i="114"/>
  <c r="AF922" i="114"/>
  <c r="AF921" i="114"/>
  <c r="AF920" i="114"/>
  <c r="AG919" i="114"/>
  <c r="AF914" i="114"/>
  <c r="AF913" i="114"/>
  <c r="AG911" i="114"/>
  <c r="AF905" i="114"/>
  <c r="AG903" i="114"/>
  <c r="AF898" i="114"/>
  <c r="AF897" i="114"/>
  <c r="AF896" i="114"/>
  <c r="AG895" i="114"/>
  <c r="AF890" i="114"/>
  <c r="AF889" i="114"/>
  <c r="AF888" i="114"/>
  <c r="AG887" i="114"/>
  <c r="AF882" i="114"/>
  <c r="AF881" i="114"/>
  <c r="AF880" i="114"/>
  <c r="AG879" i="114"/>
  <c r="AF874" i="114"/>
  <c r="AF873" i="114"/>
  <c r="AF872" i="114"/>
  <c r="AG871" i="114"/>
  <c r="AF866" i="114"/>
  <c r="AF865" i="114"/>
  <c r="AF864" i="114"/>
  <c r="AG863" i="114"/>
  <c r="AI862" i="114"/>
  <c r="AI861" i="114"/>
  <c r="AF858" i="114"/>
  <c r="AF857" i="114"/>
  <c r="AF856" i="114"/>
  <c r="AG855" i="114"/>
  <c r="AI854" i="114"/>
  <c r="AI853" i="114"/>
  <c r="AF850" i="114"/>
  <c r="AF848" i="114"/>
  <c r="AG847" i="114"/>
  <c r="AI846" i="114"/>
  <c r="AI845" i="114"/>
  <c r="AF842" i="114"/>
  <c r="AF841" i="114"/>
  <c r="AF840" i="114"/>
  <c r="AG839" i="114"/>
  <c r="AI838" i="114"/>
  <c r="AI837" i="114"/>
  <c r="AF834" i="114"/>
  <c r="AF833" i="114"/>
  <c r="AF832" i="114"/>
  <c r="AG831" i="114"/>
  <c r="AI830" i="114"/>
  <c r="AI829" i="114"/>
  <c r="AF826" i="114"/>
  <c r="AF825" i="114"/>
  <c r="AG823" i="114"/>
  <c r="AI822" i="114"/>
  <c r="AI821" i="114"/>
  <c r="AF818" i="114"/>
  <c r="AF816" i="114"/>
  <c r="AG815" i="114"/>
  <c r="AI814" i="114"/>
  <c r="AI813" i="114"/>
  <c r="AF810" i="114"/>
  <c r="AF809" i="114"/>
  <c r="AF808" i="114"/>
  <c r="AG807" i="114"/>
  <c r="AI806" i="114"/>
  <c r="AI805" i="114"/>
  <c r="AF802" i="114"/>
  <c r="AF800" i="114"/>
  <c r="AG799" i="114"/>
  <c r="AI798" i="114"/>
  <c r="AI797" i="114"/>
  <c r="AF794" i="114"/>
  <c r="AF793" i="114"/>
  <c r="AF792" i="114"/>
  <c r="AG791" i="114"/>
  <c r="AI790" i="114"/>
  <c r="AI789" i="114"/>
  <c r="AF785" i="114"/>
  <c r="AF784" i="114"/>
  <c r="AG783" i="114"/>
  <c r="AI782" i="114"/>
  <c r="AI781" i="114"/>
  <c r="AF778" i="114"/>
  <c r="AF777" i="114"/>
  <c r="AG775" i="114"/>
  <c r="AI774" i="114"/>
  <c r="AI773" i="114"/>
  <c r="AF770" i="114"/>
  <c r="AF769" i="114"/>
  <c r="AG767" i="114"/>
  <c r="AI766" i="114"/>
  <c r="AI765" i="114"/>
  <c r="AF761" i="114"/>
  <c r="AF760" i="114"/>
  <c r="AG759" i="114"/>
  <c r="AI758" i="114"/>
  <c r="AI757" i="114"/>
  <c r="AI755" i="114"/>
  <c r="AI753" i="114"/>
  <c r="AI751" i="114"/>
  <c r="AI749" i="114"/>
  <c r="AI747" i="114"/>
  <c r="AI745" i="114"/>
  <c r="AI743" i="114"/>
  <c r="AI741" i="114"/>
  <c r="AI739" i="114"/>
  <c r="AI737" i="114"/>
  <c r="AI735" i="114"/>
  <c r="AI733" i="114"/>
  <c r="AI731" i="114"/>
  <c r="AI729" i="114"/>
  <c r="AI727" i="114"/>
  <c r="AI725" i="114"/>
  <c r="AI723" i="114"/>
  <c r="AI721" i="114"/>
  <c r="AI719" i="114"/>
  <c r="AI717" i="114"/>
  <c r="AI715" i="114"/>
  <c r="AI713" i="114"/>
  <c r="AI711" i="114"/>
  <c r="AI709" i="114"/>
  <c r="AI707" i="114"/>
  <c r="AI705" i="114"/>
  <c r="AI703" i="114"/>
  <c r="AI701" i="114"/>
  <c r="AI699" i="114"/>
  <c r="AI697" i="114"/>
  <c r="AI695" i="114"/>
  <c r="AI693" i="114"/>
  <c r="AI691" i="114"/>
  <c r="AI689" i="114"/>
  <c r="AI687" i="114"/>
  <c r="AI685" i="114"/>
  <c r="AI683" i="114"/>
  <c r="AI681" i="114"/>
  <c r="AI679" i="114"/>
  <c r="AI677" i="114"/>
  <c r="AI673" i="114"/>
  <c r="AF671" i="114"/>
  <c r="AG671" i="114"/>
  <c r="AI665" i="114"/>
  <c r="AF663" i="114"/>
  <c r="AG663" i="114"/>
  <c r="AI657" i="114"/>
  <c r="AF655" i="114"/>
  <c r="AG655" i="114"/>
  <c r="AI649" i="114"/>
  <c r="AF647" i="114"/>
  <c r="AG647" i="114"/>
  <c r="AI641" i="114"/>
  <c r="AF639" i="114"/>
  <c r="AG639" i="114"/>
  <c r="AI633" i="114"/>
  <c r="AF631" i="114"/>
  <c r="AG631" i="114"/>
  <c r="AI625" i="114"/>
  <c r="AF623" i="114"/>
  <c r="AG623" i="114"/>
  <c r="AF615" i="114"/>
  <c r="AG615" i="114"/>
  <c r="AG607" i="114"/>
  <c r="AF599" i="114"/>
  <c r="AG599" i="114"/>
  <c r="AF591" i="114"/>
  <c r="AG591" i="114"/>
  <c r="AF583" i="114"/>
  <c r="AG583" i="114"/>
  <c r="AG569" i="114"/>
  <c r="AF569" i="114"/>
  <c r="AI569" i="114"/>
  <c r="AF552" i="114"/>
  <c r="AG552" i="114"/>
  <c r="AI552" i="114"/>
  <c r="AG545" i="114"/>
  <c r="AF545" i="114"/>
  <c r="AI545" i="114"/>
  <c r="AG477" i="114"/>
  <c r="AF477" i="114"/>
  <c r="AG467" i="114"/>
  <c r="AF467" i="114"/>
  <c r="AI467" i="114"/>
  <c r="AF565" i="114"/>
  <c r="AF564" i="114"/>
  <c r="AF557" i="114"/>
  <c r="AF556" i="114"/>
  <c r="AF549" i="114"/>
  <c r="AF548" i="114"/>
  <c r="AF541" i="114"/>
  <c r="AF540" i="114"/>
  <c r="AI537" i="114"/>
  <c r="AI536" i="114"/>
  <c r="AF533" i="114"/>
  <c r="AI529" i="114"/>
  <c r="AI528" i="114"/>
  <c r="AF524" i="114"/>
  <c r="AF522" i="114"/>
  <c r="AF520" i="114"/>
  <c r="AF516" i="114"/>
  <c r="AF514" i="114"/>
  <c r="AF512" i="114"/>
  <c r="AF510" i="114"/>
  <c r="AF508" i="114"/>
  <c r="AF506" i="114"/>
  <c r="AF504" i="114"/>
  <c r="AF502" i="114"/>
  <c r="AF500" i="114"/>
  <c r="AF498" i="114"/>
  <c r="AF496" i="114"/>
  <c r="AF494" i="114"/>
  <c r="AF492" i="114"/>
  <c r="AF490" i="114"/>
  <c r="AF488" i="114"/>
  <c r="AF486" i="114"/>
  <c r="AF484" i="114"/>
  <c r="AF482" i="114"/>
  <c r="AG475" i="114"/>
  <c r="AF475" i="114"/>
  <c r="AI475" i="114"/>
  <c r="AF466" i="114"/>
  <c r="AG466" i="114"/>
  <c r="AI466" i="114"/>
  <c r="AF447" i="114"/>
  <c r="AG447" i="114"/>
  <c r="AI447" i="114"/>
  <c r="AI575" i="114"/>
  <c r="AI574" i="114"/>
  <c r="AG536" i="114"/>
  <c r="AG528" i="114"/>
  <c r="AF476" i="114"/>
  <c r="AG476" i="114"/>
  <c r="AG574" i="114"/>
  <c r="AI573" i="114"/>
  <c r="AI572" i="114"/>
  <c r="AG566" i="114"/>
  <c r="AI565" i="114"/>
  <c r="AI564" i="114"/>
  <c r="AF559" i="114"/>
  <c r="AG558" i="114"/>
  <c r="AI557" i="114"/>
  <c r="AI556" i="114"/>
  <c r="AG550" i="114"/>
  <c r="AI549" i="114"/>
  <c r="AI548" i="114"/>
  <c r="AG542" i="114"/>
  <c r="AI541" i="114"/>
  <c r="AI540" i="114"/>
  <c r="AF537" i="114"/>
  <c r="AF536" i="114"/>
  <c r="AF535" i="114"/>
  <c r="AG534" i="114"/>
  <c r="AI533" i="114"/>
  <c r="AI532" i="114"/>
  <c r="AF529" i="114"/>
  <c r="AF528" i="114"/>
  <c r="AG526" i="114"/>
  <c r="AI524" i="114"/>
  <c r="AI522" i="114"/>
  <c r="AI520" i="114"/>
  <c r="AI518" i="114"/>
  <c r="AI516" i="114"/>
  <c r="AI514" i="114"/>
  <c r="AI512" i="114"/>
  <c r="AI510" i="114"/>
  <c r="AI508" i="114"/>
  <c r="AI506" i="114"/>
  <c r="AI504" i="114"/>
  <c r="AI477" i="114"/>
  <c r="AF474" i="114"/>
  <c r="AG474" i="114"/>
  <c r="AI474" i="114"/>
  <c r="AG468" i="114"/>
  <c r="AF463" i="114"/>
  <c r="AG463" i="114"/>
  <c r="AG461" i="114"/>
  <c r="AG459" i="114"/>
  <c r="AG457" i="114"/>
  <c r="AF455" i="114"/>
  <c r="AG455" i="114"/>
  <c r="AG453" i="114"/>
  <c r="AF451" i="114"/>
  <c r="AG451" i="114"/>
  <c r="AF449" i="114"/>
  <c r="AG449" i="114"/>
  <c r="AF445" i="114"/>
  <c r="AG445" i="114"/>
  <c r="AI445" i="114"/>
  <c r="AI480" i="114"/>
  <c r="AI473" i="114"/>
  <c r="AI472" i="114"/>
  <c r="AF469" i="114"/>
  <c r="AI465" i="114"/>
  <c r="AG438" i="114"/>
  <c r="AF438" i="114"/>
  <c r="AI438" i="114"/>
  <c r="AG430" i="114"/>
  <c r="AF430" i="114"/>
  <c r="AI430" i="114"/>
  <c r="AG422" i="114"/>
  <c r="AF422" i="114"/>
  <c r="AI422" i="114"/>
  <c r="AG414" i="114"/>
  <c r="AF414" i="114"/>
  <c r="AI414" i="114"/>
  <c r="AF409" i="114"/>
  <c r="AI409" i="114"/>
  <c r="AG409" i="114"/>
  <c r="AF403" i="114"/>
  <c r="AG403" i="114"/>
  <c r="AI403" i="114"/>
  <c r="AF395" i="114"/>
  <c r="AG395" i="114"/>
  <c r="AI395" i="114"/>
  <c r="AG446" i="114"/>
  <c r="AF446" i="114"/>
  <c r="AI446" i="114"/>
  <c r="AF437" i="114"/>
  <c r="AG437" i="114"/>
  <c r="AI437" i="114"/>
  <c r="AF429" i="114"/>
  <c r="AG429" i="114"/>
  <c r="AI429" i="114"/>
  <c r="AF421" i="114"/>
  <c r="AG421" i="114"/>
  <c r="AI421" i="114"/>
  <c r="AF413" i="114"/>
  <c r="AG413" i="114"/>
  <c r="AI413" i="114"/>
  <c r="AF442" i="114"/>
  <c r="AF441" i="114"/>
  <c r="AG439" i="114"/>
  <c r="AF434" i="114"/>
  <c r="AF433" i="114"/>
  <c r="AG431" i="114"/>
  <c r="AF426" i="114"/>
  <c r="AF425" i="114"/>
  <c r="AG423" i="114"/>
  <c r="AF418" i="114"/>
  <c r="AG415" i="114"/>
  <c r="AG410" i="114"/>
  <c r="AI410" i="114"/>
  <c r="AF401" i="114"/>
  <c r="AG401" i="114"/>
  <c r="AI401" i="114"/>
  <c r="AF393" i="114"/>
  <c r="AG393" i="114"/>
  <c r="AI393" i="114"/>
  <c r="AG388" i="114"/>
  <c r="AF388" i="114"/>
  <c r="AI388" i="114"/>
  <c r="AF440" i="114"/>
  <c r="AF432" i="114"/>
  <c r="AF431" i="114"/>
  <c r="AF424" i="114"/>
  <c r="AF423" i="114"/>
  <c r="AF416" i="114"/>
  <c r="AG404" i="114"/>
  <c r="AF404" i="114"/>
  <c r="AG396" i="114"/>
  <c r="AF396" i="114"/>
  <c r="AF387" i="114"/>
  <c r="AG387" i="114"/>
  <c r="AI387" i="114"/>
  <c r="AG380" i="114"/>
  <c r="AF380" i="114"/>
  <c r="AI380" i="114"/>
  <c r="AG402" i="114"/>
  <c r="AF402" i="114"/>
  <c r="AI402" i="114"/>
  <c r="AG394" i="114"/>
  <c r="AF394" i="114"/>
  <c r="AI394" i="114"/>
  <c r="AF369" i="114"/>
  <c r="AG369" i="114"/>
  <c r="AF365" i="114"/>
  <c r="AG365" i="114"/>
  <c r="AF361" i="114"/>
  <c r="AG361" i="114"/>
  <c r="AF357" i="114"/>
  <c r="AG357" i="114"/>
  <c r="AF353" i="114"/>
  <c r="AG353" i="114"/>
  <c r="AF349" i="114"/>
  <c r="AG349" i="114"/>
  <c r="AG345" i="114"/>
  <c r="AF341" i="114"/>
  <c r="AG341" i="114"/>
  <c r="AF337" i="114"/>
  <c r="AG337" i="114"/>
  <c r="AF333" i="114"/>
  <c r="AG333" i="114"/>
  <c r="AF329" i="114"/>
  <c r="AG329" i="114"/>
  <c r="AF325" i="114"/>
  <c r="AG325" i="114"/>
  <c r="AF321" i="114"/>
  <c r="AG321" i="114"/>
  <c r="AF317" i="114"/>
  <c r="AG317" i="114"/>
  <c r="AG313" i="114"/>
  <c r="AG310" i="114"/>
  <c r="AF310" i="114"/>
  <c r="AG302" i="114"/>
  <c r="AF302" i="114"/>
  <c r="AG294" i="114"/>
  <c r="AF294" i="114"/>
  <c r="AG286" i="114"/>
  <c r="AF286" i="114"/>
  <c r="AG278" i="114"/>
  <c r="AF278" i="114"/>
  <c r="AG270" i="114"/>
  <c r="AF270" i="114"/>
  <c r="AF251" i="114"/>
  <c r="AI251" i="114"/>
  <c r="AG251" i="114"/>
  <c r="AI379" i="114"/>
  <c r="AI372" i="114"/>
  <c r="AI371" i="114"/>
  <c r="AG366" i="114"/>
  <c r="AF366" i="114"/>
  <c r="AG362" i="114"/>
  <c r="AF362" i="114"/>
  <c r="AG358" i="114"/>
  <c r="AF358" i="114"/>
  <c r="AG354" i="114"/>
  <c r="AF354" i="114"/>
  <c r="AG350" i="114"/>
  <c r="AF350" i="114"/>
  <c r="AG346" i="114"/>
  <c r="AF346" i="114"/>
  <c r="AG342" i="114"/>
  <c r="AF342" i="114"/>
  <c r="AG338" i="114"/>
  <c r="AF338" i="114"/>
  <c r="AG334" i="114"/>
  <c r="AF334" i="114"/>
  <c r="AG330" i="114"/>
  <c r="AF330" i="114"/>
  <c r="AG326" i="114"/>
  <c r="AF326" i="114"/>
  <c r="AG322" i="114"/>
  <c r="AF322" i="114"/>
  <c r="AG318" i="114"/>
  <c r="AF318" i="114"/>
  <c r="AG314" i="114"/>
  <c r="AF314" i="114"/>
  <c r="AG308" i="114"/>
  <c r="AF308" i="114"/>
  <c r="AG300" i="114"/>
  <c r="AF300" i="114"/>
  <c r="AG292" i="114"/>
  <c r="AF292" i="114"/>
  <c r="AG284" i="114"/>
  <c r="AG276" i="114"/>
  <c r="AF276" i="114"/>
  <c r="AG268" i="114"/>
  <c r="AF406" i="114"/>
  <c r="AF398" i="114"/>
  <c r="AF397" i="114"/>
  <c r="AF390" i="114"/>
  <c r="AF389" i="114"/>
  <c r="AI386" i="114"/>
  <c r="AI385" i="114"/>
  <c r="AF382" i="114"/>
  <c r="AF381" i="114"/>
  <c r="AG379" i="114"/>
  <c r="AI378" i="114"/>
  <c r="AI377" i="114"/>
  <c r="AF374" i="114"/>
  <c r="AG371" i="114"/>
  <c r="AI370" i="114"/>
  <c r="AI369" i="114"/>
  <c r="AG367" i="114"/>
  <c r="AI365" i="114"/>
  <c r="AF363" i="114"/>
  <c r="AG363" i="114"/>
  <c r="AI361" i="114"/>
  <c r="AG359" i="114"/>
  <c r="AI357" i="114"/>
  <c r="AF355" i="114"/>
  <c r="AG355" i="114"/>
  <c r="AI353" i="114"/>
  <c r="AG351" i="114"/>
  <c r="AI349" i="114"/>
  <c r="AF347" i="114"/>
  <c r="AG347" i="114"/>
  <c r="AI345" i="114"/>
  <c r="AG343" i="114"/>
  <c r="AI341" i="114"/>
  <c r="AF339" i="114"/>
  <c r="AG339" i="114"/>
  <c r="AI337" i="114"/>
  <c r="AG335" i="114"/>
  <c r="AI333" i="114"/>
  <c r="AF331" i="114"/>
  <c r="AG331" i="114"/>
  <c r="AI329" i="114"/>
  <c r="AG327" i="114"/>
  <c r="AI325" i="114"/>
  <c r="AF323" i="114"/>
  <c r="AG323" i="114"/>
  <c r="AI321" i="114"/>
  <c r="AG319" i="114"/>
  <c r="AI317" i="114"/>
  <c r="AF315" i="114"/>
  <c r="AG315" i="114"/>
  <c r="AI313" i="114"/>
  <c r="AG311" i="114"/>
  <c r="AG306" i="114"/>
  <c r="AF306" i="114"/>
  <c r="AG298" i="114"/>
  <c r="AG290" i="114"/>
  <c r="AF290" i="114"/>
  <c r="AG282" i="114"/>
  <c r="AF282" i="114"/>
  <c r="AG274" i="114"/>
  <c r="AF274" i="114"/>
  <c r="AF267" i="114"/>
  <c r="AI267" i="114"/>
  <c r="AG267" i="114"/>
  <c r="AG260" i="114"/>
  <c r="AI260" i="114"/>
  <c r="AF260" i="114"/>
  <c r="AF386" i="114"/>
  <c r="AG385" i="114"/>
  <c r="AF379" i="114"/>
  <c r="AF378" i="114"/>
  <c r="AG377" i="114"/>
  <c r="AF372" i="114"/>
  <c r="AF371" i="114"/>
  <c r="AG368" i="114"/>
  <c r="AF368" i="114"/>
  <c r="AI366" i="114"/>
  <c r="AG364" i="114"/>
  <c r="AF364" i="114"/>
  <c r="AI362" i="114"/>
  <c r="AG360" i="114"/>
  <c r="AF360" i="114"/>
  <c r="AI358" i="114"/>
  <c r="AG356" i="114"/>
  <c r="AF356" i="114"/>
  <c r="AI354" i="114"/>
  <c r="AG352" i="114"/>
  <c r="AF352" i="114"/>
  <c r="AI350" i="114"/>
  <c r="AG348" i="114"/>
  <c r="AF348" i="114"/>
  <c r="AI346" i="114"/>
  <c r="AF345" i="114"/>
  <c r="AG344" i="114"/>
  <c r="AF344" i="114"/>
  <c r="AI342" i="114"/>
  <c r="AG340" i="114"/>
  <c r="AF340" i="114"/>
  <c r="AI338" i="114"/>
  <c r="AG336" i="114"/>
  <c r="AF336" i="114"/>
  <c r="AI334" i="114"/>
  <c r="AG332" i="114"/>
  <c r="AF332" i="114"/>
  <c r="AI330" i="114"/>
  <c r="AG328" i="114"/>
  <c r="AF328" i="114"/>
  <c r="AI326" i="114"/>
  <c r="AG324" i="114"/>
  <c r="AF324" i="114"/>
  <c r="AI322" i="114"/>
  <c r="AG320" i="114"/>
  <c r="AF320" i="114"/>
  <c r="AI318" i="114"/>
  <c r="AG316" i="114"/>
  <c r="AF316" i="114"/>
  <c r="AI314" i="114"/>
  <c r="AF313" i="114"/>
  <c r="AG312" i="114"/>
  <c r="AF312" i="114"/>
  <c r="AI310" i="114"/>
  <c r="AG304" i="114"/>
  <c r="AF304" i="114"/>
  <c r="AI302" i="114"/>
  <c r="AG296" i="114"/>
  <c r="AF296" i="114"/>
  <c r="AI294" i="114"/>
  <c r="AG288" i="114"/>
  <c r="AF288" i="114"/>
  <c r="AI286" i="114"/>
  <c r="AG280" i="114"/>
  <c r="AF280" i="114"/>
  <c r="AI278" i="114"/>
  <c r="AG272" i="114"/>
  <c r="AF272" i="114"/>
  <c r="AI270" i="114"/>
  <c r="AF259" i="114"/>
  <c r="AI259" i="114"/>
  <c r="AG259" i="114"/>
  <c r="AG252" i="114"/>
  <c r="AI252" i="114"/>
  <c r="AF252" i="114"/>
  <c r="AF212" i="114"/>
  <c r="AG211" i="114"/>
  <c r="AI205" i="114"/>
  <c r="AG202" i="114"/>
  <c r="AG201" i="114"/>
  <c r="AI201" i="114"/>
  <c r="AI196" i="114"/>
  <c r="AI195" i="114"/>
  <c r="AI192" i="114"/>
  <c r="AG189" i="114"/>
  <c r="AF189" i="114"/>
  <c r="AG181" i="114"/>
  <c r="AF181" i="114"/>
  <c r="AF170" i="114"/>
  <c r="AG170" i="114"/>
  <c r="AI170" i="114"/>
  <c r="AF164" i="114"/>
  <c r="AG164" i="114"/>
  <c r="AG155" i="114"/>
  <c r="AI155" i="114"/>
  <c r="AG149" i="114"/>
  <c r="AF149" i="114"/>
  <c r="AG90" i="114"/>
  <c r="AF90" i="114"/>
  <c r="AI90" i="114"/>
  <c r="AG309" i="114"/>
  <c r="AG307" i="114"/>
  <c r="AG305" i="114"/>
  <c r="AG303" i="114"/>
  <c r="AG301" i="114"/>
  <c r="AG299" i="114"/>
  <c r="AG297" i="114"/>
  <c r="AG295" i="114"/>
  <c r="AG293" i="114"/>
  <c r="AG291" i="114"/>
  <c r="AG289" i="114"/>
  <c r="AG287" i="114"/>
  <c r="AG285" i="114"/>
  <c r="AG283" i="114"/>
  <c r="AG281" i="114"/>
  <c r="AG279" i="114"/>
  <c r="AG277" i="114"/>
  <c r="AG275" i="114"/>
  <c r="AG273" i="114"/>
  <c r="AG271" i="114"/>
  <c r="AG269" i="114"/>
  <c r="AI264" i="114"/>
  <c r="AI263" i="114"/>
  <c r="AI256" i="114"/>
  <c r="AI255" i="114"/>
  <c r="AI248" i="114"/>
  <c r="AI247" i="114"/>
  <c r="AI240" i="114"/>
  <c r="AI239" i="114"/>
  <c r="AI232" i="114"/>
  <c r="AI231" i="114"/>
  <c r="AF228" i="114"/>
  <c r="AF227" i="114"/>
  <c r="AI224" i="114"/>
  <c r="AI223" i="114"/>
  <c r="AF220" i="114"/>
  <c r="AF219" i="114"/>
  <c r="AI216" i="114"/>
  <c r="AI215" i="114"/>
  <c r="AF204" i="114"/>
  <c r="AG203" i="114"/>
  <c r="AF203" i="114"/>
  <c r="AF194" i="114"/>
  <c r="AG194" i="114"/>
  <c r="AG193" i="114"/>
  <c r="AI193" i="114"/>
  <c r="AG179" i="114"/>
  <c r="AF179" i="114"/>
  <c r="AI179" i="114"/>
  <c r="AG173" i="114"/>
  <c r="AF173" i="114"/>
  <c r="AF162" i="114"/>
  <c r="AG162" i="114"/>
  <c r="AI162" i="114"/>
  <c r="AF156" i="114"/>
  <c r="AG156" i="114"/>
  <c r="AG147" i="114"/>
  <c r="AF147" i="114"/>
  <c r="AI147" i="114"/>
  <c r="AG139" i="114"/>
  <c r="AI139" i="114"/>
  <c r="AF139" i="114"/>
  <c r="AG74" i="114"/>
  <c r="AF74" i="114"/>
  <c r="AI74" i="114"/>
  <c r="AI245" i="114"/>
  <c r="AG239" i="114"/>
  <c r="AG231" i="114"/>
  <c r="AG223" i="114"/>
  <c r="AG215" i="114"/>
  <c r="AI212" i="114"/>
  <c r="AI211" i="114"/>
  <c r="AF208" i="114"/>
  <c r="AI208" i="114"/>
  <c r="AG205" i="114"/>
  <c r="AF205" i="114"/>
  <c r="AF196" i="114"/>
  <c r="AG195" i="114"/>
  <c r="AF195" i="114"/>
  <c r="AF186" i="114"/>
  <c r="AG186" i="114"/>
  <c r="AF180" i="114"/>
  <c r="AG180" i="114"/>
  <c r="AG171" i="114"/>
  <c r="AF171" i="114"/>
  <c r="AI171" i="114"/>
  <c r="AG165" i="114"/>
  <c r="AF165" i="114"/>
  <c r="AF154" i="114"/>
  <c r="AG154" i="114"/>
  <c r="AI154" i="114"/>
  <c r="AF148" i="114"/>
  <c r="AG148" i="114"/>
  <c r="AF138" i="114"/>
  <c r="AG138" i="114"/>
  <c r="AI138" i="114"/>
  <c r="AG131" i="114"/>
  <c r="AI131" i="114"/>
  <c r="AF131" i="114"/>
  <c r="AG112" i="114"/>
  <c r="AI112" i="114"/>
  <c r="AF112" i="114"/>
  <c r="AF264" i="114"/>
  <c r="AF263" i="114"/>
  <c r="AF262" i="114"/>
  <c r="AG261" i="114"/>
  <c r="AF256" i="114"/>
  <c r="AF255" i="114"/>
  <c r="AG253" i="114"/>
  <c r="AF248" i="114"/>
  <c r="AF247" i="114"/>
  <c r="AF246" i="114"/>
  <c r="AG245" i="114"/>
  <c r="AI244" i="114"/>
  <c r="AI243" i="114"/>
  <c r="AF240" i="114"/>
  <c r="AF239" i="114"/>
  <c r="AF238" i="114"/>
  <c r="AG237" i="114"/>
  <c r="AI236" i="114"/>
  <c r="AI235" i="114"/>
  <c r="AF231" i="114"/>
  <c r="AG229" i="114"/>
  <c r="AI228" i="114"/>
  <c r="AI227" i="114"/>
  <c r="AF223" i="114"/>
  <c r="AF222" i="114"/>
  <c r="AG221" i="114"/>
  <c r="AI220" i="114"/>
  <c r="AI219" i="114"/>
  <c r="AF216" i="114"/>
  <c r="AF215" i="114"/>
  <c r="AF214" i="114"/>
  <c r="AG213" i="114"/>
  <c r="AG212" i="114"/>
  <c r="AF211" i="114"/>
  <c r="AF210" i="114"/>
  <c r="AG210" i="114"/>
  <c r="AG209" i="114"/>
  <c r="AI209" i="114"/>
  <c r="AI204" i="114"/>
  <c r="AI203" i="114"/>
  <c r="AF202" i="114"/>
  <c r="AF201" i="114"/>
  <c r="AI200" i="114"/>
  <c r="AG197" i="114"/>
  <c r="AF197" i="114"/>
  <c r="AF188" i="114"/>
  <c r="AG187" i="114"/>
  <c r="AF187" i="114"/>
  <c r="AI181" i="114"/>
  <c r="AF178" i="114"/>
  <c r="AG178" i="114"/>
  <c r="AI178" i="114"/>
  <c r="AF172" i="114"/>
  <c r="AG172" i="114"/>
  <c r="AI164" i="114"/>
  <c r="AG163" i="114"/>
  <c r="AF163" i="114"/>
  <c r="AI163" i="114"/>
  <c r="AG157" i="114"/>
  <c r="AF157" i="114"/>
  <c r="AF155" i="114"/>
  <c r="AI149" i="114"/>
  <c r="AF146" i="114"/>
  <c r="AG146" i="114"/>
  <c r="AI146" i="114"/>
  <c r="AF130" i="114"/>
  <c r="AG130" i="114"/>
  <c r="AI130" i="114"/>
  <c r="AG106" i="114"/>
  <c r="AF106" i="114"/>
  <c r="AI106" i="114"/>
  <c r="AF95" i="114"/>
  <c r="AG95" i="114"/>
  <c r="AI95" i="114"/>
  <c r="AG122" i="114"/>
  <c r="AF122" i="114"/>
  <c r="AG114" i="114"/>
  <c r="AF114" i="114"/>
  <c r="AF103" i="114"/>
  <c r="AG103" i="114"/>
  <c r="AI103" i="114"/>
  <c r="AF97" i="114"/>
  <c r="AG97" i="114"/>
  <c r="AG88" i="114"/>
  <c r="AF88" i="114"/>
  <c r="AI88" i="114"/>
  <c r="AG82" i="114"/>
  <c r="AF82" i="114"/>
  <c r="AI82" i="114"/>
  <c r="AG70" i="114"/>
  <c r="AI70" i="114"/>
  <c r="AF70" i="114"/>
  <c r="AG140" i="114"/>
  <c r="AG132" i="114"/>
  <c r="AI122" i="114"/>
  <c r="AF119" i="114"/>
  <c r="AG119" i="114"/>
  <c r="AF113" i="114"/>
  <c r="AG113" i="114"/>
  <c r="AG104" i="114"/>
  <c r="AF104" i="114"/>
  <c r="AI104" i="114"/>
  <c r="AG98" i="114"/>
  <c r="AF98" i="114"/>
  <c r="AF89" i="114"/>
  <c r="AG89" i="114"/>
  <c r="AI89" i="114"/>
  <c r="AG78" i="114"/>
  <c r="AI78" i="114"/>
  <c r="AF78" i="114"/>
  <c r="AI185" i="114"/>
  <c r="AI184" i="114"/>
  <c r="AI177" i="114"/>
  <c r="AI176" i="114"/>
  <c r="AI169" i="114"/>
  <c r="AI168" i="114"/>
  <c r="AI161" i="114"/>
  <c r="AI160" i="114"/>
  <c r="AI153" i="114"/>
  <c r="AI152" i="114"/>
  <c r="AI145" i="114"/>
  <c r="AI144" i="114"/>
  <c r="AF141" i="114"/>
  <c r="AF140" i="114"/>
  <c r="AI137" i="114"/>
  <c r="AI136" i="114"/>
  <c r="AF133" i="114"/>
  <c r="AF132" i="114"/>
  <c r="AI129" i="114"/>
  <c r="AI128" i="114"/>
  <c r="AF125" i="114"/>
  <c r="AF121" i="114"/>
  <c r="AG120" i="114"/>
  <c r="AI114" i="114"/>
  <c r="AF111" i="114"/>
  <c r="AG111" i="114"/>
  <c r="AI111" i="114"/>
  <c r="AF105" i="114"/>
  <c r="AG105" i="114"/>
  <c r="AI97" i="114"/>
  <c r="AG96" i="114"/>
  <c r="AF96" i="114"/>
  <c r="AI96" i="114"/>
  <c r="AF93" i="114"/>
  <c r="AI93" i="114"/>
  <c r="AG93" i="114"/>
  <c r="AG66" i="114"/>
  <c r="AF66" i="114"/>
  <c r="AI66" i="114"/>
  <c r="AF85" i="114"/>
  <c r="AI85" i="114"/>
  <c r="AF77" i="114"/>
  <c r="AI77" i="114"/>
  <c r="AF73" i="114"/>
  <c r="AI73" i="114"/>
  <c r="AF69" i="114"/>
  <c r="AI69" i="114"/>
  <c r="AF65" i="114"/>
  <c r="AI65" i="114"/>
  <c r="AI118" i="114"/>
  <c r="AI117" i="114"/>
  <c r="AI110" i="114"/>
  <c r="AI109" i="114"/>
  <c r="AI102" i="114"/>
  <c r="AI101" i="114"/>
  <c r="AI94" i="114"/>
  <c r="AF87" i="114"/>
  <c r="AG87" i="114"/>
  <c r="AG86" i="114"/>
  <c r="AI86" i="114"/>
  <c r="AF81" i="114"/>
  <c r="AI81" i="114"/>
  <c r="AG52" i="114"/>
  <c r="AI50" i="114"/>
  <c r="AG48" i="114"/>
  <c r="AI46" i="114"/>
  <c r="AG44" i="114"/>
  <c r="AI42" i="114"/>
  <c r="AF62" i="114"/>
  <c r="AF61" i="114"/>
  <c r="AI58" i="114"/>
  <c r="AI57" i="114"/>
  <c r="AF54" i="114"/>
  <c r="AG57" i="114"/>
  <c r="AF50" i="114"/>
  <c r="AG50" i="114"/>
  <c r="AF46" i="114"/>
  <c r="AG46" i="114"/>
  <c r="AF42" i="114"/>
  <c r="AG42" i="114"/>
  <c r="AG40" i="114"/>
  <c r="AF38" i="114"/>
  <c r="AG38" i="114"/>
  <c r="AF36" i="114"/>
  <c r="AG36" i="114"/>
  <c r="AF34" i="114"/>
  <c r="AG34" i="114"/>
  <c r="AF32" i="114"/>
  <c r="AG32" i="114"/>
  <c r="AF30" i="114"/>
  <c r="AG30" i="114"/>
  <c r="AF28" i="114"/>
  <c r="AG28" i="114"/>
  <c r="AF26" i="114"/>
  <c r="AG26" i="114"/>
  <c r="AF24" i="114"/>
  <c r="AG24" i="114"/>
  <c r="AG22" i="114"/>
  <c r="AF20" i="114"/>
  <c r="AG20" i="114"/>
  <c r="AF18" i="114"/>
  <c r="AG18" i="114"/>
  <c r="AF16" i="114"/>
  <c r="AG16" i="114"/>
  <c r="AF14" i="114"/>
  <c r="AG14" i="114"/>
  <c r="AF12" i="114"/>
  <c r="AG12" i="114"/>
  <c r="AF10" i="114"/>
  <c r="AG10" i="114"/>
  <c r="AF8" i="114"/>
  <c r="AG8" i="114"/>
  <c r="AF80" i="114"/>
  <c r="AG79" i="114"/>
  <c r="AI62" i="114"/>
  <c r="AI61" i="114"/>
  <c r="AF58" i="114"/>
  <c r="AF57" i="114"/>
  <c r="AI54" i="114"/>
  <c r="AF52" i="114"/>
  <c r="AF48" i="114"/>
  <c r="AF44" i="114"/>
  <c r="H45" i="116" l="1"/>
  <c r="H221" i="116"/>
  <c r="H114" i="116"/>
  <c r="H32" i="116"/>
  <c r="H35" i="116"/>
  <c r="H62" i="116"/>
  <c r="H68" i="116"/>
  <c r="H20" i="116"/>
  <c r="H36" i="116"/>
  <c r="H23" i="116"/>
  <c r="H39" i="116"/>
  <c r="H71" i="116"/>
  <c r="H70" i="116"/>
  <c r="H120" i="116"/>
  <c r="H83" i="116"/>
  <c r="H115" i="116"/>
  <c r="H147" i="116"/>
  <c r="H181" i="116"/>
  <c r="H95" i="116"/>
  <c r="H127" i="116"/>
  <c r="H159" i="116"/>
  <c r="H80" i="116"/>
  <c r="H182" i="116"/>
  <c r="H214" i="116"/>
  <c r="H108" i="116"/>
  <c r="H190" i="116"/>
  <c r="H60" i="116"/>
  <c r="H134" i="116"/>
  <c r="H198" i="116"/>
  <c r="H230" i="116"/>
  <c r="H43" i="116"/>
  <c r="H112" i="116"/>
  <c r="H229" i="116"/>
  <c r="H257" i="116"/>
  <c r="H335" i="116"/>
  <c r="H351" i="116"/>
  <c r="D34" i="90" s="1"/>
  <c r="H26" i="116"/>
  <c r="H50" i="116"/>
  <c r="H116" i="116"/>
  <c r="H145" i="116"/>
  <c r="H186" i="116"/>
  <c r="H203" i="116"/>
  <c r="H220" i="116"/>
  <c r="H241" i="116"/>
  <c r="H258" i="116"/>
  <c r="H290" i="116"/>
  <c r="H314" i="116"/>
  <c r="H337" i="116"/>
  <c r="H13" i="116"/>
  <c r="H40" i="116"/>
  <c r="H73" i="116"/>
  <c r="H94" i="116"/>
  <c r="H129" i="116"/>
  <c r="H138" i="116"/>
  <c r="H164" i="116"/>
  <c r="H183" i="116"/>
  <c r="H195" i="116"/>
  <c r="H227" i="116"/>
  <c r="H248" i="116"/>
  <c r="H264" i="116"/>
  <c r="H280" i="116"/>
  <c r="H296" i="116"/>
  <c r="H312" i="116"/>
  <c r="H328" i="116"/>
  <c r="H6" i="116"/>
  <c r="H33" i="116"/>
  <c r="H65" i="116"/>
  <c r="H100" i="116"/>
  <c r="H148" i="116"/>
  <c r="H174" i="116"/>
  <c r="H193" i="116"/>
  <c r="H208" i="116"/>
  <c r="H223" i="116"/>
  <c r="H232" i="116"/>
  <c r="H254" i="116"/>
  <c r="H270" i="116"/>
  <c r="H286" i="116"/>
  <c r="H302" i="116"/>
  <c r="H318" i="116"/>
  <c r="D38" i="90" s="1"/>
  <c r="H334" i="116"/>
  <c r="H350" i="116"/>
  <c r="D31" i="90" s="1"/>
  <c r="H162" i="116"/>
  <c r="H284" i="116"/>
  <c r="H56" i="116"/>
  <c r="H106" i="116"/>
  <c r="H291" i="116"/>
  <c r="H10" i="116"/>
  <c r="H38" i="116"/>
  <c r="H153" i="116"/>
  <c r="H299" i="116"/>
  <c r="H163" i="116"/>
  <c r="H243" i="116"/>
  <c r="H142" i="116"/>
  <c r="H8" i="116"/>
  <c r="H24" i="116"/>
  <c r="H11" i="116"/>
  <c r="H27" i="116"/>
  <c r="H47" i="116"/>
  <c r="H46" i="116"/>
  <c r="H79" i="116"/>
  <c r="H143" i="116"/>
  <c r="H87" i="116"/>
  <c r="H119" i="116"/>
  <c r="H151" i="116"/>
  <c r="H72" i="116"/>
  <c r="H104" i="116"/>
  <c r="H136" i="116"/>
  <c r="H168" i="116"/>
  <c r="H140" i="116"/>
  <c r="H196" i="116"/>
  <c r="H228" i="116"/>
  <c r="H135" i="116"/>
  <c r="H213" i="116"/>
  <c r="H76" i="116"/>
  <c r="H144" i="116"/>
  <c r="H212" i="116"/>
  <c r="H59" i="116"/>
  <c r="H172" i="116"/>
  <c r="H238" i="116"/>
  <c r="H289" i="116"/>
  <c r="H265" i="116"/>
  <c r="H339" i="116"/>
  <c r="H273" i="116"/>
  <c r="H37" i="116"/>
  <c r="H69" i="116"/>
  <c r="H117" i="116"/>
  <c r="H146" i="116"/>
  <c r="H187" i="116"/>
  <c r="H204" i="116"/>
  <c r="H234" i="116"/>
  <c r="H242" i="116"/>
  <c r="H266" i="116"/>
  <c r="H298" i="116"/>
  <c r="H322" i="116"/>
  <c r="H338" i="116"/>
  <c r="H14" i="116"/>
  <c r="H41" i="116"/>
  <c r="H74" i="116"/>
  <c r="H109" i="116"/>
  <c r="H130" i="116"/>
  <c r="H156" i="116"/>
  <c r="H165" i="116"/>
  <c r="H184" i="116"/>
  <c r="H210" i="116"/>
  <c r="H239" i="116"/>
  <c r="H255" i="116"/>
  <c r="H271" i="116"/>
  <c r="H287" i="116"/>
  <c r="H303" i="116"/>
  <c r="H319" i="116"/>
  <c r="D37" i="90" s="1"/>
  <c r="H336" i="116"/>
  <c r="H7" i="116"/>
  <c r="H34" i="116"/>
  <c r="H66" i="116"/>
  <c r="H101" i="116"/>
  <c r="H149" i="116"/>
  <c r="H175" i="116"/>
  <c r="H199" i="116"/>
  <c r="H209" i="116"/>
  <c r="H224" i="116"/>
  <c r="H245" i="116"/>
  <c r="H261" i="116"/>
  <c r="H277" i="116"/>
  <c r="H293" i="116"/>
  <c r="H309" i="116"/>
  <c r="H325" i="116"/>
  <c r="H341" i="116"/>
  <c r="H89" i="116"/>
  <c r="H251" i="116"/>
  <c r="H315" i="116"/>
  <c r="D36" i="90" s="1"/>
  <c r="H57" i="116"/>
  <c r="H141" i="116"/>
  <c r="H292" i="116"/>
  <c r="H97" i="116"/>
  <c r="D18" i="89" s="1"/>
  <c r="H154" i="116"/>
  <c r="H300" i="116"/>
  <c r="H124" i="116"/>
  <c r="H307" i="116"/>
  <c r="H125" i="116"/>
  <c r="H126" i="116"/>
  <c r="H276" i="116"/>
  <c r="H308" i="116"/>
  <c r="D24" i="90" s="1"/>
  <c r="H340" i="116"/>
  <c r="H244" i="116"/>
  <c r="H77" i="116"/>
  <c r="H173" i="116"/>
  <c r="D40" i="89" s="1"/>
  <c r="H12" i="116"/>
  <c r="H28" i="116"/>
  <c r="H15" i="116"/>
  <c r="H31" i="116"/>
  <c r="H55" i="116"/>
  <c r="H54" i="116"/>
  <c r="H88" i="116"/>
  <c r="H152" i="116"/>
  <c r="H96" i="116"/>
  <c r="H128" i="116"/>
  <c r="H160" i="116"/>
  <c r="H86" i="116"/>
  <c r="H118" i="116"/>
  <c r="H150" i="116"/>
  <c r="H52" i="116"/>
  <c r="H167" i="116"/>
  <c r="H201" i="116"/>
  <c r="H233" i="116"/>
  <c r="H51" i="116"/>
  <c r="H139" i="116"/>
  <c r="H222" i="116"/>
  <c r="H103" i="116"/>
  <c r="H180" i="116"/>
  <c r="H217" i="116"/>
  <c r="H75" i="116"/>
  <c r="H197" i="116"/>
  <c r="H321" i="116"/>
  <c r="H297" i="116"/>
  <c r="H343" i="116"/>
  <c r="H305" i="116"/>
  <c r="H281" i="116"/>
  <c r="H9" i="116"/>
  <c r="H48" i="116"/>
  <c r="H81" i="116"/>
  <c r="H132" i="116"/>
  <c r="H178" i="116"/>
  <c r="H188" i="116"/>
  <c r="H218" i="116"/>
  <c r="H235" i="116"/>
  <c r="H249" i="116"/>
  <c r="D49" i="89" s="1"/>
  <c r="H274" i="116"/>
  <c r="H330" i="116"/>
  <c r="H345" i="116"/>
  <c r="H29" i="116"/>
  <c r="H42" i="116"/>
  <c r="H92" i="116"/>
  <c r="H121" i="116"/>
  <c r="H131" i="116"/>
  <c r="H157" i="116"/>
  <c r="H176" i="116"/>
  <c r="H185" i="116"/>
  <c r="H211" i="116"/>
  <c r="H240" i="116"/>
  <c r="H256" i="116"/>
  <c r="H272" i="116"/>
  <c r="H288" i="116"/>
  <c r="H304" i="116"/>
  <c r="H320" i="116"/>
  <c r="H344" i="116"/>
  <c r="H17" i="116"/>
  <c r="H53" i="116"/>
  <c r="H84" i="116"/>
  <c r="H113" i="116"/>
  <c r="H169" i="116"/>
  <c r="H191" i="116"/>
  <c r="H200" i="116"/>
  <c r="H215" i="116"/>
  <c r="H225" i="116"/>
  <c r="H246" i="116"/>
  <c r="H262" i="116"/>
  <c r="H278" i="116"/>
  <c r="H294" i="116"/>
  <c r="H310" i="116"/>
  <c r="H326" i="116"/>
  <c r="H342" i="116"/>
  <c r="H90" i="116"/>
  <c r="H252" i="116"/>
  <c r="H316" i="116"/>
  <c r="D39" i="90" s="1"/>
  <c r="H58" i="116"/>
  <c r="H259" i="116"/>
  <c r="H323" i="116"/>
  <c r="H21" i="116"/>
  <c r="H98" i="116"/>
  <c r="H267" i="116"/>
  <c r="H331" i="116"/>
  <c r="H275" i="116"/>
  <c r="H16" i="116"/>
  <c r="H19" i="116"/>
  <c r="H63" i="116"/>
  <c r="H111" i="116"/>
  <c r="H78" i="116"/>
  <c r="D14" i="89" s="1"/>
  <c r="H110" i="116"/>
  <c r="H91" i="116"/>
  <c r="H123" i="116"/>
  <c r="H155" i="116"/>
  <c r="H171" i="116"/>
  <c r="H205" i="116"/>
  <c r="H237" i="116"/>
  <c r="H67" i="116"/>
  <c r="H166" i="116"/>
  <c r="H44" i="116"/>
  <c r="H107" i="116"/>
  <c r="H189" i="116"/>
  <c r="H102" i="116"/>
  <c r="H206" i="116"/>
  <c r="H329" i="116"/>
  <c r="H347" i="116"/>
  <c r="D32" i="90" s="1"/>
  <c r="H313" i="116"/>
  <c r="H25" i="116"/>
  <c r="H49" i="116"/>
  <c r="H82" i="116"/>
  <c r="H133" i="116"/>
  <c r="H179" i="116"/>
  <c r="H202" i="116"/>
  <c r="H219" i="116"/>
  <c r="H236" i="116"/>
  <c r="H250" i="116"/>
  <c r="H282" i="116"/>
  <c r="H306" i="116"/>
  <c r="H346" i="116"/>
  <c r="D29" i="90" s="1"/>
  <c r="H30" i="116"/>
  <c r="H61" i="116"/>
  <c r="H93" i="116"/>
  <c r="H122" i="116"/>
  <c r="H137" i="116"/>
  <c r="H158" i="116"/>
  <c r="H177" i="116"/>
  <c r="H194" i="116"/>
  <c r="H226" i="116"/>
  <c r="H247" i="116"/>
  <c r="H263" i="116"/>
  <c r="H279" i="116"/>
  <c r="H295" i="116"/>
  <c r="H311" i="116"/>
  <c r="H327" i="116"/>
  <c r="H5" i="116"/>
  <c r="H18" i="116"/>
  <c r="H64" i="116"/>
  <c r="H85" i="116"/>
  <c r="H170" i="116"/>
  <c r="H192" i="116"/>
  <c r="H207" i="116"/>
  <c r="H216" i="116"/>
  <c r="H231" i="116"/>
  <c r="D43" i="89" s="1"/>
  <c r="H253" i="116"/>
  <c r="H269" i="116"/>
  <c r="H285" i="116"/>
  <c r="H301" i="116"/>
  <c r="H317" i="116"/>
  <c r="D40" i="90" s="1"/>
  <c r="H333" i="116"/>
  <c r="H349" i="116"/>
  <c r="D30" i="90" s="1"/>
  <c r="H161" i="116"/>
  <c r="H283" i="116"/>
  <c r="H348" i="116"/>
  <c r="D33" i="90" s="1"/>
  <c r="H105" i="116"/>
  <c r="H260" i="116"/>
  <c r="H324" i="116"/>
  <c r="D45" i="90" s="1"/>
  <c r="H22" i="116"/>
  <c r="H99" i="116"/>
  <c r="H268" i="116"/>
  <c r="H332" i="116"/>
  <c r="I35" i="116"/>
  <c r="I297" i="116"/>
  <c r="I335" i="116"/>
  <c r="I343" i="116"/>
  <c r="I351" i="116"/>
  <c r="E34" i="90" s="1"/>
  <c r="I110" i="116"/>
  <c r="I282" i="116"/>
  <c r="I262" i="116"/>
  <c r="I115" i="116"/>
  <c r="I270" i="116"/>
  <c r="I19" i="116"/>
  <c r="I99" i="116"/>
  <c r="I16" i="116"/>
  <c r="I119" i="116"/>
  <c r="I104" i="116"/>
  <c r="I80" i="116"/>
  <c r="I51" i="116"/>
  <c r="I230" i="116"/>
  <c r="I289" i="116"/>
  <c r="I305" i="116"/>
  <c r="I6" i="116"/>
  <c r="I10" i="116"/>
  <c r="I21" i="116"/>
  <c r="I26" i="116"/>
  <c r="I42" i="116"/>
  <c r="I58" i="116"/>
  <c r="I74" i="116"/>
  <c r="I90" i="116"/>
  <c r="I114" i="116"/>
  <c r="I129" i="116"/>
  <c r="I137" i="116"/>
  <c r="I141" i="116"/>
  <c r="I153" i="116"/>
  <c r="I157" i="116"/>
  <c r="I162" i="116"/>
  <c r="I165" i="116"/>
  <c r="I175" i="116"/>
  <c r="I176" i="116"/>
  <c r="I178" i="116"/>
  <c r="I184" i="116"/>
  <c r="I186" i="116"/>
  <c r="I191" i="116"/>
  <c r="I199" i="116"/>
  <c r="I203" i="116"/>
  <c r="I208" i="116"/>
  <c r="I210" i="116"/>
  <c r="I216" i="116"/>
  <c r="I227" i="116"/>
  <c r="I239" i="116"/>
  <c r="I243" i="116"/>
  <c r="I264" i="116"/>
  <c r="I268" i="116"/>
  <c r="I269" i="116"/>
  <c r="I271" i="116"/>
  <c r="I275" i="116"/>
  <c r="I296" i="116"/>
  <c r="I300" i="116"/>
  <c r="I301" i="116"/>
  <c r="I303" i="116"/>
  <c r="I307" i="116"/>
  <c r="I328" i="116"/>
  <c r="I332" i="116"/>
  <c r="I333" i="116"/>
  <c r="I336" i="116"/>
  <c r="I337" i="116"/>
  <c r="I340" i="116"/>
  <c r="I341" i="116"/>
  <c r="I344" i="116"/>
  <c r="I345" i="116"/>
  <c r="I348" i="116"/>
  <c r="E33" i="90" s="1"/>
  <c r="I349" i="116"/>
  <c r="E30" i="90" s="1"/>
  <c r="I17" i="116"/>
  <c r="I13" i="116"/>
  <c r="I18" i="116"/>
  <c r="I29" i="116"/>
  <c r="I34" i="116"/>
  <c r="I50" i="116"/>
  <c r="I66" i="116"/>
  <c r="I82" i="116"/>
  <c r="I97" i="116"/>
  <c r="E18" i="89" s="1"/>
  <c r="I100" i="116"/>
  <c r="I106" i="116"/>
  <c r="I122" i="116"/>
  <c r="I133" i="116"/>
  <c r="I145" i="116"/>
  <c r="I149" i="116"/>
  <c r="I169" i="116"/>
  <c r="I195" i="116"/>
  <c r="I223" i="116"/>
  <c r="I231" i="116"/>
  <c r="I235" i="116"/>
  <c r="I248" i="116"/>
  <c r="I252" i="116"/>
  <c r="I253" i="116"/>
  <c r="I255" i="116"/>
  <c r="I259" i="116"/>
  <c r="I280" i="116"/>
  <c r="I284" i="116"/>
  <c r="I285" i="116"/>
  <c r="I287" i="116"/>
  <c r="I291" i="116"/>
  <c r="I312" i="116"/>
  <c r="I316" i="116"/>
  <c r="E39" i="90" s="1"/>
  <c r="I317" i="116"/>
  <c r="E40" i="90" s="1"/>
  <c r="I319" i="116"/>
  <c r="E37" i="90" s="1"/>
  <c r="I323" i="116"/>
  <c r="I5" i="116"/>
  <c r="I9" i="116"/>
  <c r="I14" i="116"/>
  <c r="I25" i="116"/>
  <c r="I30" i="116"/>
  <c r="I41" i="116"/>
  <c r="I45" i="116"/>
  <c r="I57" i="116"/>
  <c r="I61" i="116"/>
  <c r="I73" i="116"/>
  <c r="I77" i="116"/>
  <c r="I89" i="116"/>
  <c r="I93" i="116"/>
  <c r="I101" i="116"/>
  <c r="I113" i="116"/>
  <c r="I117" i="116"/>
  <c r="I146" i="116"/>
  <c r="I161" i="116"/>
  <c r="I164" i="116"/>
  <c r="I170" i="116"/>
  <c r="I183" i="116"/>
  <c r="I207" i="116"/>
  <c r="I215" i="116"/>
  <c r="I219" i="116"/>
  <c r="I224" i="116"/>
  <c r="I226" i="116"/>
  <c r="I232" i="116"/>
  <c r="I256" i="116"/>
  <c r="I260" i="116"/>
  <c r="I261" i="116"/>
  <c r="I263" i="116"/>
  <c r="I267" i="116"/>
  <c r="I288" i="116"/>
  <c r="I292" i="116"/>
  <c r="I293" i="116"/>
  <c r="I295" i="116"/>
  <c r="I299" i="116"/>
  <c r="I320" i="116"/>
  <c r="I324" i="116"/>
  <c r="E45" i="90" s="1"/>
  <c r="I325" i="116"/>
  <c r="I327" i="116"/>
  <c r="I331" i="116"/>
  <c r="I22" i="116"/>
  <c r="I33" i="116"/>
  <c r="I49" i="116"/>
  <c r="I65" i="116"/>
  <c r="I81" i="116"/>
  <c r="I109" i="116"/>
  <c r="I125" i="116"/>
  <c r="I154" i="116"/>
  <c r="I200" i="116"/>
  <c r="I211" i="116"/>
  <c r="I244" i="116"/>
  <c r="I245" i="116"/>
  <c r="I247" i="116"/>
  <c r="I283" i="116"/>
  <c r="I105" i="116"/>
  <c r="I121" i="116"/>
  <c r="I138" i="116"/>
  <c r="I240" i="116"/>
  <c r="I276" i="116"/>
  <c r="I277" i="116"/>
  <c r="I279" i="116"/>
  <c r="I315" i="116"/>
  <c r="E36" i="90" s="1"/>
  <c r="I179" i="116"/>
  <c r="I192" i="116"/>
  <c r="I194" i="116"/>
  <c r="I272" i="116"/>
  <c r="I308" i="116"/>
  <c r="E24" i="90" s="1"/>
  <c r="I309" i="116"/>
  <c r="I311" i="116"/>
  <c r="E22" i="90" s="1"/>
  <c r="I53" i="116"/>
  <c r="I37" i="116"/>
  <c r="I85" i="116"/>
  <c r="I130" i="116"/>
  <c r="I132" i="116"/>
  <c r="I304" i="116"/>
  <c r="I69" i="116"/>
  <c r="I187" i="116"/>
  <c r="I251" i="116"/>
  <c r="I40" i="116"/>
  <c r="I56" i="116"/>
  <c r="I46" i="116"/>
  <c r="I62" i="116"/>
  <c r="I87" i="116"/>
  <c r="I128" i="116"/>
  <c r="I148" i="116"/>
  <c r="I72" i="116"/>
  <c r="I92" i="116"/>
  <c r="I159" i="116"/>
  <c r="I167" i="116"/>
  <c r="I237" i="116"/>
  <c r="I241" i="116"/>
  <c r="I60" i="116"/>
  <c r="I180" i="116"/>
  <c r="I198" i="116"/>
  <c r="I218" i="116"/>
  <c r="I43" i="116"/>
  <c r="I75" i="116"/>
  <c r="I197" i="116"/>
  <c r="I229" i="116"/>
  <c r="I281" i="116"/>
  <c r="I55" i="116"/>
  <c r="I126" i="116"/>
  <c r="I188" i="116"/>
  <c r="I246" i="116"/>
  <c r="I310" i="116"/>
  <c r="I78" i="116"/>
  <c r="I220" i="116"/>
  <c r="I266" i="116"/>
  <c r="I330" i="116"/>
  <c r="I39" i="116"/>
  <c r="I142" i="116"/>
  <c r="I181" i="116"/>
  <c r="I217" i="116"/>
  <c r="I274" i="116"/>
  <c r="I338" i="116"/>
  <c r="I47" i="116"/>
  <c r="I150" i="116"/>
  <c r="I98" i="116"/>
  <c r="I318" i="116"/>
  <c r="E38" i="90" s="1"/>
  <c r="I8" i="116"/>
  <c r="I32" i="116"/>
  <c r="I124" i="116"/>
  <c r="I202" i="116"/>
  <c r="I107" i="116"/>
  <c r="I212" i="116"/>
  <c r="I147" i="116"/>
  <c r="I177" i="116"/>
  <c r="I350" i="116"/>
  <c r="E31" i="90" s="1"/>
  <c r="I322" i="116"/>
  <c r="E44" i="90" s="1"/>
  <c r="I286" i="116"/>
  <c r="I12" i="116"/>
  <c r="I20" i="116"/>
  <c r="I28" i="116"/>
  <c r="I36" i="116"/>
  <c r="I79" i="116"/>
  <c r="I111" i="116"/>
  <c r="I143" i="116"/>
  <c r="I96" i="116"/>
  <c r="I116" i="116"/>
  <c r="I127" i="116"/>
  <c r="I168" i="116"/>
  <c r="I68" i="116"/>
  <c r="I140" i="116"/>
  <c r="I205" i="116"/>
  <c r="I67" i="116"/>
  <c r="I135" i="116"/>
  <c r="I166" i="116"/>
  <c r="I213" i="116"/>
  <c r="I249" i="116"/>
  <c r="E49" i="89" s="1"/>
  <c r="I103" i="116"/>
  <c r="I134" i="116"/>
  <c r="I172" i="116"/>
  <c r="I206" i="116"/>
  <c r="I238" i="116"/>
  <c r="I257" i="116"/>
  <c r="I321" i="116"/>
  <c r="E41" i="90" s="1"/>
  <c r="I265" i="116"/>
  <c r="I329" i="116"/>
  <c r="E10" i="90" s="1"/>
  <c r="I339" i="116"/>
  <c r="E14" i="90" s="1"/>
  <c r="I347" i="116"/>
  <c r="E32" i="90" s="1"/>
  <c r="I273" i="116"/>
  <c r="I23" i="116"/>
  <c r="I131" i="116"/>
  <c r="I193" i="116"/>
  <c r="I250" i="116"/>
  <c r="I314" i="116"/>
  <c r="I94" i="116"/>
  <c r="I225" i="116"/>
  <c r="I294" i="116"/>
  <c r="I7" i="116"/>
  <c r="I71" i="116"/>
  <c r="I158" i="116"/>
  <c r="I185" i="116"/>
  <c r="I228" i="116"/>
  <c r="I302" i="116"/>
  <c r="E23" i="90" s="1"/>
  <c r="I342" i="116"/>
  <c r="I63" i="116"/>
  <c r="I196" i="116"/>
  <c r="I24" i="116"/>
  <c r="I160" i="116"/>
  <c r="I52" i="116"/>
  <c r="I182" i="116"/>
  <c r="I139" i="116"/>
  <c r="I189" i="116"/>
  <c r="I112" i="116"/>
  <c r="I173" i="116"/>
  <c r="E40" i="89" s="1"/>
  <c r="I31" i="116"/>
  <c r="I326" i="116"/>
  <c r="I27" i="116"/>
  <c r="I209" i="116"/>
  <c r="I334" i="116"/>
  <c r="I290" i="116"/>
  <c r="I38" i="116"/>
  <c r="I48" i="116"/>
  <c r="I64" i="116"/>
  <c r="I54" i="116"/>
  <c r="I70" i="116"/>
  <c r="I88" i="116"/>
  <c r="I120" i="116"/>
  <c r="I152" i="116"/>
  <c r="I84" i="116"/>
  <c r="I151" i="116"/>
  <c r="I174" i="116"/>
  <c r="I95" i="116"/>
  <c r="I136" i="116"/>
  <c r="I156" i="116"/>
  <c r="I171" i="116"/>
  <c r="I214" i="116"/>
  <c r="I234" i="116"/>
  <c r="I108" i="116"/>
  <c r="I190" i="116"/>
  <c r="I222" i="116"/>
  <c r="I44" i="116"/>
  <c r="I76" i="116"/>
  <c r="I144" i="116"/>
  <c r="I221" i="116"/>
  <c r="I59" i="116"/>
  <c r="I102" i="116"/>
  <c r="E57" i="89" s="1"/>
  <c r="I313" i="116"/>
  <c r="I86" i="116"/>
  <c r="I155" i="116"/>
  <c r="I201" i="116"/>
  <c r="I278" i="116"/>
  <c r="I15" i="116"/>
  <c r="I118" i="116"/>
  <c r="I233" i="116"/>
  <c r="I298" i="116"/>
  <c r="I11" i="116"/>
  <c r="I91" i="116"/>
  <c r="I163" i="116"/>
  <c r="E53" i="89" s="1"/>
  <c r="I204" i="116"/>
  <c r="I242" i="116"/>
  <c r="I306" i="116"/>
  <c r="I346" i="116"/>
  <c r="E29" i="90" s="1"/>
  <c r="I123" i="116"/>
  <c r="I254" i="116"/>
  <c r="I236" i="116"/>
  <c r="I83" i="116"/>
  <c r="I258" i="116"/>
  <c r="AN3" i="115"/>
  <c r="AN4" i="115"/>
  <c r="AN3" i="114"/>
  <c r="AN4" i="114"/>
  <c r="D22" i="90" l="1"/>
  <c r="E44" i="89"/>
  <c r="D47" i="89"/>
  <c r="D41" i="89"/>
  <c r="D11" i="89"/>
  <c r="D28" i="90"/>
  <c r="D17" i="90"/>
  <c r="D24" i="89"/>
  <c r="D9" i="89"/>
  <c r="D25" i="90"/>
  <c r="D13" i="89"/>
  <c r="D51" i="89"/>
  <c r="D29" i="89"/>
  <c r="D57" i="89"/>
  <c r="D22" i="89"/>
  <c r="D26" i="89"/>
  <c r="D25" i="89"/>
  <c r="D21" i="89"/>
  <c r="D12" i="89"/>
  <c r="D16" i="89"/>
  <c r="D17" i="89"/>
  <c r="D19" i="89"/>
  <c r="D44" i="89"/>
  <c r="H1" i="116"/>
  <c r="AO3" i="114" s="1"/>
  <c r="H2" i="116"/>
  <c r="AO4" i="114" s="1"/>
  <c r="H352" i="116"/>
  <c r="H3" i="116" s="1"/>
  <c r="AO5" i="114" s="1"/>
  <c r="D56" i="89"/>
  <c r="D15" i="90"/>
  <c r="D39" i="89"/>
  <c r="D38" i="89" s="1"/>
  <c r="D13" i="90"/>
  <c r="D28" i="89"/>
  <c r="D20" i="90"/>
  <c r="D11" i="90"/>
  <c r="D44" i="90"/>
  <c r="D14" i="90"/>
  <c r="D21" i="90"/>
  <c r="D23" i="90"/>
  <c r="D18" i="90"/>
  <c r="D41" i="90"/>
  <c r="D53" i="89"/>
  <c r="D10" i="90"/>
  <c r="D42" i="89"/>
  <c r="D12" i="90"/>
  <c r="D55" i="89"/>
  <c r="D19" i="90"/>
  <c r="D54" i="89"/>
  <c r="D48" i="89"/>
  <c r="D52" i="89"/>
  <c r="E42" i="89"/>
  <c r="E26" i="89"/>
  <c r="E41" i="89"/>
  <c r="I2" i="116"/>
  <c r="AO4" i="115" s="1"/>
  <c r="E29" i="89"/>
  <c r="E47" i="89"/>
  <c r="E19" i="90"/>
  <c r="E24" i="89"/>
  <c r="E22" i="89"/>
  <c r="E25" i="90"/>
  <c r="E51" i="89"/>
  <c r="E11" i="89"/>
  <c r="E17" i="89"/>
  <c r="E12" i="90"/>
  <c r="E12" i="89"/>
  <c r="E25" i="89"/>
  <c r="E13" i="89"/>
  <c r="E9" i="89"/>
  <c r="E21" i="89"/>
  <c r="I352" i="116"/>
  <c r="I3" i="116" s="1"/>
  <c r="AO5" i="115" s="1"/>
  <c r="E14" i="89"/>
  <c r="E52" i="89"/>
  <c r="E19" i="89"/>
  <c r="E28" i="89"/>
  <c r="E28" i="90"/>
  <c r="E18" i="90"/>
  <c r="E55" i="89"/>
  <c r="E56" i="89"/>
  <c r="E15" i="90"/>
  <c r="I1" i="116"/>
  <c r="AO3" i="115" s="1"/>
  <c r="E21" i="90"/>
  <c r="E54" i="89"/>
  <c r="E17" i="90"/>
  <c r="E13" i="90"/>
  <c r="E39" i="89"/>
  <c r="E38" i="89" s="1"/>
  <c r="E16" i="89"/>
  <c r="E11" i="90"/>
  <c r="E27" i="90" s="1"/>
  <c r="E43" i="89"/>
  <c r="E48" i="89"/>
  <c r="E20" i="90"/>
  <c r="D27" i="90" l="1"/>
  <c r="D16" i="90"/>
  <c r="E16" i="90"/>
  <c r="G2" i="103"/>
  <c r="D2" i="103"/>
  <c r="J2" i="101"/>
  <c r="E2" i="101"/>
  <c r="AD38" i="84"/>
  <c r="V38" i="84"/>
  <c r="M38" i="84"/>
  <c r="J37" i="84"/>
  <c r="I37" i="84"/>
  <c r="H37" i="84"/>
  <c r="G37" i="84"/>
  <c r="E37" i="84"/>
  <c r="D37" i="84"/>
  <c r="B37" i="84"/>
  <c r="A37" i="84"/>
  <c r="J34" i="84"/>
  <c r="I34" i="84"/>
  <c r="H34" i="84"/>
  <c r="G34" i="84"/>
  <c r="E34" i="84"/>
  <c r="D34" i="84"/>
  <c r="B34" i="84"/>
  <c r="A34" i="84"/>
  <c r="AK31" i="84"/>
  <c r="AJ31" i="84"/>
  <c r="AI31" i="84"/>
  <c r="AH31" i="84"/>
  <c r="AG31" i="84"/>
  <c r="AF31" i="84"/>
  <c r="AE31" i="84"/>
  <c r="AD31" i="84"/>
  <c r="AC31" i="84"/>
  <c r="AB31" i="84"/>
  <c r="AA31" i="84"/>
  <c r="Z31" i="84"/>
  <c r="Y31" i="84"/>
  <c r="X31" i="84"/>
  <c r="W31" i="84"/>
  <c r="V31" i="84"/>
  <c r="U31" i="84"/>
  <c r="T31" i="84"/>
  <c r="S31" i="84"/>
  <c r="R31" i="84"/>
  <c r="Q31" i="84"/>
  <c r="P31" i="84"/>
  <c r="O31" i="84"/>
  <c r="N31" i="84"/>
  <c r="M31" i="84"/>
  <c r="L31" i="84"/>
  <c r="K31" i="84"/>
  <c r="J31" i="84"/>
  <c r="I31" i="84"/>
  <c r="H31" i="84"/>
  <c r="G31" i="84"/>
  <c r="F31" i="84"/>
  <c r="E31" i="84"/>
  <c r="D31" i="84"/>
  <c r="C31" i="84"/>
  <c r="B31" i="84"/>
  <c r="A31" i="84"/>
  <c r="AA29" i="84"/>
  <c r="Z29" i="84"/>
  <c r="Y29" i="84"/>
  <c r="X29" i="84"/>
  <c r="W29" i="84"/>
  <c r="V29" i="84"/>
  <c r="U29" i="84"/>
  <c r="T29" i="84"/>
  <c r="R29" i="84"/>
  <c r="Q29" i="84"/>
  <c r="P29" i="84"/>
  <c r="M29" i="84"/>
  <c r="L29" i="84"/>
  <c r="K29" i="84"/>
  <c r="J29" i="84"/>
  <c r="I29" i="84"/>
  <c r="H29" i="84"/>
  <c r="G29" i="84"/>
  <c r="F29" i="84"/>
  <c r="D29" i="84"/>
  <c r="C29" i="84"/>
  <c r="B29" i="84"/>
  <c r="AK27" i="84"/>
  <c r="AJ27" i="84"/>
  <c r="AI27" i="84"/>
  <c r="AH27" i="84"/>
  <c r="AG27" i="84"/>
  <c r="AF27" i="84"/>
  <c r="AE27" i="84"/>
  <c r="AD27" i="84"/>
  <c r="AC27" i="84"/>
  <c r="AB27" i="84"/>
  <c r="AA27" i="84"/>
  <c r="Z27" i="84"/>
  <c r="Y27" i="84"/>
  <c r="X27" i="84"/>
  <c r="W27" i="84"/>
  <c r="V27" i="84"/>
  <c r="U27" i="84"/>
  <c r="T27" i="84"/>
  <c r="S27" i="84"/>
  <c r="R27" i="84"/>
  <c r="Q27" i="84"/>
  <c r="P27" i="84"/>
  <c r="O27" i="84"/>
  <c r="N27" i="84"/>
  <c r="M27" i="84"/>
  <c r="L27" i="84"/>
  <c r="K27" i="84"/>
  <c r="J27" i="84"/>
  <c r="I27" i="84"/>
  <c r="H27" i="84"/>
  <c r="G27" i="84"/>
  <c r="E27" i="84"/>
  <c r="D27" i="84"/>
  <c r="C27" i="84"/>
  <c r="B27" i="84"/>
  <c r="A27" i="84"/>
  <c r="AK25" i="84"/>
  <c r="AJ25" i="84"/>
  <c r="AI25" i="84"/>
  <c r="AH25" i="84"/>
  <c r="AG25" i="84"/>
  <c r="AF25" i="84"/>
  <c r="AE25" i="84"/>
  <c r="AD25" i="84"/>
  <c r="AB25" i="84"/>
  <c r="AA25" i="84"/>
  <c r="Z25" i="84"/>
  <c r="Y25" i="84"/>
  <c r="X25" i="84"/>
  <c r="W25" i="84"/>
  <c r="V25" i="84"/>
  <c r="U25" i="84"/>
  <c r="T25" i="84"/>
  <c r="S25" i="84"/>
  <c r="R25" i="84"/>
  <c r="Q25" i="84"/>
  <c r="P25" i="84"/>
  <c r="O25" i="84"/>
  <c r="N25" i="84"/>
  <c r="M25" i="84"/>
  <c r="L25" i="84"/>
  <c r="K25" i="84"/>
  <c r="J25" i="84"/>
  <c r="I25" i="84"/>
  <c r="H25" i="84"/>
  <c r="G25" i="84"/>
  <c r="F25" i="84"/>
  <c r="E25" i="84"/>
  <c r="D25" i="84"/>
  <c r="C25" i="84"/>
  <c r="B25" i="84"/>
  <c r="A25" i="84"/>
  <c r="AK22" i="84"/>
  <c r="AJ22" i="84"/>
  <c r="AI22" i="84"/>
  <c r="AH22" i="84"/>
  <c r="AG22" i="84"/>
  <c r="AF22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Q22" i="84"/>
  <c r="P22" i="84"/>
  <c r="O22" i="84"/>
  <c r="N22" i="84"/>
  <c r="M22" i="84"/>
  <c r="L22" i="84"/>
  <c r="K22" i="84"/>
  <c r="J22" i="84"/>
  <c r="I22" i="84"/>
  <c r="H22" i="84"/>
  <c r="G22" i="84"/>
  <c r="F22" i="84"/>
  <c r="E22" i="84"/>
  <c r="D22" i="84"/>
  <c r="C22" i="84"/>
  <c r="B22" i="84"/>
  <c r="A22" i="84"/>
  <c r="AK21" i="84"/>
  <c r="AJ21" i="84"/>
  <c r="AI21" i="84"/>
  <c r="AH21" i="84"/>
  <c r="AG21" i="84"/>
  <c r="AF21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Q21" i="84"/>
  <c r="P21" i="84"/>
  <c r="O21" i="84"/>
  <c r="N21" i="84"/>
  <c r="M21" i="84"/>
  <c r="L21" i="84"/>
  <c r="K21" i="84"/>
  <c r="J21" i="84"/>
  <c r="I21" i="84"/>
  <c r="H21" i="84"/>
  <c r="G21" i="84"/>
  <c r="F21" i="84"/>
  <c r="E21" i="84"/>
  <c r="D21" i="84"/>
  <c r="C21" i="84"/>
  <c r="B21" i="84"/>
  <c r="A21" i="84"/>
  <c r="G17" i="84"/>
  <c r="E17" i="84"/>
  <c r="D17" i="84"/>
  <c r="B17" i="84"/>
  <c r="A17" i="84"/>
  <c r="R15" i="84"/>
  <c r="K15" i="84"/>
  <c r="H15" i="84"/>
  <c r="G15" i="84"/>
  <c r="F15" i="84"/>
  <c r="E15" i="84"/>
  <c r="D15" i="84"/>
  <c r="C15" i="84"/>
  <c r="B15" i="84"/>
  <c r="A15" i="84"/>
  <c r="R14" i="84"/>
  <c r="K14" i="84"/>
  <c r="J13" i="84"/>
  <c r="I13" i="84"/>
  <c r="H13" i="84"/>
  <c r="G13" i="84"/>
  <c r="F13" i="84"/>
  <c r="E13" i="84"/>
  <c r="D13" i="84"/>
  <c r="C13" i="84"/>
  <c r="B13" i="84"/>
  <c r="A13" i="84"/>
  <c r="I210" i="80"/>
  <c r="G210" i="80"/>
  <c r="I209" i="80"/>
  <c r="G209" i="80"/>
  <c r="I208" i="80"/>
  <c r="G208" i="80"/>
  <c r="I207" i="80"/>
  <c r="G207" i="80"/>
  <c r="I206" i="80"/>
  <c r="G206" i="80"/>
  <c r="I205" i="80"/>
  <c r="G205" i="80"/>
  <c r="I204" i="80"/>
  <c r="G204" i="80"/>
  <c r="I203" i="80"/>
  <c r="G203" i="80"/>
  <c r="I202" i="80"/>
  <c r="G202" i="80"/>
  <c r="I201" i="80"/>
  <c r="G201" i="80"/>
  <c r="I200" i="80"/>
  <c r="G200" i="80"/>
  <c r="I199" i="80"/>
  <c r="G199" i="80"/>
  <c r="I198" i="80"/>
  <c r="G198" i="80"/>
  <c r="I197" i="80"/>
  <c r="G197" i="80"/>
  <c r="I196" i="80"/>
  <c r="G196" i="80"/>
  <c r="I195" i="80"/>
  <c r="G195" i="80"/>
  <c r="I194" i="80"/>
  <c r="G194" i="80"/>
  <c r="I193" i="80"/>
  <c r="G193" i="80"/>
  <c r="I192" i="80"/>
  <c r="G192" i="80"/>
  <c r="I191" i="80"/>
  <c r="G191" i="80"/>
  <c r="I190" i="80"/>
  <c r="G190" i="80"/>
  <c r="I189" i="80"/>
  <c r="G189" i="80"/>
  <c r="I188" i="80"/>
  <c r="G188" i="80"/>
  <c r="I187" i="80"/>
  <c r="G187" i="80"/>
  <c r="I186" i="80"/>
  <c r="G186" i="80"/>
  <c r="I185" i="80"/>
  <c r="G185" i="80"/>
  <c r="I184" i="80"/>
  <c r="G184" i="80"/>
  <c r="I183" i="80"/>
  <c r="G183" i="80"/>
  <c r="I182" i="80"/>
  <c r="G182" i="80"/>
  <c r="I181" i="80"/>
  <c r="G181" i="80"/>
  <c r="I180" i="80"/>
  <c r="G180" i="80"/>
  <c r="I178" i="80"/>
  <c r="G178" i="80"/>
  <c r="I177" i="80"/>
  <c r="G177" i="80"/>
  <c r="I176" i="80"/>
  <c r="G176" i="80"/>
  <c r="I175" i="80"/>
  <c r="G175" i="80"/>
  <c r="I174" i="80"/>
  <c r="G174" i="80"/>
  <c r="I173" i="80"/>
  <c r="G173" i="80"/>
  <c r="I172" i="80"/>
  <c r="G172" i="80"/>
  <c r="I171" i="80"/>
  <c r="G171" i="80"/>
  <c r="I170" i="80"/>
  <c r="G170" i="80"/>
  <c r="I169" i="80"/>
  <c r="G169" i="80"/>
  <c r="I168" i="80"/>
  <c r="G168" i="80"/>
  <c r="I167" i="80"/>
  <c r="G167" i="80"/>
  <c r="I166" i="80"/>
  <c r="G166" i="80"/>
  <c r="I165" i="80"/>
  <c r="G165" i="80"/>
  <c r="I164" i="80"/>
  <c r="G164" i="80"/>
  <c r="I163" i="80"/>
  <c r="G163" i="80"/>
  <c r="I162" i="80"/>
  <c r="G162" i="80"/>
  <c r="I161" i="80"/>
  <c r="G161" i="80"/>
  <c r="I160" i="80"/>
  <c r="G160" i="80"/>
  <c r="I159" i="80"/>
  <c r="G159" i="80"/>
  <c r="I158" i="80"/>
  <c r="G158" i="80"/>
  <c r="I157" i="80"/>
  <c r="G157" i="80"/>
  <c r="I156" i="80"/>
  <c r="G156" i="80"/>
  <c r="I155" i="80"/>
  <c r="G155" i="80"/>
  <c r="I154" i="80"/>
  <c r="G154" i="80"/>
  <c r="I153" i="80"/>
  <c r="G153" i="80"/>
  <c r="I152" i="80"/>
  <c r="G152" i="80"/>
  <c r="I151" i="80"/>
  <c r="G151" i="80"/>
  <c r="I150" i="80"/>
  <c r="G150" i="80"/>
  <c r="H148" i="80"/>
  <c r="D148" i="80"/>
  <c r="G147" i="80"/>
  <c r="D147" i="80"/>
  <c r="H146" i="80"/>
  <c r="D146" i="80"/>
  <c r="G145" i="80"/>
  <c r="D145" i="80"/>
  <c r="H144" i="80"/>
  <c r="D144" i="80"/>
  <c r="G143" i="80"/>
  <c r="D143" i="80"/>
  <c r="H142" i="80"/>
  <c r="D142" i="80"/>
  <c r="G141" i="80"/>
  <c r="D141" i="80"/>
  <c r="H138" i="80"/>
  <c r="D138" i="80"/>
  <c r="G137" i="80"/>
  <c r="D137" i="80"/>
  <c r="H136" i="80"/>
  <c r="D136" i="80"/>
  <c r="G135" i="80"/>
  <c r="D135" i="80"/>
  <c r="H134" i="80"/>
  <c r="D134" i="80"/>
  <c r="G133" i="80"/>
  <c r="D133" i="80"/>
  <c r="H132" i="80"/>
  <c r="D132" i="80"/>
  <c r="G131" i="80"/>
  <c r="D131" i="80"/>
  <c r="H127" i="80"/>
  <c r="D127" i="80"/>
  <c r="G126" i="80"/>
  <c r="D126" i="80"/>
  <c r="H123" i="80"/>
  <c r="D123" i="80"/>
  <c r="G122" i="80"/>
  <c r="D122" i="80"/>
  <c r="H121" i="80"/>
  <c r="D121" i="80"/>
  <c r="G120" i="80"/>
  <c r="D120" i="80"/>
  <c r="H119" i="80"/>
  <c r="D119" i="80"/>
  <c r="G118" i="80"/>
  <c r="D118" i="80"/>
  <c r="H117" i="80"/>
  <c r="D117" i="80"/>
  <c r="G116" i="80"/>
  <c r="D116" i="80"/>
  <c r="H115" i="80"/>
  <c r="D115" i="80"/>
  <c r="G114" i="80"/>
  <c r="D114" i="80"/>
  <c r="H113" i="80"/>
  <c r="D113" i="80"/>
  <c r="G112" i="80"/>
  <c r="D112" i="80"/>
  <c r="H111" i="80"/>
  <c r="D111" i="80"/>
  <c r="G110" i="80"/>
  <c r="D110" i="80"/>
  <c r="H109" i="80"/>
  <c r="D109" i="80"/>
  <c r="G108" i="80"/>
  <c r="D108" i="80"/>
  <c r="H105" i="80"/>
  <c r="D105" i="80"/>
  <c r="G104" i="80"/>
  <c r="D104" i="80"/>
  <c r="H103" i="80"/>
  <c r="D103" i="80"/>
  <c r="G102" i="80"/>
  <c r="D102" i="80"/>
  <c r="H101" i="80"/>
  <c r="D101" i="80"/>
  <c r="G100" i="80"/>
  <c r="D100" i="80"/>
  <c r="H99" i="80"/>
  <c r="D99" i="80"/>
  <c r="G98" i="80"/>
  <c r="D98" i="80"/>
  <c r="H94" i="80"/>
  <c r="D94" i="80"/>
  <c r="G93" i="80"/>
  <c r="D93" i="80"/>
  <c r="H92" i="80"/>
  <c r="D92" i="80"/>
  <c r="G91" i="80"/>
  <c r="D91" i="80"/>
  <c r="H90" i="80"/>
  <c r="D90" i="80"/>
  <c r="G89" i="80"/>
  <c r="D89" i="80"/>
  <c r="H86" i="80"/>
  <c r="D86" i="80"/>
  <c r="G85" i="80"/>
  <c r="D85" i="80"/>
  <c r="H84" i="80"/>
  <c r="D84" i="80"/>
  <c r="G83" i="80"/>
  <c r="D83" i="80"/>
  <c r="H82" i="80"/>
  <c r="D82" i="80"/>
  <c r="G81" i="80"/>
  <c r="D81" i="80"/>
  <c r="H80" i="80"/>
  <c r="D80" i="80"/>
  <c r="G79" i="80"/>
  <c r="D79" i="80"/>
  <c r="H78" i="80"/>
  <c r="D78" i="80"/>
  <c r="G77" i="80"/>
  <c r="D77" i="80"/>
  <c r="H76" i="80"/>
  <c r="D76" i="80"/>
  <c r="G75" i="80"/>
  <c r="D75" i="80"/>
  <c r="H70" i="80"/>
  <c r="D70" i="80"/>
  <c r="G69" i="80"/>
  <c r="D69" i="80"/>
  <c r="H68" i="80"/>
  <c r="D68" i="80"/>
  <c r="G67" i="80"/>
  <c r="D67" i="80"/>
  <c r="H63" i="80"/>
  <c r="D63" i="80"/>
  <c r="G62" i="80"/>
  <c r="D62" i="80"/>
  <c r="H61" i="80"/>
  <c r="D61" i="80"/>
  <c r="G60" i="80"/>
  <c r="D60" i="80"/>
  <c r="H59" i="80"/>
  <c r="D59" i="80"/>
  <c r="G58" i="80"/>
  <c r="D58" i="80"/>
  <c r="H57" i="80"/>
  <c r="D57" i="80"/>
  <c r="G56" i="80"/>
  <c r="D56" i="80"/>
  <c r="H55" i="80"/>
  <c r="D55" i="80"/>
  <c r="G54" i="80"/>
  <c r="D54" i="80"/>
  <c r="H53" i="80"/>
  <c r="D53" i="80"/>
  <c r="G52" i="80"/>
  <c r="D52" i="80"/>
  <c r="H49" i="80"/>
  <c r="D49" i="80"/>
  <c r="G48" i="80"/>
  <c r="D48" i="80"/>
  <c r="H47" i="80"/>
  <c r="D47" i="80"/>
  <c r="G46" i="80"/>
  <c r="D46" i="80"/>
  <c r="H45" i="80"/>
  <c r="D45" i="80"/>
  <c r="G44" i="80"/>
  <c r="D44" i="80"/>
  <c r="H43" i="80"/>
  <c r="D43" i="80"/>
  <c r="G42" i="80"/>
  <c r="D42" i="80"/>
  <c r="H41" i="80"/>
  <c r="D41" i="80"/>
  <c r="G40" i="80"/>
  <c r="D40" i="80"/>
  <c r="H39" i="80"/>
  <c r="D39" i="80"/>
  <c r="G38" i="80"/>
  <c r="D38" i="80"/>
  <c r="H37" i="80"/>
  <c r="D37" i="80"/>
  <c r="G36" i="80"/>
  <c r="D36" i="80"/>
  <c r="H32" i="80"/>
  <c r="D32" i="80"/>
  <c r="G31" i="80"/>
  <c r="D31" i="80"/>
  <c r="H30" i="80"/>
  <c r="D30" i="80"/>
  <c r="G29" i="80"/>
  <c r="D29" i="80"/>
  <c r="H26" i="80"/>
  <c r="D26" i="80"/>
  <c r="G25" i="80"/>
  <c r="D25" i="80"/>
  <c r="H24" i="80"/>
  <c r="D24" i="80"/>
  <c r="G23" i="80"/>
  <c r="D23" i="80"/>
  <c r="H22" i="80"/>
  <c r="D22" i="80"/>
  <c r="G21" i="80"/>
  <c r="D21" i="80"/>
  <c r="H20" i="80"/>
  <c r="D20" i="80"/>
  <c r="G19" i="80"/>
  <c r="D19" i="80"/>
  <c r="H18" i="80"/>
  <c r="D18" i="80"/>
  <c r="G17" i="80"/>
  <c r="D17" i="80"/>
  <c r="H16" i="80"/>
  <c r="D16" i="80"/>
  <c r="G15" i="80"/>
  <c r="D15" i="80"/>
  <c r="H14" i="80"/>
  <c r="D14" i="80"/>
  <c r="G13" i="80"/>
  <c r="D13" i="80"/>
  <c r="G2" i="80"/>
  <c r="AD37" i="83"/>
  <c r="V37" i="83"/>
  <c r="M37" i="83"/>
  <c r="J36" i="83"/>
  <c r="I36" i="83"/>
  <c r="H36" i="83"/>
  <c r="G36" i="83"/>
  <c r="E36" i="83"/>
  <c r="D36" i="83"/>
  <c r="B36" i="83"/>
  <c r="A36" i="83"/>
  <c r="J33" i="83"/>
  <c r="I33" i="83"/>
  <c r="H33" i="83"/>
  <c r="G33" i="83"/>
  <c r="E33" i="83"/>
  <c r="D33" i="83"/>
  <c r="B33" i="83"/>
  <c r="A33" i="83"/>
  <c r="AK30" i="83"/>
  <c r="AJ30" i="83"/>
  <c r="AI30" i="83"/>
  <c r="AH30" i="83"/>
  <c r="AG30" i="83"/>
  <c r="AF30" i="83"/>
  <c r="AE30" i="83"/>
  <c r="AD30" i="83"/>
  <c r="AC30" i="83"/>
  <c r="AB30" i="83"/>
  <c r="AA30" i="83"/>
  <c r="Z30" i="83"/>
  <c r="Y30" i="83"/>
  <c r="X30" i="83"/>
  <c r="W30" i="83"/>
  <c r="V30" i="83"/>
  <c r="U30" i="83"/>
  <c r="T30" i="83"/>
  <c r="S30" i="83"/>
  <c r="R30" i="83"/>
  <c r="Q30" i="83"/>
  <c r="P30" i="83"/>
  <c r="O30" i="83"/>
  <c r="N30" i="83"/>
  <c r="M30" i="83"/>
  <c r="L30" i="83"/>
  <c r="K30" i="83"/>
  <c r="J30" i="83"/>
  <c r="I30" i="83"/>
  <c r="H30" i="83"/>
  <c r="G30" i="83"/>
  <c r="F30" i="83"/>
  <c r="E30" i="83"/>
  <c r="D30" i="83"/>
  <c r="C30" i="83"/>
  <c r="B30" i="83"/>
  <c r="A30" i="83"/>
  <c r="AA28" i="83"/>
  <c r="Z28" i="83"/>
  <c r="Y28" i="83"/>
  <c r="X28" i="83"/>
  <c r="W28" i="83"/>
  <c r="V28" i="83"/>
  <c r="U28" i="83"/>
  <c r="T28" i="83"/>
  <c r="R28" i="83"/>
  <c r="Q28" i="83"/>
  <c r="P28" i="83"/>
  <c r="M28" i="83"/>
  <c r="L28" i="83"/>
  <c r="K28" i="83"/>
  <c r="J28" i="83"/>
  <c r="I28" i="83"/>
  <c r="H28" i="83"/>
  <c r="G28" i="83"/>
  <c r="F28" i="83"/>
  <c r="D28" i="83"/>
  <c r="C28" i="83"/>
  <c r="B28" i="83"/>
  <c r="AK26" i="83"/>
  <c r="AJ26" i="83"/>
  <c r="AI26" i="83"/>
  <c r="AH26" i="83"/>
  <c r="AG26" i="83"/>
  <c r="AF26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S26" i="83"/>
  <c r="R26" i="83"/>
  <c r="Q26" i="83"/>
  <c r="P26" i="83"/>
  <c r="O26" i="83"/>
  <c r="N26" i="83"/>
  <c r="M26" i="83"/>
  <c r="L26" i="83"/>
  <c r="K26" i="83"/>
  <c r="J26" i="83"/>
  <c r="I26" i="83"/>
  <c r="H26" i="83"/>
  <c r="G26" i="83"/>
  <c r="E26" i="83"/>
  <c r="D26" i="83"/>
  <c r="C26" i="83"/>
  <c r="B26" i="83"/>
  <c r="A26" i="83"/>
  <c r="AK24" i="83"/>
  <c r="AJ24" i="83"/>
  <c r="AI24" i="83"/>
  <c r="AH24" i="83"/>
  <c r="AG24" i="83"/>
  <c r="AF24" i="83"/>
  <c r="AE24" i="83"/>
  <c r="AD24" i="83"/>
  <c r="AB24" i="83"/>
  <c r="AA24" i="83"/>
  <c r="Z24" i="83"/>
  <c r="Y24" i="83"/>
  <c r="X24" i="83"/>
  <c r="W24" i="83"/>
  <c r="V24" i="83"/>
  <c r="U24" i="83"/>
  <c r="T24" i="83"/>
  <c r="S24" i="83"/>
  <c r="R24" i="83"/>
  <c r="Q24" i="83"/>
  <c r="P24" i="83"/>
  <c r="O24" i="83"/>
  <c r="N24" i="83"/>
  <c r="M24" i="83"/>
  <c r="L24" i="83"/>
  <c r="K24" i="83"/>
  <c r="J24" i="83"/>
  <c r="I24" i="83"/>
  <c r="H24" i="83"/>
  <c r="G24" i="83"/>
  <c r="F24" i="83"/>
  <c r="E24" i="83"/>
  <c r="D24" i="83"/>
  <c r="C24" i="83"/>
  <c r="B24" i="83"/>
  <c r="A24" i="83"/>
  <c r="AK21" i="83"/>
  <c r="AJ21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Q21" i="83"/>
  <c r="P21" i="83"/>
  <c r="O21" i="83"/>
  <c r="N21" i="83"/>
  <c r="M21" i="83"/>
  <c r="L21" i="83"/>
  <c r="K21" i="83"/>
  <c r="J21" i="83"/>
  <c r="I21" i="83"/>
  <c r="H21" i="83"/>
  <c r="G21" i="83"/>
  <c r="F21" i="83"/>
  <c r="E21" i="83"/>
  <c r="D21" i="83"/>
  <c r="C21" i="83"/>
  <c r="B21" i="83"/>
  <c r="A21" i="83"/>
  <c r="AK20" i="83"/>
  <c r="AJ20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Q20" i="83"/>
  <c r="P20" i="83"/>
  <c r="O20" i="83"/>
  <c r="N20" i="83"/>
  <c r="M20" i="83"/>
  <c r="L20" i="83"/>
  <c r="K20" i="83"/>
  <c r="J20" i="83"/>
  <c r="I20" i="83"/>
  <c r="H20" i="83"/>
  <c r="G20" i="83"/>
  <c r="F20" i="83"/>
  <c r="E20" i="83"/>
  <c r="D20" i="83"/>
  <c r="C20" i="83"/>
  <c r="B20" i="83"/>
  <c r="A20" i="83"/>
  <c r="G16" i="83"/>
  <c r="E16" i="83"/>
  <c r="D16" i="83"/>
  <c r="B16" i="83"/>
  <c r="A16" i="83"/>
  <c r="R14" i="83"/>
  <c r="K14" i="83"/>
  <c r="H14" i="83"/>
  <c r="G14" i="83"/>
  <c r="F14" i="83"/>
  <c r="E14" i="83"/>
  <c r="D14" i="83"/>
  <c r="C14" i="83"/>
  <c r="B14" i="83"/>
  <c r="A14" i="83"/>
  <c r="R13" i="83"/>
  <c r="K13" i="83"/>
  <c r="J12" i="83"/>
  <c r="I12" i="83"/>
  <c r="H12" i="83"/>
  <c r="G12" i="83"/>
  <c r="F12" i="83"/>
  <c r="E12" i="83"/>
  <c r="D12" i="83"/>
  <c r="C12" i="83"/>
  <c r="B12" i="83"/>
  <c r="A12" i="83"/>
  <c r="W42" i="96"/>
  <c r="U41" i="96"/>
  <c r="T41" i="96"/>
  <c r="S41" i="96"/>
  <c r="R41" i="96"/>
  <c r="P41" i="96"/>
  <c r="O41" i="96"/>
  <c r="M41" i="96"/>
  <c r="L41" i="96"/>
  <c r="J41" i="96"/>
  <c r="I41" i="96"/>
  <c r="H41" i="96"/>
  <c r="G41" i="96"/>
  <c r="E41" i="96"/>
  <c r="D41" i="96"/>
  <c r="B41" i="96"/>
  <c r="A41" i="96"/>
  <c r="AK38" i="96"/>
  <c r="AJ38" i="96"/>
  <c r="AI38" i="96"/>
  <c r="AH38" i="96"/>
  <c r="AG38" i="96"/>
  <c r="AF38" i="96"/>
  <c r="AE38" i="96"/>
  <c r="AD38" i="96"/>
  <c r="AC38" i="96"/>
  <c r="AB38" i="96"/>
  <c r="AA38" i="96"/>
  <c r="Z38" i="96"/>
  <c r="Y38" i="96"/>
  <c r="X38" i="96"/>
  <c r="W38" i="96"/>
  <c r="V38" i="96"/>
  <c r="U38" i="96"/>
  <c r="T38" i="96"/>
  <c r="S38" i="96"/>
  <c r="R38" i="96"/>
  <c r="Q38" i="96"/>
  <c r="P38" i="96"/>
  <c r="O38" i="96"/>
  <c r="N38" i="96"/>
  <c r="M38" i="96"/>
  <c r="L38" i="96"/>
  <c r="K38" i="96"/>
  <c r="J38" i="96"/>
  <c r="I38" i="96"/>
  <c r="H38" i="96"/>
  <c r="G38" i="96"/>
  <c r="F38" i="96"/>
  <c r="E38" i="96"/>
  <c r="D38" i="96"/>
  <c r="C38" i="96"/>
  <c r="B38" i="96"/>
  <c r="A38" i="96"/>
  <c r="AA36" i="96"/>
  <c r="Z36" i="96"/>
  <c r="Y36" i="96"/>
  <c r="X36" i="96"/>
  <c r="W36" i="96"/>
  <c r="V36" i="96"/>
  <c r="U36" i="96"/>
  <c r="T36" i="96"/>
  <c r="R36" i="96"/>
  <c r="Q36" i="96"/>
  <c r="P36" i="96"/>
  <c r="M36" i="96"/>
  <c r="L36" i="96"/>
  <c r="K36" i="96"/>
  <c r="J36" i="96"/>
  <c r="I36" i="96"/>
  <c r="H36" i="96"/>
  <c r="G36" i="96"/>
  <c r="F36" i="96"/>
  <c r="D36" i="96"/>
  <c r="C36" i="96"/>
  <c r="B36" i="96"/>
  <c r="AK34" i="96"/>
  <c r="AJ34" i="96"/>
  <c r="AI34" i="96"/>
  <c r="AH34" i="96"/>
  <c r="AG34" i="96"/>
  <c r="AF34" i="96"/>
  <c r="AE34" i="96"/>
  <c r="AD34" i="96"/>
  <c r="AC34" i="96"/>
  <c r="AB34" i="96"/>
  <c r="AA34" i="96"/>
  <c r="Z34" i="96"/>
  <c r="Y34" i="96"/>
  <c r="X34" i="96"/>
  <c r="W34" i="96"/>
  <c r="V34" i="96"/>
  <c r="U34" i="96"/>
  <c r="T34" i="96"/>
  <c r="S34" i="96"/>
  <c r="R34" i="96"/>
  <c r="Q34" i="96"/>
  <c r="P34" i="96"/>
  <c r="O34" i="96"/>
  <c r="N34" i="96"/>
  <c r="M34" i="96"/>
  <c r="L34" i="96"/>
  <c r="K34" i="96"/>
  <c r="J34" i="96"/>
  <c r="I34" i="96"/>
  <c r="H34" i="96"/>
  <c r="G34" i="96"/>
  <c r="F34" i="96"/>
  <c r="E34" i="96"/>
  <c r="D34" i="96"/>
  <c r="C34" i="96"/>
  <c r="B34" i="96"/>
  <c r="A34" i="96"/>
  <c r="AK33" i="96"/>
  <c r="AJ33" i="96"/>
  <c r="AI33" i="96"/>
  <c r="AH33" i="96"/>
  <c r="AG33" i="96"/>
  <c r="AF33" i="96"/>
  <c r="AE33" i="96"/>
  <c r="AD33" i="96"/>
  <c r="AC33" i="96"/>
  <c r="AB33" i="96"/>
  <c r="AA33" i="96"/>
  <c r="Z33" i="96"/>
  <c r="Y33" i="96"/>
  <c r="X33" i="96"/>
  <c r="W33" i="96"/>
  <c r="V33" i="96"/>
  <c r="U33" i="96"/>
  <c r="T33" i="96"/>
  <c r="S33" i="96"/>
  <c r="R33" i="96"/>
  <c r="Q33" i="96"/>
  <c r="P33" i="96"/>
  <c r="O33" i="96"/>
  <c r="N33" i="96"/>
  <c r="M33" i="96"/>
  <c r="L33" i="96"/>
  <c r="K33" i="96"/>
  <c r="J33" i="96"/>
  <c r="I33" i="96"/>
  <c r="H33" i="96"/>
  <c r="G33" i="96"/>
  <c r="F33" i="96"/>
  <c r="E33" i="96"/>
  <c r="D33" i="96"/>
  <c r="C33" i="96"/>
  <c r="B33" i="96"/>
  <c r="A33" i="96"/>
  <c r="AK31" i="96"/>
  <c r="AJ31" i="96"/>
  <c r="AI31" i="96"/>
  <c r="AH31" i="96"/>
  <c r="AG31" i="96"/>
  <c r="AF31" i="96"/>
  <c r="AE31" i="96"/>
  <c r="AD31" i="96"/>
  <c r="AC31" i="96"/>
  <c r="AB31" i="96"/>
  <c r="AA31" i="96"/>
  <c r="Z31" i="96"/>
  <c r="Y31" i="96"/>
  <c r="X31" i="96"/>
  <c r="W31" i="96"/>
  <c r="V31" i="96"/>
  <c r="U31" i="96"/>
  <c r="T31" i="96"/>
  <c r="S31" i="96"/>
  <c r="R31" i="96"/>
  <c r="Q31" i="96"/>
  <c r="P31" i="96"/>
  <c r="O31" i="96"/>
  <c r="N31" i="96"/>
  <c r="M31" i="96"/>
  <c r="L31" i="96"/>
  <c r="K31" i="96"/>
  <c r="J31" i="96"/>
  <c r="I31" i="96"/>
  <c r="H31" i="96"/>
  <c r="G31" i="96"/>
  <c r="E31" i="96"/>
  <c r="D31" i="96"/>
  <c r="C31" i="96"/>
  <c r="B31" i="96"/>
  <c r="A31" i="96"/>
  <c r="AK29" i="96"/>
  <c r="AJ29" i="96"/>
  <c r="AI29" i="96"/>
  <c r="AH29" i="96"/>
  <c r="AG29" i="96"/>
  <c r="AF29" i="96"/>
  <c r="AE29" i="96"/>
  <c r="AD29" i="96"/>
  <c r="AB29" i="96"/>
  <c r="AA29" i="96"/>
  <c r="Z29" i="96"/>
  <c r="Y29" i="96"/>
  <c r="X29" i="96"/>
  <c r="W29" i="96"/>
  <c r="V29" i="96"/>
  <c r="U29" i="96"/>
  <c r="T29" i="96"/>
  <c r="S29" i="96"/>
  <c r="R29" i="96"/>
  <c r="Q29" i="96"/>
  <c r="P29" i="96"/>
  <c r="O29" i="96"/>
  <c r="N29" i="96"/>
  <c r="M29" i="96"/>
  <c r="L29" i="96"/>
  <c r="K29" i="96"/>
  <c r="J29" i="96"/>
  <c r="I29" i="96"/>
  <c r="H29" i="96"/>
  <c r="G29" i="96"/>
  <c r="F29" i="96"/>
  <c r="E29" i="96"/>
  <c r="D29" i="96"/>
  <c r="C29" i="96"/>
  <c r="B29" i="96"/>
  <c r="A29" i="96"/>
  <c r="AK26" i="96"/>
  <c r="AJ26" i="96"/>
  <c r="AI26" i="96"/>
  <c r="AH26" i="96"/>
  <c r="AG26" i="96"/>
  <c r="AF26" i="96"/>
  <c r="AE26" i="96"/>
  <c r="AD26" i="96"/>
  <c r="AC26" i="96"/>
  <c r="AB26" i="96"/>
  <c r="AA26" i="96"/>
  <c r="Z26" i="96"/>
  <c r="Y26" i="96"/>
  <c r="X26" i="96"/>
  <c r="W26" i="96"/>
  <c r="V26" i="96"/>
  <c r="U26" i="96"/>
  <c r="T26" i="96"/>
  <c r="S26" i="96"/>
  <c r="R26" i="96"/>
  <c r="Q26" i="96"/>
  <c r="P26" i="96"/>
  <c r="O26" i="96"/>
  <c r="N26" i="96"/>
  <c r="M26" i="96"/>
  <c r="L26" i="96"/>
  <c r="K26" i="96"/>
  <c r="J26" i="96"/>
  <c r="I26" i="96"/>
  <c r="H26" i="96"/>
  <c r="G26" i="96"/>
  <c r="AK24" i="96"/>
  <c r="AJ24" i="96"/>
  <c r="AI24" i="96"/>
  <c r="AH24" i="96"/>
  <c r="AG24" i="96"/>
  <c r="AF24" i="96"/>
  <c r="AE24" i="96"/>
  <c r="AD24" i="96"/>
  <c r="AC24" i="96"/>
  <c r="AB24" i="96"/>
  <c r="AA24" i="96"/>
  <c r="Z24" i="96"/>
  <c r="Y24" i="96"/>
  <c r="X24" i="96"/>
  <c r="W24" i="96"/>
  <c r="V24" i="96"/>
  <c r="U24" i="96"/>
  <c r="T24" i="96"/>
  <c r="S24" i="96"/>
  <c r="R24" i="96"/>
  <c r="Q24" i="96"/>
  <c r="P24" i="96"/>
  <c r="O24" i="96"/>
  <c r="N24" i="96"/>
  <c r="M24" i="96"/>
  <c r="L24" i="96"/>
  <c r="K24" i="96"/>
  <c r="J24" i="96"/>
  <c r="I24" i="96"/>
  <c r="H24" i="96"/>
  <c r="G24" i="96"/>
  <c r="F24" i="96"/>
  <c r="E24" i="96"/>
  <c r="D24" i="96"/>
  <c r="C24" i="96"/>
  <c r="B24" i="96"/>
  <c r="A24" i="96"/>
  <c r="AK23" i="96"/>
  <c r="AJ23" i="96"/>
  <c r="AI23" i="96"/>
  <c r="AH23" i="96"/>
  <c r="AG23" i="96"/>
  <c r="AF23" i="96"/>
  <c r="AE23" i="96"/>
  <c r="AD23" i="96"/>
  <c r="AC23" i="96"/>
  <c r="AB23" i="96"/>
  <c r="AA23" i="96"/>
  <c r="Z23" i="96"/>
  <c r="Y23" i="96"/>
  <c r="X23" i="96"/>
  <c r="W23" i="96"/>
  <c r="V23" i="96"/>
  <c r="U23" i="96"/>
  <c r="T23" i="96"/>
  <c r="S23" i="96"/>
  <c r="R23" i="96"/>
  <c r="Q23" i="96"/>
  <c r="P23" i="96"/>
  <c r="O23" i="96"/>
  <c r="N23" i="96"/>
  <c r="M23" i="96"/>
  <c r="L23" i="96"/>
  <c r="K23" i="96"/>
  <c r="J23" i="96"/>
  <c r="I23" i="96"/>
  <c r="H23" i="96"/>
  <c r="G23" i="96"/>
  <c r="F23" i="96"/>
  <c r="E23" i="96"/>
  <c r="D23" i="96"/>
  <c r="C23" i="96"/>
  <c r="B23" i="96"/>
  <c r="A23" i="96"/>
  <c r="W19" i="96"/>
  <c r="K19" i="96"/>
  <c r="B19" i="96"/>
  <c r="L16" i="96"/>
  <c r="G16" i="96"/>
  <c r="E16" i="96"/>
  <c r="D16" i="96"/>
  <c r="B16" i="96"/>
  <c r="A16" i="96"/>
  <c r="L15" i="96"/>
  <c r="R14" i="96"/>
  <c r="L14" i="96"/>
  <c r="H14" i="96"/>
  <c r="G14" i="96"/>
  <c r="F14" i="96"/>
  <c r="E14" i="96"/>
  <c r="D14" i="96"/>
  <c r="C14" i="96"/>
  <c r="B14" i="96"/>
  <c r="A14" i="96"/>
  <c r="R13" i="96"/>
  <c r="L13" i="96"/>
  <c r="J12" i="96"/>
  <c r="I12" i="96"/>
  <c r="H12" i="96"/>
  <c r="G12" i="96"/>
  <c r="F12" i="96"/>
  <c r="E12" i="96"/>
  <c r="D12" i="96"/>
  <c r="C12" i="96"/>
  <c r="B12" i="96"/>
  <c r="A12" i="96"/>
  <c r="AK38" i="87"/>
  <c r="AJ38" i="87"/>
  <c r="AI38" i="87"/>
  <c r="AH38" i="87"/>
  <c r="AG38" i="87"/>
  <c r="AF38" i="87"/>
  <c r="AE38" i="87"/>
  <c r="AD38" i="87"/>
  <c r="AB38" i="87"/>
  <c r="AA38" i="87"/>
  <c r="Z38" i="87"/>
  <c r="Y38" i="87"/>
  <c r="X38" i="87"/>
  <c r="W38" i="87"/>
  <c r="V38" i="87"/>
  <c r="T38" i="87"/>
  <c r="S38" i="87"/>
  <c r="R38" i="87"/>
  <c r="Q38" i="87"/>
  <c r="P38" i="87"/>
  <c r="O38" i="87"/>
  <c r="N38" i="87"/>
  <c r="M38" i="87"/>
  <c r="F37" i="87"/>
  <c r="C37" i="87"/>
  <c r="F34" i="87"/>
  <c r="C34" i="87"/>
  <c r="AK29" i="87"/>
  <c r="AJ29" i="87"/>
  <c r="AI29" i="87"/>
  <c r="AH29" i="87"/>
  <c r="AG29" i="87"/>
  <c r="AF29" i="87"/>
  <c r="AE29" i="87"/>
  <c r="AD29" i="87"/>
  <c r="AC29" i="87"/>
  <c r="AB29" i="87"/>
  <c r="S29" i="87"/>
  <c r="O29" i="87"/>
  <c r="E29" i="87"/>
  <c r="A29" i="87"/>
  <c r="L15" i="87"/>
  <c r="F15" i="87"/>
  <c r="C15" i="87"/>
  <c r="L14" i="87"/>
  <c r="U4" i="87"/>
  <c r="R4" i="87"/>
  <c r="F65" i="76"/>
  <c r="E65" i="76"/>
  <c r="F62" i="76"/>
  <c r="E62" i="76"/>
  <c r="F61" i="76"/>
  <c r="E61" i="76"/>
  <c r="F58" i="76"/>
  <c r="E58" i="76"/>
  <c r="F57" i="76"/>
  <c r="E57" i="76"/>
  <c r="F55" i="76"/>
  <c r="E55" i="76"/>
  <c r="F54" i="76"/>
  <c r="E54" i="76"/>
  <c r="F52" i="76"/>
  <c r="E52" i="76"/>
  <c r="F50" i="76"/>
  <c r="E50" i="76"/>
  <c r="F49" i="76"/>
  <c r="E49" i="76"/>
  <c r="F48" i="76"/>
  <c r="E48" i="76"/>
  <c r="F47" i="76"/>
  <c r="E47" i="76"/>
  <c r="F46" i="76"/>
  <c r="E46" i="76"/>
  <c r="F45" i="76"/>
  <c r="E45" i="76"/>
  <c r="F44" i="76"/>
  <c r="E44" i="76"/>
  <c r="F43" i="76"/>
  <c r="E43" i="76"/>
  <c r="F42" i="76"/>
  <c r="E42" i="76"/>
  <c r="F41" i="76"/>
  <c r="E41" i="76"/>
  <c r="F40" i="76"/>
  <c r="E40" i="76"/>
  <c r="F39" i="76"/>
  <c r="E39" i="76"/>
  <c r="F38" i="76"/>
  <c r="E38" i="76"/>
  <c r="F37" i="76"/>
  <c r="E37" i="76"/>
  <c r="F36" i="76"/>
  <c r="E36" i="76"/>
  <c r="F35" i="76"/>
  <c r="E35" i="76"/>
  <c r="F33" i="76"/>
  <c r="E33" i="76"/>
  <c r="F32" i="76"/>
  <c r="E32" i="76"/>
  <c r="F30" i="76"/>
  <c r="E30" i="76"/>
  <c r="F29" i="76"/>
  <c r="E29" i="76"/>
  <c r="F28" i="76"/>
  <c r="E28" i="76"/>
  <c r="F27" i="76"/>
  <c r="E27" i="76"/>
  <c r="F26" i="76"/>
  <c r="E26" i="76"/>
  <c r="F25" i="76"/>
  <c r="E25" i="76"/>
  <c r="F24" i="76"/>
  <c r="E24" i="76"/>
  <c r="F23" i="76"/>
  <c r="E23" i="76"/>
  <c r="F22" i="76"/>
  <c r="E22" i="76"/>
  <c r="F21" i="76"/>
  <c r="E21" i="76"/>
  <c r="F20" i="76"/>
  <c r="E20" i="76"/>
  <c r="F19" i="76"/>
  <c r="E19" i="76"/>
  <c r="F18" i="76"/>
  <c r="E18" i="76"/>
  <c r="F15" i="76"/>
  <c r="E15" i="76"/>
  <c r="F14" i="76"/>
  <c r="E14" i="76"/>
  <c r="F12" i="76"/>
  <c r="E12" i="76"/>
  <c r="F11" i="76"/>
  <c r="E11" i="76"/>
  <c r="F10" i="76"/>
  <c r="E10" i="76"/>
  <c r="F7" i="76"/>
  <c r="E7" i="76"/>
  <c r="F6" i="76"/>
  <c r="E6" i="76"/>
  <c r="E2" i="76"/>
  <c r="AD36" i="75"/>
  <c r="V36" i="75"/>
  <c r="M36" i="75"/>
  <c r="J35" i="75"/>
  <c r="I35" i="75"/>
  <c r="H35" i="75"/>
  <c r="G35" i="75"/>
  <c r="E35" i="75"/>
  <c r="D35" i="75"/>
  <c r="B35" i="75"/>
  <c r="A35" i="75"/>
  <c r="J32" i="75"/>
  <c r="I32" i="75"/>
  <c r="H32" i="75"/>
  <c r="G32" i="75"/>
  <c r="E32" i="75"/>
  <c r="D32" i="75"/>
  <c r="B32" i="75"/>
  <c r="A32" i="75"/>
  <c r="AK29" i="75"/>
  <c r="AJ29" i="75"/>
  <c r="AI29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9" i="75"/>
  <c r="C29" i="75"/>
  <c r="B29" i="75"/>
  <c r="A29" i="75"/>
  <c r="AA27" i="75"/>
  <c r="Z27" i="75"/>
  <c r="Y27" i="75"/>
  <c r="X27" i="75"/>
  <c r="W27" i="75"/>
  <c r="V27" i="75"/>
  <c r="U27" i="75"/>
  <c r="T27" i="75"/>
  <c r="R27" i="75"/>
  <c r="Q27" i="75"/>
  <c r="P27" i="75"/>
  <c r="M27" i="75"/>
  <c r="L27" i="75"/>
  <c r="K27" i="75"/>
  <c r="J27" i="75"/>
  <c r="I27" i="75"/>
  <c r="H27" i="75"/>
  <c r="G27" i="75"/>
  <c r="F27" i="75"/>
  <c r="D27" i="75"/>
  <c r="C27" i="75"/>
  <c r="B27" i="75"/>
  <c r="AK25" i="75"/>
  <c r="AJ25" i="75"/>
  <c r="AI25" i="75"/>
  <c r="AH25" i="75"/>
  <c r="AG25" i="75"/>
  <c r="AF25" i="75"/>
  <c r="AE25" i="75"/>
  <c r="AD25" i="75"/>
  <c r="AC25" i="75"/>
  <c r="AB25" i="75"/>
  <c r="AA25" i="75"/>
  <c r="Z25" i="75"/>
  <c r="Y25" i="75"/>
  <c r="X25" i="75"/>
  <c r="W25" i="75"/>
  <c r="V25" i="75"/>
  <c r="U25" i="75"/>
  <c r="T25" i="75"/>
  <c r="S25" i="75"/>
  <c r="R25" i="75"/>
  <c r="Q25" i="75"/>
  <c r="P25" i="75"/>
  <c r="O25" i="75"/>
  <c r="N25" i="75"/>
  <c r="M25" i="75"/>
  <c r="L25" i="75"/>
  <c r="K25" i="75"/>
  <c r="J25" i="75"/>
  <c r="I25" i="75"/>
  <c r="H25" i="75"/>
  <c r="G25" i="75"/>
  <c r="E25" i="75"/>
  <c r="D25" i="75"/>
  <c r="C25" i="75"/>
  <c r="B25" i="75"/>
  <c r="A25" i="75"/>
  <c r="AK23" i="75"/>
  <c r="AJ23" i="75"/>
  <c r="AI23" i="75"/>
  <c r="AH23" i="75"/>
  <c r="AG23" i="75"/>
  <c r="AF23" i="75"/>
  <c r="AE23" i="75"/>
  <c r="AD23" i="75"/>
  <c r="AB23" i="75"/>
  <c r="AA23" i="75"/>
  <c r="Z23" i="75"/>
  <c r="Y23" i="75"/>
  <c r="X23" i="75"/>
  <c r="W23" i="75"/>
  <c r="V23" i="75"/>
  <c r="U23" i="75"/>
  <c r="T23" i="75"/>
  <c r="S23" i="75"/>
  <c r="R23" i="75"/>
  <c r="Q23" i="75"/>
  <c r="P23" i="75"/>
  <c r="O23" i="75"/>
  <c r="N23" i="75"/>
  <c r="M23" i="75"/>
  <c r="L23" i="75"/>
  <c r="K23" i="75"/>
  <c r="J23" i="75"/>
  <c r="I23" i="75"/>
  <c r="H23" i="75"/>
  <c r="G23" i="75"/>
  <c r="F23" i="75"/>
  <c r="E23" i="75"/>
  <c r="D23" i="75"/>
  <c r="C23" i="75"/>
  <c r="B23" i="75"/>
  <c r="A23" i="75"/>
  <c r="AK20" i="75"/>
  <c r="AJ20" i="75"/>
  <c r="AI20" i="75"/>
  <c r="AH20" i="75"/>
  <c r="AG20" i="75"/>
  <c r="AF20" i="75"/>
  <c r="AE20" i="75"/>
  <c r="AD20" i="75"/>
  <c r="AC20" i="75"/>
  <c r="AB20" i="75"/>
  <c r="AA20" i="75"/>
  <c r="Z20" i="75"/>
  <c r="Y20" i="75"/>
  <c r="X20" i="75"/>
  <c r="W20" i="75"/>
  <c r="V20" i="75"/>
  <c r="U20" i="75"/>
  <c r="T20" i="75"/>
  <c r="S20" i="75"/>
  <c r="R20" i="75"/>
  <c r="Q20" i="75"/>
  <c r="P20" i="75"/>
  <c r="O20" i="75"/>
  <c r="N20" i="75"/>
  <c r="M20" i="75"/>
  <c r="L20" i="75"/>
  <c r="K20" i="75"/>
  <c r="J20" i="75"/>
  <c r="I20" i="75"/>
  <c r="H20" i="75"/>
  <c r="G20" i="75"/>
  <c r="F20" i="75"/>
  <c r="E20" i="75"/>
  <c r="D20" i="75"/>
  <c r="C20" i="75"/>
  <c r="B20" i="75"/>
  <c r="A20" i="75"/>
  <c r="AK19" i="75"/>
  <c r="AJ19" i="75"/>
  <c r="AI19" i="75"/>
  <c r="AH19" i="75"/>
  <c r="AG19" i="75"/>
  <c r="AF19" i="75"/>
  <c r="AE19" i="75"/>
  <c r="AD19" i="75"/>
  <c r="AC19" i="75"/>
  <c r="AB19" i="75"/>
  <c r="AA19" i="75"/>
  <c r="Z19" i="75"/>
  <c r="Y19" i="75"/>
  <c r="X19" i="75"/>
  <c r="W19" i="75"/>
  <c r="V19" i="75"/>
  <c r="U19" i="75"/>
  <c r="T19" i="75"/>
  <c r="S19" i="75"/>
  <c r="R19" i="75"/>
  <c r="Q19" i="75"/>
  <c r="P19" i="75"/>
  <c r="O19" i="75"/>
  <c r="N19" i="75"/>
  <c r="M19" i="75"/>
  <c r="L19" i="75"/>
  <c r="K19" i="75"/>
  <c r="J19" i="75"/>
  <c r="I19" i="75"/>
  <c r="H19" i="75"/>
  <c r="G19" i="75"/>
  <c r="F19" i="75"/>
  <c r="E19" i="75"/>
  <c r="D19" i="75"/>
  <c r="C19" i="75"/>
  <c r="B19" i="75"/>
  <c r="A19" i="75"/>
  <c r="F15" i="75"/>
  <c r="C15" i="75"/>
  <c r="R13" i="75"/>
  <c r="L13" i="75"/>
  <c r="H13" i="75"/>
  <c r="G13" i="75"/>
  <c r="F13" i="75"/>
  <c r="E13" i="75"/>
  <c r="D13" i="75"/>
  <c r="C13" i="75"/>
  <c r="B13" i="75"/>
  <c r="A13" i="75"/>
  <c r="R12" i="75"/>
  <c r="L12" i="75"/>
  <c r="J11" i="75"/>
  <c r="I11" i="75"/>
  <c r="H11" i="75"/>
  <c r="G11" i="75"/>
  <c r="F11" i="75"/>
  <c r="E11" i="75"/>
  <c r="D11" i="75"/>
  <c r="C11" i="75"/>
  <c r="B11" i="75"/>
  <c r="A11" i="75"/>
  <c r="I210" i="78"/>
  <c r="G210" i="78"/>
  <c r="I209" i="78"/>
  <c r="G209" i="78"/>
  <c r="I208" i="78"/>
  <c r="G208" i="78"/>
  <c r="I207" i="78"/>
  <c r="G207" i="78"/>
  <c r="I206" i="78"/>
  <c r="G206" i="78"/>
  <c r="I205" i="78"/>
  <c r="G205" i="78"/>
  <c r="I204" i="78"/>
  <c r="G204" i="78"/>
  <c r="I203" i="78"/>
  <c r="G203" i="78"/>
  <c r="I202" i="78"/>
  <c r="G202" i="78"/>
  <c r="I201" i="78"/>
  <c r="G201" i="78"/>
  <c r="I200" i="78"/>
  <c r="G200" i="78"/>
  <c r="I199" i="78"/>
  <c r="G199" i="78"/>
  <c r="I198" i="78"/>
  <c r="G198" i="78"/>
  <c r="I197" i="78"/>
  <c r="G197" i="78"/>
  <c r="I196" i="78"/>
  <c r="G196" i="78"/>
  <c r="I195" i="78"/>
  <c r="G195" i="78"/>
  <c r="I194" i="78"/>
  <c r="G194" i="78"/>
  <c r="I193" i="78"/>
  <c r="G193" i="78"/>
  <c r="I192" i="78"/>
  <c r="G192" i="78"/>
  <c r="I191" i="78"/>
  <c r="G191" i="78"/>
  <c r="I190" i="78"/>
  <c r="G190" i="78"/>
  <c r="I189" i="78"/>
  <c r="G189" i="78"/>
  <c r="I188" i="78"/>
  <c r="G188" i="78"/>
  <c r="I187" i="78"/>
  <c r="G187" i="78"/>
  <c r="I186" i="78"/>
  <c r="G186" i="78"/>
  <c r="I185" i="78"/>
  <c r="G185" i="78"/>
  <c r="I184" i="78"/>
  <c r="G184" i="78"/>
  <c r="I183" i="78"/>
  <c r="G183" i="78"/>
  <c r="I182" i="78"/>
  <c r="G182" i="78"/>
  <c r="I181" i="78"/>
  <c r="G181" i="78"/>
  <c r="I180" i="78"/>
  <c r="G180" i="78"/>
  <c r="I178" i="78"/>
  <c r="G178" i="78"/>
  <c r="I177" i="78"/>
  <c r="G177" i="78"/>
  <c r="I176" i="78"/>
  <c r="G176" i="78"/>
  <c r="I175" i="78"/>
  <c r="G175" i="78"/>
  <c r="I174" i="78"/>
  <c r="G174" i="78"/>
  <c r="I173" i="78"/>
  <c r="G173" i="78"/>
  <c r="I172" i="78"/>
  <c r="G172" i="78"/>
  <c r="I171" i="78"/>
  <c r="G171" i="78"/>
  <c r="I170" i="78"/>
  <c r="G170" i="78"/>
  <c r="I169" i="78"/>
  <c r="G169" i="78"/>
  <c r="I168" i="78"/>
  <c r="G168" i="78"/>
  <c r="I167" i="78"/>
  <c r="G167" i="78"/>
  <c r="I166" i="78"/>
  <c r="G166" i="78"/>
  <c r="I165" i="78"/>
  <c r="G165" i="78"/>
  <c r="I164" i="78"/>
  <c r="G164" i="78"/>
  <c r="I163" i="78"/>
  <c r="G163" i="78"/>
  <c r="I162" i="78"/>
  <c r="G162" i="78"/>
  <c r="I161" i="78"/>
  <c r="G161" i="78"/>
  <c r="I160" i="78"/>
  <c r="G160" i="78"/>
  <c r="I159" i="78"/>
  <c r="G159" i="78"/>
  <c r="I158" i="78"/>
  <c r="G158" i="78"/>
  <c r="I157" i="78"/>
  <c r="G157" i="78"/>
  <c r="I156" i="78"/>
  <c r="G156" i="78"/>
  <c r="I155" i="78"/>
  <c r="G155" i="78"/>
  <c r="I154" i="78"/>
  <c r="G154" i="78"/>
  <c r="I153" i="78"/>
  <c r="G153" i="78"/>
  <c r="I152" i="78"/>
  <c r="G152" i="78"/>
  <c r="I151" i="78"/>
  <c r="G151" i="78"/>
  <c r="I150" i="78"/>
  <c r="G150" i="78"/>
  <c r="H148" i="78"/>
  <c r="D148" i="78"/>
  <c r="G147" i="78"/>
  <c r="D147" i="78"/>
  <c r="H146" i="78"/>
  <c r="D146" i="78"/>
  <c r="G145" i="78"/>
  <c r="D145" i="78"/>
  <c r="H144" i="78"/>
  <c r="D144" i="78"/>
  <c r="G143" i="78"/>
  <c r="D143" i="78"/>
  <c r="H142" i="78"/>
  <c r="D142" i="78"/>
  <c r="G141" i="78"/>
  <c r="D141" i="78"/>
  <c r="H138" i="78"/>
  <c r="D138" i="78"/>
  <c r="G137" i="78"/>
  <c r="D137" i="78"/>
  <c r="H136" i="78"/>
  <c r="D136" i="78"/>
  <c r="G135" i="78"/>
  <c r="D135" i="78"/>
  <c r="H134" i="78"/>
  <c r="D134" i="78"/>
  <c r="G133" i="78"/>
  <c r="D133" i="78"/>
  <c r="H132" i="78"/>
  <c r="D132" i="78"/>
  <c r="G131" i="78"/>
  <c r="D131" i="78"/>
  <c r="H127" i="78"/>
  <c r="D127" i="78"/>
  <c r="G126" i="78"/>
  <c r="D126" i="78"/>
  <c r="H123" i="78"/>
  <c r="D123" i="78"/>
  <c r="G122" i="78"/>
  <c r="D122" i="78"/>
  <c r="H121" i="78"/>
  <c r="D121" i="78"/>
  <c r="G120" i="78"/>
  <c r="D120" i="78"/>
  <c r="H119" i="78"/>
  <c r="D119" i="78"/>
  <c r="G118" i="78"/>
  <c r="D118" i="78"/>
  <c r="H117" i="78"/>
  <c r="D117" i="78"/>
  <c r="G116" i="78"/>
  <c r="D116" i="78"/>
  <c r="H115" i="78"/>
  <c r="D115" i="78"/>
  <c r="G114" i="78"/>
  <c r="D114" i="78"/>
  <c r="H113" i="78"/>
  <c r="D113" i="78"/>
  <c r="G112" i="78"/>
  <c r="D112" i="78"/>
  <c r="H111" i="78"/>
  <c r="D111" i="78"/>
  <c r="G110" i="78"/>
  <c r="D110" i="78"/>
  <c r="H109" i="78"/>
  <c r="D109" i="78"/>
  <c r="G108" i="78"/>
  <c r="D108" i="78"/>
  <c r="H105" i="78"/>
  <c r="D105" i="78"/>
  <c r="G104" i="78"/>
  <c r="D104" i="78"/>
  <c r="H103" i="78"/>
  <c r="D103" i="78"/>
  <c r="G102" i="78"/>
  <c r="D102" i="78"/>
  <c r="H101" i="78"/>
  <c r="D101" i="78"/>
  <c r="G100" i="78"/>
  <c r="D100" i="78"/>
  <c r="H99" i="78"/>
  <c r="D99" i="78"/>
  <c r="G98" i="78"/>
  <c r="D98" i="78"/>
  <c r="H94" i="78"/>
  <c r="D94" i="78"/>
  <c r="G93" i="78"/>
  <c r="D93" i="78"/>
  <c r="H92" i="78"/>
  <c r="D92" i="78"/>
  <c r="G91" i="78"/>
  <c r="D91" i="78"/>
  <c r="H90" i="78"/>
  <c r="D90" i="78"/>
  <c r="G89" i="78"/>
  <c r="D89" i="78"/>
  <c r="H86" i="78"/>
  <c r="D86" i="78"/>
  <c r="G85" i="78"/>
  <c r="D85" i="78"/>
  <c r="H84" i="78"/>
  <c r="D84" i="78"/>
  <c r="G83" i="78"/>
  <c r="D83" i="78"/>
  <c r="H82" i="78"/>
  <c r="D82" i="78"/>
  <c r="G81" i="78"/>
  <c r="D81" i="78"/>
  <c r="H80" i="78"/>
  <c r="D80" i="78"/>
  <c r="G79" i="78"/>
  <c r="D79" i="78"/>
  <c r="H78" i="78"/>
  <c r="D78" i="78"/>
  <c r="G77" i="78"/>
  <c r="D77" i="78"/>
  <c r="H76" i="78"/>
  <c r="D76" i="78"/>
  <c r="G75" i="78"/>
  <c r="D75" i="78"/>
  <c r="H70" i="78"/>
  <c r="D70" i="78"/>
  <c r="G69" i="78"/>
  <c r="D69" i="78"/>
  <c r="H68" i="78"/>
  <c r="D68" i="78"/>
  <c r="G67" i="78"/>
  <c r="D67" i="78"/>
  <c r="H63" i="78"/>
  <c r="D63" i="78"/>
  <c r="G62" i="78"/>
  <c r="D62" i="78"/>
  <c r="H61" i="78"/>
  <c r="D61" i="78"/>
  <c r="G60" i="78"/>
  <c r="D60" i="78"/>
  <c r="H59" i="78"/>
  <c r="D59" i="78"/>
  <c r="G58" i="78"/>
  <c r="D58" i="78"/>
  <c r="H57" i="78"/>
  <c r="D57" i="78"/>
  <c r="G56" i="78"/>
  <c r="D56" i="78"/>
  <c r="H55" i="78"/>
  <c r="D55" i="78"/>
  <c r="G54" i="78"/>
  <c r="D54" i="78"/>
  <c r="H53" i="78"/>
  <c r="D53" i="78"/>
  <c r="G52" i="78"/>
  <c r="D52" i="78"/>
  <c r="H49" i="78"/>
  <c r="D49" i="78"/>
  <c r="G48" i="78"/>
  <c r="D48" i="78"/>
  <c r="H47" i="78"/>
  <c r="D47" i="78"/>
  <c r="G46" i="78"/>
  <c r="D46" i="78"/>
  <c r="H45" i="78"/>
  <c r="D45" i="78"/>
  <c r="G44" i="78"/>
  <c r="D44" i="78"/>
  <c r="H43" i="78"/>
  <c r="D43" i="78"/>
  <c r="G42" i="78"/>
  <c r="D42" i="78"/>
  <c r="H41" i="78"/>
  <c r="D41" i="78"/>
  <c r="G40" i="78"/>
  <c r="D40" i="78"/>
  <c r="H39" i="78"/>
  <c r="D39" i="78"/>
  <c r="G38" i="78"/>
  <c r="D38" i="78"/>
  <c r="H37" i="78"/>
  <c r="D37" i="78"/>
  <c r="G36" i="78"/>
  <c r="D36" i="78"/>
  <c r="H32" i="78"/>
  <c r="D32" i="78"/>
  <c r="G31" i="78"/>
  <c r="D31" i="78"/>
  <c r="H30" i="78"/>
  <c r="D30" i="78"/>
  <c r="G29" i="78"/>
  <c r="D29" i="78"/>
  <c r="H26" i="78"/>
  <c r="D26" i="78"/>
  <c r="G25" i="78"/>
  <c r="D25" i="78"/>
  <c r="H24" i="78"/>
  <c r="D24" i="78"/>
  <c r="G23" i="78"/>
  <c r="D23" i="78"/>
  <c r="H22" i="78"/>
  <c r="D22" i="78"/>
  <c r="G21" i="78"/>
  <c r="D21" i="78"/>
  <c r="H20" i="78"/>
  <c r="D20" i="78"/>
  <c r="G19" i="78"/>
  <c r="D19" i="78"/>
  <c r="H18" i="78"/>
  <c r="D18" i="78"/>
  <c r="G17" i="78"/>
  <c r="D17" i="78"/>
  <c r="H16" i="78"/>
  <c r="D16" i="78"/>
  <c r="G15" i="78"/>
  <c r="D15" i="78"/>
  <c r="H14" i="78"/>
  <c r="D14" i="78"/>
  <c r="G13" i="78"/>
  <c r="D13" i="78"/>
  <c r="G2" i="78"/>
  <c r="AD36" i="72"/>
  <c r="V36" i="72"/>
  <c r="M36" i="72"/>
  <c r="J35" i="72"/>
  <c r="I35" i="72"/>
  <c r="H35" i="72"/>
  <c r="G35" i="72"/>
  <c r="E35" i="72"/>
  <c r="D35" i="72"/>
  <c r="B35" i="72"/>
  <c r="A35" i="72"/>
  <c r="J32" i="72"/>
  <c r="I32" i="72"/>
  <c r="H32" i="72"/>
  <c r="G32" i="72"/>
  <c r="E32" i="72"/>
  <c r="D32" i="72"/>
  <c r="B32" i="72"/>
  <c r="A32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C29" i="72"/>
  <c r="B29" i="72"/>
  <c r="A29" i="72"/>
  <c r="AA27" i="72"/>
  <c r="Z27" i="72"/>
  <c r="Y27" i="72"/>
  <c r="X27" i="72"/>
  <c r="W27" i="72"/>
  <c r="V27" i="72"/>
  <c r="U27" i="72"/>
  <c r="T27" i="72"/>
  <c r="R27" i="72"/>
  <c r="Q27" i="72"/>
  <c r="P27" i="72"/>
  <c r="M27" i="72"/>
  <c r="L27" i="72"/>
  <c r="K27" i="72"/>
  <c r="J27" i="72"/>
  <c r="I27" i="72"/>
  <c r="H27" i="72"/>
  <c r="G27" i="72"/>
  <c r="F27" i="72"/>
  <c r="D27" i="72"/>
  <c r="C27" i="72"/>
  <c r="B27" i="72"/>
  <c r="AK25" i="72"/>
  <c r="AJ25" i="72"/>
  <c r="AI25" i="72"/>
  <c r="AH25" i="72"/>
  <c r="AG25" i="72"/>
  <c r="AF25" i="72"/>
  <c r="AE25" i="72"/>
  <c r="AD25" i="72"/>
  <c r="AC25" i="72"/>
  <c r="AB25" i="72"/>
  <c r="AA25" i="72"/>
  <c r="Z25" i="72"/>
  <c r="Y25" i="72"/>
  <c r="X25" i="72"/>
  <c r="W25" i="72"/>
  <c r="V25" i="72"/>
  <c r="U25" i="72"/>
  <c r="T25" i="72"/>
  <c r="S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E25" i="72"/>
  <c r="D25" i="72"/>
  <c r="C25" i="72"/>
  <c r="B25" i="72"/>
  <c r="A25" i="72"/>
  <c r="AK23" i="72"/>
  <c r="AJ23" i="72"/>
  <c r="AI23" i="72"/>
  <c r="AH23" i="72"/>
  <c r="AG23" i="72"/>
  <c r="AF23" i="72"/>
  <c r="AE23" i="72"/>
  <c r="AD23" i="72"/>
  <c r="AB23" i="72"/>
  <c r="AA23" i="72"/>
  <c r="Z23" i="72"/>
  <c r="Y23" i="72"/>
  <c r="X23" i="72"/>
  <c r="W23" i="72"/>
  <c r="V23" i="72"/>
  <c r="U23" i="72"/>
  <c r="T23" i="72"/>
  <c r="S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C23" i="72"/>
  <c r="B23" i="72"/>
  <c r="A23" i="72"/>
  <c r="AK20" i="72"/>
  <c r="AJ20" i="72"/>
  <c r="AI20" i="72"/>
  <c r="AH20" i="72"/>
  <c r="AG20" i="72"/>
  <c r="AF20" i="72"/>
  <c r="AE20" i="72"/>
  <c r="AD20" i="72"/>
  <c r="AC20" i="72"/>
  <c r="AB20" i="72"/>
  <c r="AA20" i="72"/>
  <c r="Z20" i="72"/>
  <c r="Y20" i="72"/>
  <c r="X20" i="72"/>
  <c r="W20" i="72"/>
  <c r="V20" i="72"/>
  <c r="U20" i="72"/>
  <c r="T20" i="72"/>
  <c r="S20" i="72"/>
  <c r="R20" i="72"/>
  <c r="Q20" i="72"/>
  <c r="P20" i="72"/>
  <c r="O20" i="72"/>
  <c r="N20" i="72"/>
  <c r="M20" i="72"/>
  <c r="L20" i="72"/>
  <c r="K20" i="72"/>
  <c r="J20" i="72"/>
  <c r="I20" i="72"/>
  <c r="H20" i="72"/>
  <c r="G20" i="72"/>
  <c r="F20" i="72"/>
  <c r="E20" i="72"/>
  <c r="D20" i="72"/>
  <c r="C20" i="72"/>
  <c r="B20" i="72"/>
  <c r="A20" i="72"/>
  <c r="AK19" i="72"/>
  <c r="AJ19" i="72"/>
  <c r="AI19" i="72"/>
  <c r="AH19" i="72"/>
  <c r="AG19" i="72"/>
  <c r="AF19" i="72"/>
  <c r="AE19" i="72"/>
  <c r="AD19" i="72"/>
  <c r="AC19" i="72"/>
  <c r="AB19" i="72"/>
  <c r="AA19" i="72"/>
  <c r="Z19" i="72"/>
  <c r="Y19" i="72"/>
  <c r="X19" i="72"/>
  <c r="W19" i="72"/>
  <c r="V19" i="72"/>
  <c r="U19" i="72"/>
  <c r="T19" i="72"/>
  <c r="S19" i="72"/>
  <c r="R19" i="72"/>
  <c r="Q19" i="72"/>
  <c r="P19" i="72"/>
  <c r="O19" i="72"/>
  <c r="N19" i="72"/>
  <c r="M19" i="72"/>
  <c r="L19" i="72"/>
  <c r="K19" i="72"/>
  <c r="J19" i="72"/>
  <c r="I19" i="72"/>
  <c r="H19" i="72"/>
  <c r="G19" i="72"/>
  <c r="F19" i="72"/>
  <c r="E19" i="72"/>
  <c r="D19" i="72"/>
  <c r="C19" i="72"/>
  <c r="B19" i="72"/>
  <c r="A19" i="72"/>
  <c r="G15" i="72"/>
  <c r="G15" i="75" s="1"/>
  <c r="E15" i="72"/>
  <c r="E15" i="75" s="1"/>
  <c r="D15" i="72"/>
  <c r="D15" i="75" s="1"/>
  <c r="B15" i="72"/>
  <c r="B15" i="75" s="1"/>
  <c r="A15" i="72"/>
  <c r="A15" i="75" s="1"/>
  <c r="R13" i="72"/>
  <c r="L13" i="72"/>
  <c r="H13" i="72"/>
  <c r="G13" i="72"/>
  <c r="F13" i="72"/>
  <c r="E13" i="72"/>
  <c r="D13" i="72"/>
  <c r="C13" i="72"/>
  <c r="B13" i="72"/>
  <c r="A13" i="72"/>
  <c r="R12" i="72"/>
  <c r="L12" i="72"/>
  <c r="J11" i="72"/>
  <c r="I11" i="72"/>
  <c r="H11" i="72"/>
  <c r="G11" i="72"/>
  <c r="F11" i="72"/>
  <c r="E11" i="72"/>
  <c r="D11" i="72"/>
  <c r="C11" i="72"/>
  <c r="B11" i="72"/>
  <c r="A11" i="72"/>
  <c r="AC38" i="67"/>
  <c r="U38" i="67"/>
  <c r="L38" i="67"/>
  <c r="J37" i="67"/>
  <c r="I37" i="67"/>
  <c r="H37" i="67"/>
  <c r="G37" i="67"/>
  <c r="E37" i="67"/>
  <c r="D37" i="67"/>
  <c r="B37" i="67"/>
  <c r="A37" i="67"/>
  <c r="J34" i="67"/>
  <c r="I34" i="67"/>
  <c r="H34" i="67"/>
  <c r="G34" i="67"/>
  <c r="E34" i="67"/>
  <c r="D34" i="67"/>
  <c r="B34" i="67"/>
  <c r="A34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A31" i="67"/>
  <c r="AA29" i="67"/>
  <c r="Z29" i="67"/>
  <c r="Y29" i="67"/>
  <c r="X29" i="67"/>
  <c r="W29" i="67"/>
  <c r="V29" i="67"/>
  <c r="U29" i="67"/>
  <c r="T29" i="67"/>
  <c r="R29" i="67"/>
  <c r="Q29" i="67"/>
  <c r="P29" i="67"/>
  <c r="M29" i="67"/>
  <c r="L29" i="67"/>
  <c r="K29" i="67"/>
  <c r="J29" i="67"/>
  <c r="I29" i="67"/>
  <c r="H29" i="67"/>
  <c r="G29" i="67"/>
  <c r="F29" i="67"/>
  <c r="D29" i="67"/>
  <c r="C29" i="67"/>
  <c r="B29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E27" i="67"/>
  <c r="D27" i="67"/>
  <c r="C27" i="67"/>
  <c r="B27" i="67"/>
  <c r="A27" i="67"/>
  <c r="AK25" i="67"/>
  <c r="AJ25" i="67"/>
  <c r="AI25" i="67"/>
  <c r="AH25" i="67"/>
  <c r="AG25" i="67"/>
  <c r="AF25" i="67"/>
  <c r="AE25" i="67"/>
  <c r="AD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A25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A20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C19" i="67"/>
  <c r="B19" i="67"/>
  <c r="A19" i="67"/>
  <c r="G15" i="67"/>
  <c r="E15" i="67"/>
  <c r="D15" i="67"/>
  <c r="B15" i="67"/>
  <c r="A15" i="67"/>
  <c r="R13" i="67"/>
  <c r="L13" i="67"/>
  <c r="H13" i="67"/>
  <c r="G13" i="67"/>
  <c r="F13" i="67"/>
  <c r="E13" i="67"/>
  <c r="D13" i="67"/>
  <c r="C13" i="67"/>
  <c r="B13" i="67"/>
  <c r="A13" i="67"/>
  <c r="R12" i="67"/>
  <c r="L12" i="67"/>
  <c r="J11" i="67"/>
  <c r="I11" i="67"/>
  <c r="H11" i="67"/>
  <c r="G11" i="67"/>
  <c r="F11" i="67"/>
  <c r="E11" i="67"/>
  <c r="D11" i="67"/>
  <c r="C11" i="67"/>
  <c r="B11" i="67"/>
  <c r="A11" i="67"/>
  <c r="F65" i="68"/>
  <c r="E65" i="68"/>
  <c r="F62" i="68"/>
  <c r="E62" i="68"/>
  <c r="F61" i="68"/>
  <c r="E61" i="68"/>
  <c r="E59" i="68"/>
  <c r="F58" i="68"/>
  <c r="E58" i="68"/>
  <c r="F57" i="68"/>
  <c r="E57" i="68"/>
  <c r="F55" i="68"/>
  <c r="E55" i="68"/>
  <c r="F54" i="68"/>
  <c r="E54" i="68"/>
  <c r="F52" i="68"/>
  <c r="E52" i="68"/>
  <c r="F50" i="68"/>
  <c r="E50" i="68"/>
  <c r="F49" i="68"/>
  <c r="E49" i="68"/>
  <c r="F48" i="68"/>
  <c r="E48" i="68"/>
  <c r="F47" i="68"/>
  <c r="E47" i="68"/>
  <c r="F46" i="68"/>
  <c r="E46" i="68"/>
  <c r="F45" i="68"/>
  <c r="E45" i="68"/>
  <c r="F44" i="68"/>
  <c r="E44" i="68"/>
  <c r="F43" i="68"/>
  <c r="E43" i="68"/>
  <c r="F42" i="68"/>
  <c r="E42" i="68"/>
  <c r="F41" i="68"/>
  <c r="E41" i="68"/>
  <c r="F40" i="68"/>
  <c r="E40" i="68"/>
  <c r="F39" i="68"/>
  <c r="E39" i="68"/>
  <c r="F38" i="68"/>
  <c r="E38" i="68"/>
  <c r="F37" i="68"/>
  <c r="E37" i="68"/>
  <c r="F36" i="68"/>
  <c r="E36" i="68"/>
  <c r="F35" i="68"/>
  <c r="E35" i="68"/>
  <c r="F33" i="68"/>
  <c r="E33" i="68"/>
  <c r="F32" i="68"/>
  <c r="E32" i="68"/>
  <c r="F30" i="68"/>
  <c r="E30" i="68"/>
  <c r="F29" i="68"/>
  <c r="E29" i="68"/>
  <c r="F28" i="68"/>
  <c r="E28" i="68"/>
  <c r="F27" i="68"/>
  <c r="E27" i="68"/>
  <c r="F26" i="68"/>
  <c r="E26" i="68"/>
  <c r="F25" i="68"/>
  <c r="E25" i="68"/>
  <c r="F24" i="68"/>
  <c r="E24" i="68"/>
  <c r="F23" i="68"/>
  <c r="E23" i="68"/>
  <c r="F22" i="68"/>
  <c r="E22" i="68"/>
  <c r="F21" i="68"/>
  <c r="E21" i="68"/>
  <c r="F20" i="68"/>
  <c r="E20" i="68"/>
  <c r="F19" i="68"/>
  <c r="E19" i="68"/>
  <c r="F18" i="68"/>
  <c r="E18" i="68"/>
  <c r="F15" i="68"/>
  <c r="E15" i="68"/>
  <c r="F14" i="68"/>
  <c r="E14" i="68"/>
  <c r="F12" i="68"/>
  <c r="E12" i="68"/>
  <c r="F11" i="68"/>
  <c r="E11" i="68"/>
  <c r="F10" i="68"/>
  <c r="E10" i="68"/>
  <c r="F7" i="68"/>
  <c r="E7" i="68"/>
  <c r="F6" i="68"/>
  <c r="E6" i="68"/>
  <c r="E2" i="68"/>
  <c r="K210" i="66"/>
  <c r="I210" i="66"/>
  <c r="K209" i="66"/>
  <c r="I209" i="66"/>
  <c r="K208" i="66"/>
  <c r="I208" i="66"/>
  <c r="K207" i="66"/>
  <c r="I207" i="66"/>
  <c r="K206" i="66"/>
  <c r="I206" i="66"/>
  <c r="K205" i="66"/>
  <c r="I205" i="66"/>
  <c r="K204" i="66"/>
  <c r="I204" i="66"/>
  <c r="K203" i="66"/>
  <c r="I203" i="66"/>
  <c r="K202" i="66"/>
  <c r="I202" i="66"/>
  <c r="K201" i="66"/>
  <c r="I201" i="66"/>
  <c r="K200" i="66"/>
  <c r="I200" i="66"/>
  <c r="K199" i="66"/>
  <c r="I199" i="66"/>
  <c r="K198" i="66"/>
  <c r="I198" i="66"/>
  <c r="K197" i="66"/>
  <c r="I197" i="66"/>
  <c r="K196" i="66"/>
  <c r="I196" i="66"/>
  <c r="K195" i="66"/>
  <c r="I195" i="66"/>
  <c r="K194" i="66"/>
  <c r="I194" i="66"/>
  <c r="K193" i="66"/>
  <c r="I193" i="66"/>
  <c r="K192" i="66"/>
  <c r="I192" i="66"/>
  <c r="K191" i="66"/>
  <c r="I191" i="66"/>
  <c r="K190" i="66"/>
  <c r="I190" i="66"/>
  <c r="K189" i="66"/>
  <c r="I189" i="66"/>
  <c r="K188" i="66"/>
  <c r="I188" i="66"/>
  <c r="K187" i="66"/>
  <c r="I187" i="66"/>
  <c r="K186" i="66"/>
  <c r="I186" i="66"/>
  <c r="K185" i="66"/>
  <c r="I185" i="66"/>
  <c r="K184" i="66"/>
  <c r="I184" i="66"/>
  <c r="K183" i="66"/>
  <c r="I183" i="66"/>
  <c r="K182" i="66"/>
  <c r="I182" i="66"/>
  <c r="K181" i="66"/>
  <c r="I181" i="66"/>
  <c r="K180" i="66"/>
  <c r="I180" i="66"/>
  <c r="K178" i="66"/>
  <c r="I178" i="66"/>
  <c r="K177" i="66"/>
  <c r="I177" i="66"/>
  <c r="K176" i="66"/>
  <c r="I176" i="66"/>
  <c r="K175" i="66"/>
  <c r="I175" i="66"/>
  <c r="K174" i="66"/>
  <c r="I174" i="66"/>
  <c r="K173" i="66"/>
  <c r="I173" i="66"/>
  <c r="K172" i="66"/>
  <c r="I172" i="66"/>
  <c r="K171" i="66"/>
  <c r="I171" i="66"/>
  <c r="K170" i="66"/>
  <c r="I170" i="66"/>
  <c r="K169" i="66"/>
  <c r="I169" i="66"/>
  <c r="K168" i="66"/>
  <c r="I168" i="66"/>
  <c r="K167" i="66"/>
  <c r="I167" i="66"/>
  <c r="K166" i="66"/>
  <c r="I166" i="66"/>
  <c r="K165" i="66"/>
  <c r="I165" i="66"/>
  <c r="K164" i="66"/>
  <c r="I164" i="66"/>
  <c r="K163" i="66"/>
  <c r="I163" i="66"/>
  <c r="K162" i="66"/>
  <c r="I162" i="66"/>
  <c r="K161" i="66"/>
  <c r="I161" i="66"/>
  <c r="K160" i="66"/>
  <c r="I160" i="66"/>
  <c r="K159" i="66"/>
  <c r="I159" i="66"/>
  <c r="K158" i="66"/>
  <c r="I158" i="66"/>
  <c r="K157" i="66"/>
  <c r="I157" i="66"/>
  <c r="K156" i="66"/>
  <c r="I156" i="66"/>
  <c r="K155" i="66"/>
  <c r="I155" i="66"/>
  <c r="K154" i="66"/>
  <c r="I154" i="66"/>
  <c r="K153" i="66"/>
  <c r="I153" i="66"/>
  <c r="K152" i="66"/>
  <c r="I152" i="66"/>
  <c r="K151" i="66"/>
  <c r="I151" i="66"/>
  <c r="K150" i="66"/>
  <c r="I150" i="66"/>
  <c r="J148" i="66"/>
  <c r="E148" i="66"/>
  <c r="I147" i="66"/>
  <c r="E147" i="66"/>
  <c r="J146" i="66"/>
  <c r="E146" i="66"/>
  <c r="I145" i="66"/>
  <c r="E145" i="66"/>
  <c r="J144" i="66"/>
  <c r="E144" i="66"/>
  <c r="I143" i="66"/>
  <c r="E143" i="66"/>
  <c r="J142" i="66"/>
  <c r="E142" i="66"/>
  <c r="I141" i="66"/>
  <c r="E141" i="66"/>
  <c r="J140" i="66"/>
  <c r="J138" i="66"/>
  <c r="E138" i="66"/>
  <c r="I137" i="66"/>
  <c r="E137" i="66"/>
  <c r="J136" i="66"/>
  <c r="E136" i="66"/>
  <c r="I135" i="66"/>
  <c r="E135" i="66"/>
  <c r="J134" i="66"/>
  <c r="E134" i="66"/>
  <c r="I133" i="66"/>
  <c r="E133" i="66"/>
  <c r="J132" i="66"/>
  <c r="E132" i="66"/>
  <c r="I131" i="66"/>
  <c r="E131" i="66"/>
  <c r="J127" i="66"/>
  <c r="E127" i="66"/>
  <c r="I126" i="66"/>
  <c r="E126" i="66"/>
  <c r="J123" i="66"/>
  <c r="E123" i="66"/>
  <c r="I122" i="66"/>
  <c r="E122" i="66"/>
  <c r="J121" i="66"/>
  <c r="E121" i="66"/>
  <c r="I120" i="66"/>
  <c r="E120" i="66"/>
  <c r="J119" i="66"/>
  <c r="E119" i="66"/>
  <c r="I118" i="66"/>
  <c r="E118" i="66"/>
  <c r="J117" i="66"/>
  <c r="E117" i="66"/>
  <c r="I116" i="66"/>
  <c r="E116" i="66"/>
  <c r="J115" i="66"/>
  <c r="E115" i="66"/>
  <c r="I114" i="66"/>
  <c r="E114" i="66"/>
  <c r="J113" i="66"/>
  <c r="E113" i="66"/>
  <c r="I112" i="66"/>
  <c r="E112" i="66"/>
  <c r="J111" i="66"/>
  <c r="E111" i="66"/>
  <c r="I110" i="66"/>
  <c r="E110" i="66"/>
  <c r="J109" i="66"/>
  <c r="E109" i="66"/>
  <c r="I108" i="66"/>
  <c r="E108" i="66"/>
  <c r="J105" i="66"/>
  <c r="E105" i="66"/>
  <c r="I104" i="66"/>
  <c r="E104" i="66"/>
  <c r="J103" i="66"/>
  <c r="E103" i="66"/>
  <c r="I102" i="66"/>
  <c r="E102" i="66"/>
  <c r="J101" i="66"/>
  <c r="E101" i="66"/>
  <c r="I100" i="66"/>
  <c r="E100" i="66"/>
  <c r="J99" i="66"/>
  <c r="E99" i="66"/>
  <c r="I98" i="66"/>
  <c r="E98" i="66"/>
  <c r="J94" i="66"/>
  <c r="E94" i="66"/>
  <c r="I93" i="66"/>
  <c r="E93" i="66"/>
  <c r="J92" i="66"/>
  <c r="E92" i="66"/>
  <c r="I91" i="66"/>
  <c r="E91" i="66"/>
  <c r="J90" i="66"/>
  <c r="E90" i="66"/>
  <c r="I89" i="66"/>
  <c r="E89" i="66"/>
  <c r="J86" i="66"/>
  <c r="E86" i="66"/>
  <c r="I85" i="66"/>
  <c r="E85" i="66"/>
  <c r="J84" i="66"/>
  <c r="E84" i="66"/>
  <c r="I83" i="66"/>
  <c r="E83" i="66"/>
  <c r="J82" i="66"/>
  <c r="E82" i="66"/>
  <c r="I81" i="66"/>
  <c r="E81" i="66"/>
  <c r="J80" i="66"/>
  <c r="E80" i="66"/>
  <c r="I79" i="66"/>
  <c r="E79" i="66"/>
  <c r="J78" i="66"/>
  <c r="E78" i="66"/>
  <c r="I77" i="66"/>
  <c r="E77" i="66"/>
  <c r="J76" i="66"/>
  <c r="E76" i="66"/>
  <c r="I75" i="66"/>
  <c r="E75" i="66"/>
  <c r="J74" i="66"/>
  <c r="J70" i="66"/>
  <c r="E70" i="66"/>
  <c r="I69" i="66"/>
  <c r="E69" i="66"/>
  <c r="J68" i="66"/>
  <c r="E68" i="66"/>
  <c r="I67" i="66"/>
  <c r="E67" i="66"/>
  <c r="J63" i="66"/>
  <c r="E63" i="66"/>
  <c r="I62" i="66"/>
  <c r="E62" i="66"/>
  <c r="J61" i="66"/>
  <c r="E61" i="66"/>
  <c r="I60" i="66"/>
  <c r="E60" i="66"/>
  <c r="J59" i="66"/>
  <c r="E59" i="66"/>
  <c r="I58" i="66"/>
  <c r="E58" i="66"/>
  <c r="J57" i="66"/>
  <c r="E57" i="66"/>
  <c r="I56" i="66"/>
  <c r="E56" i="66"/>
  <c r="J55" i="66"/>
  <c r="E55" i="66"/>
  <c r="I54" i="66"/>
  <c r="E54" i="66"/>
  <c r="J53" i="66"/>
  <c r="E53" i="66"/>
  <c r="I52" i="66"/>
  <c r="E52" i="66"/>
  <c r="J49" i="66"/>
  <c r="E49" i="66"/>
  <c r="I48" i="66"/>
  <c r="E48" i="66"/>
  <c r="J47" i="66"/>
  <c r="E47" i="66"/>
  <c r="I46" i="66"/>
  <c r="E46" i="66"/>
  <c r="J45" i="66"/>
  <c r="E45" i="66"/>
  <c r="I44" i="66"/>
  <c r="E44" i="66"/>
  <c r="J43" i="66"/>
  <c r="E43" i="66"/>
  <c r="I42" i="66"/>
  <c r="E42" i="66"/>
  <c r="J41" i="66"/>
  <c r="E41" i="66"/>
  <c r="I40" i="66"/>
  <c r="E40" i="66"/>
  <c r="J39" i="66"/>
  <c r="E39" i="66"/>
  <c r="I38" i="66"/>
  <c r="E38" i="66"/>
  <c r="J37" i="66"/>
  <c r="E37" i="66"/>
  <c r="I36" i="66"/>
  <c r="E36" i="66"/>
  <c r="J32" i="66"/>
  <c r="E32" i="66"/>
  <c r="H31" i="66"/>
  <c r="E31" i="66"/>
  <c r="J30" i="66"/>
  <c r="E30" i="66"/>
  <c r="H29" i="66"/>
  <c r="E29" i="66"/>
  <c r="J26" i="66"/>
  <c r="E26" i="66"/>
  <c r="H25" i="66"/>
  <c r="E25" i="66"/>
  <c r="J24" i="66"/>
  <c r="E24" i="66"/>
  <c r="H23" i="66"/>
  <c r="E23" i="66"/>
  <c r="J22" i="66"/>
  <c r="E22" i="66"/>
  <c r="H21" i="66"/>
  <c r="E21" i="66"/>
  <c r="J20" i="66"/>
  <c r="E20" i="66"/>
  <c r="H19" i="66"/>
  <c r="E19" i="66"/>
  <c r="J18" i="66"/>
  <c r="E18" i="66"/>
  <c r="H17" i="66"/>
  <c r="E17" i="66"/>
  <c r="J16" i="66"/>
  <c r="E16" i="66"/>
  <c r="H15" i="66"/>
  <c r="E15" i="66"/>
  <c r="J14" i="66"/>
  <c r="E14" i="66"/>
  <c r="H13" i="66"/>
  <c r="E13" i="66"/>
  <c r="J12" i="66"/>
  <c r="J2" i="66"/>
  <c r="E2" i="66"/>
  <c r="AC38" i="85"/>
  <c r="AC38" i="87" s="1"/>
  <c r="U38" i="85"/>
  <c r="U38" i="87" s="1"/>
  <c r="L38" i="85"/>
  <c r="L38" i="87" s="1"/>
  <c r="J37" i="85"/>
  <c r="J37" i="87" s="1"/>
  <c r="I37" i="85"/>
  <c r="I37" i="87" s="1"/>
  <c r="H37" i="85"/>
  <c r="H37" i="87" s="1"/>
  <c r="G37" i="85"/>
  <c r="G37" i="87" s="1"/>
  <c r="E37" i="85"/>
  <c r="E37" i="87" s="1"/>
  <c r="D37" i="85"/>
  <c r="D37" i="87" s="1"/>
  <c r="B37" i="85"/>
  <c r="B37" i="87" s="1"/>
  <c r="A37" i="85"/>
  <c r="A37" i="87" s="1"/>
  <c r="J34" i="85"/>
  <c r="J34" i="87" s="1"/>
  <c r="I34" i="85"/>
  <c r="I34" i="87" s="1"/>
  <c r="H34" i="85"/>
  <c r="H34" i="87" s="1"/>
  <c r="G34" i="85"/>
  <c r="G34" i="87" s="1"/>
  <c r="E34" i="85"/>
  <c r="E34" i="87" s="1"/>
  <c r="D34" i="85"/>
  <c r="D34" i="87" s="1"/>
  <c r="B34" i="85"/>
  <c r="B34" i="87" s="1"/>
  <c r="A34" i="85"/>
  <c r="A34" i="87" s="1"/>
  <c r="AK31" i="85"/>
  <c r="AK31" i="87" s="1"/>
  <c r="AJ31" i="85"/>
  <c r="AJ31" i="87" s="1"/>
  <c r="AI31" i="85"/>
  <c r="AI31" i="87" s="1"/>
  <c r="AH31" i="85"/>
  <c r="AH31" i="87" s="1"/>
  <c r="AG31" i="85"/>
  <c r="AG31" i="87" s="1"/>
  <c r="AF31" i="85"/>
  <c r="AF31" i="87" s="1"/>
  <c r="AE31" i="85"/>
  <c r="AE31" i="87" s="1"/>
  <c r="AD31" i="85"/>
  <c r="AD31" i="87" s="1"/>
  <c r="AC31" i="85"/>
  <c r="AC31" i="87" s="1"/>
  <c r="AB31" i="85"/>
  <c r="AB31" i="87" s="1"/>
  <c r="AA31" i="85"/>
  <c r="AA31" i="87" s="1"/>
  <c r="Z31" i="85"/>
  <c r="Z31" i="87" s="1"/>
  <c r="Y31" i="85"/>
  <c r="Y31" i="87" s="1"/>
  <c r="X31" i="85"/>
  <c r="X31" i="87" s="1"/>
  <c r="W31" i="85"/>
  <c r="W31" i="87" s="1"/>
  <c r="V31" i="85"/>
  <c r="V31" i="87" s="1"/>
  <c r="U31" i="85"/>
  <c r="U31" i="87" s="1"/>
  <c r="T31" i="85"/>
  <c r="T31" i="87" s="1"/>
  <c r="S31" i="85"/>
  <c r="S31" i="87" s="1"/>
  <c r="R31" i="85"/>
  <c r="R31" i="87" s="1"/>
  <c r="Q31" i="85"/>
  <c r="Q31" i="87" s="1"/>
  <c r="P31" i="85"/>
  <c r="P31" i="87" s="1"/>
  <c r="O31" i="85"/>
  <c r="O31" i="87" s="1"/>
  <c r="N31" i="85"/>
  <c r="N31" i="87" s="1"/>
  <c r="M31" i="85"/>
  <c r="M31" i="87" s="1"/>
  <c r="L31" i="85"/>
  <c r="L31" i="87" s="1"/>
  <c r="K31" i="85"/>
  <c r="K31" i="87" s="1"/>
  <c r="J31" i="85"/>
  <c r="J31" i="87" s="1"/>
  <c r="I31" i="85"/>
  <c r="I31" i="87" s="1"/>
  <c r="H31" i="85"/>
  <c r="H31" i="87" s="1"/>
  <c r="G31" i="85"/>
  <c r="G31" i="87" s="1"/>
  <c r="F31" i="85"/>
  <c r="F31" i="87" s="1"/>
  <c r="E31" i="85"/>
  <c r="E31" i="87" s="1"/>
  <c r="D31" i="85"/>
  <c r="D31" i="87" s="1"/>
  <c r="C31" i="85"/>
  <c r="C31" i="87" s="1"/>
  <c r="B31" i="85"/>
  <c r="B31" i="87" s="1"/>
  <c r="A31" i="85"/>
  <c r="A31" i="87" s="1"/>
  <c r="AA29" i="85"/>
  <c r="AA29" i="87" s="1"/>
  <c r="Z29" i="85"/>
  <c r="Z29" i="87" s="1"/>
  <c r="Y29" i="85"/>
  <c r="Y29" i="87" s="1"/>
  <c r="X29" i="85"/>
  <c r="X29" i="87" s="1"/>
  <c r="W29" i="85"/>
  <c r="W29" i="87" s="1"/>
  <c r="V29" i="85"/>
  <c r="V29" i="87" s="1"/>
  <c r="U29" i="85"/>
  <c r="U29" i="87" s="1"/>
  <c r="T29" i="85"/>
  <c r="T29" i="87" s="1"/>
  <c r="R29" i="85"/>
  <c r="R29" i="87" s="1"/>
  <c r="Q29" i="85"/>
  <c r="Q29" i="87" s="1"/>
  <c r="P29" i="85"/>
  <c r="P29" i="87" s="1"/>
  <c r="M29" i="85"/>
  <c r="M29" i="87" s="1"/>
  <c r="L29" i="85"/>
  <c r="L29" i="87" s="1"/>
  <c r="K29" i="85"/>
  <c r="K29" i="87" s="1"/>
  <c r="J29" i="85"/>
  <c r="J29" i="87" s="1"/>
  <c r="I29" i="85"/>
  <c r="I29" i="87" s="1"/>
  <c r="H29" i="85"/>
  <c r="H29" i="87" s="1"/>
  <c r="G29" i="85"/>
  <c r="G29" i="87" s="1"/>
  <c r="F29" i="85"/>
  <c r="F29" i="87" s="1"/>
  <c r="D29" i="85"/>
  <c r="D29" i="87" s="1"/>
  <c r="C29" i="85"/>
  <c r="C29" i="87" s="1"/>
  <c r="B29" i="85"/>
  <c r="B29" i="87" s="1"/>
  <c r="AK27" i="85"/>
  <c r="AK27" i="87" s="1"/>
  <c r="AJ27" i="85"/>
  <c r="AJ27" i="87" s="1"/>
  <c r="AI27" i="85"/>
  <c r="AI27" i="87" s="1"/>
  <c r="AH27" i="85"/>
  <c r="AH27" i="87" s="1"/>
  <c r="AG27" i="85"/>
  <c r="AG27" i="87" s="1"/>
  <c r="AF27" i="85"/>
  <c r="AF27" i="87" s="1"/>
  <c r="AE27" i="85"/>
  <c r="AE27" i="87" s="1"/>
  <c r="AD27" i="85"/>
  <c r="AD27" i="87" s="1"/>
  <c r="AC27" i="85"/>
  <c r="AC27" i="87" s="1"/>
  <c r="AB27" i="85"/>
  <c r="AB27" i="87" s="1"/>
  <c r="AA27" i="85"/>
  <c r="AA27" i="87" s="1"/>
  <c r="Z27" i="85"/>
  <c r="Z27" i="87" s="1"/>
  <c r="Y27" i="85"/>
  <c r="Y27" i="87" s="1"/>
  <c r="X27" i="85"/>
  <c r="X27" i="87" s="1"/>
  <c r="W27" i="85"/>
  <c r="W27" i="87" s="1"/>
  <c r="V27" i="85"/>
  <c r="V27" i="87" s="1"/>
  <c r="U27" i="85"/>
  <c r="U27" i="87" s="1"/>
  <c r="T27" i="85"/>
  <c r="T27" i="87" s="1"/>
  <c r="S27" i="85"/>
  <c r="S27" i="87" s="1"/>
  <c r="R27" i="85"/>
  <c r="R27" i="87" s="1"/>
  <c r="Q27" i="85"/>
  <c r="Q27" i="87" s="1"/>
  <c r="P27" i="85"/>
  <c r="P27" i="87" s="1"/>
  <c r="O27" i="85"/>
  <c r="O27" i="87" s="1"/>
  <c r="N27" i="85"/>
  <c r="N27" i="87" s="1"/>
  <c r="M27" i="85"/>
  <c r="M27" i="87" s="1"/>
  <c r="L27" i="85"/>
  <c r="L27" i="87" s="1"/>
  <c r="K27" i="85"/>
  <c r="K27" i="87" s="1"/>
  <c r="J27" i="85"/>
  <c r="J27" i="87" s="1"/>
  <c r="I27" i="85"/>
  <c r="I27" i="87" s="1"/>
  <c r="H27" i="85"/>
  <c r="H27" i="87" s="1"/>
  <c r="G27" i="85"/>
  <c r="G27" i="87" s="1"/>
  <c r="E27" i="85"/>
  <c r="E27" i="87" s="1"/>
  <c r="D27" i="85"/>
  <c r="D27" i="87" s="1"/>
  <c r="C27" i="85"/>
  <c r="C27" i="87" s="1"/>
  <c r="B27" i="85"/>
  <c r="B27" i="87" s="1"/>
  <c r="A27" i="85"/>
  <c r="A27" i="87" s="1"/>
  <c r="AK25" i="85"/>
  <c r="AK25" i="87" s="1"/>
  <c r="AJ25" i="85"/>
  <c r="AJ25" i="87" s="1"/>
  <c r="AI25" i="85"/>
  <c r="AI25" i="87" s="1"/>
  <c r="AH25" i="85"/>
  <c r="AH25" i="87" s="1"/>
  <c r="AG25" i="85"/>
  <c r="AG25" i="87" s="1"/>
  <c r="AF25" i="85"/>
  <c r="AF25" i="87" s="1"/>
  <c r="AE25" i="85"/>
  <c r="AE25" i="87" s="1"/>
  <c r="AD25" i="85"/>
  <c r="AD25" i="87" s="1"/>
  <c r="AB25" i="85"/>
  <c r="AB25" i="87" s="1"/>
  <c r="AA25" i="85"/>
  <c r="AA25" i="87" s="1"/>
  <c r="Z25" i="85"/>
  <c r="Z25" i="87" s="1"/>
  <c r="Y25" i="85"/>
  <c r="Y25" i="87" s="1"/>
  <c r="X25" i="85"/>
  <c r="X25" i="87" s="1"/>
  <c r="W25" i="85"/>
  <c r="W25" i="87" s="1"/>
  <c r="V25" i="85"/>
  <c r="V25" i="87" s="1"/>
  <c r="U25" i="85"/>
  <c r="U25" i="87" s="1"/>
  <c r="T25" i="85"/>
  <c r="T25" i="87" s="1"/>
  <c r="S25" i="85"/>
  <c r="S25" i="87" s="1"/>
  <c r="R25" i="85"/>
  <c r="R25" i="87" s="1"/>
  <c r="Q25" i="85"/>
  <c r="Q25" i="87" s="1"/>
  <c r="P25" i="85"/>
  <c r="P25" i="87" s="1"/>
  <c r="O25" i="85"/>
  <c r="O25" i="87" s="1"/>
  <c r="N25" i="85"/>
  <c r="N25" i="87" s="1"/>
  <c r="M25" i="85"/>
  <c r="M25" i="87" s="1"/>
  <c r="L25" i="85"/>
  <c r="L25" i="87" s="1"/>
  <c r="K25" i="85"/>
  <c r="K25" i="87" s="1"/>
  <c r="J25" i="85"/>
  <c r="J25" i="87" s="1"/>
  <c r="I25" i="85"/>
  <c r="I25" i="87" s="1"/>
  <c r="H25" i="85"/>
  <c r="H25" i="87" s="1"/>
  <c r="G25" i="85"/>
  <c r="G25" i="87" s="1"/>
  <c r="F25" i="85"/>
  <c r="F25" i="87" s="1"/>
  <c r="E25" i="85"/>
  <c r="E25" i="87" s="1"/>
  <c r="D25" i="85"/>
  <c r="D25" i="87" s="1"/>
  <c r="C25" i="85"/>
  <c r="C25" i="87" s="1"/>
  <c r="B25" i="85"/>
  <c r="B25" i="87" s="1"/>
  <c r="A25" i="85"/>
  <c r="A25" i="87" s="1"/>
  <c r="AK22" i="85"/>
  <c r="AJ22" i="85"/>
  <c r="AI22" i="85"/>
  <c r="AH22" i="85"/>
  <c r="AG22" i="85"/>
  <c r="AF22" i="85"/>
  <c r="AE22" i="85"/>
  <c r="AD22" i="85"/>
  <c r="AC22" i="85"/>
  <c r="AB22" i="85"/>
  <c r="AA22" i="85"/>
  <c r="Z22" i="85"/>
  <c r="Y22" i="85"/>
  <c r="X22" i="85"/>
  <c r="W22" i="85"/>
  <c r="V22" i="85"/>
  <c r="U22" i="85"/>
  <c r="T22" i="85"/>
  <c r="S22" i="85"/>
  <c r="R22" i="85"/>
  <c r="Q22" i="85"/>
  <c r="P22" i="85"/>
  <c r="O22" i="85"/>
  <c r="N22" i="85"/>
  <c r="M22" i="85"/>
  <c r="L22" i="85"/>
  <c r="K22" i="85"/>
  <c r="J22" i="85"/>
  <c r="I22" i="85"/>
  <c r="H22" i="85"/>
  <c r="G22" i="85"/>
  <c r="AK20" i="85"/>
  <c r="AK20" i="87" s="1"/>
  <c r="AJ20" i="85"/>
  <c r="AJ20" i="87" s="1"/>
  <c r="AI20" i="85"/>
  <c r="AI20" i="87" s="1"/>
  <c r="AH20" i="85"/>
  <c r="AH20" i="87" s="1"/>
  <c r="AG20" i="85"/>
  <c r="AG20" i="87" s="1"/>
  <c r="AF20" i="85"/>
  <c r="AF20" i="87" s="1"/>
  <c r="AE20" i="85"/>
  <c r="AE20" i="87" s="1"/>
  <c r="AD20" i="85"/>
  <c r="AD20" i="87" s="1"/>
  <c r="AC20" i="85"/>
  <c r="AC20" i="87" s="1"/>
  <c r="AB20" i="85"/>
  <c r="AB20" i="87" s="1"/>
  <c r="AA20" i="85"/>
  <c r="AA20" i="87" s="1"/>
  <c r="Z20" i="85"/>
  <c r="Z20" i="87" s="1"/>
  <c r="Y20" i="85"/>
  <c r="Y20" i="87" s="1"/>
  <c r="X20" i="85"/>
  <c r="X20" i="87" s="1"/>
  <c r="W20" i="85"/>
  <c r="W20" i="87" s="1"/>
  <c r="V20" i="85"/>
  <c r="V20" i="87" s="1"/>
  <c r="U20" i="85"/>
  <c r="U20" i="87" s="1"/>
  <c r="T20" i="85"/>
  <c r="T20" i="87" s="1"/>
  <c r="S20" i="85"/>
  <c r="S20" i="87" s="1"/>
  <c r="R20" i="85"/>
  <c r="R20" i="87" s="1"/>
  <c r="Q20" i="85"/>
  <c r="Q20" i="87" s="1"/>
  <c r="P20" i="85"/>
  <c r="P20" i="87" s="1"/>
  <c r="O20" i="85"/>
  <c r="O20" i="87" s="1"/>
  <c r="N20" i="85"/>
  <c r="N20" i="87" s="1"/>
  <c r="M20" i="85"/>
  <c r="M20" i="87" s="1"/>
  <c r="L20" i="85"/>
  <c r="L20" i="87" s="1"/>
  <c r="K20" i="85"/>
  <c r="K20" i="87" s="1"/>
  <c r="J20" i="85"/>
  <c r="J20" i="87" s="1"/>
  <c r="I20" i="85"/>
  <c r="I20" i="87" s="1"/>
  <c r="H20" i="85"/>
  <c r="H20" i="87" s="1"/>
  <c r="G20" i="85"/>
  <c r="G20" i="87" s="1"/>
  <c r="F20" i="85"/>
  <c r="F20" i="87" s="1"/>
  <c r="E20" i="85"/>
  <c r="E20" i="87" s="1"/>
  <c r="D20" i="85"/>
  <c r="D20" i="87" s="1"/>
  <c r="C20" i="85"/>
  <c r="C20" i="87" s="1"/>
  <c r="B20" i="85"/>
  <c r="B20" i="87" s="1"/>
  <c r="A20" i="85"/>
  <c r="A20" i="87" s="1"/>
  <c r="AK19" i="85"/>
  <c r="AK19" i="87" s="1"/>
  <c r="AJ19" i="85"/>
  <c r="AJ19" i="87" s="1"/>
  <c r="AI19" i="85"/>
  <c r="AI19" i="87" s="1"/>
  <c r="AH19" i="85"/>
  <c r="AH19" i="87" s="1"/>
  <c r="AG19" i="85"/>
  <c r="AG19" i="87" s="1"/>
  <c r="AF19" i="85"/>
  <c r="AF19" i="87" s="1"/>
  <c r="AE19" i="85"/>
  <c r="AE19" i="87" s="1"/>
  <c r="AD19" i="85"/>
  <c r="AD19" i="87" s="1"/>
  <c r="AC19" i="85"/>
  <c r="AC19" i="87" s="1"/>
  <c r="AB19" i="85"/>
  <c r="AB19" i="87" s="1"/>
  <c r="AA19" i="85"/>
  <c r="AA19" i="87" s="1"/>
  <c r="Z19" i="85"/>
  <c r="Z19" i="87" s="1"/>
  <c r="Y19" i="85"/>
  <c r="Y19" i="87" s="1"/>
  <c r="X19" i="85"/>
  <c r="X19" i="87" s="1"/>
  <c r="W19" i="85"/>
  <c r="W19" i="87" s="1"/>
  <c r="V19" i="85"/>
  <c r="V19" i="87" s="1"/>
  <c r="U19" i="85"/>
  <c r="U19" i="87" s="1"/>
  <c r="T19" i="85"/>
  <c r="T19" i="87" s="1"/>
  <c r="S19" i="85"/>
  <c r="S19" i="87" s="1"/>
  <c r="R19" i="85"/>
  <c r="R19" i="87" s="1"/>
  <c r="Q19" i="85"/>
  <c r="Q19" i="87" s="1"/>
  <c r="P19" i="85"/>
  <c r="P19" i="87" s="1"/>
  <c r="O19" i="85"/>
  <c r="O19" i="87" s="1"/>
  <c r="N19" i="85"/>
  <c r="N19" i="87" s="1"/>
  <c r="M19" i="85"/>
  <c r="M19" i="87" s="1"/>
  <c r="L19" i="85"/>
  <c r="L19" i="87" s="1"/>
  <c r="K19" i="85"/>
  <c r="K19" i="87" s="1"/>
  <c r="J19" i="85"/>
  <c r="J19" i="87" s="1"/>
  <c r="I19" i="85"/>
  <c r="I19" i="87" s="1"/>
  <c r="H19" i="85"/>
  <c r="H19" i="87" s="1"/>
  <c r="G19" i="85"/>
  <c r="G19" i="87" s="1"/>
  <c r="F19" i="85"/>
  <c r="F19" i="87" s="1"/>
  <c r="E19" i="85"/>
  <c r="E19" i="87" s="1"/>
  <c r="D19" i="85"/>
  <c r="D19" i="87" s="1"/>
  <c r="C19" i="85"/>
  <c r="C19" i="87" s="1"/>
  <c r="B19" i="85"/>
  <c r="B19" i="87" s="1"/>
  <c r="A19" i="85"/>
  <c r="A19" i="87" s="1"/>
  <c r="G15" i="85"/>
  <c r="G15" i="87" s="1"/>
  <c r="E15" i="85"/>
  <c r="E15" i="87" s="1"/>
  <c r="D15" i="85"/>
  <c r="D15" i="87" s="1"/>
  <c r="B15" i="85"/>
  <c r="B15" i="87" s="1"/>
  <c r="A15" i="85"/>
  <c r="A15" i="87" s="1"/>
  <c r="H13" i="85"/>
  <c r="H13" i="87" s="1"/>
  <c r="G13" i="85"/>
  <c r="G13" i="87" s="1"/>
  <c r="F13" i="85"/>
  <c r="F13" i="87" s="1"/>
  <c r="E13" i="85"/>
  <c r="E13" i="87" s="1"/>
  <c r="D13" i="85"/>
  <c r="D13" i="87" s="1"/>
  <c r="C13" i="85"/>
  <c r="C13" i="87" s="1"/>
  <c r="B13" i="85"/>
  <c r="B13" i="87" s="1"/>
  <c r="A13" i="85"/>
  <c r="A13" i="87" s="1"/>
  <c r="R12" i="85"/>
  <c r="R12" i="87" s="1"/>
  <c r="L12" i="85"/>
  <c r="L12" i="87" s="1"/>
  <c r="R11" i="85"/>
  <c r="R11" i="87" s="1"/>
  <c r="L11" i="85"/>
  <c r="L11" i="87" s="1"/>
  <c r="J11" i="85"/>
  <c r="J11" i="87" s="1"/>
  <c r="I11" i="85"/>
  <c r="I11" i="87" s="1"/>
  <c r="H11" i="85"/>
  <c r="H11" i="87" s="1"/>
  <c r="G11" i="85"/>
  <c r="G11" i="87" s="1"/>
  <c r="F11" i="85"/>
  <c r="F11" i="87" s="1"/>
  <c r="E11" i="85"/>
  <c r="E11" i="87" s="1"/>
  <c r="D11" i="85"/>
  <c r="D11" i="87" s="1"/>
  <c r="C11" i="85"/>
  <c r="C11" i="87" s="1"/>
  <c r="B11" i="85"/>
  <c r="B11" i="87" s="1"/>
  <c r="A11" i="85"/>
  <c r="A11" i="87" s="1"/>
  <c r="E63" i="61"/>
  <c r="F60" i="68" s="1"/>
  <c r="D63" i="61"/>
  <c r="E60" i="68" s="1"/>
  <c r="E62" i="61"/>
  <c r="E66" i="61" s="1"/>
  <c r="D62" i="61"/>
  <c r="E56" i="61"/>
  <c r="D56" i="61"/>
  <c r="E53" i="76" s="1"/>
  <c r="E37" i="61"/>
  <c r="F10" i="39" s="1"/>
  <c r="D37" i="61"/>
  <c r="E34" i="68" s="1"/>
  <c r="E20" i="61"/>
  <c r="D20" i="61"/>
  <c r="E17" i="76" s="1"/>
  <c r="E16" i="61"/>
  <c r="D16" i="61"/>
  <c r="E13" i="76" s="1"/>
  <c r="E12" i="61"/>
  <c r="F9" i="76" s="1"/>
  <c r="D12" i="61"/>
  <c r="E9" i="76" s="1"/>
  <c r="E11" i="61"/>
  <c r="D11" i="61"/>
  <c r="E8" i="68" s="1"/>
  <c r="G70" i="60"/>
  <c r="H140" i="80" s="1"/>
  <c r="F70" i="60"/>
  <c r="G139" i="80" s="1"/>
  <c r="E70" i="60"/>
  <c r="D70" i="60"/>
  <c r="D139" i="80" s="1"/>
  <c r="G64" i="60"/>
  <c r="H125" i="80" s="1"/>
  <c r="F64" i="60"/>
  <c r="G124" i="78" s="1"/>
  <c r="E64" i="60"/>
  <c r="D64" i="60"/>
  <c r="D124" i="80" s="1"/>
  <c r="G55" i="60"/>
  <c r="H107" i="80" s="1"/>
  <c r="F55" i="60"/>
  <c r="G106" i="78" s="1"/>
  <c r="E55" i="60"/>
  <c r="D55" i="60"/>
  <c r="D106" i="80" s="1"/>
  <c r="G47" i="60"/>
  <c r="H88" i="80" s="1"/>
  <c r="F47" i="60"/>
  <c r="G87" i="78" s="1"/>
  <c r="E47" i="60"/>
  <c r="D47" i="60"/>
  <c r="D87" i="80" s="1"/>
  <c r="G40" i="60"/>
  <c r="H74" i="80" s="1"/>
  <c r="F40" i="60"/>
  <c r="G73" i="80" s="1"/>
  <c r="E40" i="60"/>
  <c r="E39" i="60" s="1"/>
  <c r="D40" i="60"/>
  <c r="D73" i="80" s="1"/>
  <c r="G39" i="60"/>
  <c r="H72" i="80" s="1"/>
  <c r="F39" i="60"/>
  <c r="G71" i="78" s="1"/>
  <c r="D39" i="60"/>
  <c r="D71" i="80" s="1"/>
  <c r="G30" i="60"/>
  <c r="H51" i="80" s="1"/>
  <c r="F30" i="60"/>
  <c r="G50" i="78" s="1"/>
  <c r="E30" i="60"/>
  <c r="D30" i="60"/>
  <c r="D50" i="80" s="1"/>
  <c r="G20" i="60"/>
  <c r="H28" i="80" s="1"/>
  <c r="F20" i="60"/>
  <c r="G27" i="78" s="1"/>
  <c r="E20" i="60"/>
  <c r="D20" i="60"/>
  <c r="D27" i="80" s="1"/>
  <c r="G12" i="60"/>
  <c r="H12" i="80" s="1"/>
  <c r="F12" i="60"/>
  <c r="G11" i="80" s="1"/>
  <c r="E12" i="60"/>
  <c r="D12" i="60"/>
  <c r="D11" i="80" s="1"/>
  <c r="G11" i="60"/>
  <c r="H10" i="80" s="1"/>
  <c r="F11" i="60"/>
  <c r="G9" i="78" s="1"/>
  <c r="E11" i="60"/>
  <c r="D11" i="60"/>
  <c r="D9" i="80" s="1"/>
  <c r="Q10" i="60"/>
  <c r="F10" i="60"/>
  <c r="Q9" i="60"/>
  <c r="Q8" i="60"/>
  <c r="Q7" i="60"/>
  <c r="Q6" i="60"/>
  <c r="Q5" i="60"/>
  <c r="F12" i="43"/>
  <c r="C12" i="43"/>
  <c r="J12" i="43" s="1"/>
  <c r="K11" i="43"/>
  <c r="J11" i="43"/>
  <c r="K10" i="43"/>
  <c r="J10" i="43"/>
  <c r="K4" i="43"/>
  <c r="J4" i="43"/>
  <c r="I25" i="41"/>
  <c r="H25" i="41"/>
  <c r="F25" i="41"/>
  <c r="E25" i="41"/>
  <c r="F22" i="41"/>
  <c r="E22" i="41"/>
  <c r="I20" i="41"/>
  <c r="H20" i="41"/>
  <c r="I19" i="41"/>
  <c r="H19" i="41"/>
  <c r="F19" i="41"/>
  <c r="E19" i="41"/>
  <c r="F14" i="41"/>
  <c r="E14" i="41"/>
  <c r="F10" i="41"/>
  <c r="E10" i="41"/>
  <c r="F4" i="41"/>
  <c r="E4" i="41"/>
  <c r="I3" i="41"/>
  <c r="H3" i="41"/>
  <c r="F3" i="41"/>
  <c r="E3" i="41"/>
  <c r="C9" i="40"/>
  <c r="F9" i="40" s="1"/>
  <c r="B9" i="40"/>
  <c r="E9" i="40" s="1"/>
  <c r="I7" i="40"/>
  <c r="H7" i="40"/>
  <c r="I5" i="40"/>
  <c r="H5" i="40"/>
  <c r="I3" i="40"/>
  <c r="I4" i="40" s="1"/>
  <c r="H3" i="40"/>
  <c r="H4" i="40" s="1"/>
  <c r="F17" i="39"/>
  <c r="E17" i="39"/>
  <c r="F11" i="39"/>
  <c r="E11" i="39"/>
  <c r="E10" i="39"/>
  <c r="R12" i="38"/>
  <c r="Q12" i="38"/>
  <c r="H7" i="38"/>
  <c r="F7" i="38"/>
  <c r="L12" i="38" s="1"/>
  <c r="E7" i="38"/>
  <c r="K12" i="38" s="1"/>
  <c r="D7" i="38"/>
  <c r="J7" i="38" s="1"/>
  <c r="C7" i="38"/>
  <c r="I7" i="38" s="1"/>
  <c r="B7" i="38"/>
  <c r="O6" i="38"/>
  <c r="N6" i="38"/>
  <c r="L6" i="38"/>
  <c r="K6" i="38"/>
  <c r="O5" i="38"/>
  <c r="N5" i="38"/>
  <c r="L5" i="38"/>
  <c r="K5" i="38"/>
  <c r="O4" i="38"/>
  <c r="N4" i="38"/>
  <c r="L4" i="38"/>
  <c r="K4" i="38"/>
  <c r="G8" i="37"/>
  <c r="F8" i="37"/>
  <c r="E8" i="37"/>
  <c r="D8" i="37"/>
  <c r="C8" i="37"/>
  <c r="B8" i="37"/>
  <c r="J7" i="36"/>
  <c r="G7" i="36"/>
  <c r="O7" i="36" s="1"/>
  <c r="F7" i="36"/>
  <c r="N7" i="36" s="1"/>
  <c r="E7" i="36"/>
  <c r="M7" i="36" s="1"/>
  <c r="D7" i="36"/>
  <c r="L7" i="36" s="1"/>
  <c r="C7" i="36"/>
  <c r="K7" i="36" s="1"/>
  <c r="B7" i="36"/>
  <c r="C8" i="35"/>
  <c r="B8" i="35"/>
  <c r="F13" i="33"/>
  <c r="C13" i="33"/>
  <c r="I13" i="33" s="1"/>
  <c r="B13" i="33"/>
  <c r="H13" i="33" s="1"/>
  <c r="C9" i="33"/>
  <c r="F9" i="33" s="1"/>
  <c r="B9" i="33"/>
  <c r="E9" i="33" s="1"/>
  <c r="E6" i="33"/>
  <c r="C6" i="33"/>
  <c r="I6" i="33" s="1"/>
  <c r="B6" i="33"/>
  <c r="H6" i="33" s="1"/>
  <c r="C3" i="33"/>
  <c r="F3" i="33" s="1"/>
  <c r="B3" i="33"/>
  <c r="E3" i="33" s="1"/>
  <c r="I19" i="32"/>
  <c r="H19" i="32"/>
  <c r="I8" i="32"/>
  <c r="H8" i="32"/>
  <c r="I4" i="32"/>
  <c r="H4" i="32"/>
  <c r="C7" i="30"/>
  <c r="B7" i="30"/>
  <c r="F8" i="28"/>
  <c r="C8" i="28"/>
  <c r="I8" i="28" s="1"/>
  <c r="B8" i="28"/>
  <c r="H8" i="28" s="1"/>
  <c r="C5" i="28"/>
  <c r="F5" i="28" s="1"/>
  <c r="B5" i="28"/>
  <c r="E5" i="28" s="1"/>
  <c r="F35" i="27"/>
  <c r="L35" i="27" s="1"/>
  <c r="L34" i="27"/>
  <c r="F34" i="27"/>
  <c r="F33" i="27"/>
  <c r="L33" i="27" s="1"/>
  <c r="L32" i="27"/>
  <c r="F32" i="27"/>
  <c r="N14" i="27" s="1"/>
  <c r="F31" i="27"/>
  <c r="L31" i="27" s="1"/>
  <c r="L30" i="27"/>
  <c r="F30" i="27"/>
  <c r="K29" i="27"/>
  <c r="I29" i="27"/>
  <c r="E29" i="27"/>
  <c r="D29" i="27"/>
  <c r="J29" i="27" s="1"/>
  <c r="C29" i="27"/>
  <c r="B29" i="27"/>
  <c r="H29" i="27" s="1"/>
  <c r="F28" i="27"/>
  <c r="L28" i="27" s="1"/>
  <c r="F27" i="27"/>
  <c r="L27" i="27" s="1"/>
  <c r="L26" i="27"/>
  <c r="F26" i="27"/>
  <c r="F25" i="27"/>
  <c r="L25" i="27" s="1"/>
  <c r="F24" i="27"/>
  <c r="L24" i="27" s="1"/>
  <c r="J23" i="27"/>
  <c r="E23" i="27"/>
  <c r="K23" i="27" s="1"/>
  <c r="D23" i="27"/>
  <c r="C23" i="27"/>
  <c r="I23" i="27" s="1"/>
  <c r="B23" i="27"/>
  <c r="N17" i="27"/>
  <c r="F17" i="27"/>
  <c r="L17" i="27" s="1"/>
  <c r="N16" i="27"/>
  <c r="F16" i="27"/>
  <c r="L16" i="27" s="1"/>
  <c r="L15" i="27"/>
  <c r="F15" i="27"/>
  <c r="L14" i="27"/>
  <c r="F14" i="27"/>
  <c r="N13" i="27"/>
  <c r="F13" i="27"/>
  <c r="L13" i="27" s="1"/>
  <c r="N12" i="27"/>
  <c r="F12" i="27"/>
  <c r="L12" i="27" s="1"/>
  <c r="E11" i="27"/>
  <c r="K11" i="27" s="1"/>
  <c r="D11" i="27"/>
  <c r="J11" i="27" s="1"/>
  <c r="C11" i="27"/>
  <c r="I11" i="27" s="1"/>
  <c r="B11" i="27"/>
  <c r="N10" i="27"/>
  <c r="F10" i="27"/>
  <c r="L10" i="27" s="1"/>
  <c r="F9" i="27"/>
  <c r="L9" i="27" s="1"/>
  <c r="N8" i="27"/>
  <c r="F8" i="27"/>
  <c r="L8" i="27" s="1"/>
  <c r="F7" i="27"/>
  <c r="L7" i="27" s="1"/>
  <c r="L6" i="27"/>
  <c r="F6" i="27"/>
  <c r="K5" i="27"/>
  <c r="E5" i="27"/>
  <c r="D5" i="27"/>
  <c r="J5" i="27" s="1"/>
  <c r="C5" i="27"/>
  <c r="I5" i="27" s="1"/>
  <c r="B5" i="27"/>
  <c r="F5" i="27" s="1"/>
  <c r="F44" i="50"/>
  <c r="K22" i="50" s="1"/>
  <c r="I43" i="50"/>
  <c r="F43" i="50"/>
  <c r="K21" i="50" s="1"/>
  <c r="F42" i="50"/>
  <c r="I42" i="50" s="1"/>
  <c r="I41" i="50"/>
  <c r="F41" i="50"/>
  <c r="M41" i="50" s="1"/>
  <c r="M40" i="50"/>
  <c r="F40" i="50"/>
  <c r="I40" i="50" s="1"/>
  <c r="F39" i="50"/>
  <c r="M39" i="50" s="1"/>
  <c r="F38" i="50"/>
  <c r="M38" i="50" s="1"/>
  <c r="F37" i="50"/>
  <c r="M37" i="50" s="1"/>
  <c r="I36" i="50"/>
  <c r="F36" i="50"/>
  <c r="M36" i="50" s="1"/>
  <c r="I35" i="50"/>
  <c r="F35" i="50"/>
  <c r="M35" i="50" s="1"/>
  <c r="F34" i="50"/>
  <c r="M34" i="50" s="1"/>
  <c r="M33" i="50"/>
  <c r="I33" i="50"/>
  <c r="F33" i="50"/>
  <c r="F32" i="50"/>
  <c r="M32" i="50" s="1"/>
  <c r="F31" i="50"/>
  <c r="M31" i="50" s="1"/>
  <c r="F30" i="50"/>
  <c r="M30" i="50" s="1"/>
  <c r="M29" i="50"/>
  <c r="F29" i="50"/>
  <c r="I29" i="50" s="1"/>
  <c r="M28" i="50"/>
  <c r="I28" i="50"/>
  <c r="F28" i="50"/>
  <c r="I27" i="50"/>
  <c r="F27" i="50"/>
  <c r="M27" i="50" s="1"/>
  <c r="F22" i="50"/>
  <c r="I22" i="50" s="1"/>
  <c r="I21" i="50"/>
  <c r="F21" i="50"/>
  <c r="K20" i="50"/>
  <c r="F20" i="50"/>
  <c r="I20" i="50" s="1"/>
  <c r="K19" i="50"/>
  <c r="I19" i="50"/>
  <c r="F19" i="50"/>
  <c r="M19" i="50" s="1"/>
  <c r="K18" i="50"/>
  <c r="F18" i="50"/>
  <c r="M18" i="50" s="1"/>
  <c r="I17" i="50"/>
  <c r="F17" i="50"/>
  <c r="M17" i="50" s="1"/>
  <c r="K16" i="50"/>
  <c r="F16" i="50"/>
  <c r="M16" i="50" s="1"/>
  <c r="I15" i="50"/>
  <c r="F15" i="50"/>
  <c r="M15" i="50" s="1"/>
  <c r="K14" i="50"/>
  <c r="F14" i="50"/>
  <c r="M14" i="50" s="1"/>
  <c r="K13" i="50"/>
  <c r="I13" i="50"/>
  <c r="F13" i="50"/>
  <c r="M13" i="50" s="1"/>
  <c r="K12" i="50"/>
  <c r="F12" i="50"/>
  <c r="M12" i="50" s="1"/>
  <c r="K11" i="50"/>
  <c r="I11" i="50"/>
  <c r="F11" i="50"/>
  <c r="M11" i="50" s="1"/>
  <c r="F10" i="50"/>
  <c r="M10" i="50" s="1"/>
  <c r="I9" i="50"/>
  <c r="F9" i="50"/>
  <c r="M9" i="50" s="1"/>
  <c r="K8" i="50"/>
  <c r="F8" i="50"/>
  <c r="M8" i="50" s="1"/>
  <c r="K7" i="50"/>
  <c r="I7" i="50"/>
  <c r="F7" i="50"/>
  <c r="M7" i="50" s="1"/>
  <c r="K6" i="50"/>
  <c r="F6" i="50"/>
  <c r="M6" i="50" s="1"/>
  <c r="I5" i="50"/>
  <c r="F5" i="50"/>
  <c r="M5" i="50" s="1"/>
  <c r="B26" i="26"/>
  <c r="D26" i="26" s="1"/>
  <c r="B14" i="26"/>
  <c r="D14" i="26" s="1"/>
  <c r="G7" i="25"/>
  <c r="O7" i="25" s="1"/>
  <c r="F7" i="25"/>
  <c r="N7" i="25" s="1"/>
  <c r="E7" i="25"/>
  <c r="M7" i="25" s="1"/>
  <c r="D7" i="25"/>
  <c r="L7" i="25" s="1"/>
  <c r="C7" i="25"/>
  <c r="K7" i="25" s="1"/>
  <c r="B7" i="25"/>
  <c r="J7" i="25" s="1"/>
  <c r="F12" i="24"/>
  <c r="C12" i="24"/>
  <c r="I12" i="24" s="1"/>
  <c r="B12" i="24"/>
  <c r="E12" i="24" s="1"/>
  <c r="E9" i="24"/>
  <c r="C9" i="24"/>
  <c r="F9" i="24" s="1"/>
  <c r="B9" i="24"/>
  <c r="H9" i="24" s="1"/>
  <c r="F6" i="24"/>
  <c r="C6" i="24"/>
  <c r="I6" i="24" s="1"/>
  <c r="B6" i="24"/>
  <c r="E6" i="24" s="1"/>
  <c r="C3" i="24"/>
  <c r="F3" i="24" s="1"/>
  <c r="B3" i="24"/>
  <c r="H3" i="24" s="1"/>
  <c r="L5" i="21"/>
  <c r="E5" i="21"/>
  <c r="D5" i="21"/>
  <c r="K5" i="21" s="1"/>
  <c r="C5" i="21"/>
  <c r="J5" i="21" s="1"/>
  <c r="B5" i="21"/>
  <c r="F4" i="21"/>
  <c r="M4" i="21" s="1"/>
  <c r="F3" i="21"/>
  <c r="M3" i="21" s="1"/>
  <c r="D13" i="55"/>
  <c r="I13" i="55" s="1"/>
  <c r="C13" i="55"/>
  <c r="H13" i="55" s="1"/>
  <c r="B13" i="55"/>
  <c r="G13" i="55" s="1"/>
  <c r="E12" i="55"/>
  <c r="J12" i="55" s="1"/>
  <c r="E11" i="55"/>
  <c r="J11" i="55" s="1"/>
  <c r="E10" i="55"/>
  <c r="J10" i="55" s="1"/>
  <c r="J9" i="55"/>
  <c r="E9" i="55"/>
  <c r="E8" i="55"/>
  <c r="J8" i="55" s="1"/>
  <c r="E7" i="55"/>
  <c r="J7" i="55" s="1"/>
  <c r="C8" i="20"/>
  <c r="I8" i="20" s="1"/>
  <c r="B8" i="20"/>
  <c r="E8" i="20" s="1"/>
  <c r="I7" i="20"/>
  <c r="I6" i="20"/>
  <c r="H6" i="20"/>
  <c r="I5" i="20"/>
  <c r="H5" i="20"/>
  <c r="I4" i="20"/>
  <c r="H4" i="20"/>
  <c r="H7" i="20" s="1"/>
  <c r="C10" i="54"/>
  <c r="F10" i="54" s="1"/>
  <c r="B10" i="54"/>
  <c r="H10" i="54" s="1"/>
  <c r="F7" i="54"/>
  <c r="C7" i="54"/>
  <c r="I7" i="54" s="1"/>
  <c r="B7" i="54"/>
  <c r="E7" i="54" s="1"/>
  <c r="F19" i="18"/>
  <c r="C19" i="18"/>
  <c r="G19" i="18" s="1"/>
  <c r="B19" i="18"/>
  <c r="D18" i="18"/>
  <c r="J18" i="18" s="1"/>
  <c r="D17" i="18"/>
  <c r="J17" i="18" s="1"/>
  <c r="D16" i="18"/>
  <c r="J16" i="18" s="1"/>
  <c r="J15" i="18"/>
  <c r="D15" i="18"/>
  <c r="H15" i="18" s="1"/>
  <c r="J14" i="18"/>
  <c r="H14" i="18"/>
  <c r="D14" i="18"/>
  <c r="H13" i="18"/>
  <c r="D13" i="18"/>
  <c r="J13" i="18" s="1"/>
  <c r="D12" i="18"/>
  <c r="J12" i="18" s="1"/>
  <c r="C10" i="18"/>
  <c r="G10" i="18" s="1"/>
  <c r="B10" i="18"/>
  <c r="F10" i="18" s="1"/>
  <c r="J9" i="18"/>
  <c r="D9" i="18"/>
  <c r="H9" i="18" s="1"/>
  <c r="D8" i="18"/>
  <c r="J8" i="18" s="1"/>
  <c r="D7" i="18"/>
  <c r="J7" i="18" s="1"/>
  <c r="D6" i="18"/>
  <c r="J6" i="18" s="1"/>
  <c r="H5" i="18"/>
  <c r="D5" i="18"/>
  <c r="J5" i="18" s="1"/>
  <c r="E9" i="17"/>
  <c r="D9" i="17"/>
  <c r="C9" i="17"/>
  <c r="B9" i="17"/>
  <c r="F8" i="17"/>
  <c r="N8" i="17" s="1"/>
  <c r="L7" i="17"/>
  <c r="F7" i="17"/>
  <c r="N7" i="17" s="1"/>
  <c r="N6" i="17"/>
  <c r="F6" i="17"/>
  <c r="L6" i="17" s="1"/>
  <c r="F5" i="17"/>
  <c r="N5" i="17" s="1"/>
  <c r="F4" i="17"/>
  <c r="N4" i="17" s="1"/>
  <c r="D13" i="56"/>
  <c r="J13" i="56" s="1"/>
  <c r="C13" i="56"/>
  <c r="I13" i="56" s="1"/>
  <c r="B13" i="56"/>
  <c r="H13" i="56" s="1"/>
  <c r="D6" i="56"/>
  <c r="J6" i="56" s="1"/>
  <c r="C6" i="56"/>
  <c r="I6" i="56" s="1"/>
  <c r="B6" i="56"/>
  <c r="H6" i="56" s="1"/>
  <c r="E12" i="14"/>
  <c r="K12" i="14" s="1"/>
  <c r="D12" i="14"/>
  <c r="J12" i="14" s="1"/>
  <c r="C12" i="14"/>
  <c r="I12" i="14" s="1"/>
  <c r="B12" i="14"/>
  <c r="H12" i="14" s="1"/>
  <c r="N11" i="14"/>
  <c r="F11" i="14"/>
  <c r="L11" i="14" s="1"/>
  <c r="F10" i="14"/>
  <c r="L10" i="14" s="1"/>
  <c r="N9" i="14"/>
  <c r="F9" i="14"/>
  <c r="L9" i="14" s="1"/>
  <c r="N8" i="14"/>
  <c r="L8" i="14"/>
  <c r="F8" i="14"/>
  <c r="L7" i="14"/>
  <c r="F7" i="14"/>
  <c r="N7" i="14" s="1"/>
  <c r="F6" i="14"/>
  <c r="N6" i="14" s="1"/>
  <c r="L5" i="14"/>
  <c r="F5" i="14"/>
  <c r="N5" i="14" s="1"/>
  <c r="K7" i="13"/>
  <c r="E7" i="13"/>
  <c r="D7" i="13"/>
  <c r="J7" i="13" s="1"/>
  <c r="C7" i="13"/>
  <c r="I7" i="13" s="1"/>
  <c r="B7" i="13"/>
  <c r="H7" i="13" s="1"/>
  <c r="F6" i="13"/>
  <c r="L6" i="13" s="1"/>
  <c r="F5" i="13"/>
  <c r="L5" i="13" s="1"/>
  <c r="F4" i="13"/>
  <c r="L4" i="13" s="1"/>
  <c r="F3" i="13"/>
  <c r="L3" i="13" s="1"/>
  <c r="F7" i="12"/>
  <c r="L7" i="12" s="1"/>
  <c r="E7" i="12"/>
  <c r="K7" i="12" s="1"/>
  <c r="D7" i="12"/>
  <c r="J7" i="12" s="1"/>
  <c r="C7" i="12"/>
  <c r="I7" i="12" s="1"/>
  <c r="M6" i="12"/>
  <c r="G6" i="12"/>
  <c r="M5" i="12"/>
  <c r="G5" i="12"/>
  <c r="M4" i="12"/>
  <c r="G4" i="12"/>
  <c r="M3" i="12"/>
  <c r="G3" i="12"/>
  <c r="F19" i="11"/>
  <c r="S46" i="9"/>
  <c r="R46" i="9"/>
  <c r="O46" i="9"/>
  <c r="I46" i="9"/>
  <c r="H46" i="9"/>
  <c r="G46" i="9"/>
  <c r="Q46" i="9" s="1"/>
  <c r="F46" i="9"/>
  <c r="P46" i="9" s="1"/>
  <c r="E46" i="9"/>
  <c r="D46" i="9"/>
  <c r="N46" i="9" s="1"/>
  <c r="C46" i="9"/>
  <c r="M46" i="9" s="1"/>
  <c r="B46" i="9"/>
  <c r="L46" i="9" s="1"/>
  <c r="Q44" i="9"/>
  <c r="I44" i="9"/>
  <c r="S44" i="9" s="1"/>
  <c r="H44" i="9"/>
  <c r="AB17" i="9" s="1"/>
  <c r="G44" i="9"/>
  <c r="AA17" i="9" s="1"/>
  <c r="F44" i="9"/>
  <c r="P44" i="9" s="1"/>
  <c r="E44" i="9"/>
  <c r="O44" i="9" s="1"/>
  <c r="D44" i="9"/>
  <c r="X17" i="9" s="1"/>
  <c r="C44" i="9"/>
  <c r="W17" i="9" s="1"/>
  <c r="B44" i="9"/>
  <c r="L44" i="9" s="1"/>
  <c r="J43" i="9"/>
  <c r="T43" i="9" s="1"/>
  <c r="J42" i="9"/>
  <c r="T42" i="9" s="1"/>
  <c r="J41" i="9"/>
  <c r="T41" i="9" s="1"/>
  <c r="Q39" i="9"/>
  <c r="I39" i="9"/>
  <c r="S39" i="9" s="1"/>
  <c r="H39" i="9"/>
  <c r="AB12" i="9" s="1"/>
  <c r="G39" i="9"/>
  <c r="F39" i="9"/>
  <c r="P39" i="9" s="1"/>
  <c r="E39" i="9"/>
  <c r="O39" i="9" s="1"/>
  <c r="D39" i="9"/>
  <c r="X12" i="9" s="1"/>
  <c r="C39" i="9"/>
  <c r="M39" i="9" s="1"/>
  <c r="B39" i="9"/>
  <c r="L39" i="9" s="1"/>
  <c r="J38" i="9"/>
  <c r="T38" i="9" s="1"/>
  <c r="J37" i="9"/>
  <c r="T37" i="9" s="1"/>
  <c r="J36" i="9"/>
  <c r="T36" i="9" s="1"/>
  <c r="Q34" i="9"/>
  <c r="I34" i="9"/>
  <c r="H34" i="9"/>
  <c r="H47" i="9" s="1"/>
  <c r="G34" i="9"/>
  <c r="G47" i="9" s="1"/>
  <c r="F34" i="9"/>
  <c r="F47" i="9" s="1"/>
  <c r="E34" i="9"/>
  <c r="D34" i="9"/>
  <c r="D47" i="9" s="1"/>
  <c r="C34" i="9"/>
  <c r="C47" i="9" s="1"/>
  <c r="B34" i="9"/>
  <c r="B47" i="9" s="1"/>
  <c r="J33" i="9"/>
  <c r="T33" i="9" s="1"/>
  <c r="J32" i="9"/>
  <c r="T32" i="9" s="1"/>
  <c r="J31" i="9"/>
  <c r="J30" i="9"/>
  <c r="T30" i="9" s="1"/>
  <c r="O22" i="9"/>
  <c r="I22" i="9"/>
  <c r="S22" i="9" s="1"/>
  <c r="H22" i="9"/>
  <c r="R22" i="9" s="1"/>
  <c r="G22" i="9"/>
  <c r="AA22" i="9" s="1"/>
  <c r="F22" i="9"/>
  <c r="Z22" i="9" s="1"/>
  <c r="E22" i="9"/>
  <c r="D22" i="9"/>
  <c r="N22" i="9" s="1"/>
  <c r="C22" i="9"/>
  <c r="W22" i="9" s="1"/>
  <c r="B22" i="9"/>
  <c r="V22" i="9" s="1"/>
  <c r="Q20" i="9"/>
  <c r="I20" i="9"/>
  <c r="S20" i="9" s="1"/>
  <c r="H20" i="9"/>
  <c r="R20" i="9" s="1"/>
  <c r="G20" i="9"/>
  <c r="F20" i="9"/>
  <c r="P20" i="9" s="1"/>
  <c r="E20" i="9"/>
  <c r="O20" i="9" s="1"/>
  <c r="D20" i="9"/>
  <c r="N20" i="9" s="1"/>
  <c r="C20" i="9"/>
  <c r="M20" i="9" s="1"/>
  <c r="B20" i="9"/>
  <c r="L20" i="9" s="1"/>
  <c r="J19" i="9"/>
  <c r="T19" i="9" s="1"/>
  <c r="J18" i="9"/>
  <c r="T18" i="9" s="1"/>
  <c r="Z17" i="9"/>
  <c r="V17" i="9"/>
  <c r="J17" i="9"/>
  <c r="T17" i="9" s="1"/>
  <c r="O15" i="9"/>
  <c r="I15" i="9"/>
  <c r="AM15" i="9" s="1"/>
  <c r="H15" i="9"/>
  <c r="AL15" i="9" s="1"/>
  <c r="G15" i="9"/>
  <c r="AK15" i="9" s="1"/>
  <c r="F15" i="9"/>
  <c r="P15" i="9" s="1"/>
  <c r="E15" i="9"/>
  <c r="AI15" i="9" s="1"/>
  <c r="D15" i="9"/>
  <c r="D23" i="9" s="1"/>
  <c r="AH23" i="9" s="1"/>
  <c r="C15" i="9"/>
  <c r="AG15" i="9" s="1"/>
  <c r="B15" i="9"/>
  <c r="J14" i="9"/>
  <c r="T14" i="9" s="1"/>
  <c r="J13" i="9"/>
  <c r="T13" i="9" s="1"/>
  <c r="AA12" i="9"/>
  <c r="Z12" i="9"/>
  <c r="W12" i="9"/>
  <c r="V12" i="9"/>
  <c r="J12" i="9"/>
  <c r="AG10" i="9"/>
  <c r="R10" i="9"/>
  <c r="P10" i="9"/>
  <c r="I10" i="9"/>
  <c r="H10" i="9"/>
  <c r="G10" i="9"/>
  <c r="AK10" i="9" s="1"/>
  <c r="F10" i="9"/>
  <c r="AJ10" i="9" s="1"/>
  <c r="E10" i="9"/>
  <c r="D10" i="9"/>
  <c r="C10" i="9"/>
  <c r="M10" i="9" s="1"/>
  <c r="B10" i="9"/>
  <c r="L10" i="9" s="1"/>
  <c r="T9" i="9"/>
  <c r="J9" i="9"/>
  <c r="T8" i="9"/>
  <c r="J8" i="9"/>
  <c r="T7" i="9"/>
  <c r="J7" i="9"/>
  <c r="AA6" i="9"/>
  <c r="Z6" i="9"/>
  <c r="W6" i="9"/>
  <c r="V6" i="9"/>
  <c r="J6" i="9"/>
  <c r="B22" i="69"/>
  <c r="B21" i="69"/>
  <c r="B19" i="69"/>
  <c r="B18" i="69"/>
  <c r="B16" i="69"/>
  <c r="B14" i="69"/>
  <c r="B13" i="69"/>
  <c r="B12" i="69"/>
  <c r="B11" i="69"/>
  <c r="B9" i="69"/>
  <c r="B8" i="69"/>
  <c r="AH15" i="9" l="1"/>
  <c r="N34" i="9"/>
  <c r="N39" i="9"/>
  <c r="X6" i="9"/>
  <c r="N23" i="9"/>
  <c r="N10" i="9"/>
  <c r="AF10" i="9"/>
  <c r="N15" i="9"/>
  <c r="S15" i="9"/>
  <c r="M34" i="9"/>
  <c r="R34" i="9"/>
  <c r="R39" i="9"/>
  <c r="M44" i="9"/>
  <c r="R44" i="9"/>
  <c r="G7" i="12"/>
  <c r="M7" i="12" s="1"/>
  <c r="H17" i="18"/>
  <c r="E10" i="54"/>
  <c r="E3" i="24"/>
  <c r="K5" i="50"/>
  <c r="I8" i="50"/>
  <c r="K9" i="50"/>
  <c r="I12" i="50"/>
  <c r="I16" i="50"/>
  <c r="K17" i="50"/>
  <c r="I31" i="50"/>
  <c r="F11" i="27"/>
  <c r="L11" i="27" s="1"/>
  <c r="H11" i="27"/>
  <c r="N15" i="27"/>
  <c r="E8" i="28"/>
  <c r="E13" i="33"/>
  <c r="K7" i="38"/>
  <c r="K12" i="43"/>
  <c r="D66" i="61"/>
  <c r="E63" i="76" s="1"/>
  <c r="J72" i="66"/>
  <c r="J125" i="66"/>
  <c r="E53" i="68"/>
  <c r="N44" i="9"/>
  <c r="H5" i="27"/>
  <c r="Q10" i="9"/>
  <c r="P22" i="9"/>
  <c r="H23" i="9"/>
  <c r="AL23" i="9" s="1"/>
  <c r="T31" i="9"/>
  <c r="P34" i="9"/>
  <c r="F12" i="14"/>
  <c r="L5" i="17"/>
  <c r="H6" i="18"/>
  <c r="H8" i="18"/>
  <c r="H18" i="18"/>
  <c r="F8" i="20"/>
  <c r="I6" i="50"/>
  <c r="I10" i="50"/>
  <c r="I14" i="50"/>
  <c r="K15" i="50"/>
  <c r="I18" i="50"/>
  <c r="I32" i="50"/>
  <c r="I37" i="50"/>
  <c r="I39" i="50"/>
  <c r="N6" i="27"/>
  <c r="F23" i="27"/>
  <c r="H23" i="27"/>
  <c r="J28" i="66"/>
  <c r="J88" i="66"/>
  <c r="E13" i="68"/>
  <c r="AB6" i="9"/>
  <c r="B23" i="9"/>
  <c r="AF23" i="9" s="1"/>
  <c r="F23" i="9"/>
  <c r="AJ23" i="9" s="1"/>
  <c r="L15" i="9"/>
  <c r="R15" i="9"/>
  <c r="L22" i="9"/>
  <c r="J34" i="9"/>
  <c r="T34" i="9" s="1"/>
  <c r="L34" i="9"/>
  <c r="F7" i="13"/>
  <c r="L7" i="13" s="1"/>
  <c r="E13" i="55"/>
  <c r="F5" i="21"/>
  <c r="O5" i="21" s="1"/>
  <c r="I5" i="21"/>
  <c r="K10" i="50"/>
  <c r="F6" i="33"/>
  <c r="J51" i="66"/>
  <c r="J107" i="66"/>
  <c r="E9" i="68"/>
  <c r="E17" i="68"/>
  <c r="AH47" i="9"/>
  <c r="N47" i="9"/>
  <c r="X22" i="9"/>
  <c r="P5" i="27"/>
  <c r="L5" i="27"/>
  <c r="AG47" i="9"/>
  <c r="M47" i="9"/>
  <c r="P11" i="27"/>
  <c r="AL47" i="9"/>
  <c r="R47" i="9"/>
  <c r="AB22" i="9"/>
  <c r="L12" i="14"/>
  <c r="N12" i="14"/>
  <c r="P23" i="27"/>
  <c r="N5" i="27"/>
  <c r="L23" i="27"/>
  <c r="AK47" i="9"/>
  <c r="Q47" i="9"/>
  <c r="L47" i="9"/>
  <c r="AF47" i="9"/>
  <c r="P47" i="9"/>
  <c r="AJ47" i="9"/>
  <c r="L13" i="55"/>
  <c r="J13" i="55"/>
  <c r="I5" i="28"/>
  <c r="C9" i="30"/>
  <c r="I9" i="30" s="1"/>
  <c r="I3" i="33"/>
  <c r="I9" i="33"/>
  <c r="L7" i="38"/>
  <c r="L5" i="84"/>
  <c r="L4" i="83"/>
  <c r="M4" i="75"/>
  <c r="M4" i="72"/>
  <c r="M4" i="83"/>
  <c r="R4" i="96"/>
  <c r="L4" i="75"/>
  <c r="L4" i="72"/>
  <c r="P4" i="85"/>
  <c r="Q4" i="87" s="1"/>
  <c r="Q4" i="96"/>
  <c r="M4" i="67"/>
  <c r="O4" i="85"/>
  <c r="P4" i="87" s="1"/>
  <c r="M5" i="84"/>
  <c r="L4" i="67"/>
  <c r="AG17" i="84"/>
  <c r="AJ17" i="84"/>
  <c r="AI17" i="84"/>
  <c r="AH17" i="84"/>
  <c r="AH16" i="83"/>
  <c r="AI16" i="96"/>
  <c r="AG16" i="83"/>
  <c r="AH16" i="96"/>
  <c r="AJ16" i="83"/>
  <c r="AG16" i="96"/>
  <c r="AI16" i="83"/>
  <c r="AJ16" i="96"/>
  <c r="AG15" i="75"/>
  <c r="AI15" i="72"/>
  <c r="AG15" i="67"/>
  <c r="AJ15" i="85"/>
  <c r="AJ15" i="87" s="1"/>
  <c r="AJ15" i="75"/>
  <c r="AH15" i="72"/>
  <c r="AJ15" i="67"/>
  <c r="AI15" i="85"/>
  <c r="AI15" i="87" s="1"/>
  <c r="AI15" i="75"/>
  <c r="AG15" i="72"/>
  <c r="AI15" i="67"/>
  <c r="AH15" i="85"/>
  <c r="AH15" i="87" s="1"/>
  <c r="AH15" i="75"/>
  <c r="AJ15" i="72"/>
  <c r="AH15" i="67"/>
  <c r="AG15" i="85"/>
  <c r="AG15" i="87" s="1"/>
  <c r="J15" i="9"/>
  <c r="Y17" i="9"/>
  <c r="AC17" i="9"/>
  <c r="J22" i="9"/>
  <c r="C23" i="9"/>
  <c r="AG23" i="9" s="1"/>
  <c r="G23" i="9"/>
  <c r="AK23" i="9" s="1"/>
  <c r="L23" i="9"/>
  <c r="J46" i="9"/>
  <c r="T46" i="9" s="1"/>
  <c r="F9" i="17"/>
  <c r="D10" i="18"/>
  <c r="D19" i="18"/>
  <c r="I10" i="54"/>
  <c r="I3" i="24"/>
  <c r="I9" i="24"/>
  <c r="N7" i="27"/>
  <c r="H5" i="28"/>
  <c r="B9" i="30"/>
  <c r="H9" i="30" s="1"/>
  <c r="H3" i="33"/>
  <c r="H9" i="33"/>
  <c r="AD15" i="96"/>
  <c r="AE16" i="84"/>
  <c r="AE15" i="83"/>
  <c r="AD16" i="84"/>
  <c r="AD15" i="83"/>
  <c r="AE14" i="67"/>
  <c r="AD14" i="85"/>
  <c r="AD14" i="87" s="1"/>
  <c r="AE15" i="96"/>
  <c r="AD14" i="67"/>
  <c r="AE14" i="75"/>
  <c r="AE14" i="72"/>
  <c r="AD14" i="75"/>
  <c r="AD14" i="72"/>
  <c r="AE14" i="85"/>
  <c r="AE14" i="87" s="1"/>
  <c r="T15" i="9"/>
  <c r="M23" i="9"/>
  <c r="E47" i="9"/>
  <c r="I47" i="9"/>
  <c r="S47" i="9" s="1"/>
  <c r="H7" i="54"/>
  <c r="H8" i="20"/>
  <c r="H6" i="24"/>
  <c r="H12" i="24"/>
  <c r="F29" i="27"/>
  <c r="AE12" i="96"/>
  <c r="AE13" i="84"/>
  <c r="AE12" i="83"/>
  <c r="AD12" i="96"/>
  <c r="AD13" i="84"/>
  <c r="AD12" i="83"/>
  <c r="AE11" i="67"/>
  <c r="AD11" i="67"/>
  <c r="AE11" i="85"/>
  <c r="AE11" i="87" s="1"/>
  <c r="AE11" i="75"/>
  <c r="AE11" i="72"/>
  <c r="AD11" i="85"/>
  <c r="AD11" i="87" s="1"/>
  <c r="AD11" i="75"/>
  <c r="AD11" i="72"/>
  <c r="AE13" i="96"/>
  <c r="U4" i="96"/>
  <c r="AE14" i="84"/>
  <c r="P5" i="84"/>
  <c r="AE13" i="83"/>
  <c r="P4" i="83"/>
  <c r="AD13" i="96"/>
  <c r="T4" i="96"/>
  <c r="AD14" i="84"/>
  <c r="O5" i="84"/>
  <c r="AD13" i="83"/>
  <c r="O4" i="83"/>
  <c r="AE12" i="67"/>
  <c r="P4" i="67"/>
  <c r="R4" i="85"/>
  <c r="S4" i="87" s="1"/>
  <c r="AD12" i="67"/>
  <c r="O4" i="67"/>
  <c r="AE12" i="85"/>
  <c r="AE12" i="87" s="1"/>
  <c r="AE12" i="75"/>
  <c r="P4" i="75"/>
  <c r="AE12" i="72"/>
  <c r="P4" i="72"/>
  <c r="AD12" i="85"/>
  <c r="AD12" i="87" s="1"/>
  <c r="AD12" i="75"/>
  <c r="O4" i="75"/>
  <c r="AD12" i="72"/>
  <c r="O4" i="72"/>
  <c r="S4" i="85"/>
  <c r="T4" i="87" s="1"/>
  <c r="AH16" i="84"/>
  <c r="AG16" i="84"/>
  <c r="AG15" i="83"/>
  <c r="AI15" i="96"/>
  <c r="AJ15" i="83"/>
  <c r="AH15" i="96"/>
  <c r="AJ16" i="84"/>
  <c r="AI15" i="83"/>
  <c r="AG15" i="96"/>
  <c r="AJ15" i="96"/>
  <c r="AH14" i="75"/>
  <c r="AH14" i="72"/>
  <c r="AJ14" i="67"/>
  <c r="AI14" i="85"/>
  <c r="AI14" i="87" s="1"/>
  <c r="AI16" i="84"/>
  <c r="AG14" i="75"/>
  <c r="AG14" i="72"/>
  <c r="AI14" i="67"/>
  <c r="AH14" i="85"/>
  <c r="AH14" i="87" s="1"/>
  <c r="AJ14" i="75"/>
  <c r="AJ14" i="72"/>
  <c r="AH14" i="67"/>
  <c r="AG14" i="85"/>
  <c r="AG14" i="87" s="1"/>
  <c r="AH15" i="83"/>
  <c r="AI14" i="75"/>
  <c r="AI14" i="72"/>
  <c r="AJ14" i="85"/>
  <c r="AJ14" i="87" s="1"/>
  <c r="AG14" i="67"/>
  <c r="T6" i="9"/>
  <c r="Y6" i="9"/>
  <c r="AC6" i="9"/>
  <c r="J10" i="9"/>
  <c r="T10" i="9" s="1"/>
  <c r="O10" i="9"/>
  <c r="S10" i="9"/>
  <c r="AH10" i="9"/>
  <c r="AL10" i="9"/>
  <c r="T12" i="9"/>
  <c r="Y12" i="9"/>
  <c r="AC12" i="9"/>
  <c r="M15" i="9"/>
  <c r="Q15" i="9"/>
  <c r="AF15" i="9"/>
  <c r="AJ15" i="9"/>
  <c r="J20" i="9"/>
  <c r="T20" i="9" s="1"/>
  <c r="M22" i="9"/>
  <c r="Q22" i="9"/>
  <c r="E23" i="9"/>
  <c r="AI23" i="9" s="1"/>
  <c r="I23" i="9"/>
  <c r="AM23" i="9" s="1"/>
  <c r="O34" i="9"/>
  <c r="S34" i="9"/>
  <c r="J39" i="9"/>
  <c r="J44" i="9"/>
  <c r="AD17" i="9" s="1"/>
  <c r="L6" i="14"/>
  <c r="L4" i="17"/>
  <c r="L8" i="17"/>
  <c r="H7" i="18"/>
  <c r="H12" i="18"/>
  <c r="H16" i="18"/>
  <c r="I30" i="50"/>
  <c r="I34" i="50"/>
  <c r="I38" i="50"/>
  <c r="I44" i="50"/>
  <c r="N9" i="27"/>
  <c r="E7" i="30"/>
  <c r="AG13" i="84"/>
  <c r="AG12" i="83"/>
  <c r="AJ12" i="96"/>
  <c r="AJ13" i="84"/>
  <c r="AJ12" i="83"/>
  <c r="AI12" i="96"/>
  <c r="AI13" i="84"/>
  <c r="AI12" i="83"/>
  <c r="AH12" i="96"/>
  <c r="AG12" i="96"/>
  <c r="AH11" i="75"/>
  <c r="AH11" i="72"/>
  <c r="AJ11" i="67"/>
  <c r="AG11" i="85"/>
  <c r="AG11" i="87" s="1"/>
  <c r="AH12" i="83"/>
  <c r="AG11" i="75"/>
  <c r="AG11" i="72"/>
  <c r="AI11" i="67"/>
  <c r="AJ11" i="85"/>
  <c r="AJ11" i="87" s="1"/>
  <c r="AJ11" i="75"/>
  <c r="AJ11" i="72"/>
  <c r="AH11" i="67"/>
  <c r="AI11" i="85"/>
  <c r="AI11" i="87" s="1"/>
  <c r="AH13" i="84"/>
  <c r="AI11" i="75"/>
  <c r="AI11" i="72"/>
  <c r="AG11" i="67"/>
  <c r="AH11" i="85"/>
  <c r="AH11" i="87" s="1"/>
  <c r="AG14" i="84"/>
  <c r="R5" i="84"/>
  <c r="AG13" i="83"/>
  <c r="R4" i="83"/>
  <c r="AJ13" i="96"/>
  <c r="Z4" i="96"/>
  <c r="AJ14" i="84"/>
  <c r="U5" i="84"/>
  <c r="AJ13" i="83"/>
  <c r="U4" i="83"/>
  <c r="AI13" i="96"/>
  <c r="Y4" i="96"/>
  <c r="AI14" i="84"/>
  <c r="T5" i="84"/>
  <c r="AI13" i="83"/>
  <c r="T4" i="83"/>
  <c r="AH13" i="96"/>
  <c r="AH14" i="84"/>
  <c r="S4" i="83"/>
  <c r="W4" i="96"/>
  <c r="AH12" i="75"/>
  <c r="S4" i="75"/>
  <c r="AH12" i="72"/>
  <c r="S4" i="72"/>
  <c r="AJ12" i="67"/>
  <c r="U4" i="67"/>
  <c r="AG12" i="85"/>
  <c r="AG12" i="87" s="1"/>
  <c r="W4" i="85"/>
  <c r="X4" i="87" s="1"/>
  <c r="AG13" i="96"/>
  <c r="AG12" i="75"/>
  <c r="R4" i="75"/>
  <c r="AG12" i="72"/>
  <c r="R4" i="72"/>
  <c r="AI12" i="67"/>
  <c r="T4" i="67"/>
  <c r="AJ12" i="85"/>
  <c r="AJ12" i="87" s="1"/>
  <c r="V4" i="85"/>
  <c r="W4" i="87" s="1"/>
  <c r="S5" i="84"/>
  <c r="AH13" i="83"/>
  <c r="AJ12" i="75"/>
  <c r="U4" i="75"/>
  <c r="AJ12" i="72"/>
  <c r="U4" i="72"/>
  <c r="AH12" i="67"/>
  <c r="S4" i="67"/>
  <c r="AI12" i="85"/>
  <c r="AI12" i="87" s="1"/>
  <c r="U4" i="85"/>
  <c r="V4" i="87" s="1"/>
  <c r="X4" i="96"/>
  <c r="AI12" i="75"/>
  <c r="T4" i="75"/>
  <c r="AI12" i="72"/>
  <c r="T4" i="72"/>
  <c r="AG12" i="67"/>
  <c r="AH12" i="85"/>
  <c r="AH12" i="87" s="1"/>
  <c r="X4" i="85"/>
  <c r="Y4" i="87" s="1"/>
  <c r="R4" i="67"/>
  <c r="AE17" i="84"/>
  <c r="AD17" i="84"/>
  <c r="AD16" i="96"/>
  <c r="AE16" i="83"/>
  <c r="AD15" i="72"/>
  <c r="AE15" i="85"/>
  <c r="AE15" i="87" s="1"/>
  <c r="AD16" i="83"/>
  <c r="AE16" i="96"/>
  <c r="AE15" i="75"/>
  <c r="AE15" i="67"/>
  <c r="AD15" i="85"/>
  <c r="AD15" i="87" s="1"/>
  <c r="AD15" i="75"/>
  <c r="AD15" i="67"/>
  <c r="AE15" i="72"/>
  <c r="AD6" i="9"/>
  <c r="AI10" i="9"/>
  <c r="AM10" i="9"/>
  <c r="F7" i="30"/>
  <c r="G64" i="103"/>
  <c r="G58" i="103"/>
  <c r="G56" i="103"/>
  <c r="G52" i="103"/>
  <c r="G46" i="103"/>
  <c r="G42" i="103"/>
  <c r="G38" i="103"/>
  <c r="G30" i="103"/>
  <c r="H59" i="103"/>
  <c r="H49" i="103"/>
  <c r="H47" i="103"/>
  <c r="H43" i="103"/>
  <c r="H39" i="103"/>
  <c r="G65" i="103"/>
  <c r="G59" i="103"/>
  <c r="G57" i="103"/>
  <c r="G53" i="103"/>
  <c r="G47" i="103"/>
  <c r="G31" i="103"/>
  <c r="G29" i="103"/>
  <c r="H46" i="103"/>
  <c r="H24" i="103"/>
  <c r="H14" i="103"/>
  <c r="I247" i="101"/>
  <c r="I243" i="101"/>
  <c r="I237" i="101"/>
  <c r="I235" i="101"/>
  <c r="I233" i="101"/>
  <c r="I231" i="101"/>
  <c r="I229" i="101"/>
  <c r="I223" i="101"/>
  <c r="I218" i="101"/>
  <c r="I216" i="101"/>
  <c r="I214" i="101"/>
  <c r="I212" i="101"/>
  <c r="I210" i="101"/>
  <c r="I208" i="101"/>
  <c r="I198" i="101"/>
  <c r="I194" i="101"/>
  <c r="I187" i="101"/>
  <c r="I185" i="101"/>
  <c r="E144" i="101"/>
  <c r="E142" i="101"/>
  <c r="E140" i="101"/>
  <c r="E136" i="101"/>
  <c r="E134" i="101"/>
  <c r="E127" i="101"/>
  <c r="E119" i="101"/>
  <c r="E117" i="101"/>
  <c r="E115" i="101"/>
  <c r="E113" i="101"/>
  <c r="E111" i="101"/>
  <c r="E109" i="101"/>
  <c r="E107" i="101"/>
  <c r="E105" i="101"/>
  <c r="E103" i="101"/>
  <c r="E92" i="101"/>
  <c r="E90" i="101"/>
  <c r="E88" i="101"/>
  <c r="E86" i="101"/>
  <c r="E84" i="101"/>
  <c r="E76" i="101"/>
  <c r="E74" i="101"/>
  <c r="E72" i="101"/>
  <c r="E70" i="101"/>
  <c r="E65" i="101"/>
  <c r="E63" i="101"/>
  <c r="E61" i="101"/>
  <c r="E59" i="101"/>
  <c r="E57" i="101"/>
  <c r="E55" i="101"/>
  <c r="E49" i="101"/>
  <c r="J45" i="101"/>
  <c r="E41" i="101"/>
  <c r="J24" i="101"/>
  <c r="E20" i="101"/>
  <c r="J16" i="101"/>
  <c r="H52" i="103"/>
  <c r="H31" i="103"/>
  <c r="G28" i="103"/>
  <c r="G24" i="103"/>
  <c r="G22" i="103"/>
  <c r="G18" i="103"/>
  <c r="G14" i="103"/>
  <c r="G12" i="103"/>
  <c r="G10" i="103"/>
  <c r="K248" i="101"/>
  <c r="K246" i="101"/>
  <c r="K232" i="101"/>
  <c r="K230" i="101"/>
  <c r="K228" i="101"/>
  <c r="K215" i="101"/>
  <c r="K213" i="101"/>
  <c r="K211" i="101"/>
  <c r="K209" i="101"/>
  <c r="K207" i="101"/>
  <c r="K186" i="101"/>
  <c r="E177" i="101"/>
  <c r="E175" i="101"/>
  <c r="E173" i="101"/>
  <c r="E167" i="101"/>
  <c r="E158" i="101"/>
  <c r="E148" i="101"/>
  <c r="E146" i="101"/>
  <c r="H58" i="103"/>
  <c r="H30" i="103"/>
  <c r="H23" i="103"/>
  <c r="H17" i="103"/>
  <c r="H13" i="103"/>
  <c r="H9" i="103"/>
  <c r="I248" i="101"/>
  <c r="I246" i="101"/>
  <c r="I242" i="101"/>
  <c r="I238" i="101"/>
  <c r="I236" i="101"/>
  <c r="I234" i="101"/>
  <c r="I232" i="101"/>
  <c r="I230" i="101"/>
  <c r="I224" i="101"/>
  <c r="I219" i="101"/>
  <c r="I217" i="101"/>
  <c r="I215" i="101"/>
  <c r="I213" i="101"/>
  <c r="I211" i="101"/>
  <c r="I209" i="101"/>
  <c r="I207" i="101"/>
  <c r="I201" i="101"/>
  <c r="I197" i="101"/>
  <c r="I190" i="101"/>
  <c r="I186" i="101"/>
  <c r="I184" i="101"/>
  <c r="J144" i="101"/>
  <c r="J142" i="101"/>
  <c r="J138" i="101"/>
  <c r="J136" i="101"/>
  <c r="J132" i="101"/>
  <c r="J127" i="101"/>
  <c r="J119" i="101"/>
  <c r="J115" i="101"/>
  <c r="J113" i="101"/>
  <c r="J111" i="101"/>
  <c r="J109" i="101"/>
  <c r="J107" i="101"/>
  <c r="J105" i="101"/>
  <c r="J92" i="101"/>
  <c r="J90" i="101"/>
  <c r="J86" i="101"/>
  <c r="J84" i="101"/>
  <c r="J76" i="101"/>
  <c r="J72" i="101"/>
  <c r="J70" i="101"/>
  <c r="H56" i="103"/>
  <c r="H48" i="103"/>
  <c r="H29" i="103"/>
  <c r="G25" i="103"/>
  <c r="G23" i="103"/>
  <c r="G19" i="103"/>
  <c r="G17" i="103"/>
  <c r="G13" i="103"/>
  <c r="G11" i="103"/>
  <c r="G9" i="103"/>
  <c r="K241" i="101"/>
  <c r="K237" i="101"/>
  <c r="K235" i="101"/>
  <c r="K233" i="101"/>
  <c r="K229" i="101"/>
  <c r="K223" i="101"/>
  <c r="K216" i="101"/>
  <c r="K208" i="101"/>
  <c r="K198" i="101"/>
  <c r="K185" i="101"/>
  <c r="J175" i="101"/>
  <c r="J158" i="101"/>
  <c r="J156" i="101"/>
  <c r="J154" i="101"/>
  <c r="J146" i="101"/>
  <c r="J47" i="101"/>
  <c r="E43" i="101"/>
  <c r="J39" i="101"/>
  <c r="E32" i="101"/>
  <c r="J26" i="101"/>
  <c r="E22" i="101"/>
  <c r="E47" i="101"/>
  <c r="J43" i="101"/>
  <c r="E18" i="101"/>
  <c r="J65" i="101"/>
  <c r="J61" i="101"/>
  <c r="J57" i="101"/>
  <c r="J49" i="101"/>
  <c r="E34" i="101"/>
  <c r="E24" i="101"/>
  <c r="J20" i="101"/>
  <c r="E39" i="101"/>
  <c r="J32" i="101"/>
  <c r="E26" i="101"/>
  <c r="J22" i="101"/>
  <c r="J55" i="101"/>
  <c r="E45" i="101"/>
  <c r="J41" i="101"/>
  <c r="E16" i="101"/>
  <c r="J88" i="101"/>
  <c r="J117" i="101"/>
  <c r="E132" i="101"/>
  <c r="E138" i="101"/>
  <c r="E63" i="68"/>
  <c r="F17" i="76"/>
  <c r="F17" i="68"/>
  <c r="F53" i="76"/>
  <c r="E59" i="61"/>
  <c r="F53" i="68"/>
  <c r="D10" i="80"/>
  <c r="E10" i="60"/>
  <c r="D10" i="78"/>
  <c r="D12" i="80"/>
  <c r="E12" i="66"/>
  <c r="D12" i="78"/>
  <c r="D28" i="80"/>
  <c r="E28" i="66"/>
  <c r="D28" i="78"/>
  <c r="D51" i="80"/>
  <c r="E51" i="66"/>
  <c r="D51" i="78"/>
  <c r="D72" i="80"/>
  <c r="E72" i="66"/>
  <c r="D72" i="78"/>
  <c r="D74" i="80"/>
  <c r="E74" i="66"/>
  <c r="D74" i="78"/>
  <c r="D88" i="80"/>
  <c r="E88" i="66"/>
  <c r="D88" i="78"/>
  <c r="D107" i="80"/>
  <c r="E107" i="66"/>
  <c r="D107" i="78"/>
  <c r="D125" i="80"/>
  <c r="E125" i="66"/>
  <c r="D125" i="78"/>
  <c r="D140" i="80"/>
  <c r="E140" i="66"/>
  <c r="D140" i="78"/>
  <c r="F63" i="76"/>
  <c r="F63" i="68"/>
  <c r="G7" i="78"/>
  <c r="G7" i="80"/>
  <c r="F75" i="60"/>
  <c r="F8" i="68"/>
  <c r="E19" i="61"/>
  <c r="F8" i="76"/>
  <c r="F13" i="76"/>
  <c r="F13" i="68"/>
  <c r="F34" i="68"/>
  <c r="E54" i="61"/>
  <c r="F34" i="76"/>
  <c r="F59" i="76"/>
  <c r="E67" i="61"/>
  <c r="F59" i="68"/>
  <c r="E8" i="76"/>
  <c r="E34" i="76"/>
  <c r="E60" i="76"/>
  <c r="G27" i="80"/>
  <c r="G87" i="80"/>
  <c r="G10" i="60"/>
  <c r="D19" i="61"/>
  <c r="D54" i="61"/>
  <c r="D59" i="61"/>
  <c r="D67" i="61"/>
  <c r="E11" i="66"/>
  <c r="E27" i="66"/>
  <c r="E50" i="66"/>
  <c r="E71" i="66"/>
  <c r="E73" i="66"/>
  <c r="E87" i="66"/>
  <c r="E106" i="66"/>
  <c r="E124" i="66"/>
  <c r="E139" i="66"/>
  <c r="F9" i="68"/>
  <c r="H10" i="78"/>
  <c r="H12" i="78"/>
  <c r="H28" i="78"/>
  <c r="H51" i="78"/>
  <c r="H72" i="78"/>
  <c r="H74" i="78"/>
  <c r="H88" i="78"/>
  <c r="H107" i="78"/>
  <c r="H125" i="78"/>
  <c r="H140" i="78"/>
  <c r="F60" i="76"/>
  <c r="G50" i="80"/>
  <c r="G106" i="80"/>
  <c r="D10" i="60"/>
  <c r="H11" i="66"/>
  <c r="H27" i="66"/>
  <c r="I50" i="66"/>
  <c r="I71" i="66"/>
  <c r="I73" i="66"/>
  <c r="I87" i="66"/>
  <c r="I106" i="66"/>
  <c r="I124" i="66"/>
  <c r="I139" i="66"/>
  <c r="D9" i="78"/>
  <c r="D11" i="78"/>
  <c r="D27" i="78"/>
  <c r="D50" i="78"/>
  <c r="D71" i="78"/>
  <c r="D73" i="78"/>
  <c r="D87" i="78"/>
  <c r="D106" i="78"/>
  <c r="D124" i="78"/>
  <c r="D139" i="78"/>
  <c r="E59" i="76"/>
  <c r="G9" i="80"/>
  <c r="G71" i="80"/>
  <c r="G124" i="80"/>
  <c r="G11" i="78"/>
  <c r="G73" i="78"/>
  <c r="G139" i="78"/>
  <c r="J47" i="9" l="1"/>
  <c r="Q23" i="9"/>
  <c r="F9" i="30"/>
  <c r="R23" i="9"/>
  <c r="P23" i="9"/>
  <c r="M5" i="21"/>
  <c r="J82" i="101"/>
  <c r="T47" i="9"/>
  <c r="AN47" i="9"/>
  <c r="E48" i="101"/>
  <c r="I48" i="101" s="1"/>
  <c r="K214" i="101"/>
  <c r="H25" i="103"/>
  <c r="E102" i="101"/>
  <c r="I102" i="101" s="1"/>
  <c r="E110" i="101"/>
  <c r="I110" i="101" s="1"/>
  <c r="E118" i="101"/>
  <c r="I118" i="101" s="1"/>
  <c r="E152" i="101"/>
  <c r="E150" i="101"/>
  <c r="E165" i="101"/>
  <c r="E163" i="101"/>
  <c r="K190" i="101"/>
  <c r="K224" i="101"/>
  <c r="K234" i="101"/>
  <c r="K242" i="101"/>
  <c r="E31" i="101"/>
  <c r="I31" i="101" s="1"/>
  <c r="I241" i="101"/>
  <c r="H16" i="103"/>
  <c r="H15" i="103"/>
  <c r="H28" i="103"/>
  <c r="G41" i="103"/>
  <c r="G40" i="103"/>
  <c r="G49" i="103"/>
  <c r="H35" i="103"/>
  <c r="AI47" i="9"/>
  <c r="Y22" i="9"/>
  <c r="AN15" i="9"/>
  <c r="O23" i="9"/>
  <c r="T44" i="9"/>
  <c r="H8" i="80"/>
  <c r="G75" i="60"/>
  <c r="H8" i="78"/>
  <c r="E38" i="101"/>
  <c r="I38" i="101" s="1"/>
  <c r="J59" i="101"/>
  <c r="J171" i="101"/>
  <c r="J169" i="101"/>
  <c r="K206" i="101"/>
  <c r="D69" i="61"/>
  <c r="E56" i="68"/>
  <c r="E56" i="76"/>
  <c r="F56" i="68"/>
  <c r="F56" i="76"/>
  <c r="E69" i="61"/>
  <c r="J63" i="101"/>
  <c r="J14" i="101"/>
  <c r="E62" i="101"/>
  <c r="I62" i="101" s="1"/>
  <c r="J18" i="101"/>
  <c r="E30" i="101"/>
  <c r="E28" i="101"/>
  <c r="J148" i="101"/>
  <c r="J173" i="101"/>
  <c r="K196" i="101"/>
  <c r="K195" i="101"/>
  <c r="K247" i="101"/>
  <c r="J74" i="101"/>
  <c r="J101" i="101"/>
  <c r="J140" i="101"/>
  <c r="E147" i="101"/>
  <c r="I147" i="101" s="1"/>
  <c r="E157" i="101"/>
  <c r="I157" i="101" s="1"/>
  <c r="E172" i="101"/>
  <c r="I172" i="101" s="1"/>
  <c r="I222" i="101"/>
  <c r="I221" i="101"/>
  <c r="I240" i="101"/>
  <c r="I239" i="101"/>
  <c r="H19" i="103"/>
  <c r="E81" i="101"/>
  <c r="E89" i="101"/>
  <c r="I89" i="101" s="1"/>
  <c r="E104" i="101"/>
  <c r="I104" i="101" s="1"/>
  <c r="E124" i="101"/>
  <c r="K193" i="101"/>
  <c r="K192" i="101"/>
  <c r="K217" i="101"/>
  <c r="K236" i="101"/>
  <c r="E21" i="101"/>
  <c r="I21" i="101" s="1"/>
  <c r="J34" i="101"/>
  <c r="E82" i="101"/>
  <c r="E125" i="101"/>
  <c r="I189" i="101"/>
  <c r="I188" i="101"/>
  <c r="I200" i="101"/>
  <c r="I199" i="101"/>
  <c r="H10" i="103"/>
  <c r="H18" i="103"/>
  <c r="H38" i="103"/>
  <c r="G35" i="103"/>
  <c r="G43" i="103"/>
  <c r="G51" i="103"/>
  <c r="D35" i="90"/>
  <c r="G50" i="103" s="1"/>
  <c r="H45" i="103"/>
  <c r="H44" i="103"/>
  <c r="H53" i="103"/>
  <c r="H63" i="103"/>
  <c r="H62" i="103"/>
  <c r="H19" i="18"/>
  <c r="J19" i="18"/>
  <c r="AD22" i="9"/>
  <c r="T22" i="9"/>
  <c r="K245" i="101"/>
  <c r="K244" i="101"/>
  <c r="E155" i="101"/>
  <c r="E51" i="76"/>
  <c r="E51" i="68"/>
  <c r="F51" i="76"/>
  <c r="F51" i="68"/>
  <c r="D8" i="80"/>
  <c r="D8" i="78"/>
  <c r="E75" i="60"/>
  <c r="E71" i="101"/>
  <c r="I71" i="101" s="1"/>
  <c r="E56" i="101"/>
  <c r="I56" i="101" s="1"/>
  <c r="E17" i="101"/>
  <c r="I17" i="101" s="1"/>
  <c r="E46" i="101"/>
  <c r="I46" i="101" s="1"/>
  <c r="E69" i="101"/>
  <c r="I69" i="101" s="1"/>
  <c r="E44" i="101"/>
  <c r="I44" i="101" s="1"/>
  <c r="J165" i="101"/>
  <c r="J163" i="101"/>
  <c r="K187" i="101"/>
  <c r="K210" i="101"/>
  <c r="K218" i="101"/>
  <c r="K231" i="101"/>
  <c r="G27" i="103"/>
  <c r="G26" i="103"/>
  <c r="H64" i="103"/>
  <c r="J103" i="101"/>
  <c r="J134" i="101"/>
  <c r="E151" i="101"/>
  <c r="E164" i="101"/>
  <c r="E162" i="101"/>
  <c r="H11" i="103"/>
  <c r="E83" i="101"/>
  <c r="I83" i="101" s="1"/>
  <c r="E91" i="101"/>
  <c r="I91" i="101" s="1"/>
  <c r="E106" i="101"/>
  <c r="I106" i="101" s="1"/>
  <c r="E114" i="101"/>
  <c r="I114" i="101" s="1"/>
  <c r="E137" i="101"/>
  <c r="I137" i="101" s="1"/>
  <c r="E156" i="101"/>
  <c r="E154" i="101"/>
  <c r="E171" i="101"/>
  <c r="E169" i="101"/>
  <c r="K184" i="101"/>
  <c r="K197" i="101"/>
  <c r="K219" i="101"/>
  <c r="K238" i="101"/>
  <c r="E13" i="101"/>
  <c r="E53" i="101"/>
  <c r="E51" i="101"/>
  <c r="I183" i="101"/>
  <c r="I227" i="101"/>
  <c r="I245" i="101"/>
  <c r="I244" i="101"/>
  <c r="H12" i="103"/>
  <c r="H22" i="103"/>
  <c r="G37" i="103"/>
  <c r="G36" i="103"/>
  <c r="G45" i="103"/>
  <c r="G44" i="103"/>
  <c r="G63" i="103"/>
  <c r="G62" i="103"/>
  <c r="H65" i="103"/>
  <c r="P29" i="27"/>
  <c r="L29" i="27"/>
  <c r="N11" i="27"/>
  <c r="H10" i="18"/>
  <c r="J10" i="18"/>
  <c r="T39" i="9"/>
  <c r="O47" i="9"/>
  <c r="AD12" i="9"/>
  <c r="D7" i="80"/>
  <c r="D75" i="60"/>
  <c r="D7" i="78"/>
  <c r="E64" i="68"/>
  <c r="E64" i="76"/>
  <c r="E64" i="101"/>
  <c r="I64" i="101" s="1"/>
  <c r="J53" i="101"/>
  <c r="E75" i="101"/>
  <c r="I75" i="101" s="1"/>
  <c r="E40" i="101"/>
  <c r="I40" i="101" s="1"/>
  <c r="E58" i="101"/>
  <c r="I58" i="101" s="1"/>
  <c r="E15" i="101"/>
  <c r="I15" i="101" s="1"/>
  <c r="K194" i="101"/>
  <c r="K227" i="101"/>
  <c r="E16" i="68"/>
  <c r="D34" i="61"/>
  <c r="E16" i="76"/>
  <c r="F64" i="68"/>
  <c r="F64" i="76"/>
  <c r="F16" i="68"/>
  <c r="E34" i="61"/>
  <c r="F16" i="76"/>
  <c r="E25" i="101"/>
  <c r="I25" i="101" s="1"/>
  <c r="E19" i="101"/>
  <c r="I19" i="101" s="1"/>
  <c r="E60" i="101"/>
  <c r="I60" i="101" s="1"/>
  <c r="J30" i="101"/>
  <c r="E54" i="101"/>
  <c r="I54" i="101" s="1"/>
  <c r="E14" i="101"/>
  <c r="E23" i="101"/>
  <c r="I23" i="101" s="1"/>
  <c r="J167" i="101"/>
  <c r="J177" i="101"/>
  <c r="K189" i="101"/>
  <c r="K188" i="101"/>
  <c r="K200" i="101"/>
  <c r="K199" i="101"/>
  <c r="K212" i="101"/>
  <c r="K243" i="101"/>
  <c r="G21" i="103"/>
  <c r="G20" i="103"/>
  <c r="J125" i="101"/>
  <c r="D27" i="89"/>
  <c r="E149" i="101" s="1"/>
  <c r="E166" i="101"/>
  <c r="I166" i="101" s="1"/>
  <c r="E176" i="101"/>
  <c r="I176" i="101" s="1"/>
  <c r="I193" i="101"/>
  <c r="I192" i="101"/>
  <c r="I228" i="101"/>
  <c r="H42" i="103"/>
  <c r="E85" i="101"/>
  <c r="I85" i="101" s="1"/>
  <c r="E108" i="101"/>
  <c r="I108" i="101" s="1"/>
  <c r="E131" i="101"/>
  <c r="I131" i="101" s="1"/>
  <c r="E139" i="101"/>
  <c r="I139" i="101" s="1"/>
  <c r="K201" i="101"/>
  <c r="K240" i="101"/>
  <c r="K239" i="101"/>
  <c r="G8" i="103"/>
  <c r="G33" i="103"/>
  <c r="G6" i="103"/>
  <c r="D9" i="90"/>
  <c r="G16" i="103"/>
  <c r="G15" i="103"/>
  <c r="E42" i="101"/>
  <c r="I42" i="101" s="1"/>
  <c r="E101" i="101"/>
  <c r="I196" i="101"/>
  <c r="I195" i="101"/>
  <c r="G39" i="103"/>
  <c r="G55" i="103"/>
  <c r="G54" i="103"/>
  <c r="H41" i="103"/>
  <c r="H40" i="103"/>
  <c r="H57" i="103"/>
  <c r="G48" i="103"/>
  <c r="J23" i="9"/>
  <c r="AN10" i="9"/>
  <c r="AM47" i="9"/>
  <c r="AC22" i="9"/>
  <c r="N9" i="17"/>
  <c r="L9" i="17"/>
  <c r="E9" i="30"/>
  <c r="S23" i="9"/>
  <c r="I151" i="101" l="1"/>
  <c r="I164" i="101"/>
  <c r="E15" i="89"/>
  <c r="J51" i="101" s="1"/>
  <c r="E10" i="89"/>
  <c r="J28" i="101" s="1"/>
  <c r="I162" i="101"/>
  <c r="I149" i="101"/>
  <c r="I13" i="101"/>
  <c r="E153" i="101"/>
  <c r="I153" i="101" s="1"/>
  <c r="E12" i="101"/>
  <c r="E31" i="76"/>
  <c r="E31" i="68"/>
  <c r="I206" i="101"/>
  <c r="J152" i="101"/>
  <c r="E27" i="89"/>
  <c r="J150" i="101" s="1"/>
  <c r="E73" i="101"/>
  <c r="I73" i="101" s="1"/>
  <c r="E133" i="101"/>
  <c r="I133" i="101" s="1"/>
  <c r="K222" i="101"/>
  <c r="K221" i="101"/>
  <c r="AN23" i="9"/>
  <c r="T23" i="9"/>
  <c r="E100" i="101"/>
  <c r="I100" i="101" s="1"/>
  <c r="J123" i="101"/>
  <c r="E23" i="89"/>
  <c r="E33" i="101"/>
  <c r="I33" i="101" s="1"/>
  <c r="I182" i="101"/>
  <c r="E174" i="101"/>
  <c r="I174" i="101" s="1"/>
  <c r="I155" i="101"/>
  <c r="K183" i="101"/>
  <c r="E80" i="101"/>
  <c r="E122" i="101"/>
  <c r="D23" i="89"/>
  <c r="E79" i="101"/>
  <c r="J96" i="101"/>
  <c r="J94" i="101"/>
  <c r="E52" i="101"/>
  <c r="I52" i="101" s="1"/>
  <c r="D15" i="89"/>
  <c r="E50" i="101" s="1"/>
  <c r="I50" i="101" s="1"/>
  <c r="F66" i="68"/>
  <c r="F66" i="76"/>
  <c r="G7" i="103"/>
  <c r="D26" i="90"/>
  <c r="E116" i="101"/>
  <c r="I116" i="101" s="1"/>
  <c r="E170" i="101"/>
  <c r="I170" i="101" s="1"/>
  <c r="E168" i="101"/>
  <c r="I168" i="101" s="1"/>
  <c r="I226" i="101"/>
  <c r="D50" i="89"/>
  <c r="E11" i="101"/>
  <c r="E126" i="101"/>
  <c r="I126" i="101" s="1"/>
  <c r="E145" i="101"/>
  <c r="I145" i="101" s="1"/>
  <c r="H37" i="103"/>
  <c r="H36" i="103"/>
  <c r="G34" i="103"/>
  <c r="D42" i="90"/>
  <c r="G60" i="103" s="1"/>
  <c r="E143" i="101"/>
  <c r="I143" i="101" s="1"/>
  <c r="I124" i="101"/>
  <c r="I81" i="101"/>
  <c r="J12" i="101"/>
  <c r="E66" i="68"/>
  <c r="E66" i="76"/>
  <c r="H51" i="103"/>
  <c r="E35" i="90"/>
  <c r="H50" i="103" s="1"/>
  <c r="J80" i="101"/>
  <c r="E96" i="101"/>
  <c r="E94" i="101"/>
  <c r="E29" i="101"/>
  <c r="I29" i="101" s="1"/>
  <c r="D10" i="89"/>
  <c r="E27" i="101" s="1"/>
  <c r="I27" i="101" s="1"/>
  <c r="F31" i="76"/>
  <c r="F31" i="68"/>
  <c r="K226" i="101"/>
  <c r="E50" i="89"/>
  <c r="H55" i="103"/>
  <c r="H54" i="103"/>
  <c r="H21" i="103"/>
  <c r="H20" i="103"/>
  <c r="E123" i="101"/>
  <c r="E121" i="101"/>
  <c r="E135" i="101"/>
  <c r="I135" i="101" s="1"/>
  <c r="E112" i="101"/>
  <c r="I112" i="101" s="1"/>
  <c r="H27" i="103"/>
  <c r="H26" i="103"/>
  <c r="K205" i="101"/>
  <c r="H34" i="103"/>
  <c r="H8" i="103"/>
  <c r="H6" i="103"/>
  <c r="E9" i="90"/>
  <c r="H33" i="103"/>
  <c r="E141" i="101"/>
  <c r="I141" i="101" s="1"/>
  <c r="E87" i="101"/>
  <c r="I87" i="101" s="1"/>
  <c r="K225" i="101" l="1"/>
  <c r="I225" i="101"/>
  <c r="E120" i="101"/>
  <c r="I120" i="101" s="1"/>
  <c r="D20" i="89"/>
  <c r="J121" i="101"/>
  <c r="E20" i="89"/>
  <c r="J78" i="101" s="1"/>
  <c r="E8" i="89"/>
  <c r="E42" i="90"/>
  <c r="H60" i="103" s="1"/>
  <c r="I11" i="101"/>
  <c r="I79" i="101"/>
  <c r="E10" i="66"/>
  <c r="E10" i="101"/>
  <c r="E9" i="66"/>
  <c r="H7" i="103"/>
  <c r="E26" i="90"/>
  <c r="D8" i="89"/>
  <c r="K182" i="101"/>
  <c r="I205" i="101"/>
  <c r="K204" i="101"/>
  <c r="E46" i="89"/>
  <c r="K203" i="101" s="1"/>
  <c r="G32" i="103"/>
  <c r="D43" i="90"/>
  <c r="I122" i="101"/>
  <c r="E95" i="101"/>
  <c r="I95" i="101" s="1"/>
  <c r="E78" i="101"/>
  <c r="D7" i="89" l="1"/>
  <c r="J10" i="101"/>
  <c r="E7" i="89"/>
  <c r="E45" i="89" s="1"/>
  <c r="J10" i="66"/>
  <c r="H9" i="66"/>
  <c r="H32" i="103"/>
  <c r="E43" i="90"/>
  <c r="E8" i="66"/>
  <c r="F30" i="89"/>
  <c r="E93" i="101"/>
  <c r="I93" i="101" s="1"/>
  <c r="E77" i="101"/>
  <c r="I77" i="101" s="1"/>
  <c r="E9" i="101"/>
  <c r="I9" i="101" s="1"/>
  <c r="G61" i="103"/>
  <c r="D46" i="90"/>
  <c r="G66" i="103" s="1"/>
  <c r="I204" i="101"/>
  <c r="D46" i="89"/>
  <c r="E64" i="89" l="1"/>
  <c r="E37" i="89"/>
  <c r="D45" i="89"/>
  <c r="I202" i="101" s="1"/>
  <c r="G30" i="89"/>
  <c r="K202" i="101"/>
  <c r="J8" i="66"/>
  <c r="J8" i="101"/>
  <c r="E8" i="101"/>
  <c r="E7" i="66"/>
  <c r="H7" i="66" s="1"/>
  <c r="E30" i="89"/>
  <c r="I203" i="101"/>
  <c r="H61" i="103"/>
  <c r="E46" i="90"/>
  <c r="H66" i="103" s="1"/>
  <c r="D64" i="89" l="1"/>
  <c r="F64" i="89" s="1"/>
  <c r="D37" i="89"/>
  <c r="E36" i="89"/>
  <c r="K181" i="101"/>
  <c r="E7" i="101"/>
  <c r="I7" i="101" s="1"/>
  <c r="G64" i="89"/>
  <c r="D30" i="89"/>
  <c r="K180" i="101" l="1"/>
  <c r="E58" i="89"/>
  <c r="E63" i="89"/>
  <c r="G63" i="89" s="1"/>
  <c r="D36" i="89"/>
  <c r="I181" i="101"/>
  <c r="D63" i="89" l="1"/>
  <c r="F63" i="89" s="1"/>
  <c r="C62" i="89" s="1"/>
  <c r="D58" i="89"/>
  <c r="I180" i="101"/>
</calcChain>
</file>

<file path=xl/comments1.xml><?xml version="1.0" encoding="utf-8"?>
<comments xmlns="http://schemas.openxmlformats.org/spreadsheetml/2006/main">
  <authors>
    <author>Autor</author>
  </authors>
  <commentList>
    <comment ref="E6" authorId="0">
      <text>
        <r>
          <rPr>
            <sz val="8"/>
            <color indexed="81"/>
            <rFont val="Tahoma"/>
            <family val="2"/>
            <charset val="238"/>
          </rPr>
          <t>select type of report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D7, D8, D9</t>
        </r>
      </text>
    </comment>
    <comment ref="B7" authorId="0">
      <text>
        <r>
          <rPr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F7" authorId="0">
      <text>
        <r>
          <rPr>
            <sz val="8"/>
            <color indexed="81"/>
            <rFont val="Tahoma"/>
            <family val="2"/>
            <charset val="238"/>
          </rPr>
          <t xml:space="preserve">Clasification of economic activities in sheet "SK NACE". </t>
        </r>
        <r>
          <rPr>
            <b/>
            <sz val="8"/>
            <color indexed="81"/>
            <rFont val="Tahoma"/>
            <family val="2"/>
            <charset val="238"/>
          </rPr>
          <t>Use values from column A (without dots)</t>
        </r>
      </text>
    </comment>
    <comment ref="B1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E11" authorId="0">
      <text>
        <r>
          <rPr>
            <sz val="8"/>
            <color indexed="81"/>
            <rFont val="Tahoma"/>
            <family val="2"/>
            <charset val="238"/>
          </rPr>
          <t>select the contains of Financial statement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D12, D13, D14</t>
        </r>
      </text>
    </comment>
    <comment ref="E16" authorId="0">
      <text>
        <r>
          <rPr>
            <sz val="8"/>
            <color indexed="81"/>
            <rFont val="Tahoma"/>
            <family val="2"/>
            <charset val="238"/>
          </rPr>
          <t>select type of accounting entity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D17, D18</t>
        </r>
      </text>
    </comment>
    <comment ref="B1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B2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F34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date on which the FS are prepared </t>
        </r>
      </text>
    </comment>
    <comment ref="F36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leave blank if not approved yet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O4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nemusi sediet kvoli opravnej polozke; porovnava sa net value predosleho roka</t>
        </r>
      </text>
    </comment>
  </commentList>
</comments>
</file>

<file path=xl/sharedStrings.xml><?xml version="1.0" encoding="utf-8"?>
<sst xmlns="http://schemas.openxmlformats.org/spreadsheetml/2006/main" count="6369" uniqueCount="2234">
  <si>
    <t>Názov položky</t>
  </si>
  <si>
    <t>Bežné účtovné obdobie</t>
  </si>
  <si>
    <t>Bezprostredne predchádzajúce účtovné obdobie</t>
  </si>
  <si>
    <t>Tabuľka č. 1</t>
  </si>
  <si>
    <t>Spolu</t>
  </si>
  <si>
    <t>Tabuľka č. 2</t>
  </si>
  <si>
    <t>x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</si>
  <si>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</si>
  <si>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</si>
  <si>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</si>
  <si>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</si>
  <si>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</si>
  <si>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</si>
  <si>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</si>
  <si>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</si>
  <si>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</si>
  <si>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</si>
  <si>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</si>
  <si>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hmotný majetok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</si>
  <si>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</si>
  <si>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</si>
  <si>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</si>
  <si>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</si>
  <si>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</si>
  <si>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</si>
  <si>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</si>
  <si>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</si>
  <si>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</si>
  <si>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</si>
  <si>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</si>
  <si>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</si>
  <si>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</si>
  <si>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</si>
  <si>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</si>
  <si>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</si>
  <si>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</si>
  <si>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</si>
  <si>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</si>
  <si>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</si>
  <si>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</si>
  <si>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</si>
  <si>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</si>
  <si>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</si>
  <si>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</si>
  <si>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</si>
  <si>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</si>
  <si>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</si>
  <si>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</si>
  <si>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</si>
  <si>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</si>
  <si>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</si>
  <si>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</si>
  <si>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</si>
  <si>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</si>
  <si>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</si>
  <si>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</si>
  <si>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</si>
  <si>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</si>
  <si>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</si>
  <si>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</si>
  <si>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</si>
  <si>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</si>
  <si>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</si>
  <si>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</si>
  <si>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</si>
  <si>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</si>
  <si>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</si>
  <si>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</si>
  <si>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</si>
  <si>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</si>
  <si>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</si>
  <si>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</si>
  <si>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</si>
  <si>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</si>
  <si>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</si>
  <si>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</si>
  <si>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</si>
  <si>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</si>
  <si>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</si>
  <si>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</si>
  <si>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</si>
  <si>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</si>
  <si>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</si>
  <si>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</si>
  <si>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</si>
  <si>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</si>
  <si>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</si>
  <si>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</si>
  <si>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</si>
  <si>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</si>
  <si>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</si>
  <si>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</si>
  <si>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</si>
  <si>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</si>
  <si>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</si>
  <si>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</si>
  <si>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</si>
  <si>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</si>
  <si>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</si>
  <si>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</si>
  <si>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</si>
  <si>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</si>
  <si>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</si>
  <si>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</si>
  <si>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</si>
  <si>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</si>
  <si>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</si>
  <si>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</si>
  <si>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</si>
  <si>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</si>
  <si>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</si>
  <si>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</si>
  <si>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</si>
  <si>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</si>
  <si>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</si>
  <si>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</si>
  <si>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</si>
  <si>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</si>
  <si>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</si>
  <si>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</si>
  <si>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</si>
  <si>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</si>
  <si>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</si>
  <si>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</si>
  <si>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</si>
  <si>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</si>
  <si>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</si>
  <si>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</si>
  <si>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</si>
  <si>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</si>
  <si>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</si>
  <si>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</si>
  <si>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</si>
  <si>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</si>
  <si>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</si>
  <si>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</si>
  <si>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</si>
  <si>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</si>
  <si>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</si>
  <si>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</si>
  <si>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</si>
  <si>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</si>
  <si>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</si>
  <si>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</si>
  <si>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</si>
  <si>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</si>
  <si>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</si>
  <si>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</si>
  <si>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</si>
  <si>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</si>
  <si>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</si>
  <si>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</si>
  <si>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</si>
  <si>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</si>
  <si>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</si>
  <si>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</si>
  <si>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</si>
  <si>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</si>
  <si>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</si>
  <si>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</si>
  <si>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</si>
  <si>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</si>
  <si>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</si>
  <si>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</si>
  <si>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</si>
  <si>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</si>
  <si>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</si>
  <si>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</si>
  <si>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</si>
  <si>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</si>
  <si>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</si>
  <si>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</si>
  <si>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</si>
  <si>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</si>
  <si>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</si>
  <si>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</si>
  <si>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</si>
  <si>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</si>
  <si>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</si>
  <si>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</si>
  <si>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</si>
  <si>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</si>
  <si>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</si>
  <si>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</si>
  <si>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</si>
  <si>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</si>
  <si>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</si>
  <si>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</si>
  <si>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</si>
  <si>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</si>
  <si>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</si>
  <si>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</si>
  <si>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</si>
  <si>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</si>
  <si>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</si>
  <si>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</si>
  <si>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</si>
  <si>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</si>
  <si>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</si>
  <si>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</si>
  <si>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</si>
  <si>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</si>
  <si>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</si>
  <si>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</si>
  <si>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</si>
  <si>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</si>
  <si>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</si>
  <si>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</si>
  <si>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</si>
  <si>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</si>
  <si>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</si>
  <si>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</si>
  <si>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</si>
  <si>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</si>
  <si>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</si>
  <si>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</si>
  <si>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</si>
  <si>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</si>
  <si>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</si>
  <si>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</si>
  <si>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</si>
  <si>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</si>
  <si>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</si>
  <si>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</si>
  <si>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</si>
  <si>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</si>
  <si>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</si>
  <si>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</si>
  <si>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</si>
  <si>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</si>
  <si>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</si>
  <si>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</si>
  <si>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</si>
  <si>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</si>
  <si>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</si>
  <si>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</si>
  <si>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</si>
  <si>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</si>
  <si>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</si>
  <si>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</si>
  <si>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</si>
  <si>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</si>
  <si>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</si>
  <si>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</si>
  <si>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</si>
  <si>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</si>
  <si>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</si>
  <si>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</si>
  <si>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</si>
  <si>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</si>
  <si>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</si>
  <si>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</si>
  <si>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</si>
  <si>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</si>
  <si>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</si>
  <si>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</si>
  <si>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</si>
  <si>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</si>
  <si>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</si>
  <si>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</si>
  <si>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</si>
  <si>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</si>
  <si>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</si>
  <si>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</si>
  <si>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</si>
  <si>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</si>
  <si>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</si>
  <si>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</si>
  <si>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</si>
  <si>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</si>
  <si>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</si>
  <si>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</si>
  <si>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</si>
  <si>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</si>
  <si>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</si>
  <si>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</si>
  <si>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</si>
  <si>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</si>
  <si>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</si>
  <si>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</si>
  <si>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</si>
  <si>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</si>
  <si>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</si>
  <si>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</si>
  <si>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</si>
  <si>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</si>
  <si>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</si>
  <si>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</si>
  <si>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</si>
  <si>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</si>
  <si>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</si>
  <si>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</si>
  <si>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</si>
  <si>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</si>
  <si>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</si>
  <si>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</si>
  <si>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</si>
  <si>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</si>
  <si>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</si>
  <si>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</si>
  <si>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</si>
  <si>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</si>
  <si>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</si>
  <si>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</si>
  <si>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</si>
  <si>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</si>
  <si>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</si>
  <si>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</si>
  <si>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</si>
  <si>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</si>
  <si>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</si>
  <si>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</si>
  <si>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</si>
  <si>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</si>
  <si>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</si>
  <si>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</si>
  <si>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</si>
  <si>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</si>
  <si>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</si>
  <si>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</si>
  <si>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</si>
  <si>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</si>
  <si>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</si>
  <si>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</si>
  <si>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</si>
  <si>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</si>
  <si>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</si>
  <si>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</si>
  <si>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</si>
  <si>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</si>
  <si>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</si>
  <si>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</si>
  <si>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</si>
  <si>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</si>
  <si>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</si>
  <si>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</si>
  <si>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</si>
  <si>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</si>
  <si>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</si>
  <si>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</si>
  <si>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</si>
  <si>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</si>
  <si>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</si>
  <si>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</si>
  <si>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</si>
  <si>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</si>
  <si>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</si>
  <si>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</si>
  <si>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</si>
  <si>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</si>
  <si>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</si>
  <si>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</si>
  <si>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</si>
  <si>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</si>
  <si>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</si>
  <si>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</si>
  <si>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</si>
  <si>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</si>
  <si>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</si>
  <si>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</si>
  <si>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</si>
  <si>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</si>
  <si>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</si>
  <si>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</si>
  <si>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</si>
  <si>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</si>
  <si>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</si>
  <si>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</si>
  <si>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</si>
  <si>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</si>
  <si>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</si>
  <si>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</si>
  <si>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</si>
  <si>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</si>
  <si>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</si>
  <si>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</si>
  <si>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</si>
  <si>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</si>
  <si>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</si>
  <si>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</si>
  <si>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</si>
  <si>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</si>
  <si>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</si>
  <si>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</si>
  <si>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</si>
  <si>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</si>
  <si>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</si>
  <si>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</si>
  <si>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</si>
  <si>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</si>
  <si>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</si>
  <si>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</si>
  <si>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</si>
  <si>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</si>
  <si>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</si>
  <si>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</si>
  <si>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</si>
  <si>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</si>
  <si>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</si>
  <si>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</si>
  <si>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</si>
  <si>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</si>
  <si>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</si>
  <si>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</si>
  <si>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</si>
  <si>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</si>
  <si>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</si>
  <si>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</si>
  <si>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</si>
  <si>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</si>
  <si>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</si>
  <si>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</si>
  <si>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</si>
  <si>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</si>
  <si>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</si>
  <si>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</si>
  <si>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</si>
  <si>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</si>
  <si>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</si>
  <si>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</si>
  <si>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</si>
  <si>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</si>
  <si>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</si>
  <si>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</si>
  <si>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</si>
  <si>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</si>
  <si>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</si>
  <si>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</si>
  <si>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</si>
  <si>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</si>
  <si>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</si>
  <si>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</si>
  <si>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</si>
  <si>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</si>
  <si>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</si>
  <si>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</si>
  <si>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</si>
  <si>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</si>
  <si>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</si>
  <si>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</si>
  <si>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</si>
  <si>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</si>
  <si>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</si>
  <si>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</si>
  <si>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</si>
  <si>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</si>
  <si>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</si>
  <si>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</si>
  <si>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</si>
  <si>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</si>
  <si>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</si>
  <si>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</si>
  <si>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</si>
  <si>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</si>
  <si>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</si>
  <si>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</si>
  <si>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</si>
  <si>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</si>
  <si>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</si>
  <si>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</si>
  <si>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</si>
  <si>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</si>
  <si>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50% of PM</t>
  </si>
  <si>
    <t>Client:</t>
  </si>
  <si>
    <t>Pre-tax income</t>
  </si>
  <si>
    <t>75% of PM</t>
  </si>
  <si>
    <t>Subject:</t>
  </si>
  <si>
    <t>Balance sheet</t>
  </si>
  <si>
    <t>Select value</t>
  </si>
  <si>
    <t>Sales revenue</t>
  </si>
  <si>
    <t>Equity</t>
  </si>
  <si>
    <t>Total assets</t>
  </si>
  <si>
    <t>RANGE</t>
  </si>
  <si>
    <t>in EUR</t>
  </si>
  <si>
    <t>Descrip-</t>
  </si>
  <si>
    <t>ASSETS</t>
  </si>
  <si>
    <t>Line</t>
  </si>
  <si>
    <t>Current accountig period</t>
  </si>
  <si>
    <t>Previous acc. period</t>
  </si>
  <si>
    <t>tion</t>
  </si>
  <si>
    <t>No.</t>
  </si>
  <si>
    <t>Brutto</t>
  </si>
  <si>
    <t>Correction</t>
  </si>
  <si>
    <t>Net</t>
  </si>
  <si>
    <t>a</t>
  </si>
  <si>
    <t>b</t>
  </si>
  <si>
    <t>c</t>
  </si>
  <si>
    <t>TOTAL ASSETS l. 002 + l. 030
+ l. 061</t>
  </si>
  <si>
    <t>001</t>
  </si>
  <si>
    <t>A.</t>
  </si>
  <si>
    <t>Non-current assets l. 003 + l. 011
+ l. 021</t>
  </si>
  <si>
    <t>002</t>
  </si>
  <si>
    <t>A.I.</t>
  </si>
  <si>
    <t>Non-current intangible assets  total (l. 004 to 010)</t>
  </si>
  <si>
    <t>003</t>
  </si>
  <si>
    <t>A.I.1.</t>
  </si>
  <si>
    <t>Capitalized development cost (012) - /072, 091A/</t>
  </si>
  <si>
    <t>004</t>
  </si>
  <si>
    <t>2.</t>
  </si>
  <si>
    <t>Software (013) - /073, 091A/</t>
  </si>
  <si>
    <t>005</t>
  </si>
  <si>
    <t>3.</t>
  </si>
  <si>
    <t>Valuable rights (014) - /074, 091A/</t>
  </si>
  <si>
    <t>006</t>
  </si>
  <si>
    <t>4.</t>
  </si>
  <si>
    <t>Goodwill (015)-/075,091A/</t>
  </si>
  <si>
    <t>007</t>
  </si>
  <si>
    <t>5.</t>
  </si>
  <si>
    <t>Other non-current intangible assets (019, 01X) - /079,
07X, 091A/</t>
  </si>
  <si>
    <t>008</t>
  </si>
  <si>
    <t>6.</t>
  </si>
  <si>
    <t>Non-current intangible assets under construction (041) - 093</t>
  </si>
  <si>
    <t>009</t>
  </si>
  <si>
    <t>7.</t>
  </si>
  <si>
    <t>Advance payments for non-current intangible assets (051) - 095A</t>
  </si>
  <si>
    <t>010</t>
  </si>
  <si>
    <t>A.II.</t>
  </si>
  <si>
    <t>Non-current tangible assets  total (l. 012 to 020)</t>
  </si>
  <si>
    <t>011</t>
  </si>
  <si>
    <t>A.II.1.</t>
  </si>
  <si>
    <t>Land (031)-092A</t>
  </si>
  <si>
    <t>012</t>
  </si>
  <si>
    <t>Buildings (021) - /081,092A/</t>
  </si>
  <si>
    <t>013</t>
  </si>
  <si>
    <t>Plant and equipment (022) - /082, 092A/</t>
  </si>
  <si>
    <t>014</t>
  </si>
  <si>
    <t>Perennial crops (025) - /085, 092A/</t>
  </si>
  <si>
    <t>015</t>
  </si>
  <si>
    <t>Livestock and draught animals (026) - /086, 092A/</t>
  </si>
  <si>
    <t>016</t>
  </si>
  <si>
    <t>Other non-current tangible assets (029, 02X, 032) -
/089, 08X, 092A/</t>
  </si>
  <si>
    <t>017</t>
  </si>
  <si>
    <t>Non-current tangible assets under construction (042) - 094</t>
  </si>
  <si>
    <t>018</t>
  </si>
  <si>
    <t>8.</t>
  </si>
  <si>
    <t>Advance payments for non-current tangible assets (052) - 095A</t>
  </si>
  <si>
    <t>019</t>
  </si>
  <si>
    <t>9.</t>
  </si>
  <si>
    <t>Adjustments for assets acquired (+/- 097) +/- 098</t>
  </si>
  <si>
    <t>020</t>
  </si>
  <si>
    <t>A.III.</t>
  </si>
  <si>
    <t xml:space="preserve">Non-current financial assets  total (l. 022 to 029) </t>
  </si>
  <si>
    <t>021</t>
  </si>
  <si>
    <t>A.III.1.</t>
  </si>
  <si>
    <t>Investment in subsidiaries (061) - 096A</t>
  </si>
  <si>
    <t>022</t>
  </si>
  <si>
    <t>Investment in  interest in associates (062) - 096A</t>
  </si>
  <si>
    <t>023</t>
  </si>
  <si>
    <t>Other non-current investments (063, 065) - 096A</t>
  </si>
  <si>
    <t>024</t>
  </si>
  <si>
    <t>Loans to entities in consolidated group (066A) - 096A</t>
  </si>
  <si>
    <t>025</t>
  </si>
  <si>
    <t>Other non-current financial assets (067A, 069, 06XA)
- 096A</t>
  </si>
  <si>
    <t>026</t>
  </si>
  <si>
    <t>Loans with maturity up to one year (066A, 067A, 06XA)
- 096A</t>
  </si>
  <si>
    <t>027</t>
  </si>
  <si>
    <t>Non-current financial assets under construction (043) - 096A</t>
  </si>
  <si>
    <t>028</t>
  </si>
  <si>
    <t>Advance payments for non-current financial assets (053) - 095A</t>
  </si>
  <si>
    <t>029</t>
  </si>
  <si>
    <t>B.</t>
  </si>
  <si>
    <t>Current assets l. 031 + l. 038
+ l. 046 + l. 055</t>
  </si>
  <si>
    <t>030</t>
  </si>
  <si>
    <t>B.I.</t>
  </si>
  <si>
    <t>Inventory total (l. 032 to 037)</t>
  </si>
  <si>
    <t>031</t>
  </si>
  <si>
    <t>B.I.1.</t>
  </si>
  <si>
    <t>Raw material (112, 119, 11X) - /191,19X/</t>
  </si>
  <si>
    <t>032</t>
  </si>
  <si>
    <t>Work in progress and semi-finished goods (121, 122, 12X) -
/192, 193, 19X/</t>
  </si>
  <si>
    <t>033</t>
  </si>
  <si>
    <t>Finished goods (123) - 194</t>
  </si>
  <si>
    <t>034</t>
  </si>
  <si>
    <t>Livestock (124) - 195</t>
  </si>
  <si>
    <t>035</t>
  </si>
  <si>
    <t>Merchandise (132,13,13X,139) -/196,19X/
- /196, 19X/</t>
  </si>
  <si>
    <t>036</t>
  </si>
  <si>
    <t>Advance payments for inventories (314A) - 391A</t>
  </si>
  <si>
    <t>037</t>
  </si>
  <si>
    <t>B.II.</t>
  </si>
  <si>
    <t>Long-term receivables total (l. 039 to 045)</t>
  </si>
  <si>
    <t>038</t>
  </si>
  <si>
    <t>B.II.1.</t>
  </si>
  <si>
    <t>Trade receivables (311A, 312A, 313A, 314A, 315A, 31XA)
- 391A</t>
  </si>
  <si>
    <t>039</t>
  </si>
  <si>
    <t>Net value of construction contracts (316A)</t>
  </si>
  <si>
    <t>040</t>
  </si>
  <si>
    <t>Receivables from subsidiary and controlling entity (351A) - 391A</t>
  </si>
  <si>
    <t>041</t>
  </si>
  <si>
    <t>Other receivables within consolidated group (351A) - 391A</t>
  </si>
  <si>
    <t>042</t>
  </si>
  <si>
    <t>Receivables from partners and consortium members (354A, 355A, 358A,
35XA) - 391A</t>
  </si>
  <si>
    <t>043</t>
  </si>
  <si>
    <t>Other receivables (335A, 33XA, 371A,373A, 374A, 375A,376A, 378A) - 391A</t>
  </si>
  <si>
    <t>044</t>
  </si>
  <si>
    <t>Deferred tax asset (481A)</t>
  </si>
  <si>
    <t>045</t>
  </si>
  <si>
    <t>B.III.</t>
  </si>
  <si>
    <t>Short-term receivables  total (l. 047 to 054)</t>
  </si>
  <si>
    <t>046</t>
  </si>
  <si>
    <t>B.III.1.</t>
  </si>
  <si>
    <t>Trade receivables (311A, 312A, 313A, 314A, 315A, 31XA) - 391A</t>
  </si>
  <si>
    <t>047</t>
  </si>
  <si>
    <t>048</t>
  </si>
  <si>
    <t>Receivables from subsidiary and controlling enterprise (351A) - 391A</t>
  </si>
  <si>
    <t>049</t>
  </si>
  <si>
    <t>050</t>
  </si>
  <si>
    <t>Receivables from partners and consortium members (354A, 355A, 358A,35XA, 398A) - 391A</t>
  </si>
  <si>
    <t>051</t>
  </si>
  <si>
    <t>Social security receivables (336) - 391A</t>
  </si>
  <si>
    <t>052</t>
  </si>
  <si>
    <t>Tax receivables (341, 342, 343, 345, 346, 347) - 391A</t>
  </si>
  <si>
    <t>053</t>
  </si>
  <si>
    <t>Other receivables (335A, 33XA, 371A, 373A, 374A, 375A, 376A, 378A) - 391A</t>
  </si>
  <si>
    <t>054</t>
  </si>
  <si>
    <t>B.IV.</t>
  </si>
  <si>
    <t>Financial assets total (l. 056 to 060)</t>
  </si>
  <si>
    <t>055</t>
  </si>
  <si>
    <t>B.IV.1.</t>
  </si>
  <si>
    <t>Cash (211, 213, 21X)</t>
  </si>
  <si>
    <t>056</t>
  </si>
  <si>
    <t>Bank accounts (221A, 22X +/- 261)</t>
  </si>
  <si>
    <t>057</t>
  </si>
  <si>
    <t>Term deposits exceeding one year 22XA</t>
  </si>
  <si>
    <t>058</t>
  </si>
  <si>
    <t>Short-term financial assets (251, 253, 256, 257, 25X) - /291, 29X/</t>
  </si>
  <si>
    <t>059</t>
  </si>
  <si>
    <t>Short-term financial assets under construction (259, 314A) - 291</t>
  </si>
  <si>
    <t>060</t>
  </si>
  <si>
    <t>C.</t>
  </si>
  <si>
    <t>Accruals and prepayments  total l. 062 and 065</t>
  </si>
  <si>
    <t>061</t>
  </si>
  <si>
    <t>C.1.</t>
  </si>
  <si>
    <t xml:space="preserve">Prepaid expenses long-term (381A, 382A) </t>
  </si>
  <si>
    <t>062</t>
  </si>
  <si>
    <t>Prepaid expenses short-term (381A, 382A)</t>
  </si>
  <si>
    <t>063</t>
  </si>
  <si>
    <t>Accrued revenues  long-term (385A)</t>
  </si>
  <si>
    <t>064</t>
  </si>
  <si>
    <t>Accrued revenues short-term (385A)</t>
  </si>
  <si>
    <t>065</t>
  </si>
  <si>
    <t>Control number  (lines 001-064)</t>
  </si>
  <si>
    <t>LIABILITIES</t>
  </si>
  <si>
    <t>Current accountig</t>
  </si>
  <si>
    <t>Previous accouting</t>
  </si>
  <si>
    <t>period</t>
  </si>
  <si>
    <t>SHAREHOLDERS' EQUITY AND LIABILITIES TOTAL l. 067 + 088 + 121</t>
  </si>
  <si>
    <t>066</t>
  </si>
  <si>
    <t>Shareholders' equity l. 068+ 073+ 080 + 084+ 087</t>
  </si>
  <si>
    <t>067</t>
  </si>
  <si>
    <t>Registered capital total (l. 069 to 072)</t>
  </si>
  <si>
    <t>068</t>
  </si>
  <si>
    <t>Share capital (411 alebo +/- 491)</t>
  </si>
  <si>
    <t>069</t>
  </si>
  <si>
    <t>Own shares and interests (/-/252)</t>
  </si>
  <si>
    <t>070</t>
  </si>
  <si>
    <t>Change in share capital +/- 419</t>
  </si>
  <si>
    <t>071</t>
  </si>
  <si>
    <t>Receivables for subscribed share capital (/-/353)</t>
  </si>
  <si>
    <t>072</t>
  </si>
  <si>
    <t>Capital funds total (l. 074 to 079)</t>
  </si>
  <si>
    <t>073</t>
  </si>
  <si>
    <t>Share premium (412)</t>
  </si>
  <si>
    <t>074</t>
  </si>
  <si>
    <t>Other capital funds (413)</t>
  </si>
  <si>
    <t>075</t>
  </si>
  <si>
    <t>Legal reserve fund (non-distributable fund) from capital contributions (417, 418)</t>
  </si>
  <si>
    <t>076</t>
  </si>
  <si>
    <t>Asset and liabilities revaluation reserve (+/- 414)</t>
  </si>
  <si>
    <t>077</t>
  </si>
  <si>
    <t>Investments revaluation reserve  (+/- 415)</t>
  </si>
  <si>
    <t>078</t>
  </si>
  <si>
    <t>Revaluation reserve for mergers and demergers (+/-416)</t>
  </si>
  <si>
    <t>079</t>
  </si>
  <si>
    <t>Funds created from profit total (l. 081 to 083)</t>
  </si>
  <si>
    <t>080</t>
  </si>
  <si>
    <t>Legal reserve fund (421)</t>
  </si>
  <si>
    <t>081</t>
  </si>
  <si>
    <t>Non-distributable fund  (422)</t>
  </si>
  <si>
    <t>082</t>
  </si>
  <si>
    <t>Statutory and other funds (423, 427, 42X)</t>
  </si>
  <si>
    <t>083</t>
  </si>
  <si>
    <t>A.IV.</t>
  </si>
  <si>
    <t>Retained earnings l. 085 + 086</t>
  </si>
  <si>
    <t>084</t>
  </si>
  <si>
    <t>A.IV.1.</t>
  </si>
  <si>
    <t>Retained profits from previous years (428)</t>
  </si>
  <si>
    <t>085</t>
  </si>
  <si>
    <t>Accumulated loss carried forward (/-/429)</t>
  </si>
  <si>
    <t>086</t>
  </si>
  <si>
    <t>A.V.</t>
  </si>
  <si>
    <t>Profit or loss from current period /+-/ l. 001 - (068 + 073 + 080 + 084 + 088 + 121)</t>
  </si>
  <si>
    <t>087</t>
  </si>
  <si>
    <t>Liabilities l. 89 + 94 + 106 + 117+ 118</t>
  </si>
  <si>
    <t>088</t>
  </si>
  <si>
    <t>Provisions total (l. 090 to 093)</t>
  </si>
  <si>
    <t>089</t>
  </si>
  <si>
    <t>Legal provisions long term (451A)</t>
  </si>
  <si>
    <t>090</t>
  </si>
  <si>
    <t>Legal provisions short term (323A, 451A)</t>
  </si>
  <si>
    <t>091</t>
  </si>
  <si>
    <t>Other long-term provisions (459A, 45XA)</t>
  </si>
  <si>
    <t>092</t>
  </si>
  <si>
    <t>Other short term provisions (323, 32X, 451A, 459A, 45XA)</t>
  </si>
  <si>
    <t>093</t>
  </si>
  <si>
    <t>Non-current liabilities total (l. 095 to 105)</t>
  </si>
  <si>
    <t>094</t>
  </si>
  <si>
    <t>Long-term trade payables (479A)</t>
  </si>
  <si>
    <t>095</t>
  </si>
  <si>
    <t>096</t>
  </si>
  <si>
    <t>Long-term uninvoiced supplies (476A)</t>
  </si>
  <si>
    <t>097</t>
  </si>
  <si>
    <t>Long-term payables to subsidiary and controling enterprise (471A)</t>
  </si>
  <si>
    <t>098</t>
  </si>
  <si>
    <t>Other long-term liabilities within consolidated group (471A)</t>
  </si>
  <si>
    <t>099</t>
  </si>
  <si>
    <t>Long-term advance payaments received (475A)</t>
  </si>
  <si>
    <t>100</t>
  </si>
  <si>
    <t>Long-term bills of exchange payable (478A)</t>
  </si>
  <si>
    <t>101</t>
  </si>
  <si>
    <t>Bonds and debentures issued (473A/-/255A)</t>
  </si>
  <si>
    <t>102</t>
  </si>
  <si>
    <t>Social fund payable (472)</t>
  </si>
  <si>
    <t>103</t>
  </si>
  <si>
    <t>10.</t>
  </si>
  <si>
    <t>Other non-current liabilities (474A, 479A, 47XA, 372A, 373A, 377A)</t>
  </si>
  <si>
    <t>104</t>
  </si>
  <si>
    <t>11.</t>
  </si>
  <si>
    <t>Deferred tax liability (481A)</t>
  </si>
  <si>
    <t>105</t>
  </si>
  <si>
    <t>Current liabilities  total (l. 107 to 116)</t>
  </si>
  <si>
    <t>106</t>
  </si>
  <si>
    <t>Trade payables (321, 322, 324, 325, 32X, 475A, 478A, 479A, 47XA)</t>
  </si>
  <si>
    <t>107</t>
  </si>
  <si>
    <t>108</t>
  </si>
  <si>
    <t>Uninvoiced supplies (326, 476A)</t>
  </si>
  <si>
    <t>109</t>
  </si>
  <si>
    <t>Payables to subsidiary and controlling enterprise (361A, 471A)</t>
  </si>
  <si>
    <t>110</t>
  </si>
  <si>
    <t>Other liabilities within consolidated group (361A, 36XA, 471A, 47XA)</t>
  </si>
  <si>
    <t>111</t>
  </si>
  <si>
    <t>Payables to partners and consortium members (364, 365, 366, 367, 368, 398A, 478A, 479A)</t>
  </si>
  <si>
    <t>112</t>
  </si>
  <si>
    <t>Payables to employees (331, 333, 33X, 479A)</t>
  </si>
  <si>
    <t>113</t>
  </si>
  <si>
    <t>Social security payables (336, 479A)</t>
  </si>
  <si>
    <t>114</t>
  </si>
  <si>
    <t>Tax liabilities and subsidies (341, 342, 343, 345, 346, 347, 34X)</t>
  </si>
  <si>
    <t>115</t>
  </si>
  <si>
    <t>Other short-term liabilities (372A, 373A, 377A, 379A, 474A, 479A, 47X)</t>
  </si>
  <si>
    <t>116</t>
  </si>
  <si>
    <t>Short term financial borrowings (241, 249, 24x, 473A, /-/255A)</t>
  </si>
  <si>
    <t>117</t>
  </si>
  <si>
    <t>B.V.</t>
  </si>
  <si>
    <t>Bank loans (l. 119 to 120)</t>
  </si>
  <si>
    <t>118</t>
  </si>
  <si>
    <t>B.V.1.</t>
  </si>
  <si>
    <t>Long-term bank loans (461A, 46XA)</t>
  </si>
  <si>
    <t>119</t>
  </si>
  <si>
    <t>Current bank loans (221A, 231, 232, 23X, 461A, 46XA)</t>
  </si>
  <si>
    <t>120</t>
  </si>
  <si>
    <t>Accruals and deferred income - total (l. 122 to 125)</t>
  </si>
  <si>
    <t>121</t>
  </si>
  <si>
    <t>Accruals long term (383A)</t>
  </si>
  <si>
    <t>122</t>
  </si>
  <si>
    <t>Accruals short term (383A)</t>
  </si>
  <si>
    <t>123</t>
  </si>
  <si>
    <t>Deferred income long term (384A)</t>
  </si>
  <si>
    <t>124</t>
  </si>
  <si>
    <t>Deferred income short term (384A)</t>
  </si>
  <si>
    <t>125</t>
  </si>
  <si>
    <t>Control number  (lines 061-110)</t>
  </si>
  <si>
    <t>888</t>
  </si>
  <si>
    <t>Profit and loss statement</t>
  </si>
  <si>
    <t xml:space="preserve"> in EUR </t>
  </si>
  <si>
    <t>TEXT</t>
  </si>
  <si>
    <t>Accountig period</t>
  </si>
  <si>
    <t>Current</t>
  </si>
  <si>
    <t>Previous</t>
  </si>
  <si>
    <t xml:space="preserve">     I.</t>
  </si>
  <si>
    <t>01</t>
  </si>
  <si>
    <t>A .</t>
  </si>
  <si>
    <t>Costs of merchandise sold (504, 505A,507)</t>
  </si>
  <si>
    <t>02</t>
  </si>
  <si>
    <t>+</t>
  </si>
  <si>
    <t>Gross margin l. 01 - r. 02</t>
  </si>
  <si>
    <t>03</t>
  </si>
  <si>
    <t xml:space="preserve">     II.</t>
  </si>
  <si>
    <t>Production l. 05 + r. 06 + r. 07</t>
  </si>
  <si>
    <t>04</t>
  </si>
  <si>
    <t>II.1.</t>
  </si>
  <si>
    <t>Revenues from own products and services (601, 602,606)</t>
  </si>
  <si>
    <t>05</t>
  </si>
  <si>
    <t>Change in stock of finished goods and work in progress  (+/- acc. group 61)</t>
  </si>
  <si>
    <t>06</t>
  </si>
  <si>
    <t xml:space="preserve">Own work capitalised (acc. group 62)     </t>
  </si>
  <si>
    <t>07</t>
  </si>
  <si>
    <t>Production costs l. 09 + r. 10</t>
  </si>
  <si>
    <t>08</t>
  </si>
  <si>
    <t>B.1.</t>
  </si>
  <si>
    <t>Material and energy consumption and other unstorable supplies (501, 502, 503, 505A)</t>
  </si>
  <si>
    <t>09</t>
  </si>
  <si>
    <t xml:space="preserve">   2.</t>
  </si>
  <si>
    <t>Services (acc. group 51)</t>
  </si>
  <si>
    <t>10</t>
  </si>
  <si>
    <t>Added value l. 03 + r. 04 - r. 08</t>
  </si>
  <si>
    <t>11</t>
  </si>
  <si>
    <t>Personnel expenses  total (l. 13 až 16)</t>
  </si>
  <si>
    <t>12</t>
  </si>
  <si>
    <t>Wages and salaries (521, 522)</t>
  </si>
  <si>
    <t>13</t>
  </si>
  <si>
    <t>Remuneration of members of the board of companies and co-operatives (523)</t>
  </si>
  <si>
    <t>14</t>
  </si>
  <si>
    <t xml:space="preserve">   3.</t>
  </si>
  <si>
    <t>Social insurance costs (524, 525, 526)</t>
  </si>
  <si>
    <t>15</t>
  </si>
  <si>
    <t xml:space="preserve">   4.</t>
  </si>
  <si>
    <t>Social security costs (527, 528)</t>
  </si>
  <si>
    <t>16</t>
  </si>
  <si>
    <t>D.</t>
  </si>
  <si>
    <t>Indirect taxes and charges (acc. group 53)</t>
  </si>
  <si>
    <t>17</t>
  </si>
  <si>
    <t>E.</t>
  </si>
  <si>
    <t>Depreciation of and provisions to non-current tangible and intangible assets (551, 553)</t>
  </si>
  <si>
    <t>18</t>
  </si>
  <si>
    <t xml:space="preserve">    III.</t>
  </si>
  <si>
    <t>Revenue from sale of non-current assets and material (641, 642)</t>
  </si>
  <si>
    <t>19</t>
  </si>
  <si>
    <t>F.</t>
  </si>
  <si>
    <t>Net book value of non-current assets and material sold (541, 542)</t>
  </si>
  <si>
    <t>20</t>
  </si>
  <si>
    <t>G.</t>
  </si>
  <si>
    <t>Creation and release of provisions to receivables (+/-547)</t>
  </si>
  <si>
    <t>21</t>
  </si>
  <si>
    <t xml:space="preserve">   IV.</t>
  </si>
  <si>
    <t>Other operating revenues (644, 645, 646, 648, 655, 657)</t>
  </si>
  <si>
    <t>22</t>
  </si>
  <si>
    <t>H.</t>
  </si>
  <si>
    <t>Other operating expenses (543, 544, 545, 546, 548, 549, 555, 557)</t>
  </si>
  <si>
    <t>23</t>
  </si>
  <si>
    <t xml:space="preserve">    V.</t>
  </si>
  <si>
    <t>Reclassification of operating revenues (-)(697)</t>
  </si>
  <si>
    <t>24</t>
  </si>
  <si>
    <t>I.</t>
  </si>
  <si>
    <t>Reclassification of operating expenses (-)(597)</t>
  </si>
  <si>
    <t>25</t>
  </si>
  <si>
    <t>*</t>
  </si>
  <si>
    <t>Profit or loss from operating activities
l.11 - 12 - 17- 18 + 19- 20 - 21 + 22 -23
+ (-24) - (-25)</t>
  </si>
  <si>
    <t>26</t>
  </si>
  <si>
    <t xml:space="preserve">    VI.</t>
  </si>
  <si>
    <t>Revenues from sale of securities and ownership interests (661)</t>
  </si>
  <si>
    <t>27</t>
  </si>
  <si>
    <t>J.</t>
  </si>
  <si>
    <t>Book value of securities and ownership interest sold (561)</t>
  </si>
  <si>
    <t>28</t>
  </si>
  <si>
    <t xml:space="preserve"> VII.</t>
  </si>
  <si>
    <t>Income from long-term financial assets l.30 + 31 + 32</t>
  </si>
  <si>
    <t>29</t>
  </si>
  <si>
    <t xml:space="preserve"> VII.1.</t>
  </si>
  <si>
    <t>Income from investments in subsidiaries and associates (665A)</t>
  </si>
  <si>
    <t>30</t>
  </si>
  <si>
    <t xml:space="preserve">      2.</t>
  </si>
  <si>
    <t>Income from other long-term securities and ownership interest (665A)</t>
  </si>
  <si>
    <t>31</t>
  </si>
  <si>
    <t xml:space="preserve">      3.</t>
  </si>
  <si>
    <t>Income from other long-term financial assets (665A)</t>
  </si>
  <si>
    <t>32</t>
  </si>
  <si>
    <t xml:space="preserve"> VIII.</t>
  </si>
  <si>
    <t>Income from short-term financial assets (666)</t>
  </si>
  <si>
    <t>33</t>
  </si>
  <si>
    <t>K.</t>
  </si>
  <si>
    <t>Costs of short-term financial assets (566)</t>
  </si>
  <si>
    <t>34</t>
  </si>
  <si>
    <t xml:space="preserve">  IX .</t>
  </si>
  <si>
    <t>Income from revaluation of securities and income from transactions with derivatives  (664, 667)</t>
  </si>
  <si>
    <t>35</t>
  </si>
  <si>
    <t>L.</t>
  </si>
  <si>
    <t>Expenses for revaluation of securities and expenses for transactions with derivatives  (564, 567)</t>
  </si>
  <si>
    <t>36</t>
  </si>
  <si>
    <t>M.</t>
  </si>
  <si>
    <t>Creation and release of provisions to financial assets              +/- 565</t>
  </si>
  <si>
    <t>37</t>
  </si>
  <si>
    <t xml:space="preserve">   X.</t>
  </si>
  <si>
    <t>Interest income (662)</t>
  </si>
  <si>
    <t>38</t>
  </si>
  <si>
    <t>N.</t>
  </si>
  <si>
    <t>Interest expense (562)</t>
  </si>
  <si>
    <t>39</t>
  </si>
  <si>
    <t xml:space="preserve">   XI.</t>
  </si>
  <si>
    <t>Foreign exchange gains (663)</t>
  </si>
  <si>
    <t>40</t>
  </si>
  <si>
    <t>O.</t>
  </si>
  <si>
    <t>Foreign exchange losses (563)</t>
  </si>
  <si>
    <t>41</t>
  </si>
  <si>
    <t xml:space="preserve">  XII.</t>
  </si>
  <si>
    <t>Other financial revenue (668)</t>
  </si>
  <si>
    <t>42</t>
  </si>
  <si>
    <t>P.</t>
  </si>
  <si>
    <t>Other financial expenses (568, 569)</t>
  </si>
  <si>
    <t>43</t>
  </si>
  <si>
    <t xml:space="preserve"> XIII.</t>
  </si>
  <si>
    <t>Reclassification of financial revenues (-) (698)</t>
  </si>
  <si>
    <t>44</t>
  </si>
  <si>
    <t>R.</t>
  </si>
  <si>
    <t>Reclassification of financial expenses (-) (598)</t>
  </si>
  <si>
    <t>45</t>
  </si>
  <si>
    <t>Profit/(loss) from financial activities l. 27 - 28 + 29 + 33 - 34 + 35 - 36 - 37 + 38 - 39
+ 40 - 41 + 42 -43 + (-44) - (-45)</t>
  </si>
  <si>
    <t>46</t>
  </si>
  <si>
    <t>**</t>
  </si>
  <si>
    <t>Net profit from ordinary activities before tax l.26+l.46</t>
  </si>
  <si>
    <t>47</t>
  </si>
  <si>
    <t>S.</t>
  </si>
  <si>
    <t>Tax on income from ordinary activities l. 49 + l. 50</t>
  </si>
  <si>
    <t>48</t>
  </si>
  <si>
    <t>S.1.</t>
  </si>
  <si>
    <t>- due  (591, 595)</t>
  </si>
  <si>
    <t>49</t>
  </si>
  <si>
    <t>- deferred  (592)</t>
  </si>
  <si>
    <t>50</t>
  </si>
  <si>
    <t>Net profit/(loss) from ordinary activities after tax l. 47 - l. 48</t>
  </si>
  <si>
    <t>51</t>
  </si>
  <si>
    <t xml:space="preserve"> XIV.</t>
  </si>
  <si>
    <t>Extraordinary revenues (acc. group 68)</t>
  </si>
  <si>
    <t>52</t>
  </si>
  <si>
    <t>T.</t>
  </si>
  <si>
    <t>Extraordinary expenses (acc. group 58)</t>
  </si>
  <si>
    <t>53</t>
  </si>
  <si>
    <t>Extraordinary profit/(loss) before tax  l.52 - I.53</t>
  </si>
  <si>
    <t>54</t>
  </si>
  <si>
    <t>U.</t>
  </si>
  <si>
    <t>Tax on income from extraordinary activities l. 56 + l. 57</t>
  </si>
  <si>
    <t>55</t>
  </si>
  <si>
    <t>U.1.</t>
  </si>
  <si>
    <t>- due  (593)</t>
  </si>
  <si>
    <t>56</t>
  </si>
  <si>
    <t>- deferred  (594)</t>
  </si>
  <si>
    <t>57</t>
  </si>
  <si>
    <t>Extraordinary profit/(loss) after tax  l.54-l.55</t>
  </si>
  <si>
    <t>58</t>
  </si>
  <si>
    <t>***</t>
  </si>
  <si>
    <t xml:space="preserve">Net profit/(loss) for the period before tax  (+/-) 1.47+l.54         </t>
  </si>
  <si>
    <t>59</t>
  </si>
  <si>
    <t>V.</t>
  </si>
  <si>
    <t>Profit/(loss) share transferred to owners' account (+/-596)</t>
  </si>
  <si>
    <t>60</t>
  </si>
  <si>
    <t xml:space="preserve">'Net profit/(loss) for the period after tax  (+/-) l.51+l.58-l.60           </t>
  </si>
  <si>
    <t>61</t>
  </si>
  <si>
    <t>predchádzajúce</t>
  </si>
  <si>
    <t>KONTROLA SUCTOV</t>
  </si>
  <si>
    <t>KONTROLA Opening balances</t>
  </si>
  <si>
    <t>KONTROLA na vykazy</t>
  </si>
  <si>
    <t>OPRAVKY + OPRAVNE POLOZKY - KOREKCIA Z BS</t>
  </si>
  <si>
    <t>KONTROLA opening balances</t>
  </si>
  <si>
    <t>UVPOD1v11_1</t>
  </si>
  <si>
    <t>k</t>
  </si>
  <si>
    <t>.</t>
  </si>
  <si>
    <t>(v celých eurách)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</si>
  <si>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</si>
  <si>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</si>
  <si>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  Ä  B  Č  D  É  F  G  H  Í  J  K  L  M  N  O  P  Q  R  Š  T  Ú  V  X  Ý  Ž      0  1  2  3  4  5  6  7  8  9</t>
  </si>
  <si>
    <t>Daňové identifikačné číslo</t>
  </si>
  <si>
    <t>Účtovná závierka</t>
  </si>
  <si>
    <t>Mesiac</t>
  </si>
  <si>
    <t>Rok</t>
  </si>
  <si>
    <t>Za obdobie</t>
  </si>
  <si>
    <t>od</t>
  </si>
  <si>
    <t>IČO</t>
  </si>
  <si>
    <t>riadna</t>
  </si>
  <si>
    <t>zostavená</t>
  </si>
  <si>
    <t>do</t>
  </si>
  <si>
    <t>mimoriadna</t>
  </si>
  <si>
    <t>schválená</t>
  </si>
  <si>
    <t>Bezprostredne</t>
  </si>
  <si>
    <t>SK NACE</t>
  </si>
  <si>
    <t>(vyznačí sa x)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</si>
  <si>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</si>
  <si>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</si>
  <si>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</si>
  <si>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</si>
  <si>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</si>
  <si>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</si>
  <si>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</si>
  <si>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</si>
  <si>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</si>
  <si>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/</t>
  </si>
  <si>
    <t xml:space="preserve"> </t>
  </si>
  <si>
    <t>E-mailová adresa</t>
  </si>
  <si>
    <t>Zostavená dňa:</t>
  </si>
  <si>
    <t>Podpisový záznam člena štatutárneho orgánu účtovnej jednotky alebo fyzickej osoby, ktorá je účtovnou jednotkou:</t>
  </si>
  <si>
    <t>Podpisový záznam osoby zodpovednej za zostavenie účtovnej závierky:</t>
  </si>
  <si>
    <t>Podpisový záznam osoby zodpovednej za vedenie účtovníctva:</t>
  </si>
  <si>
    <t>Schválená dňa:</t>
  </si>
  <si>
    <t>Záznamy daňového úradu</t>
  </si>
  <si>
    <t>Miesto pre evidenčné číslo</t>
  </si>
  <si>
    <t>Odtlačok prezentačnej pečiatky daňového úradu</t>
  </si>
  <si>
    <t>Výnosy budúcich období krátkodobé (384A)</t>
  </si>
  <si>
    <t>Výnosy budúcich období dlhodobé (384A)</t>
  </si>
  <si>
    <t>Výdavky budúcich období krátkodobé (383A)</t>
  </si>
  <si>
    <t>Výdavky budúcich období dlhodobé (383A)</t>
  </si>
  <si>
    <t>Časové rozlíšenie súčet (r. 122 až r. 125)</t>
  </si>
  <si>
    <t>Bežné bankové úvery
(221A, 231, 232, 23X, 461A, 46XA)</t>
  </si>
  <si>
    <t>Bankové úvery dlhodobé (461A, 46XA)</t>
  </si>
  <si>
    <t>Bankové úvery   r. 119 + r. 120</t>
  </si>
  <si>
    <t>Krátkodobé finančné výpomoci (241, 249, 24X, 473A, /-/255A)</t>
  </si>
  <si>
    <t>Ostatné záväzky
(372A, 373A, 377A, 379A, 474A, 479A, 47X)</t>
  </si>
  <si>
    <t>Daňové záväzky a dotácie
(341, 342, 343, 345, 346, 347, 34X)</t>
  </si>
  <si>
    <t>Záväzky zo sociálneho poistenia (336, 479A)</t>
  </si>
  <si>
    <t>Záväzky voči zamestnancom (331, 333, 33X, 479A)</t>
  </si>
  <si>
    <t>Záväzky voči spoločníkom a združeniu
(364, 365, 366, 367, 368, 398A, 478A, 479A)</t>
  </si>
  <si>
    <t>Ostatné záväzky v rámci konsolidovaného celku
(361A, 36XA, 471A, 47XA)</t>
  </si>
  <si>
    <t>Záväzky voči dcérskej účtovnej jednotke a materskej účtovnej jednotke (361A, 471A)</t>
  </si>
  <si>
    <t>Nevyfakturované dodávky (326, 476A)</t>
  </si>
  <si>
    <t>Čistá hodnota zákazky (316A)</t>
  </si>
  <si>
    <t>Záväzky z obchodného styku
(321, 322, 324, 325, 32X, 475A, 478A, 479A, 47XA)</t>
  </si>
  <si>
    <t>Krátkodobé záväzky súčet (r. 107 až r. 116)</t>
  </si>
  <si>
    <t>Odložený daňový záväzok (481A)</t>
  </si>
  <si>
    <t>Ostatné dlhodobé záväzky
(474A, 479A, 47XA, 372A, 373A, 377A)</t>
  </si>
  <si>
    <t>Záväzky zo sociálneho fondu (472)</t>
  </si>
  <si>
    <t>Vydané dlhopisy(473A/-/255A)</t>
  </si>
  <si>
    <t>Dlhodobé zmenky na úhradu (478A)</t>
  </si>
  <si>
    <t>Dlhodobé prijaté preddavky (475A)</t>
  </si>
  <si>
    <t>Ostatné dlhodobé záväzky v rámci konsolidovaného celku (471A)</t>
  </si>
  <si>
    <t>Dlhodobé záväzky voči dcérskej účtovnej jednotke a materskej účtovnej jednotke (471A)</t>
  </si>
  <si>
    <t>Dlhodobé nevyfakturované dodávky (476A)</t>
  </si>
  <si>
    <t>Dlhodobé záväzky z obchodného styku (479A)</t>
  </si>
  <si>
    <t>Bezprostredne predchádzajúce
účtovné obdobie
5</t>
  </si>
  <si>
    <t>Bežné účtovné obdobie
4</t>
  </si>
  <si>
    <t>Číslo
riadku
c</t>
  </si>
  <si>
    <t>STRANA PASÍV
b</t>
  </si>
  <si>
    <t>Ozna-
čenie
a</t>
  </si>
  <si>
    <t>Dlhodobé záväzky súčet (r. 095 až r.105)</t>
  </si>
  <si>
    <t>Ostatne krátkodobé rezervy (323A, 32X,)</t>
  </si>
  <si>
    <t>Ostatne dlhodobé rezervy (459A, 45XA)</t>
  </si>
  <si>
    <t>Rezervy zákonné krátkodobé (323A)</t>
  </si>
  <si>
    <t>Rezervy zákonné dlhodobé (451A)</t>
  </si>
  <si>
    <t>Rezervy súčet (r. 090 až r. 093)</t>
  </si>
  <si>
    <t>Záväzky
r. 89 + r. 94 + r. 106 + r. 117 + r. 118</t>
  </si>
  <si>
    <t>Výsledok hospodárenia za účtovné obdobie po zdanení /+-/ r. 001 - (r. 068 + r. 073 + r. 080 + r. 084 + r. 088 + r. 121)</t>
  </si>
  <si>
    <t>Neuhradená strata minulých rokov (/-/429)</t>
  </si>
  <si>
    <t>Nerozdelený zisk minulých rokov (428)</t>
  </si>
  <si>
    <t>Výsledok hospodárenia minulých rokov r. 085 + r. 086</t>
  </si>
  <si>
    <t>Štatutárne fondy a ostatné fondy (423, 427, 42X)</t>
  </si>
  <si>
    <t>Nedeliteľný fond (422)</t>
  </si>
  <si>
    <t>Zákonný rezervný fond (421)</t>
  </si>
  <si>
    <t>Fondy zo zisku súčet (r. 081 až r. 083)</t>
  </si>
  <si>
    <t>Oceňovacie rozdiely z precenenia pri zlúčení, splynutí a rozdelení (+/-416)</t>
  </si>
  <si>
    <t>Oceňovacie rozdiely z kapitálových účastín (+/- 415)</t>
  </si>
  <si>
    <t>Oceňovacie rozdiely z precenenia majetku a záväzkov
(+/- 414)</t>
  </si>
  <si>
    <t>Zákonný rezervný fond (Nedeliteľný fond) z kapitálových vkladov (417, 418)</t>
  </si>
  <si>
    <t>Ostatné kapitálové fondy (413)</t>
  </si>
  <si>
    <t>Emisné ážio (412)</t>
  </si>
  <si>
    <t>Kapitálové fondy súčet (r. 074 až 079)</t>
  </si>
  <si>
    <t>Pohľadávky za upísané vlastné imanie (/-/353)</t>
  </si>
  <si>
    <t>Zmena základného imania +/- 419</t>
  </si>
  <si>
    <t>Vlastné akcie a vlastné obchodné podiely (/-/252)</t>
  </si>
  <si>
    <t>Základné imanie (411 alebo +/- 491)</t>
  </si>
  <si>
    <t>Základné imanie súčet (r. 069 až 072)</t>
  </si>
  <si>
    <t>Vlastné imanie r. 068+r. 073+r. 080+r. 084+r. 087</t>
  </si>
  <si>
    <t>SPOLU VLASTNÉ IMANIE A ZÁVÄZKY
r. 067 + r. 088 + r. 121</t>
  </si>
  <si>
    <t>Príjmy budúcich
období krátkodobé
(385A)</t>
  </si>
  <si>
    <t>Príjmy budúcich
období dlhodobé
(385A)</t>
  </si>
  <si>
    <t>Náklady budúcich
období krátkodobé
(381A, 382A)</t>
  </si>
  <si>
    <t>Náklady budúcich
období dlhodobé
(381A, 382A)</t>
  </si>
  <si>
    <t>Časové rozlíšenie
(r. 062 až r. 065)</t>
  </si>
  <si>
    <t>Obstarávaný
krátkodobý finančný
majetok
(259, 314A) - 291</t>
  </si>
  <si>
    <t>Krátkodobý finančný
majetok
(251, 253, 256, 257,
25X) - /291, 29X/</t>
  </si>
  <si>
    <t>Účty v bankách
s dobou viazanosti
dlhšou ako jeden rok
22XA</t>
  </si>
  <si>
    <t>Účty v bankách
(221A, 22X +/- 261)</t>
  </si>
  <si>
    <t>Netto    3</t>
  </si>
  <si>
    <r>
      <t xml:space="preserve">Korekcia - </t>
    </r>
    <r>
      <rPr>
        <sz val="7.5"/>
        <rFont val="Arial"/>
        <family val="2"/>
        <charset val="238"/>
      </rPr>
      <t>časť 2</t>
    </r>
  </si>
  <si>
    <t>Netto    2</t>
  </si>
  <si>
    <r>
      <t xml:space="preserve">Brutto - </t>
    </r>
    <r>
      <rPr>
        <sz val="7.5"/>
        <rFont val="Arial"/>
        <family val="2"/>
        <charset val="238"/>
      </rPr>
      <t>časť 1</t>
    </r>
  </si>
  <si>
    <t>Bezprostredne predchádzajúce
účtovné obdobie</t>
  </si>
  <si>
    <t>STRANA AKTÍV
b</t>
  </si>
  <si>
    <t>Peniaze
(211, 213, 21X)</t>
  </si>
  <si>
    <t>Finančné účty
súčet (r. 056až
r. 060)</t>
  </si>
  <si>
    <t>Iné pohľadávky
(335A, 33XA, 371A,
373A, 374A, 375A,
376A, 378A) - 391A</t>
  </si>
  <si>
    <t>Daňové pohľadávky a dotácie
(341, 342, 343, 345,
346, 347) - 391A</t>
  </si>
  <si>
    <t>Sociálne poistenie
(336) - 391A</t>
  </si>
  <si>
    <t>Pohľadávky voči
spoločníkom,
členom a združeniu
(354A, 355A, 358A,
35XA, 398A) - 391A</t>
  </si>
  <si>
    <t>Ostatné pohľadávky
v rámci
konsolidovaného
celku
(351A) - 391A</t>
  </si>
  <si>
    <t>Pohľadávky voči
dcérskej účtovnej
jednotke a materskej
účtovnej jednotke
(351A) - 391A</t>
  </si>
  <si>
    <t>Čistá hodnota
zákazky
(316A)</t>
  </si>
  <si>
    <t>Pohľadávky
z obchodného styku
(311A, 312A, 313A,
314A, 315A, 31XA) -
391A</t>
  </si>
  <si>
    <t>Krátkodobé
pohľadávky
súčet (r. 047 až
054)</t>
  </si>
  <si>
    <t>Odložená daňová
pohľadávka
(481A)</t>
  </si>
  <si>
    <t>Pohľadávky voči
spoločníkom,
členom a združeniu
(354A, 355A, 358A,
35XA) - 391A</t>
  </si>
  <si>
    <t>Pohľadávky z
obchodného styku
(311A, 312A, 313A,
314A, 315A, 31XA)
- 391A</t>
  </si>
  <si>
    <t>Dlhodobé
pohľadávky
súčet (r. 039 až
045)</t>
  </si>
  <si>
    <t>Poskytnuté
preddavky
na zásoby
(314A) - 391A</t>
  </si>
  <si>
    <t>Tovar
(132, 13X, 139)
- /196, 19X/</t>
  </si>
  <si>
    <t>Zvieratá
(124) - 195</t>
  </si>
  <si>
    <t>Výrobky
(123) - 194</t>
  </si>
  <si>
    <t>Nedokončená
výroba a polotovary vlastnej výrovy
(121, 122, 12X) -
/192, 193, 19X/</t>
  </si>
  <si>
    <t>Materiál
(112, 119, 11X)
-/191,19X/</t>
  </si>
  <si>
    <t>Zásoby
súčet (r. 032 až
037)</t>
  </si>
  <si>
    <t>Obežný majetok
r. 031 + r. 038
+ r. 046 + r. 055</t>
  </si>
  <si>
    <t>Poskytnuté
preddavky
na dlhodobý
finančný majetok
(053) - 095A</t>
  </si>
  <si>
    <t>Obstarávaný
dlhodobý finančný
majetok
(043) - 096A</t>
  </si>
  <si>
    <t>Pôžičky s dobou
splatnosti najviac
jeden rok
(066A, 067A, 06XA)
- 096A</t>
  </si>
  <si>
    <t>Ostatný dlhodobý
finančný majetok
(067A, 069, 06XA)
- 096A</t>
  </si>
  <si>
    <t>Pôžičky účtovnej
jednotke
v konsolidovanom
celku
(066A) - 096A</t>
  </si>
  <si>
    <t>Ostatné dlhodobé
cenné papiere a
podiely
(063, 065) - 096A</t>
  </si>
  <si>
    <t>Podielové cenné
papiere a podiely
v spoločnosti s
podstatným vplyvom
(062) - 096A</t>
  </si>
  <si>
    <t>Podielové cenné
papiere a podiely v
dcérskej účtovnej
jednotke
(061) - 096A</t>
  </si>
  <si>
    <t>Dlhodobý finančný
majetok
súčet (r. 022 až
029)</t>
  </si>
  <si>
    <t>Opravná položka
k nadobudnutému
majetku
(+/- 097) +/- 098</t>
  </si>
  <si>
    <t>Poskytnuté
preddavky na
dlhodobý hmotný
majetok
(052) - 095A</t>
  </si>
  <si>
    <t>Obstarávaný
dlhodobý hmotný
majetok
(042) - 094</t>
  </si>
  <si>
    <t>Ostatný dlhodobý
hmotný majetok
(029, 02X, 032) -
/089, 08X, 092A/</t>
  </si>
  <si>
    <t>Základné stádo a
ťažné zvieratá
(026) - /086, 092A/</t>
  </si>
  <si>
    <t>Pestovateľské celky
trvalých porastov
(025) - /085, 092A/</t>
  </si>
  <si>
    <t>Samostatné
hnuteľné veci a
súbory hnuteľných
vecí
(022) - /082, 092A/</t>
  </si>
  <si>
    <t>Stavby
(021) - /081,092A/</t>
  </si>
  <si>
    <t>Pozemky
(031) - 092A</t>
  </si>
  <si>
    <t>Dlhodobý hmotný
majetok
súčet (r. 012 až 020)</t>
  </si>
  <si>
    <t>Poskytnuté
preddavky
na dlhodobý
nehmotný majetok
(051) - 095A</t>
  </si>
  <si>
    <t>Obstarávaný
dlhodobý nehmotný
majetok
(041) - 093</t>
  </si>
  <si>
    <t>Ostatný dlhodobý
nehmotný majetok
(019, 01X) - /079,
07X, 091A/</t>
  </si>
  <si>
    <t>Goodwill
(015) - /075, 091A/</t>
  </si>
  <si>
    <t>Oceniteľné práva
(014) - /074, 091A/</t>
  </si>
  <si>
    <t>Softvér
(013) - /073, 091A/</t>
  </si>
  <si>
    <t>Aktivované náklady
na vývoj
(012) - /072, 091A/</t>
  </si>
  <si>
    <t>DIČ</t>
  </si>
  <si>
    <t>Výkaz ziskov a strát Úč POD 2 - 01</t>
  </si>
  <si>
    <t>VÝKAZ                ZISKOV A STRÁT</t>
  </si>
  <si>
    <r>
      <t>UVPOD2v09_1</t>
    </r>
    <r>
      <rPr>
        <sz val="5"/>
        <rFont val="Arial"/>
        <family val="2"/>
        <charset val="238"/>
      </rPr>
      <t/>
    </r>
  </si>
  <si>
    <t>Výsledok hospodárenia za účtovné obdobie po zdanení   (+/-) [r. 51 + r. 58 - r. 60]</t>
  </si>
  <si>
    <t>Prevod podielov na výsledku hospodárenia spoločníkom (+/-596)</t>
  </si>
  <si>
    <t>Výsledok hospodárenia za účtovné obdobie pred zdanením (+/-) [r. 47 + r. 54]</t>
  </si>
  <si>
    <t>Výsledok hospodárenia z mimoriadnej činnosti po zdanení    r. 54 - r. 55</t>
  </si>
  <si>
    <t xml:space="preserve"> - odložená (+/ 594)</t>
  </si>
  <si>
    <t xml:space="preserve"> - splatná (593)</t>
  </si>
  <si>
    <t>Daň z príjmov z mimoriadnej činnosti r. 56 + r. 57</t>
  </si>
  <si>
    <t>Výsledok hospodárenia z mimoriadnej činnosti pred zdanením r. 52 - r. 53</t>
  </si>
  <si>
    <t>Mimoriadne náklady (účtová skupina 58)</t>
  </si>
  <si>
    <t>Mimoriadne výnosy (účtová skupina 68)</t>
  </si>
  <si>
    <t>Výsledok hospodárenia z bežnej činnosti po zdanení
r. 47 - r. 48</t>
  </si>
  <si>
    <t>- odložená (+/- 592)</t>
  </si>
  <si>
    <t>- splatná (591, 595)</t>
  </si>
  <si>
    <t>Daň z príjmov z bežnej činnosti r. 49 + r. 50</t>
  </si>
  <si>
    <t>Výsledok hospodárenia z bežnej činnosti pred zdanením r. 26 + r. 46</t>
  </si>
  <si>
    <t>Výsledok hospodárenia z finančnej činnosti
r. 27 - r. 28 + r. 29 + r. 33 - r. 34 + r. 35 - r. 36 - r. 37 + r. 38 - r. 39 + r. 40 - r. 41 + r. 42 - r. 43 + (- r. 44) - (- r. 45)</t>
  </si>
  <si>
    <t>Prevod finančných nákladov (-) (598)</t>
  </si>
  <si>
    <t>Prevod finančných výnosov (-) (698)</t>
  </si>
  <si>
    <t>Ostatné náklady na finančnú činnosť (568, 569)</t>
  </si>
  <si>
    <t>Ostatné výnosy z finančnej činnosti (668)</t>
  </si>
  <si>
    <t>Kurzové straty (563)</t>
  </si>
  <si>
    <t>Kurzové zisky (663)</t>
  </si>
  <si>
    <t>Nákladové úroky (562)</t>
  </si>
  <si>
    <t>Výnosové úroky (662)</t>
  </si>
  <si>
    <t>Tvorba a zúčtovanie opravných položiek k finančnému majetku +/- 565</t>
  </si>
  <si>
    <t>Náklady na precenenie cenných papierov a náklady na derivátové operácie (564, 567)</t>
  </si>
  <si>
    <t>Výnosy z precenenia cenných papierov a výnosy z
derivátových operácií (664, 667)</t>
  </si>
  <si>
    <t>Náklady na krátkodobý finančný majetok (566)</t>
  </si>
  <si>
    <t>Výnosy z krátkodobého finančného majetku (666)</t>
  </si>
  <si>
    <t>Výnosy z ostatného dlhodobého finančného majetku (665A)</t>
  </si>
  <si>
    <t>Výnosy z ostatných dlhodobých cenných papierov a
podielov (665A)</t>
  </si>
  <si>
    <t>Výnosy z cenných papierov a podielov v dcérskej účtovnej jednotke a v spoločnosti s podstatným vplyvom (665A)</t>
  </si>
  <si>
    <t>Výnosy z dlhodobého finančného majetku
r. 30 + r. 31 + r. 32</t>
  </si>
  <si>
    <t>Predané cenné papiere a podiely (561)</t>
  </si>
  <si>
    <t>Tržby z predaja cenných papierov a podielov (661)</t>
  </si>
  <si>
    <t>Výsledok hospodárenia z hospodárskej činnosti
r. 11 - r. 12 - r. 17- r. 18 + r. 19- r. 20 - r. 21 + r. 22 -r. 23 + (- r. 24) - (- r. 25)</t>
  </si>
  <si>
    <t>Prevod nákladov na hospodársku činnosť (-)(597)</t>
  </si>
  <si>
    <t>Prevod výnosov z hospodárskej činnosti (-)(697)</t>
  </si>
  <si>
    <t>Ostatné náklady na hospodársku činnosť
(543, 544, 545, 546, 548, 549,555, 557)</t>
  </si>
  <si>
    <t>Ostatné výnosy z hospodárskej činnosti
(644, 645, 646, 648,655, 657)</t>
  </si>
  <si>
    <t>Tvorba a zúčtovanie opravných položiek  k pohľadávkam (+/-547)</t>
  </si>
  <si>
    <t>Zostatková cena predaného dlhodobého majetku a
predaného materiálu (541, 542)</t>
  </si>
  <si>
    <t>Tržby z predaja dlhodobého majetku a materiálu (641, 642)</t>
  </si>
  <si>
    <t>Odpisy a opravné položky k dlhodobému nehmotnému majetku a dlhodobému hmotnému majetku (551, 553)</t>
  </si>
  <si>
    <t>Dane a poplatky (účtová skupina 53)</t>
  </si>
  <si>
    <t>Sociálne náklady (527, 528)</t>
  </si>
  <si>
    <t>Náklady na sociálne poistenie (524, 525, 526)</t>
  </si>
  <si>
    <t>Odmeny členom orgánov spoločnosti a družstva (523)</t>
  </si>
  <si>
    <t>Mzdové náklady (521, 522)</t>
  </si>
  <si>
    <t>Osobné náklady súčet (r. 13 až 16)</t>
  </si>
  <si>
    <t>Pridaná hodnota r. 03 + r. 04 - r. 08</t>
  </si>
  <si>
    <t>Služby (účtová skupina 51)</t>
  </si>
  <si>
    <t>Spotreba materiálu, energie a ostatných
neskladovateľných dodávok (501, 502, 503, 505A)</t>
  </si>
  <si>
    <t>Výrobná spotreba r. 09 + r. 10</t>
  </si>
  <si>
    <t>Aktivácia (účtovná skupina 62)</t>
  </si>
  <si>
    <t>Zmeny stavu vnútroorganizačných zásob
(+/- účtová skupina 61)</t>
  </si>
  <si>
    <t>Tržby z predaja vlastných výrobkov a služieb (601, 602,606)</t>
  </si>
  <si>
    <t>Výroba r. 05 + r. 06 + r. 07</t>
  </si>
  <si>
    <t>Obchodná marža r. 01 - r. 02</t>
  </si>
  <si>
    <t>Náklady vynaložené na obstaranie predaného tovaru
(504, 505A)</t>
  </si>
  <si>
    <t>Tržby z predaja tovaru (604)</t>
  </si>
  <si>
    <t>bezprostredne predchádzajúce
účtovné obdobie
2</t>
  </si>
  <si>
    <t>bežné účtovné obdobie
1</t>
  </si>
  <si>
    <t>Text
b</t>
  </si>
  <si>
    <t>Skutočnosť</t>
  </si>
  <si>
    <t>e-mail :</t>
  </si>
  <si>
    <t>Fax number :</t>
  </si>
  <si>
    <t>Name :</t>
  </si>
  <si>
    <t>Phone number :</t>
  </si>
  <si>
    <t>Phone area code :</t>
  </si>
  <si>
    <t>City</t>
  </si>
  <si>
    <t>ZIP</t>
  </si>
  <si>
    <t>Street No.</t>
  </si>
  <si>
    <t>Entity address:</t>
  </si>
  <si>
    <t>Approved on:</t>
  </si>
  <si>
    <t>INO ("IČO") :</t>
  </si>
  <si>
    <t>Prepared on:</t>
  </si>
  <si>
    <t>DIČ :</t>
  </si>
  <si>
    <t>Year:</t>
  </si>
  <si>
    <t>Month :</t>
  </si>
  <si>
    <t>Report :</t>
  </si>
  <si>
    <t>End of period</t>
  </si>
  <si>
    <t>approved</t>
  </si>
  <si>
    <t>Start of period</t>
  </si>
  <si>
    <t>prepared</t>
  </si>
  <si>
    <t>Previous period :</t>
  </si>
  <si>
    <t>Type of delivery :</t>
  </si>
  <si>
    <t>End - year</t>
  </si>
  <si>
    <t>End - date</t>
  </si>
  <si>
    <t>Year :</t>
  </si>
  <si>
    <t>extraordinary</t>
  </si>
  <si>
    <t>ordinary</t>
  </si>
  <si>
    <t>Curent period :</t>
  </si>
  <si>
    <t>CLIENT</t>
  </si>
  <si>
    <t>Input data for statutory reports</t>
  </si>
  <si>
    <t xml:space="preserve">Zúčtovanie OP z dôvodu zániku opodstat-
nenosti
</t>
  </si>
  <si>
    <t>Revenues from merchandise (604,607)</t>
  </si>
  <si>
    <r>
      <t xml:space="preserve">Please </t>
    </r>
    <r>
      <rPr>
        <b/>
        <i/>
        <sz val="8"/>
        <color indexed="10"/>
        <rFont val="Arial"/>
        <family val="2"/>
      </rPr>
      <t>read</t>
    </r>
    <r>
      <rPr>
        <i/>
        <sz val="8"/>
        <color indexed="10"/>
        <rFont val="Arial"/>
        <family val="2"/>
      </rPr>
      <t xml:space="preserve"> carefully comments for writing data in </t>
    </r>
    <r>
      <rPr>
        <b/>
        <i/>
        <sz val="8"/>
        <color indexed="10"/>
        <rFont val="Arial"/>
        <family val="2"/>
      </rPr>
      <t>correct</t>
    </r>
    <r>
      <rPr>
        <i/>
        <sz val="8"/>
        <color indexed="10"/>
        <rFont val="Arial"/>
        <family val="2"/>
      </rPr>
      <t xml:space="preserve"> format</t>
    </r>
  </si>
  <si>
    <r>
      <t xml:space="preserve">Name of entity </t>
    </r>
    <r>
      <rPr>
        <b/>
        <sz val="8"/>
        <rFont val="Arial"/>
        <family val="2"/>
        <charset val="238"/>
      </rPr>
      <t>(including legal form)</t>
    </r>
    <r>
      <rPr>
        <b/>
        <sz val="8"/>
        <rFont val="Arial"/>
        <family val="2"/>
      </rPr>
      <t xml:space="preserve"> :</t>
    </r>
  </si>
  <si>
    <t>POZNÁMKY</t>
  </si>
  <si>
    <t>priebežná</t>
  </si>
  <si>
    <t>BALANCE SHEET</t>
  </si>
  <si>
    <t>Balance sheet Úč POD 1 - 01</t>
  </si>
  <si>
    <t>as of</t>
  </si>
  <si>
    <t>in full EUR</t>
  </si>
  <si>
    <t>Á  Ä  B  Č  D  É  F  G  H  Í  J  K  L  M  N  O  P  Q  R  Š  T  Ú  V  X  Ý  Ž  0  1  2  3  4  5  6  7  8  9</t>
  </si>
  <si>
    <t>Tax identification number</t>
  </si>
  <si>
    <t>Financial statements</t>
  </si>
  <si>
    <t>Month</t>
  </si>
  <si>
    <t>Year</t>
  </si>
  <si>
    <t>For period</t>
  </si>
  <si>
    <t>from</t>
  </si>
  <si>
    <t>Identification number</t>
  </si>
  <si>
    <t>Ordinary</t>
  </si>
  <si>
    <t>Prepared</t>
  </si>
  <si>
    <t>to</t>
  </si>
  <si>
    <t>Extraordinary</t>
  </si>
  <si>
    <t>Approved</t>
  </si>
  <si>
    <t xml:space="preserve">Directly preceding 
period
</t>
  </si>
  <si>
    <t>(marked with x)</t>
  </si>
  <si>
    <t>Business name of entity</t>
  </si>
  <si>
    <t>Registered seat of entity</t>
  </si>
  <si>
    <t>Street</t>
  </si>
  <si>
    <t>Number</t>
  </si>
  <si>
    <t>ZIP Code</t>
  </si>
  <si>
    <t>Town</t>
  </si>
  <si>
    <t>Phone number</t>
  </si>
  <si>
    <t>Fax number</t>
  </si>
  <si>
    <t>E-mail</t>
  </si>
  <si>
    <t>Signature of the person responsible for maintaining the accounting:</t>
  </si>
  <si>
    <t>Signature of the person responsible for the preparation of the financial statements:</t>
  </si>
  <si>
    <t>Signature of the member of the statutory body of the entity or physical person who is the entity:</t>
  </si>
  <si>
    <t>Tax Office records</t>
  </si>
  <si>
    <t>Place for the reference number</t>
  </si>
  <si>
    <t>Stamp of the Tax Office</t>
  </si>
  <si>
    <t>Tax ID</t>
  </si>
  <si>
    <t>Line
a</t>
  </si>
  <si>
    <t>ASSETS
b</t>
  </si>
  <si>
    <t>Line no.
c</t>
  </si>
  <si>
    <t>Current period</t>
  </si>
  <si>
    <t>Prior period</t>
  </si>
  <si>
    <r>
      <t xml:space="preserve">Gross value - </t>
    </r>
    <r>
      <rPr>
        <sz val="7.5"/>
        <rFont val="Arial"/>
        <family val="2"/>
        <charset val="238"/>
      </rPr>
      <t>part 1</t>
    </r>
  </si>
  <si>
    <t>Net value    2</t>
  </si>
  <si>
    <r>
      <t xml:space="preserve">Adjustment - </t>
    </r>
    <r>
      <rPr>
        <sz val="7.5"/>
        <rFont val="Arial"/>
        <family val="2"/>
        <charset val="238"/>
      </rPr>
      <t>part 2</t>
    </r>
  </si>
  <si>
    <t>Net value    3</t>
  </si>
  <si>
    <t>TOTAL ASSETS
l. 002 + l. 030
+ l. 061</t>
  </si>
  <si>
    <t>Non-current assets
l. 003 + l. 011
+ l. 021</t>
  </si>
  <si>
    <t>Non-current intangible assets  total (l. 004 to
010)</t>
  </si>
  <si>
    <t>Capitalized development cost
(012) - /072, 091A/</t>
  </si>
  <si>
    <t>Software
(013) - /073, 091A/</t>
  </si>
  <si>
    <t>Valuable rights
(014) - /074, 091A/</t>
  </si>
  <si>
    <t>Other non-current intangible assets
(019, 01X) - /079,
07X, 091A/</t>
  </si>
  <si>
    <t>Non-current intangible assets under construction
(041) - 093</t>
  </si>
  <si>
    <t>Advance payments for non-current intangible assets
(051) - 095A</t>
  </si>
  <si>
    <t>Land
(031) - 092A</t>
  </si>
  <si>
    <t>Buildings
(021) - /081,092A/</t>
  </si>
  <si>
    <t>Plant and equipment
(022) - /082, 092A/</t>
  </si>
  <si>
    <t>Perennial crops
(025) - /085, 092A/</t>
  </si>
  <si>
    <t>Livestock and draught animals
(026) - /086, 092A/</t>
  </si>
  <si>
    <t>Other non-current tangible assets
(029, 02X, 032) -
/089, 08X, 092A/</t>
  </si>
  <si>
    <t>Non-current tangible assets under construction
(042) - 094</t>
  </si>
  <si>
    <t>Advance payments for non-current tangible assets
(052) - 095A</t>
  </si>
  <si>
    <t>Adjustments for assets acquired
(+/- 097) +/- 098</t>
  </si>
  <si>
    <t>Non-current financial assets  total (l. 022 to 029)</t>
  </si>
  <si>
    <t>Investment in subsidiaries
(061) - 096A</t>
  </si>
  <si>
    <t>Investment in  interest in associates
(062) - 096A</t>
  </si>
  <si>
    <t>Other non-current investments
(063, 065) - 096A</t>
  </si>
  <si>
    <t>Loans to entities in consolidated group
(066A) - 096A</t>
  </si>
  <si>
    <t>Other non-current financial assets
(067A, 069, 06XA)
- 096A</t>
  </si>
  <si>
    <t>Loans with maturity up to one year
(066A, 067A, 06XA)
- 096A</t>
  </si>
  <si>
    <t>Non-current financial assets under construction
(043) - 096A</t>
  </si>
  <si>
    <t>Advance payments for non-current financial assets
(053) - 095A</t>
  </si>
  <si>
    <t>Current assets
l. 031 + l. 038
+ l. 046 + l. 055</t>
  </si>
  <si>
    <t>Raw material
(112, 119, 11X) - /191,19X/</t>
  </si>
  <si>
    <t>Work in progress and semi-finished goods
(121, 122, 12X) -
/192, 193, 19X/</t>
  </si>
  <si>
    <t>Finished goods
(123) - 194</t>
  </si>
  <si>
    <t>Livestock
(124) - 195</t>
  </si>
  <si>
    <t>Merchandise
(132, 13X, 139)
- /196, 19X/</t>
  </si>
  <si>
    <t>Advance payments for inventories
(314A) - 391A</t>
  </si>
  <si>
    <t>Trade receivables
(311A, 312A, 313A,
314A, 315A, 31XA)
- 391A</t>
  </si>
  <si>
    <t>Receivables from subsidiary and controlling entity
(351A) - 391A</t>
  </si>
  <si>
    <t>Other receivables within consolidated group
(351A) - 391A</t>
  </si>
  <si>
    <t>Receivables from partners and consortium members
(354A, 355A, 358A,
35XA) - 391A</t>
  </si>
  <si>
    <t>Other receivables
(335A, 33XA, 371A,
373A, 374A, 375A,
376A, 378A) - 391A</t>
  </si>
  <si>
    <t>Deferred tax asset
(481A)</t>
  </si>
  <si>
    <t>Trade receivables
(311A, 312A, 313A,
314A, 315A, 31XA) -
391A</t>
  </si>
  <si>
    <t>Receivables from subsidiary and controlling enterprise
(351A) - 391A</t>
  </si>
  <si>
    <t>Receivables from partners and consortium members
(354A, 355A, 358A,
35XA, 398A) - 391A</t>
  </si>
  <si>
    <t>Social security receivables
(336) - 391A</t>
  </si>
  <si>
    <t>Tax receivables
(341, 342, 343, 345,
346, 347) - 391A</t>
  </si>
  <si>
    <t>Cash
(211, 213, 21X)</t>
  </si>
  <si>
    <t>Bank accounts
(221A, 22X +/- 261)</t>
  </si>
  <si>
    <t>Term deposits exceeding one year 
22XA</t>
  </si>
  <si>
    <t>Short-term financial assets
(251, 253, 256, 257,
25X) - /291, 29X/</t>
  </si>
  <si>
    <t>Short-term financial assets under construction
(259, 314A) - 291</t>
  </si>
  <si>
    <t>Accruals and prepayments  total
l. 062 and 065</t>
  </si>
  <si>
    <t>Prepaid expenses 
long-term
(381A, 382A)</t>
  </si>
  <si>
    <t>Prepaid expenses 
short-term
(381A, 382A)</t>
  </si>
  <si>
    <t>Accrued revenues 
long-term
(385A)</t>
  </si>
  <si>
    <t>Accrued revenues 
short-term
(385A)</t>
  </si>
  <si>
    <t>LIABILITIES AND EQUITY
b</t>
  </si>
  <si>
    <t>Current period
4</t>
  </si>
  <si>
    <t>Prior period
5</t>
  </si>
  <si>
    <t>SHAREHOLDERS' EQUITY AND LIABILITIES TOTAL
l. 067 + 088 + 121</t>
  </si>
  <si>
    <t>Shareholders' equity 
l. 068+ 073+ 080 + 084+ 087</t>
  </si>
  <si>
    <t>Asset and liabilities revaluation reserve
(+/- 414)</t>
  </si>
  <si>
    <t>Other non-current liabilities
(474A, 479A, 47XA, 372A, 373A, 377A)</t>
  </si>
  <si>
    <t>Trade payables
(321, 322, 324, 325, 32X, 475A, 478A, 479A, 47XA)</t>
  </si>
  <si>
    <t>Other liabilities within consolidated group
(361A, 36XA, 471A, 47XA)</t>
  </si>
  <si>
    <t>Tax liabilities and subsidies
(341, 342, 343, 345, 346, 347, 34X)</t>
  </si>
  <si>
    <t>Other short-term liabilities
(372A, 373A, 377A, 379A, 474A, 479A, 47X)</t>
  </si>
  <si>
    <t>INCOME STATEMENT</t>
  </si>
  <si>
    <t>Income Statement Úč POD 2-01</t>
  </si>
  <si>
    <t>at</t>
  </si>
  <si>
    <t>The information should be written in block letters (see this example), using a typewriter or printer with black or dark blue ink.</t>
  </si>
  <si>
    <t>(marked with X)</t>
  </si>
  <si>
    <t>Actual result in</t>
  </si>
  <si>
    <t>Line no
c</t>
  </si>
  <si>
    <t>current period
1</t>
  </si>
  <si>
    <t>prior period
2</t>
  </si>
  <si>
    <t>Costs of merchandise sold
(504, 505A)</t>
  </si>
  <si>
    <t>Other operating revenues
(644, 645, 646, 648, 655, 657)</t>
  </si>
  <si>
    <t>Other operating expenses
(543, 544, 545, 546, 548, 549, 555, 557)</t>
  </si>
  <si>
    <t>Income from long-term financial assets
l.30 + 31 + 32</t>
  </si>
  <si>
    <t>Profit/(loss) from financial activities
l. 27 - 28 + 29 + 33 - 34 + 35 - 36 - 37 + 38 - 39
+ 40 - 41 + 42 -43 + (-44) - (-45)</t>
  </si>
  <si>
    <t xml:space="preserve"> - payable (591, 595)</t>
  </si>
  <si>
    <t xml:space="preserve"> - deferred (+/- 592)</t>
  </si>
  <si>
    <t>Net profit/(loss) from ordinary activities after tax
l. 47 - l. 48</t>
  </si>
  <si>
    <t xml:space="preserve"> - payable (593)</t>
  </si>
  <si>
    <t xml:space="preserve"> - deferred (+/ 594)</t>
  </si>
  <si>
    <t>Profit/(loss) share transferred to owners' account
(+/-596)</t>
  </si>
  <si>
    <t>Bilanz Úč POD 1 - 01</t>
  </si>
  <si>
    <t>BILANZ</t>
  </si>
  <si>
    <t>zum</t>
  </si>
  <si>
    <t>in Euro</t>
  </si>
  <si>
    <t xml:space="preserve">Numerische Angaben werden nach rechts ausgerichtet, sonstige Angaben sind von links zu schreiben. </t>
  </si>
  <si>
    <t>Nicht ausgefüllte Zeilen sollen leer gelassen werden.</t>
  </si>
  <si>
    <t>Die Angaben sind mit Blockschrift  (nach diesem Muster), Schreibmaschine oder Drucker in schwarzer oder dunkelblauer Farbe auszufüllen.</t>
  </si>
  <si>
    <t>Á  Ä  B  Č  D  É  F  G  H  Í  J  K  L  M  N  O  P  Q  R  Š  T  Ú  V  X  Ý  Ž   0  1  2  3  4  5  6  7  8  9</t>
  </si>
  <si>
    <t>Umsatzsteuer-ID</t>
  </si>
  <si>
    <t>Jahresabschluss</t>
  </si>
  <si>
    <t>Monat</t>
  </si>
  <si>
    <t>Jahr</t>
  </si>
  <si>
    <t>Geschäftsjahr</t>
  </si>
  <si>
    <t>von</t>
  </si>
  <si>
    <t>INO</t>
  </si>
  <si>
    <t>Ordnungsmässiger</t>
  </si>
  <si>
    <t>Erstellt</t>
  </si>
  <si>
    <t>bis</t>
  </si>
  <si>
    <t>Ausserordentlicher</t>
  </si>
  <si>
    <t>Genehmigt</t>
  </si>
  <si>
    <t>(bitte ankreuzen)</t>
  </si>
  <si>
    <t>Vorjahr</t>
  </si>
  <si>
    <t>Name des Buchführungspflichtigen</t>
  </si>
  <si>
    <t>Sitz des Buchführungspflichtigen</t>
  </si>
  <si>
    <t>Strasse</t>
  </si>
  <si>
    <t>Nummer</t>
  </si>
  <si>
    <t>Postleitzahl</t>
  </si>
  <si>
    <t>Ort</t>
  </si>
  <si>
    <t>Telefonnummer</t>
  </si>
  <si>
    <t>Fax</t>
  </si>
  <si>
    <t>Email</t>
  </si>
  <si>
    <t>Erstellt am :</t>
  </si>
  <si>
    <t>Verantwortlich für den Jahresabshluss (Name und Unterschrift):</t>
  </si>
  <si>
    <t>Verantwortlich für die Buchführung (Name und Unterschrift)</t>
  </si>
  <si>
    <t>Vertreter des statutarischen Organs oder der buchungspflichtigen natürlichen Person</t>
  </si>
  <si>
    <t>Genehmigt am:</t>
  </si>
  <si>
    <t>Eintragungen des Finanzamtes</t>
  </si>
  <si>
    <t>Platz für die Referenznummer</t>
  </si>
  <si>
    <t>Stempel des Finanzamtes</t>
  </si>
  <si>
    <t>USt-ID</t>
  </si>
  <si>
    <t>Bezei-chnung
a</t>
  </si>
  <si>
    <t>AKTIVA
b</t>
  </si>
  <si>
    <t>Zeile
c</t>
  </si>
  <si>
    <t>Laufendes Jahr</t>
  </si>
  <si>
    <t>Brutto - Teil 1</t>
  </si>
  <si>
    <t>Korrektur - Teil 2</t>
  </si>
  <si>
    <t>Aktiva Gesamt Z. 002+030+061</t>
  </si>
  <si>
    <t>Anlagevermögen Z. 003+011+021</t>
  </si>
  <si>
    <t>Immaterielle Vermögensgegenstände (Z. 004 bis 010)</t>
  </si>
  <si>
    <t>Aktivierte Entwicklungskosten (012) -/072, 091A/</t>
  </si>
  <si>
    <t>Software (013) -/073, 091A/</t>
  </si>
  <si>
    <t>Bewertbare Rechte (014) -/074, 091A/</t>
  </si>
  <si>
    <t>Goodwill (015) -/075, 091A/</t>
  </si>
  <si>
    <t>Sonstige immaterielle Vermögensgegenstände (019, 01x) -/079, 07x, 091A/</t>
  </si>
  <si>
    <t>Im Anschaffungsprozess befindliche immaterielle Vermögensgegenstände (041) - 093</t>
  </si>
  <si>
    <t>Geleistete Anzahlungen auf immaterielle Vermögensgegenstände (051) -095A</t>
  </si>
  <si>
    <t>Sachanlagen (Z. 012 bis 020)</t>
  </si>
  <si>
    <t>Grundstücke (031) -092A</t>
  </si>
  <si>
    <t>Bauten (021) -/081, 092A/</t>
  </si>
  <si>
    <t>Eigenständige bewegliche Sachen und Gesamtheiten von beweglichen Sachen (022) -/082, 092A/</t>
  </si>
  <si>
    <t>Dauerhaft bepflanzte Anbauflächen (025) -/085, 092A/</t>
  </si>
  <si>
    <t>Grundherde und Zugtiere  (026) -/086, 092A/</t>
  </si>
  <si>
    <t>Sonstige Sachanlagen (029, 02x, 032) -/089, 08x, 092A/</t>
  </si>
  <si>
    <t>Sachanlagen im Bau (042) -094</t>
  </si>
  <si>
    <t>Geleistete Anzahlungen auf Sachanlagen (052) -095A</t>
  </si>
  <si>
    <t>Wertberichtigung auf erworbenes Vermögen (+/-097) +/-098</t>
  </si>
  <si>
    <t>Finanzanlagen (Z. 022 bis 029)</t>
  </si>
  <si>
    <t>Anteile an verbundenen Unternehmen (061) –096A</t>
  </si>
  <si>
    <t>Beteiligungen (062) –096A</t>
  </si>
  <si>
    <t>Sonstige Wertpapiere des Anlagevermögens (063, 065) -096A</t>
  </si>
  <si>
    <t>Ausleihungen an verbundene Unternehmen (066) -096A</t>
  </si>
  <si>
    <t>Sonstige Finanzanlagen (067, 069, 06XA) -096A</t>
  </si>
  <si>
    <t>Ausleihungen mit der Restlaufzeit bis zu einem Jahr (066A, 067A, 06XA) - 096A</t>
  </si>
  <si>
    <t>Finanzanlagen im Prozess der Anschaffung (043) - 096A</t>
  </si>
  <si>
    <t>Geleistete Anzahlungen auf Finanzanlagen (053) -095A</t>
  </si>
  <si>
    <t>Umlaufvermögen  Z. 031+038+046+055</t>
  </si>
  <si>
    <t>Vorräte (Z. 032 bis 037)</t>
  </si>
  <si>
    <t>Roh-, Hilfs- und Betriebsstoffe (112,119,11x) -/191,19x/</t>
  </si>
  <si>
    <t>Unfertige Erzeugnisse und Halbfabrikate (121,122,12x) -/192, 193, 19x/</t>
  </si>
  <si>
    <t>Fertige Erzeugnisse (123) –194</t>
  </si>
  <si>
    <t>Tiere (124) –195</t>
  </si>
  <si>
    <t>Waren (132,13x,139) –/196,19x/</t>
  </si>
  <si>
    <t>Geleistete Anzahlungen auf Vorräte (314A) -391A</t>
  </si>
  <si>
    <t>Langfristige Forderungen (Z. 039 bis 045)</t>
  </si>
  <si>
    <t>Forderungen aus Lieferungen und Leistungen  (311A, 312A, 313A, 314A, 315A, 31XA) –391A</t>
  </si>
  <si>
    <t>Nettowert des Fertigungsauftrags
(316A)</t>
  </si>
  <si>
    <t>Forderungen gegen verbundene Unternehmen (351A) -391A</t>
  </si>
  <si>
    <t>Sonstige Forderungen innerhalb des Konsolidierungskreises (351A) -391A</t>
  </si>
  <si>
    <t>Forderungen gegen Gesellschafter, Mitglieder und der Vereinigung (354A, 355A, 358A, 35XA) –391A</t>
  </si>
  <si>
    <t>Sonstige Forderungen (335A, 33XA, 371A, 373A, 374A, 375A, 376A, 378A) -391A</t>
  </si>
  <si>
    <t>Latente Steuerforderung  (481A)</t>
  </si>
  <si>
    <t>Kurzfristige Forderungen (Z. 047 bis 054)</t>
  </si>
  <si>
    <t>Forderungen aus Lieferungen und Leistungen (311A, 312A, 313A, 314A, 315A, 31XA) -391A</t>
  </si>
  <si>
    <t>Forderungen gegen Gesellschafter, Mitglieder und der Vereinigung (354A, 355A, 358A, 35XA, 398A) –391A</t>
  </si>
  <si>
    <t>Forderungen aus der Sozialversicherung (336A) -391A</t>
  </si>
  <si>
    <t>Steuerforderung (341,342,343,345,346,347) -391A</t>
  </si>
  <si>
    <t>Finanzkonten (Z. 056 bis 060)</t>
  </si>
  <si>
    <t>Kassenbestand (211, 213, 21X)</t>
  </si>
  <si>
    <t>Bankguthaben (221A, 22X,+/-261)</t>
  </si>
  <si>
    <t>Bankguthaben mit einer Bindungsfrist von mehr als einem Jahr (22XA)</t>
  </si>
  <si>
    <t>Finanzumlaufvermögen (251, 253,256,257,25X) -/291, 29X/</t>
  </si>
  <si>
    <t>Finanzumlaufvermögen im Prozess der Anschaffung (259, 314A) - 291</t>
  </si>
  <si>
    <t>Rechnungsabgrenzung  (Z. 062 und 065)</t>
  </si>
  <si>
    <t>Langfristige Aufwendungen künftiger Perioden
(381A, 382A)</t>
  </si>
  <si>
    <t>Kurzfristige Aufwendungen künftiger Perioden
(381A, 382A)</t>
  </si>
  <si>
    <t>Langfristige Einnahmen künftiger Perioden
(385A)</t>
  </si>
  <si>
    <t>Kurzfristige Einnahmen künftiger Perioden
(385A)</t>
  </si>
  <si>
    <t>PASSIVA
b</t>
  </si>
  <si>
    <t>Laufendes Jahr
4</t>
  </si>
  <si>
    <t>Vorjahr
5</t>
  </si>
  <si>
    <t>Summe Passiva Z. 067 + 088 + 121</t>
  </si>
  <si>
    <t>Eigenkapital Z. 068+ 073+ 080 + 084 + 087</t>
  </si>
  <si>
    <t>Grund-/Stammkapital (Z. 069 bis 072)</t>
  </si>
  <si>
    <t>Grund-/Stammkapital (411 bzw. +/-491)</t>
  </si>
  <si>
    <t>Eigene Aktien sowie eigene Geschäftsanteile (/-/252)</t>
  </si>
  <si>
    <t>Änderung des Grund-/Stammkapitals +/- 419</t>
  </si>
  <si>
    <t>Kapitalrücklagen (Z. 074 bis 079)</t>
  </si>
  <si>
    <t>Emmissionsagio (412)</t>
  </si>
  <si>
    <t>Sonstige Kapitalrücklagen (413)</t>
  </si>
  <si>
    <t>Gesetzliche Rücklage ("Unteilbarer Fonds") aus Kapitaleinlagen (417, 418)</t>
  </si>
  <si>
    <t>Bewertungsdifferenzen aus der Neubewertung von Vermögensgegenstände und Verbindlichkeiten  (+/-414)</t>
  </si>
  <si>
    <t>Bewertungsdifferenzen aus der Neubewertung von Kapitalbeteiligungen (+/-415)</t>
  </si>
  <si>
    <t>Bewertungsdifferenzen aus der Neubewertung bei Verschmelzungen und Spaltungen (+/- 416)</t>
  </si>
  <si>
    <t>Gewinnrücklagen (Z. 081 bis 083)</t>
  </si>
  <si>
    <t>Gesetzliche Rücklage (421)</t>
  </si>
  <si>
    <t>Unteilbarer Fonds (422)</t>
  </si>
  <si>
    <t>Satzungsmässige und sonstige Rücklagen (423, 427,42X)</t>
  </si>
  <si>
    <t>Ergebnisvortrag  (Z. 085 und 086)</t>
  </si>
  <si>
    <t>Gewinnvortrag (428)</t>
  </si>
  <si>
    <t>Verlustvortrag (/-/429)</t>
  </si>
  <si>
    <t>Ergebnis der laufenden Berichtsperiode 
/+ -/ Z. 001 -(068+ 073+ 080 + 084 + 088 + 121)</t>
  </si>
  <si>
    <t>Verbindlichkeiten Z. 089+094+106+117 + 118</t>
  </si>
  <si>
    <t>Rückstellungen (Z.090 bis 093)</t>
  </si>
  <si>
    <t>Langfristige gesetzliche Rückstellungen (451A)</t>
  </si>
  <si>
    <t>Kurzfristige gesetzliche Rückstellungen (323A, 451A)</t>
  </si>
  <si>
    <t>Sonstige langfristige Rückstellungen (459A, 45XA)</t>
  </si>
  <si>
    <t>Sonstige kurzfristige Rückstellungen (323, 32X, 451A, 459A, 45XA)</t>
  </si>
  <si>
    <t>Langfristige Verbindlichkeiten (Z. 095 bis 104)</t>
  </si>
  <si>
    <t>Langfristige Verbindlichkeiten aus Lieferungen und Leistungen  (479A)</t>
  </si>
  <si>
    <t>Nicht in Rechnung gestellte Lieferungen (476A)</t>
  </si>
  <si>
    <t>Langfristige Verbindlichkeiten gegenüber verbundenen Unternehmen (471A)</t>
  </si>
  <si>
    <t>Sonstige langfristige Verbindlichkeiten innerhalb des Konsolidierungskreises (471A)</t>
  </si>
  <si>
    <t>Langfristige erhaltene Anzahlungen (475A)</t>
  </si>
  <si>
    <t>Langfristige Wechsel zur Einlösung (478A)</t>
  </si>
  <si>
    <t>Emmitierte Schuldverschreibungen (473A, /-/255A)</t>
  </si>
  <si>
    <t>Verbindlichkeiten aus dem Sozialfonds (472)</t>
  </si>
  <si>
    <t>Sonstige langfristige Verbindlichkeiten 
(474A ,479A, 47XA, 372A, 373A, 377A)</t>
  </si>
  <si>
    <t>Latente Steuerverbindlichkeit (481A)</t>
  </si>
  <si>
    <t>Kurzfristige Verbindlichkeiten (Z. 107 bis 116)</t>
  </si>
  <si>
    <t>Kurzfristige Verbindlichkeiten aus Lieferungen und Leistungen  (321, 322, 324, 325, 32X, 475A, 478A, 479A, 47XA)</t>
  </si>
  <si>
    <t>Nicht in Rechnung gestellte Lieferungen (326, 476A)</t>
  </si>
  <si>
    <t>Verbindlichkeiten gegenüber verbundenen Unternehmen (361, 471A)</t>
  </si>
  <si>
    <t>Sonstige Verbindlichkeiten innerhalb des Konsolidierungskreises (361A, 36XA, 471A, 47XA)</t>
  </si>
  <si>
    <t>Verbindlichkeiten gegenüber Gesellschaftern, Mitgliedern und der Vereinigung (364, 365, 366, 367, 368, 398A, 478A, 479A)</t>
  </si>
  <si>
    <t>Verbindlichkeiten gegenüber Arbeitnehmern (331, 333, 33X, 479A)</t>
  </si>
  <si>
    <t>Verbindlichkeiten aus der Sozialversicherung (336, 479A)</t>
  </si>
  <si>
    <t>Steuerverbindlichkeiten und Zuwendungen (341, 342, 343, 345, 346, 347, 34X)</t>
  </si>
  <si>
    <t>Sonstige Verbindlichkeiten (372A, 373A, 377A, 379A, 474A, 479A, 47X)</t>
  </si>
  <si>
    <t>Kurzfristige finanzielle Ausleihungen (241, 249, 24x, 473A, /-/255A)</t>
  </si>
  <si>
    <t>Summe Bankdarlehen (Z. 119 und 120)</t>
  </si>
  <si>
    <t>Langfristige Bankdarlehen (461A, 46XA)</t>
  </si>
  <si>
    <t>Kurzfristige Bankdarlehen (221A, 231, 232, 23X, 461A, 46XA)</t>
  </si>
  <si>
    <t>Rechnungsabgrenzung (Z.122 bis 125)</t>
  </si>
  <si>
    <t>Langfristige Ausgaben künftiger Perioden (383A)</t>
  </si>
  <si>
    <t>Kurzfristige Ausgaben künftiger Perioden (383A)</t>
  </si>
  <si>
    <t>Langfristige Erträge künftiger Perioden (384A)</t>
  </si>
  <si>
    <t>Kurzfristige Erträge künftiger Perioden (384A)</t>
  </si>
  <si>
    <t xml:space="preserve">GEWINN- </t>
  </si>
  <si>
    <t>G. und V. Rechnung Úč POD 2 - 01</t>
  </si>
  <si>
    <t>UND VERLUSTRECHNUNG</t>
  </si>
  <si>
    <t>Stand</t>
  </si>
  <si>
    <t>Laufendes Jahr
1</t>
  </si>
  <si>
    <t>Vorjahr
2</t>
  </si>
  <si>
    <t>individuálnej účtovnej závierky</t>
  </si>
  <si>
    <t>zostavenej k</t>
  </si>
  <si>
    <t>UVPOD3_1</t>
  </si>
  <si>
    <t>Poznámky Úč POD 3 - 04</t>
  </si>
  <si>
    <t>v eurocentoch</t>
  </si>
  <si>
    <t>v celých eurách</t>
  </si>
  <si>
    <t>Podpisový záznam člena
štatutárneho orgánu účtovnej
jednotky alebo fyzickej osoby,
ktorá je účtovnou jednotkou:</t>
  </si>
  <si>
    <t>Podpisový záznam osoby
zodpovednej za vedenie
účtovníctva:</t>
  </si>
  <si>
    <t>Total</t>
  </si>
  <si>
    <t>Opening balance</t>
  </si>
  <si>
    <t>Closing balance</t>
  </si>
  <si>
    <t xml:space="preserve">Notes Úč POD 3 - 04 </t>
  </si>
  <si>
    <t>NOTES</t>
  </si>
  <si>
    <t>to the Financial Statements</t>
  </si>
  <si>
    <t>Directly</t>
  </si>
  <si>
    <t>preceding</t>
  </si>
  <si>
    <t>Municipality name</t>
  </si>
  <si>
    <t xml:space="preserve"> Prepared on:</t>
  </si>
  <si>
    <t xml:space="preserve"> Approved on:</t>
  </si>
  <si>
    <t>interim</t>
  </si>
  <si>
    <t>in eurocents</t>
  </si>
  <si>
    <t>in euros</t>
  </si>
  <si>
    <t>(mark with x)</t>
  </si>
  <si>
    <t>prepared as at</t>
  </si>
  <si>
    <t>ZIP code</t>
  </si>
  <si>
    <t>Profit or loss from current period after tax /+-/
l. 001 - (068 + 073 + 080 + 084 + 088 + 121)</t>
  </si>
  <si>
    <t>Long-term advance payments received (475A)</t>
  </si>
  <si>
    <t>Accruals long-term (383A)</t>
  </si>
  <si>
    <t>Accruals short-term (383A)</t>
  </si>
  <si>
    <t>Deferred income long-term (384A)</t>
  </si>
  <si>
    <t>Deferred income short-term (384A)</t>
  </si>
  <si>
    <t>Revenues from merchandise (604)</t>
  </si>
  <si>
    <t>Numbers should be justified to the right, other data is justified to the left. Unused rows must be left blank.</t>
  </si>
  <si>
    <t>UZPODv14_1</t>
  </si>
  <si>
    <t>Úč POD</t>
  </si>
  <si>
    <t>Accounting entity size:</t>
  </si>
  <si>
    <t>large</t>
  </si>
  <si>
    <t>small</t>
  </si>
  <si>
    <t>Financial statements contain :</t>
  </si>
  <si>
    <t>Income statement</t>
  </si>
  <si>
    <t>Notes</t>
  </si>
  <si>
    <t>Statutory representative</t>
  </si>
  <si>
    <t xml:space="preserve">or natural person </t>
  </si>
  <si>
    <t xml:space="preserve">Commercial registry </t>
  </si>
  <si>
    <t xml:space="preserve">designation and </t>
  </si>
  <si>
    <t>registration number</t>
  </si>
  <si>
    <t>1.a.</t>
  </si>
  <si>
    <t>1.b.</t>
  </si>
  <si>
    <t>1.c.</t>
  </si>
  <si>
    <t>Control number  (lines 001-078)</t>
  </si>
  <si>
    <t>A.V.1.</t>
  </si>
  <si>
    <t>A.VI.</t>
  </si>
  <si>
    <t>A.VI.1.</t>
  </si>
  <si>
    <t>A.VII.</t>
  </si>
  <si>
    <t>A.VII.1.</t>
  </si>
  <si>
    <t>A.VIII.</t>
  </si>
  <si>
    <t>12.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</si>
  <si>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</si>
  <si>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</si>
  <si>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</si>
  <si>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</si>
  <si>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</si>
  <si>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</si>
  <si>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</si>
  <si>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</si>
  <si>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</si>
  <si>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</si>
  <si>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</si>
  <si>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</si>
  <si>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</si>
  <si>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B.VI.</t>
  </si>
  <si>
    <t>139</t>
  </si>
  <si>
    <t>B.VII.</t>
  </si>
  <si>
    <t>140</t>
  </si>
  <si>
    <t>141</t>
  </si>
  <si>
    <t>142</t>
  </si>
  <si>
    <t>143</t>
  </si>
  <si>
    <t>144</t>
  </si>
  <si>
    <t>145</t>
  </si>
  <si>
    <t>Control number  (lines 079-145)</t>
  </si>
  <si>
    <t>II.</t>
  </si>
  <si>
    <t>III.</t>
  </si>
  <si>
    <t>IV.</t>
  </si>
  <si>
    <t>VI.</t>
  </si>
  <si>
    <t>VII.</t>
  </si>
  <si>
    <t>E.1.</t>
  </si>
  <si>
    <t>G.1</t>
  </si>
  <si>
    <t>VIII.</t>
  </si>
  <si>
    <t>IX.</t>
  </si>
  <si>
    <t>IX.1.</t>
  </si>
  <si>
    <t>X.</t>
  </si>
  <si>
    <t>X.1</t>
  </si>
  <si>
    <t>XI.</t>
  </si>
  <si>
    <t>XI.1</t>
  </si>
  <si>
    <t>XII.</t>
  </si>
  <si>
    <t>XIII.</t>
  </si>
  <si>
    <t>XIV.</t>
  </si>
  <si>
    <t>N.1.</t>
  </si>
  <si>
    <t>Q.</t>
  </si>
  <si>
    <t>****</t>
  </si>
  <si>
    <t>R</t>
  </si>
  <si>
    <t>R.1</t>
  </si>
  <si>
    <t xml:space="preserve">Profit and Loss account for period ended </t>
  </si>
  <si>
    <t>UZPODv14_2</t>
  </si>
  <si>
    <t xml:space="preserve">Súvaha
Úč POD 1 - 01
</t>
  </si>
  <si>
    <t>SPOLU MAJETOK
r. 02 + r. 33 + r. 74</t>
  </si>
  <si>
    <t>Neobežný majetok r. 03 + r. 11 + r. 21</t>
  </si>
  <si>
    <t>Dlhodobý nehmotný majetok súčet (r. 04 až r. 10)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</si>
  <si>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</si>
  <si>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</si>
  <si>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 xml:space="preserve">Ostatné realizovateľné cenné papiere a podiely (063A) - /096A/ 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</si>
  <si>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</si>
  <si>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</si>
  <si>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</si>
  <si>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- 096A/</t>
  </si>
  <si>
    <t xml:space="preserve">Pôžičky a ostatný dlhodobý finančný majetok so zostatkovou dobou splatnosti najviac jeden rok (066A, 067A, 069A, 06XA) - /096A/ </t>
  </si>
  <si>
    <t>Účty v bankách s dobou viazanosti dlhšou ako jeden rok (22XA)</t>
  </si>
  <si>
    <t>Obstarávaný dlhodobý finančný majetok (043) - /096A/</t>
  </si>
  <si>
    <t>Poskytnuté preddavky na dlhodobý finančný majetok 053) - /095A/</t>
  </si>
  <si>
    <t>Pohľadávky z obchodného styku voči prepojeným účtovným jednotkám (311A, 312A, 313A, 314A,
315A, 31XA) - /391A/</t>
  </si>
  <si>
    <t>Pohľadávky z obchodného styku v rámci podielovej účasti okrem pohľadávok voči prepojeným účtovným jednotkám (311A, 312A, 313A, 314A, 315A, 31XA) - 91A/</t>
  </si>
  <si>
    <t>Ostatné pohľadávky z obchodného styku (311A, 312A, 313A, 314A, 315A, 31XA) -
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</si>
  <si>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</si>
  <si>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</si>
  <si>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- 391A/</t>
  </si>
  <si>
    <t>Pohľadávky z derivátových operácií (373A, 376A)</t>
  </si>
  <si>
    <t>Iné pohľadávky (335A, 336A, 33XA, 371A, 374A, 375A, 378A) - /391A/</t>
  </si>
  <si>
    <t>Odložená daňová pohľadávka (481A)</t>
  </si>
  <si>
    <t>Pohľadávky z obchodného styku voči prepojeným účtovným jednotkám (311A, 312A, 313A, 314A, 315A, 31XA) - /391A/</t>
  </si>
  <si>
    <t>Pohľadávky z obchodného styku v rámci podielovej účasti okrem pohľadávok voči prepojeným účtovným jednotkám (311A, 312A, 313A, 314A, 315A, 31XA) - /391A/</t>
  </si>
  <si>
    <t xml:space="preserve">Čistá hodnota zákazky (316A) </t>
  </si>
  <si>
    <t>Ostatné pohľadávky v rámci podielovej účasti okrem pohľadávok voči prepojeným
účtovným jednotkám
(351A) - /391A/</t>
  </si>
  <si>
    <t>Pohľadávky voči spoločníkom, členom a združeniu (354A, 355A, 358A, 35XA, 398A) - /391A/</t>
  </si>
  <si>
    <t>Sociálne poistenie (336A) - /391A/</t>
  </si>
  <si>
    <t>Daňové pohľadávky a dotácie (341, 342, 343, 345, 346, 347) - /391A/</t>
  </si>
  <si>
    <t>Iné pohľadávky (335A, 33XA, 371A, 374A, 375A, 378A)
- /391A/</t>
  </si>
  <si>
    <t>Krátkodobý finančný majetok súčet (r. 67 až r. 70)</t>
  </si>
  <si>
    <t>Krátkodobý finančný majetok v prepojených účtovných jednotkách (251A, 253A, 256A, 257A, 25XA) - /291A, 29XA/</t>
  </si>
  <si>
    <t>Krátkodobý finančný majetok bez krátkodobého finančného majetku  v prepojených účtovných jednotkách (251A, 253A, 256A, 257A, 25XA) - /291A, 29XA/</t>
  </si>
  <si>
    <t>Vlastné akcie a vlastné obchodné podiely (252)</t>
  </si>
  <si>
    <t>Obstarávaný krátkodobý finančný majetok (259, 314A) - /291A/</t>
  </si>
  <si>
    <t>Zákonné rezervné fondy r. 88 + r. 89</t>
  </si>
  <si>
    <t>Zákonný rezervný fond a nedeliteľný fond (417A, 418, 421A, 422)</t>
  </si>
  <si>
    <t>Rezervný fond na vlastné akcie a vlastné podiely (417A, 421A)</t>
  </si>
  <si>
    <t>Ostatné fondy zo zisku r. 91 + r. 92</t>
  </si>
  <si>
    <t>Štatutárne fondy (423, 42X)</t>
  </si>
  <si>
    <t>Ostatné fondy (427, 42X)</t>
  </si>
  <si>
    <t>Oceňovacie rozdiely z precenenia súčet (r. 94 až r. 96)</t>
  </si>
  <si>
    <t>Oceňovacie rozdiely z precenenia majetku a záväzkov (+/- 414)</t>
  </si>
  <si>
    <t>Oceňovacie rozdiely z precenenia pri zlúčení, splynutí a rozdelení (+/- 416)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</si>
  <si>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</si>
  <si>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</si>
  <si>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
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</si>
  <si>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</si>
  <si>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</si>
  <si>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čtovným
jednotkám (471A, 47XA)</t>
  </si>
  <si>
    <t>Ostatné dlhodobé záväzky (479A, 47XA)</t>
  </si>
  <si>
    <t>Vydané dlhopisy (473A/-/255A)</t>
  </si>
  <si>
    <t>Iné dlhodobé záväzky (336A, 372A, 474A, 47XA)</t>
  </si>
  <si>
    <t>Dlhodobé záväzky z derivátových operácií (373A, 377A)</t>
  </si>
  <si>
    <t>Dlhodobé rezervy r. 119 + r. 120</t>
  </si>
  <si>
    <t>Zákonné rezervy (451A)</t>
  </si>
  <si>
    <t>Ostatné rezervy (459A, 45XA)</t>
  </si>
  <si>
    <t>Dlhodobé bankové úvery (461A, 46XA)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</si>
  <si>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</si>
  <si>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</si>
  <si>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</si>
  <si>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Ostatné záväzky z obchodného styku (321A, 322A, 324A, 325A, 326A, 32XA,
475A, 476A, 478A, 47XA)</t>
  </si>
  <si>
    <t>Ostatné záväzky voči prepojeným účtovným jednotkám (361A, 36XA, 471A, 47XA)</t>
  </si>
  <si>
    <t>Ostatné záväzky v rámci podielovej účasti okrem záväzkov voči prepojeným účtovným jednotkám (361A, 36XA, 471A, 47XA)</t>
  </si>
  <si>
    <t>Záväzky voči spoločníkom a združeniu (364, 365, 366, 367, 368, 398A, 478A, 479A)</t>
  </si>
  <si>
    <t>Záväzky zo sociálneho poistenia (336A)</t>
  </si>
  <si>
    <t>Daňové záväzky a dotácie (341, 342, 343, 345, 346, 347, 34X)</t>
  </si>
  <si>
    <t>Záväzky z derivátových operácií (373A, 377A)</t>
  </si>
  <si>
    <t>Iné záväzky (372A, 379A, 474A, 475A, 479A, 47XA)</t>
  </si>
  <si>
    <t>Krátkodobé rezervy r. 137 + r. 138</t>
  </si>
  <si>
    <t>Zákonné rezervy (323A, 451A)</t>
  </si>
  <si>
    <t>Ostatné rezervy (323A, 32X, 459A, 45XA)</t>
  </si>
  <si>
    <t>Bežné bankové úvery (221A, 231, 232, 23X, 461A, 46XA)</t>
  </si>
  <si>
    <t>Časové rozlíšenie súčet (r. 142 až r. 145)</t>
  </si>
  <si>
    <t>Výnosy budúcich období dlhodobé 144 (384A)</t>
  </si>
  <si>
    <t>Výnosy budúcich období krátkodobé 145 (384A)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</si>
  <si>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</si>
  <si>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</si>
  <si>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</si>
  <si>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</si>
  <si>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</si>
  <si>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</si>
  <si>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</si>
  <si>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
 a materiálu (641, 642)</t>
  </si>
  <si>
    <t>Ostatné výnosy z hospodárskej činnosti
(644, 645, 646, 648, 655, 657)</t>
  </si>
  <si>
    <t>Náklady na hospodársku činnosť spolu
r. 11 + r. 12 + r. 13 + r.14 + r. 15 + r. 20 + r. 21 + r. 24 + r. 25 + r. 26</t>
  </si>
  <si>
    <t>Náklady vynaložené na obstaranie
predaného tovaru (504, 507)</t>
  </si>
  <si>
    <t>Spotreba materiálu, energie a ostatných
neskladovateľných dodávok (501, 502, 503)</t>
  </si>
  <si>
    <t>Opravné položky k zásobám (+/-) (505)</t>
  </si>
  <si>
    <t>Osobné náklady (r. 16 až r. 19)</t>
  </si>
  <si>
    <t>Odmeny členom orgánov spoločnosti a
družstva (523)</t>
  </si>
  <si>
    <t>Náklady na sociálne poistenie
(524, 525, 526)</t>
  </si>
  <si>
    <t>Odpisy a opravné položky k dlhodobému
nehmotnému majetku a dlhodobému
hmotnému majetku (r. 22 + r. 23)</t>
  </si>
  <si>
    <t>Odpisy dlhodobého nehmotného majetku
a dlhodobého hmotného majetku (551)</t>
  </si>
  <si>
    <t>Opravné položky k dlhodobému
nehmotnému majetku a dlhodobému
hmotnému majetku (+/-) (553)</t>
  </si>
  <si>
    <t>Zostatková cena predaného dlhodobého
majetku a predaného materiálu (541, 542)</t>
  </si>
  <si>
    <t>Opravné položky k pohľadávkam (+/-) (547)</t>
  </si>
  <si>
    <t>Ostatné náklady na hospodársku činnosť
(543, 544, 545, 546, 548, 549, 555, 557)</t>
  </si>
  <si>
    <t>Výsledok hospodárenia z hospodárskej
činnosti (+/-) (r. 02 - r. 10)</t>
  </si>
  <si>
    <t>Pridaná hodnota (r. 03 + r. 04 + r. 05 +
r. 06 + r. 07) - (r. 11 + r. 12 + r. 13 + r. 14)</t>
  </si>
  <si>
    <t>Výnosy z finančnej činnosti spolu r. 30
+ r. 31 + r. 35 + r. 39 + r. 42 + r. 43 + r. 44</t>
  </si>
  <si>
    <t>Tržby z predaja cenných papierov a
podielov (661)</t>
  </si>
  <si>
    <t>Výnosy z dlhodobého finančného majetku
súčet (r. 32 až r. 34)</t>
  </si>
  <si>
    <t>Výnosy z cenných papierov a podielov
od prepojených účtovných jednotiek (665A)</t>
  </si>
  <si>
    <t>Výnosy z cenných papierov a podielov
v podielovej účasti okrem výnosov
prepojených účtovných jednotiek (665A)</t>
  </si>
  <si>
    <t>Ostatné výnosy z cenných papierov a
podielov (665A)</t>
  </si>
  <si>
    <t>Výnosy z krátkodobého finančného majetku
súčet (r. 36 až r. 38)</t>
  </si>
  <si>
    <t>Výnosy z krátkodobého finančného majetku
od prepojených účtovných jednotiek (666A)</t>
  </si>
  <si>
    <t>Výnosy z krátkodobého finančného majetku
v podielovej účasti okrem výnosov
prepojených účtovných jednotiek (666A)</t>
  </si>
  <si>
    <t>Ostatné výnosy z krátkodobého finančného
majetku (666A)</t>
  </si>
  <si>
    <t>Výnosové úroky (r. 40 + r. 41)</t>
  </si>
  <si>
    <t>Výnosové úroky od prepojených
účtovných jednotiek (662A)</t>
  </si>
  <si>
    <t>Ostatné výnosové úroky (662A)</t>
  </si>
  <si>
    <t>Výnosy z precenenia cenných papierov a
výnosy z derivátových operácií (664, 667)</t>
  </si>
  <si>
    <t>Náklady na finančnú činnosť spolu r. 46
+ r. 47 + r. 48 + r. 49 + r. 52 + r. 53 + r. 54</t>
  </si>
  <si>
    <t>Náklady na krátkodobý finančný majetok
(566)</t>
  </si>
  <si>
    <t>Opravné položky k finančnému majetku
(+/-) (565)</t>
  </si>
  <si>
    <t>Nákladové úroky (r. 50 + r. 51)</t>
  </si>
  <si>
    <t>Nákladové úroky pre prepojené účtovné
jednotky (562A)</t>
  </si>
  <si>
    <t>Ostatné nákladové úroky (562A)</t>
  </si>
  <si>
    <t>Náklady na precenenie cenných papierov a
náklady na derivátové operácie (564, 567)</t>
  </si>
  <si>
    <t>Ostatné náklady na finančnú činnosť
(568, 569)</t>
  </si>
  <si>
    <t>Výsledok hospodárenia z finančnej
činnosti (+/-) (r. 29 - r. 45)</t>
  </si>
  <si>
    <t>Výsledok hospodárenia za účtovné
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</si>
  <si>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</si>
  <si>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</si>
  <si>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</si>
  <si>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
spoločníkom (+/- 596)</t>
  </si>
  <si>
    <t>Výsledok hospodárenia za účtovné
obdobie po zdanení (+/-)
(r. 56 - r. 57 - r. 60)</t>
  </si>
  <si>
    <t>Krátkodobé záväzky súčet (r. 123 + r. 127 až r. 135)</t>
  </si>
  <si>
    <t>Income Statement Úč POD 1 - 01</t>
  </si>
  <si>
    <t>ID</t>
  </si>
  <si>
    <t>Jahresrechnung</t>
  </si>
  <si>
    <t>Unternehmer in doppelte Buchführung</t>
  </si>
  <si>
    <t>durchgehend</t>
  </si>
  <si>
    <t>Buchführungseinheit</t>
  </si>
  <si>
    <t>klein</t>
  </si>
  <si>
    <t>gross</t>
  </si>
  <si>
    <t>Anbauteil des Jahresabschlusses</t>
  </si>
  <si>
    <t>Bilanz (Úč POD 1-01)</t>
  </si>
  <si>
    <t>Gewinn und Verlustrechnung (Úč POD 2-01)</t>
  </si>
  <si>
    <t>Aufzeichnungen(Úč POD 3-01)</t>
  </si>
  <si>
    <t>(im gesamten Euro)</t>
  </si>
  <si>
    <t>(im gesamten Euro oder Eurocents)</t>
  </si>
  <si>
    <t>Angabe des Handelsregisters und der Registriernummer des Unternehmens</t>
  </si>
  <si>
    <t>Unterschrift des statutarischen Organs des Unternehmens und Geschäftsführer des Unternehmens oder physische Unterschrift der Person, die die Abrechnungseinheit ist:</t>
  </si>
  <si>
    <t xml:space="preserve">Bilanz
Úč POD 1 - 01
</t>
  </si>
  <si>
    <t>Aktiva Gesamt Z. 002 +  033 +  074</t>
  </si>
  <si>
    <t>Finanzanlagen (Z. 022 bis 032)</t>
  </si>
  <si>
    <t xml:space="preserve">Umlaufvermögen r. 34 + r. 41 + r. 53 + r. 66 + r. 71 </t>
  </si>
  <si>
    <t>Vorräte (r. 35 až r. 40)</t>
  </si>
  <si>
    <t>Roh-, Hilfs- und Betriebsstoffe (112, 119, 11X) - /191, 19X/</t>
  </si>
  <si>
    <t>Unfertige Erzeugnisse und Halbfabrikate (121, 122, 12X) -/192, 193, 19X/</t>
  </si>
  <si>
    <t>Fertige Erzeugnisse (123) - /194/</t>
  </si>
  <si>
    <t>Tiere (124) - /195/</t>
  </si>
  <si>
    <t>Waren (132, 133, 13X, 139) - /196, 19X/</t>
  </si>
  <si>
    <t>Geleistete Anzahlungen auf Vorräte  (314A) - /391A/</t>
  </si>
  <si>
    <t>Langfristige Forderungen (042 + 046 bis 052)</t>
  </si>
  <si>
    <t>Forderungen aus Lieferungen und Leistungen (043 bis 045)</t>
  </si>
  <si>
    <t>Kurzfristige Forderungen (054 + 058 bis 065)</t>
  </si>
  <si>
    <t xml:space="preserve">Forderungen aus Lieferungen und Leistungen (055 bis 057) </t>
  </si>
  <si>
    <t>Finanzkonten 072 + 073</t>
  </si>
  <si>
    <t>Bankguthaben (221A, 22X, +/- 261)</t>
  </si>
  <si>
    <t>Rechnungsabgrenzung   (075 bis 078)</t>
  </si>
  <si>
    <t>Langfristige Aufwendungen künftiger Perioden (381A, 382A)</t>
  </si>
  <si>
    <t>Kurzfristige Aufwendungen künftiger Perioden(381A, 382A)</t>
  </si>
  <si>
    <t>Langfristige Einnahmen künftiger Perioden(385A)</t>
  </si>
  <si>
    <t>Kurzfristige Einnahmen künftiger Perioden(385A)</t>
  </si>
  <si>
    <t>Summe Passiva 080 + 101 + 141</t>
  </si>
  <si>
    <t>Eigenkapital 081 + 085 + 086 +  087 + 090 + 093 + 097 + 100</t>
  </si>
  <si>
    <t>Grund-/Stammkapital (082 bis 084)</t>
  </si>
  <si>
    <t>Grund-/Stammkapital (411 oder +/- 491)</t>
  </si>
  <si>
    <t>Emmissionsagio  (412)</t>
  </si>
  <si>
    <t>Ergebnisvortrag  098 + 099</t>
  </si>
  <si>
    <t>Ergebnis der laufenden Berichtsperiode /+-/ 001 - (081 + 085 + 086
+ 087 + 090 + 093 + 097 + 101 + 41)</t>
  </si>
  <si>
    <t>Verbindlichkeiten 102 + 118 + 121 + 122 + 136 + 139 + 140</t>
  </si>
  <si>
    <t>Langfristige Verbindlichkeiten (103 + 107 až 117)</t>
  </si>
  <si>
    <t xml:space="preserve">G. und V.rechnung
Úč POD 2 - 01
</t>
  </si>
  <si>
    <t xml:space="preserve">§ 2 sa dopĺňa odsekom 8, ktorý znie: </t>
  </si>
  <si>
    <t xml:space="preserve">„(8) Na účely vykazovania v súvahe a vo výkaze ziskov a strát sa rozumie 2 </t>
  </si>
  <si>
    <t xml:space="preserve">a) materskou účtovnou jednotkou účtovná jednotka, ktorá má rozhodujúci vplyv v jednom alebo vo viacerých dcérskych účtovných jednotkách, pričom rozhodujúci vplyv sa posudzuje podľa § 22 ods. 3 zákona, </t>
  </si>
  <si>
    <t xml:space="preserve">b) dcérskou účtovnou jednotkou účtovná jednotka, v ktorej má iná účtovná jednotka rozhodujúci vplyv a to vrátane každej dcérskej účtovnej jednotky konečnej materskej účtovnej jednotky, </t>
  </si>
  <si>
    <t xml:space="preserve">c) skupinou materská účtovná jednotka a všetky jej dcérske účtovné jednotky, </t>
  </si>
  <si>
    <t xml:space="preserve">d) prepojenými účtovnými jednotkami dve alebo viaceré účtovné jednotky v rámci skupiny, </t>
  </si>
  <si>
    <t xml:space="preserve">e) podielovou účasťou existencia aspoň 20% podielu na hlasovacích právach v inej účtovnej jednotke, </t>
  </si>
  <si>
    <t xml:space="preserve">f) pridruženou účtovnou jednotkou účtovná jednotka, v ktorej má podielovú účasť iná účtovná jednotka a táto </t>
  </si>
  <si>
    <t xml:space="preserve">iná účtovná jednotka má podstatný vplyv podľa § 27 ods. 1 písm. a) zákona.“. </t>
  </si>
  <si>
    <t>Description</t>
  </si>
  <si>
    <t>211</t>
  </si>
  <si>
    <t>221</t>
  </si>
  <si>
    <t>249</t>
  </si>
  <si>
    <t>261</t>
  </si>
  <si>
    <t>311</t>
  </si>
  <si>
    <t>314</t>
  </si>
  <si>
    <t>315</t>
  </si>
  <si>
    <t>321</t>
  </si>
  <si>
    <t>323</t>
  </si>
  <si>
    <t>324</t>
  </si>
  <si>
    <t>325</t>
  </si>
  <si>
    <t>326</t>
  </si>
  <si>
    <t>341</t>
  </si>
  <si>
    <t>343</t>
  </si>
  <si>
    <t>345</t>
  </si>
  <si>
    <t>379</t>
  </si>
  <si>
    <t>381</t>
  </si>
  <si>
    <t>384</t>
  </si>
  <si>
    <t>385</t>
  </si>
  <si>
    <t>391</t>
  </si>
  <si>
    <t>411</t>
  </si>
  <si>
    <t>417</t>
  </si>
  <si>
    <t>421</t>
  </si>
  <si>
    <t>429</t>
  </si>
  <si>
    <t>461</t>
  </si>
  <si>
    <t>479</t>
  </si>
  <si>
    <t>501</t>
  </si>
  <si>
    <t>502</t>
  </si>
  <si>
    <t>511</t>
  </si>
  <si>
    <t>518</t>
  </si>
  <si>
    <t>532</t>
  </si>
  <si>
    <t>538</t>
  </si>
  <si>
    <t>547</t>
  </si>
  <si>
    <t>548</t>
  </si>
  <si>
    <t>551</t>
  </si>
  <si>
    <t>553</t>
  </si>
  <si>
    <t>562</t>
  </si>
  <si>
    <t>563</t>
  </si>
  <si>
    <t>568</t>
  </si>
  <si>
    <t>591</t>
  </si>
  <si>
    <t>602</t>
  </si>
  <si>
    <t>648</t>
  </si>
  <si>
    <t>662</t>
  </si>
  <si>
    <t>663</t>
  </si>
  <si>
    <t>544</t>
  </si>
  <si>
    <t>513</t>
  </si>
  <si>
    <t>Final balance</t>
  </si>
  <si>
    <t>Rounding</t>
  </si>
  <si>
    <t>Turnover D</t>
  </si>
  <si>
    <t>Turnover MD</t>
  </si>
  <si>
    <t>Lookup_line</t>
  </si>
  <si>
    <t>Line No. manual corr.</t>
  </si>
  <si>
    <t>BS/PL</t>
  </si>
  <si>
    <t>Line No.</t>
  </si>
  <si>
    <t>Subtotal Y/N</t>
  </si>
  <si>
    <t>Synt</t>
  </si>
  <si>
    <t>TOTAL</t>
  </si>
  <si>
    <t>PL</t>
  </si>
  <si>
    <t>BS</t>
  </si>
  <si>
    <t>668</t>
  </si>
  <si>
    <t>666</t>
  </si>
  <si>
    <t>subtotal</t>
  </si>
  <si>
    <t>665</t>
  </si>
  <si>
    <t>661</t>
  </si>
  <si>
    <t>657</t>
  </si>
  <si>
    <t>655</t>
  </si>
  <si>
    <t>646</t>
  </si>
  <si>
    <t>645</t>
  </si>
  <si>
    <t>644</t>
  </si>
  <si>
    <t>642</t>
  </si>
  <si>
    <t>641</t>
  </si>
  <si>
    <t>624</t>
  </si>
  <si>
    <t>623</t>
  </si>
  <si>
    <t>622</t>
  </si>
  <si>
    <t>621</t>
  </si>
  <si>
    <t>614</t>
  </si>
  <si>
    <t>613</t>
  </si>
  <si>
    <t>612</t>
  </si>
  <si>
    <t>611</t>
  </si>
  <si>
    <t>607</t>
  </si>
  <si>
    <t>606</t>
  </si>
  <si>
    <t>604</t>
  </si>
  <si>
    <t>601</t>
  </si>
  <si>
    <t>596</t>
  </si>
  <si>
    <t>595</t>
  </si>
  <si>
    <t>569</t>
  </si>
  <si>
    <t>566</t>
  </si>
  <si>
    <t>565</t>
  </si>
  <si>
    <t>561</t>
  </si>
  <si>
    <t>557</t>
  </si>
  <si>
    <t>555</t>
  </si>
  <si>
    <t>549</t>
  </si>
  <si>
    <t>546</t>
  </si>
  <si>
    <t>545</t>
  </si>
  <si>
    <t>543</t>
  </si>
  <si>
    <t>542</t>
  </si>
  <si>
    <t>541</t>
  </si>
  <si>
    <t>531</t>
  </si>
  <si>
    <t>528</t>
  </si>
  <si>
    <t>527</t>
  </si>
  <si>
    <t>526</t>
  </si>
  <si>
    <t>525</t>
  </si>
  <si>
    <t>524</t>
  </si>
  <si>
    <t>523</t>
  </si>
  <si>
    <t>522</t>
  </si>
  <si>
    <t>521</t>
  </si>
  <si>
    <t>512</t>
  </si>
  <si>
    <t>507</t>
  </si>
  <si>
    <t>505</t>
  </si>
  <si>
    <t>504</t>
  </si>
  <si>
    <t>503</t>
  </si>
  <si>
    <t>491</t>
  </si>
  <si>
    <t>478</t>
  </si>
  <si>
    <t>476</t>
  </si>
  <si>
    <t>475</t>
  </si>
  <si>
    <t>474</t>
  </si>
  <si>
    <t>473</t>
  </si>
  <si>
    <t>472</t>
  </si>
  <si>
    <t>471</t>
  </si>
  <si>
    <t>459</t>
  </si>
  <si>
    <t>451</t>
  </si>
  <si>
    <t>428</t>
  </si>
  <si>
    <t>427</t>
  </si>
  <si>
    <t>423</t>
  </si>
  <si>
    <t>422</t>
  </si>
  <si>
    <t>419</t>
  </si>
  <si>
    <t>418</t>
  </si>
  <si>
    <t>416</t>
  </si>
  <si>
    <t>415</t>
  </si>
  <si>
    <t>398</t>
  </si>
  <si>
    <t>383</t>
  </si>
  <si>
    <t>382</t>
  </si>
  <si>
    <t>378</t>
  </si>
  <si>
    <t>375</t>
  </si>
  <si>
    <t>374</t>
  </si>
  <si>
    <t>372</t>
  </si>
  <si>
    <t>371</t>
  </si>
  <si>
    <t>368</t>
  </si>
  <si>
    <t>367</t>
  </si>
  <si>
    <t>366</t>
  </si>
  <si>
    <t>365</t>
  </si>
  <si>
    <t>364</t>
  </si>
  <si>
    <t>358</t>
  </si>
  <si>
    <t>355</t>
  </si>
  <si>
    <t>354</t>
  </si>
  <si>
    <t>353</t>
  </si>
  <si>
    <t>347</t>
  </si>
  <si>
    <t>346</t>
  </si>
  <si>
    <t>342</t>
  </si>
  <si>
    <t>336</t>
  </si>
  <si>
    <t>335</t>
  </si>
  <si>
    <t>333</t>
  </si>
  <si>
    <t>331</t>
  </si>
  <si>
    <t>322</t>
  </si>
  <si>
    <t>316</t>
  </si>
  <si>
    <t>313</t>
  </si>
  <si>
    <t>312</t>
  </si>
  <si>
    <t>291</t>
  </si>
  <si>
    <t>259</t>
  </si>
  <si>
    <t>257</t>
  </si>
  <si>
    <t>256</t>
  </si>
  <si>
    <t>255</t>
  </si>
  <si>
    <t>253</t>
  </si>
  <si>
    <t>252</t>
  </si>
  <si>
    <t>251</t>
  </si>
  <si>
    <t>241</t>
  </si>
  <si>
    <t>232</t>
  </si>
  <si>
    <t>231</t>
  </si>
  <si>
    <t>213</t>
  </si>
  <si>
    <t>196</t>
  </si>
  <si>
    <t>195</t>
  </si>
  <si>
    <t>194</t>
  </si>
  <si>
    <t>193</t>
  </si>
  <si>
    <t>192</t>
  </si>
  <si>
    <t>191</t>
  </si>
  <si>
    <t>Total previous year</t>
  </si>
  <si>
    <t>Total current year</t>
  </si>
  <si>
    <t>Lookup line</t>
  </si>
  <si>
    <t>B/P</t>
  </si>
  <si>
    <t>subtotal label</t>
  </si>
  <si>
    <t>Account</t>
  </si>
  <si>
    <t>Line_statement</t>
  </si>
  <si>
    <t>Check:</t>
  </si>
  <si>
    <t>Assets = Liabilities</t>
  </si>
  <si>
    <t>Check (profit/loss to GL)</t>
  </si>
  <si>
    <t>412</t>
  </si>
  <si>
    <t>413</t>
  </si>
  <si>
    <t>210</t>
  </si>
  <si>
    <t>209</t>
  </si>
  <si>
    <t>217</t>
  </si>
  <si>
    <t>214</t>
  </si>
  <si>
    <t>233</t>
  </si>
  <si>
    <t>203</t>
  </si>
  <si>
    <t>202</t>
  </si>
  <si>
    <t>224</t>
  </si>
  <si>
    <t>228</t>
  </si>
  <si>
    <t>207</t>
  </si>
  <si>
    <t>Výnosy z hospodárskej činnosti spolu súčet (r. 202 až r. 207)</t>
  </si>
  <si>
    <t>201</t>
  </si>
  <si>
    <t>Tržby z predaja vlastných výrobkov a služieb (601, 602, 606)</t>
  </si>
  <si>
    <t>Zmena stavu vnútroorganizačných zásob (+/-) (účtová skupina 61)</t>
  </si>
  <si>
    <t>204</t>
  </si>
  <si>
    <t>205</t>
  </si>
  <si>
    <t>Tržby z predaja dlhodobého nehmotného majetku, dlhodobého hmotného majetku a materiálu (641, 642)</t>
  </si>
  <si>
    <t>206</t>
  </si>
  <si>
    <t>Ostatné výnosy z hospodárskej činnosti (644, 645, 646, 648, 655, 657)</t>
  </si>
  <si>
    <t>Náklady na hospodársku činnosť spolu súčet (r. 209 až r. 217)</t>
  </si>
  <si>
    <t>208</t>
  </si>
  <si>
    <t>Náklady vynaložené na obstaranie predaného tovaru (504, (+/- ) 505A, 507)</t>
  </si>
  <si>
    <t>Spotreba materiálu, energie a ostatných neskladovateľných dodávok (501, 502, 503, (+/-) 505A)</t>
  </si>
  <si>
    <t>Osobné náklady (účtová skupina 52)</t>
  </si>
  <si>
    <t>212</t>
  </si>
  <si>
    <t>Odpisy a opravné položky k dlhodobému nehmotnému majetku a dlhodobému hmotnému majetku (551, (+/-) 553)</t>
  </si>
  <si>
    <t>Zostatková cena predaného dlhodobého majetku a predaného materiálu (541, 542)</t>
  </si>
  <si>
    <t>215</t>
  </si>
  <si>
    <t>Opravné položky k pohľadávkam (+/- 547)</t>
  </si>
  <si>
    <t>216</t>
  </si>
  <si>
    <t>Ostatné náklady na hospodárskou činnosť (543, 544, 545, 546, 548, 549, 555, 557)</t>
  </si>
  <si>
    <t>Výsledok hospodárenia z hospodárskej činnosti (+/-) (r. 201 - r. 208)</t>
  </si>
  <si>
    <t>218</t>
  </si>
  <si>
    <t>Pridaná hodnota (r. 202 - r. 209) + (r. 203 + r. 204 + r. 205) - (r. 210 + r. 211)</t>
  </si>
  <si>
    <t>219</t>
  </si>
  <si>
    <t>Výnosy z finančnej činnosti spolu súčet (r. 221 až r. 226)</t>
  </si>
  <si>
    <t>220</t>
  </si>
  <si>
    <t>Výnosy z dlhodobého finančného majetku (665)</t>
  </si>
  <si>
    <t>222</t>
  </si>
  <si>
    <t>223</t>
  </si>
  <si>
    <t>225</t>
  </si>
  <si>
    <t>226</t>
  </si>
  <si>
    <t>Náklady na finančnú činnosť spolu súčet (r. 228 až r. 233)</t>
  </si>
  <si>
    <t>227</t>
  </si>
  <si>
    <t>229</t>
  </si>
  <si>
    <t>Opravné položky k finančnému majetku (+/-) (565)</t>
  </si>
  <si>
    <t>230</t>
  </si>
  <si>
    <t>Výsledok hospodárenia z finančnej činnosti (+/-) (r. 220 - r. 227)</t>
  </si>
  <si>
    <t>234</t>
  </si>
  <si>
    <t>Výsledok hospodárenia za účtovné obdobie pred zdanením (+/-) (r. 218 + r. 234)</t>
  </si>
  <si>
    <t>235</t>
  </si>
  <si>
    <t>Daň z príjmov (591, 595)</t>
  </si>
  <si>
    <t>236</t>
  </si>
  <si>
    <t>Prevod podielov na výsledku hospodárenia spoločníkom (+/-) (596)</t>
  </si>
  <si>
    <t>237</t>
  </si>
  <si>
    <t>Výsledok hospodárenia za účtovné obdobie po zdanení (+/-) (r. 235 - r. 236 - r. 237)</t>
  </si>
  <si>
    <t>238</t>
  </si>
  <si>
    <t>SPOLU MAJETOK r. 02 + r. 14</t>
  </si>
  <si>
    <t>Neobežný majetok r. 03 + r. 04 + r. 09</t>
  </si>
  <si>
    <t>Dlhodobý nehmotný majetok (012, 013, 014, 015, 019, 01X, 041, 051) - /072, 073, 074, 075, 079, 07X, 091, 093, 095A/</t>
  </si>
  <si>
    <t>Dlhodobý hmotný majetok súčet (r. 05 až r. 08)</t>
  </si>
  <si>
    <t>Pozemky a stavby (021, 031, 042A, 052A) - /081, 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</si>
  <si>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</si>
  <si>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</si>
  <si>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</si>
  <si>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súčet (r. 10 až r. 13)</t>
  </si>
  <si>
    <t>Podielové cenné papiere (061, 062, 063, 043A, 053A) - /095A, 096A/</t>
  </si>
  <si>
    <t>Ostatný dlhodobý finančný majetok (065A, 066A, 067A, 069, 06XA, 043A, 053A) - /095A, 096A/</t>
  </si>
  <si>
    <t>Ostatný dlhodobý finančný majetok so zostatkovou dobou splatnosti najviac jeden rok (065A, 066A, 067A, 06XA) - /096A/</t>
  </si>
  <si>
    <t>Obežný majetok r. 15 + r. 16 + r. 17 + r. 21</t>
  </si>
  <si>
    <t>Zásoby (112, 119, 11X, 121, 122, 123, 124, 12X, 132, 133, 13X, 139, 314A) -/191, 192, 193, 194, 195, 196, 19X, 391A/</t>
  </si>
  <si>
    <t>Dlhodobé pohľadávky (311A, 312A, 313A, 314A, 315A, 316A, 31XA, 335A, 336A, 33XA, 354A, 355A, 358A, 35XA, 371A, 374A, 375A, 378A, 381A, 382A, 385A) - 391A</t>
  </si>
  <si>
    <t>Krátkodobé pohľadávky súčet (r. 18 až r. 20)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</si>
  <si>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</si>
  <si>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</si>
  <si>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336A, 33XA, 354A, 355A, 358A, 35XA, 371A, 374A, 375A, 378A, 381A, 382A, 385A, 398A) - /391A/</t>
  </si>
  <si>
    <t>Finančný majetok r. 22 + r. 23</t>
  </si>
  <si>
    <t>Peniaze a účty v bankách (211, 213, 21X, 221A, 22XA, +/- 261)</t>
  </si>
  <si>
    <t>Ostatné finančné účty (251, 252, 253, 256, 257, 25X, 259, 314A) - /291, 29X/</t>
  </si>
  <si>
    <t>SPOLU VLASTNÉ IMANIE A ZÁVÄZKY r. 25 + r. 34</t>
  </si>
  <si>
    <t>Vlastné imanie r. 26 + r. 29 + r. 30 + r. 31 + r. 32 + r. 33</t>
  </si>
  <si>
    <t>Základné imanie r. 27 + r. 28</t>
  </si>
  <si>
    <t>Základné imanie a zmeny základného imania (411, +/- 419) alebo (+/- 491)</t>
  </si>
  <si>
    <t>Kapitálové fondy (412, 413, 417, 418)</t>
  </si>
  <si>
    <t>Fondy zo zisku (421, 422, 423, 427, 42X)</t>
  </si>
  <si>
    <t>Oceňovacie rozdiely (+/- 415, 416)</t>
  </si>
  <si>
    <t>Nerozdelený zisk alebo neuhradená strata minulých rokov (428, /-/429)</t>
  </si>
  <si>
    <t>Výsledok hospodárenia za účtovné obdobie po zdanení (+/-) r. 01 - (r. 26 + r. 29 + r. 30 + r. 31 + r. 32 + r. 34)</t>
  </si>
  <si>
    <t>Záväzky r. 35 + r. 36 + r. 37 + r. 38 + r. 43 + r. 44 + r. 45</t>
  </si>
  <si>
    <t>Dlhodobé záväzky okrem rezerv a úverov (316A, 321A, 32XA, 372A, 471A, 472A, 473A, 474A, 475A, 476A, 478A, 479A, 47XA, /-/255A, 383A, 384A</t>
  </si>
  <si>
    <t>Dlhodobé rezervy (451A, 459A, 45XA)</t>
  </si>
  <si>
    <t>Krátkodobé záväzky okrem rezerv, úverov a výpomoci súčet (r. 39 až r. 42)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</si>
  <si>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</si>
  <si>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</si>
  <si>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</si>
  <si>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(364, 365, 366, 367, 368A, 36X, 372A, 379, 383A, 384A, 398A, 471A, 472A, 474A, 478A, 479A, 47XA)</t>
  </si>
  <si>
    <t>Krátkodobé rezervy (323, 32XA, 451A, 459A, 45XA)</t>
  </si>
  <si>
    <t>Poznámky Úč MÚJ 3 - 01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</si>
  <si>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</si>
  <si>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</si>
  <si>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</si>
  <si>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</si>
  <si>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</si>
  <si>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</si>
  <si>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</si>
  <si>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</si>
  <si>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</si>
  <si>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</si>
  <si>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</si>
  <si>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</si>
  <si>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</si>
  <si>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</si>
  <si>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</si>
  <si>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</si>
  <si>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Informácie o počte zamestnancov: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</si>
  <si>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</si>
  <si>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</si>
  <si>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</si>
  <si>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</si>
  <si>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</si>
  <si>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</si>
  <si>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</si>
  <si>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</si>
  <si>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</si>
  <si>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</si>
  <si>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</si>
  <si>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</si>
  <si>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</si>
  <si>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Zásoby obstarané kúpou</t>
  </si>
  <si>
    <t>Zásoby obstarané  vlastnou činnosťou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</si>
  <si>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</si>
  <si>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</si>
  <si>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</si>
  <si>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</si>
  <si>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</si>
  <si>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</si>
  <si>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</si>
  <si>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</si>
  <si>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</si>
  <si>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</si>
  <si>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</si>
  <si>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</si>
  <si>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</si>
  <si>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</si>
  <si>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</si>
  <si>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</si>
  <si>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</si>
  <si>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</si>
  <si>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Majetok</t>
  </si>
  <si>
    <t>Ocenenie</t>
  </si>
  <si>
    <t>Výška dotácie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</si>
  <si>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</si>
  <si>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</si>
  <si>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</si>
  <si>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</si>
  <si>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</si>
  <si>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</si>
  <si>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</si>
  <si>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</si>
  <si>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</si>
  <si>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</si>
  <si>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</si>
  <si>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</si>
  <si>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2.a</t>
  </si>
  <si>
    <t>Informácie o záväzkoch:</t>
  </si>
  <si>
    <t>Záväzky so zostatkovou dobou splatnosti do jedného roka vrátane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</si>
  <si>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</si>
  <si>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</si>
  <si>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</si>
  <si>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</si>
  <si>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</si>
  <si>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</si>
  <si>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</si>
  <si>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</si>
  <si>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</si>
  <si>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Počet akcií</t>
  </si>
  <si>
    <t>Podiel na ZI v %</t>
  </si>
  <si>
    <t xml:space="preserve"> Menovitá hodnota</t>
  </si>
  <si>
    <t>Hodnota nadobudn.</t>
  </si>
  <si>
    <t>Hodnota za prevod</t>
  </si>
  <si>
    <t>Informácie o orgánoch účtovnej jednotky:</t>
  </si>
  <si>
    <t>Hodnota príjmu, výhody súčasných členov orgánov</t>
  </si>
  <si>
    <t>Hodnota príjmu, výhody bývalých členov orgánov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</si>
  <si>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</si>
  <si>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</si>
  <si>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</si>
  <si>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</si>
  <si>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</si>
  <si>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</si>
  <si>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</si>
  <si>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</si>
  <si>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</si>
  <si>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</si>
  <si>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</si>
  <si>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</si>
  <si>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</si>
  <si>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</si>
  <si>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</si>
  <si>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</si>
  <si>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</si>
  <si>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</si>
  <si>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Z poskytnutých záruk</t>
  </si>
  <si>
    <t>Z ručenia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</si>
  <si>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</si>
  <si>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</si>
  <si>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</si>
  <si>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</si>
  <si>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Bratislava</t>
  </si>
  <si>
    <t>Účtovná jednotka nemá obsahovú náplň pre túto položku.</t>
  </si>
  <si>
    <t>neeviduje</t>
  </si>
  <si>
    <t>menovitá hodnota</t>
  </si>
  <si>
    <t>-</t>
  </si>
  <si>
    <t xml:space="preserve">zmena štruktúry účtovnej závierky </t>
  </si>
  <si>
    <t>zmena v účtovaní časového rozlíšenia - §56 ods. 14 PÚ</t>
  </si>
  <si>
    <t>prechod na mikro účtovnú jednotku</t>
  </si>
  <si>
    <t>nevýznamné sumy, pravidelne sa opakujúce účtovné prípady</t>
  </si>
  <si>
    <t>bez vplyvu</t>
  </si>
  <si>
    <t>Medical Trade,spol. s r.o.</t>
  </si>
  <si>
    <t>35882701</t>
  </si>
  <si>
    <t>Bullova</t>
  </si>
  <si>
    <t>1</t>
  </si>
  <si>
    <t>841 01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</si>
</sst>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\ _€_-;\-* #,##0\ _€_-;_-* &quot;-&quot;\ _€_-;_-@_-"/>
    <numFmt numFmtId="43" formatCode="_-* #,##0.00\ _€_-;\-* #,##0.00\ _€_-;_-* &quot;-&quot;??\ _€_-;_-@_-"/>
    <numFmt numFmtId="164" formatCode="_-* #,##0.00\ _S_k_-;\-* #,##0.00\ _S_k_-;_-* &quot;-&quot;??\ _S_k_-;_-@_-"/>
    <numFmt numFmtId="165" formatCode="0.0%"/>
    <numFmt numFmtId="166" formatCode="&quot;=round(&quot;0&quot;;0)&quot;"/>
    <numFmt numFmtId="167" formatCode="#,##0.0"/>
    <numFmt numFmtId="168" formatCode="[&lt;=9999999]###\ ##\ ##;##\ ##\ ##\ ##"/>
    <numFmt numFmtId="169" formatCode="[$-41B]mmmmm;@"/>
    <numFmt numFmtId="170" formatCode="_*\ #,##0__;_(* \-#,##0__;_(&quot;&quot;_);_(@_)"/>
    <numFmt numFmtId="171" formatCode="d/m/yyyy;@"/>
    <numFmt numFmtId="172" formatCode="00"/>
    <numFmt numFmtId="173" formatCode="dd\.mm\.yyyy"/>
    <numFmt numFmtId="174" formatCode="#\ ##0.00"/>
    <numFmt numFmtId="175" formatCode="_-* #,##0.0000000000000\ _€_-;\-* #,##0.0000000000000\ _€_-;_-* &quot;-&quot;??\ _€_-;_-@_-"/>
    <numFmt numFmtId="176" formatCode="0_&quot;%"/>
    <numFmt numFmtId="177" formatCode="000\ 00"/>
  </numFmts>
  <fonts count="9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color indexed="48"/>
      <name val="Arial"/>
      <family val="2"/>
      <charset val="238"/>
    </font>
    <font>
      <sz val="8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8"/>
      <color indexed="10"/>
      <name val="Arial"/>
      <family val="2"/>
    </font>
    <font>
      <sz val="12"/>
      <name val="Times New Roman"/>
      <family val="1"/>
      <charset val="238"/>
    </font>
    <font>
      <b/>
      <i/>
      <sz val="8"/>
      <name val="Arial"/>
      <family val="2"/>
    </font>
    <font>
      <b/>
      <sz val="10"/>
      <name val="System"/>
      <family val="2"/>
      <charset val="238"/>
    </font>
    <font>
      <b/>
      <sz val="1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5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11.5"/>
      <name val="Arial"/>
      <family val="2"/>
      <charset val="238"/>
    </font>
    <font>
      <b/>
      <i/>
      <sz val="12.5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.5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</font>
    <font>
      <i/>
      <sz val="5.5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  <font>
      <b/>
      <sz val="6"/>
      <name val="Arial"/>
      <family val="2"/>
      <charset val="238"/>
    </font>
    <font>
      <sz val="7.4"/>
      <name val="Arial"/>
      <family val="2"/>
      <charset val="238"/>
    </font>
    <font>
      <b/>
      <sz val="7.5"/>
      <name val="Arial"/>
      <family val="2"/>
    </font>
    <font>
      <u/>
      <sz val="10"/>
      <color indexed="12"/>
      <name val="Arial"/>
      <family val="2"/>
      <charset val="238"/>
    </font>
    <font>
      <i/>
      <sz val="8"/>
      <color indexed="10"/>
      <name val="Arial"/>
      <family val="2"/>
    </font>
    <font>
      <b/>
      <i/>
      <sz val="8"/>
      <color indexed="10"/>
      <name val="Arial"/>
      <family val="2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u/>
      <sz val="11"/>
      <color theme="10"/>
      <name val="Calibri"/>
      <family val="2"/>
      <charset val="238"/>
    </font>
    <font>
      <i/>
      <sz val="8.5"/>
      <name val="Arial"/>
      <family val="2"/>
      <charset val="238"/>
    </font>
    <font>
      <i/>
      <sz val="7"/>
      <name val="Arial"/>
      <family val="2"/>
      <charset val="238"/>
    </font>
    <font>
      <sz val="10"/>
      <name val="MS Sans Serif"/>
      <family val="2"/>
      <charset val="238"/>
    </font>
    <font>
      <sz val="8"/>
      <color rgb="FF000000"/>
      <name val="Arial"/>
      <family val="2"/>
      <charset val="238"/>
    </font>
    <font>
      <sz val="10"/>
      <name val="Helv"/>
      <charset val="238"/>
    </font>
    <font>
      <sz val="8"/>
      <color rgb="FFFF0000"/>
      <name val="Arial"/>
      <family val="2"/>
    </font>
    <font>
      <b/>
      <sz val="8"/>
      <color indexed="12"/>
      <name val="Arial"/>
      <family val="2"/>
    </font>
    <font>
      <u/>
      <sz val="10"/>
      <color theme="10"/>
      <name val="Arial CE"/>
      <charset val="238"/>
    </font>
    <font>
      <i/>
      <sz val="8"/>
      <color theme="10"/>
      <name val="Arial CE"/>
      <charset val="238"/>
    </font>
    <font>
      <i/>
      <sz val="8"/>
      <name val="Arial"/>
      <family val="2"/>
    </font>
    <font>
      <b/>
      <sz val="12"/>
      <name val="Calibri"/>
      <family val="2"/>
      <charset val="238"/>
    </font>
    <font>
      <sz val="7.5"/>
      <name val="Arial"/>
      <family val="2"/>
    </font>
    <font>
      <sz val="11.5"/>
      <color rgb="FF000000"/>
      <name val="Times New Roman"/>
      <family val="1"/>
      <charset val="238"/>
    </font>
    <font>
      <sz val="11.5"/>
      <name val="Times New Roman"/>
      <family val="1"/>
      <charset val="238"/>
    </font>
    <font>
      <b/>
      <sz val="8"/>
      <name val="Arial CE"/>
      <family val="2"/>
      <charset val="238"/>
    </font>
    <font>
      <b/>
      <sz val="14"/>
      <color indexed="18"/>
      <name val="Arial"/>
      <family val="2"/>
      <charset val="238"/>
    </font>
    <font>
      <sz val="9"/>
      <color indexed="0"/>
      <name val="Arial"/>
      <family val="2"/>
      <charset val="238"/>
    </font>
    <font>
      <b/>
      <sz val="9"/>
      <color indexed="0"/>
      <name val="Arial"/>
      <family val="2"/>
      <charset val="238"/>
    </font>
    <font>
      <sz val="11"/>
      <color rgb="FF3F3F7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8"/>
      <color indexed="10"/>
      <name val="Arial"/>
      <family val="2"/>
      <charset val="238"/>
    </font>
    <font>
      <sz val="8"/>
      <name val="Times New Roman CE"/>
    </font>
    <font>
      <sz val="8"/>
      <color indexed="12"/>
      <name val="Arial"/>
      <family val="2"/>
      <charset val="238"/>
    </font>
    <font>
      <b/>
      <sz val="8"/>
      <color indexed="12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indexed="0"/>
      <name val="Arial"/>
      <family val="2"/>
      <charset val="238"/>
    </font>
    <font>
      <b/>
      <sz val="9"/>
      <color theme="4" tint="-0.249977111117893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</patternFill>
    </fill>
  </fills>
  <borders count="14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9" fontId="4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3" fillId="0" borderId="0"/>
    <xf numFmtId="0" fontId="16" fillId="0" borderId="0"/>
    <xf numFmtId="0" fontId="44" fillId="0" borderId="0"/>
    <xf numFmtId="0" fontId="16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2" fillId="0" borderId="0"/>
    <xf numFmtId="164" fontId="12" fillId="0" borderId="0" applyFont="0" applyFill="0" applyBorder="0" applyAlignment="0" applyProtection="0"/>
    <xf numFmtId="0" fontId="41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59" fillId="0" borderId="0"/>
    <xf numFmtId="0" fontId="16" fillId="0" borderId="0"/>
    <xf numFmtId="0" fontId="16" fillId="0" borderId="0"/>
    <xf numFmtId="0" fontId="60" fillId="0" borderId="0">
      <alignment horizontal="left" vertical="top"/>
    </xf>
    <xf numFmtId="0" fontId="60" fillId="0" borderId="0">
      <alignment horizontal="right" vertical="top"/>
    </xf>
    <xf numFmtId="0" fontId="61" fillId="0" borderId="0"/>
    <xf numFmtId="0" fontId="64" fillId="0" borderId="0" applyNumberFormat="0" applyFill="0" applyBorder="0" applyAlignment="0" applyProtection="0">
      <alignment vertical="top"/>
      <protection locked="0"/>
    </xf>
    <xf numFmtId="164" fontId="16" fillId="0" borderId="0" applyFont="0" applyFill="0" applyBorder="0" applyAlignment="0" applyProtection="0"/>
    <xf numFmtId="0" fontId="73" fillId="0" borderId="0" applyNumberFormat="0" applyFill="0" applyBorder="0" applyAlignment="0" applyProtection="0">
      <protection locked="0"/>
    </xf>
    <xf numFmtId="0" fontId="75" fillId="10" borderId="139" applyNumberFormat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</cellStyleXfs>
  <cellXfs count="1944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justify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justify"/>
    </xf>
    <xf numFmtId="0" fontId="0" fillId="0" borderId="43" xfId="0" applyBorder="1" applyAlignment="1">
      <alignment horizontal="center"/>
    </xf>
    <xf numFmtId="0" fontId="0" fillId="0" borderId="43" xfId="0" applyBorder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3" fontId="9" fillId="0" borderId="4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3" fontId="9" fillId="0" borderId="6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3" fontId="9" fillId="0" borderId="14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8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3" fontId="9" fillId="0" borderId="16" xfId="0" applyNumberFormat="1" applyFont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 wrapText="1"/>
    </xf>
    <xf numFmtId="3" fontId="9" fillId="0" borderId="18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9" fontId="9" fillId="0" borderId="13" xfId="1" applyFont="1" applyBorder="1" applyAlignment="1">
      <alignment horizontal="center" vertical="center" wrapText="1"/>
    </xf>
    <xf numFmtId="9" fontId="9" fillId="0" borderId="14" xfId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right" vertical="center" wrapText="1"/>
    </xf>
    <xf numFmtId="0" fontId="8" fillId="0" borderId="32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justify"/>
    </xf>
    <xf numFmtId="0" fontId="8" fillId="0" borderId="15" xfId="0" applyFont="1" applyBorder="1" applyAlignment="1">
      <alignment vertical="center" wrapText="1"/>
    </xf>
    <xf numFmtId="3" fontId="9" fillId="0" borderId="13" xfId="0" applyNumberFormat="1" applyFont="1" applyBorder="1" applyAlignment="1">
      <alignment horizontal="right" vertical="center" wrapText="1" indent="1"/>
    </xf>
    <xf numFmtId="3" fontId="9" fillId="0" borderId="6" xfId="0" applyNumberFormat="1" applyFont="1" applyBorder="1" applyAlignment="1">
      <alignment horizontal="right" vertical="center" wrapText="1" indent="1"/>
    </xf>
    <xf numFmtId="3" fontId="8" fillId="0" borderId="14" xfId="0" applyNumberFormat="1" applyFont="1" applyBorder="1" applyAlignment="1">
      <alignment horizontal="right" vertical="center" wrapText="1" indent="1"/>
    </xf>
    <xf numFmtId="3" fontId="8" fillId="0" borderId="8" xfId="0" applyNumberFormat="1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32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32" xfId="0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30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/>
    </xf>
    <xf numFmtId="0" fontId="9" fillId="0" borderId="48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3" fontId="9" fillId="0" borderId="13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9" fontId="9" fillId="0" borderId="13" xfId="1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9" fontId="9" fillId="0" borderId="14" xfId="1" applyFont="1" applyBorder="1" applyAlignment="1">
      <alignment horizontal="right" vertical="center"/>
    </xf>
    <xf numFmtId="14" fontId="9" fillId="0" borderId="13" xfId="0" applyNumberFormat="1" applyFont="1" applyBorder="1" applyAlignment="1">
      <alignment horizontal="right" vertical="center"/>
    </xf>
    <xf numFmtId="9" fontId="9" fillId="0" borderId="6" xfId="1" applyFont="1" applyBorder="1" applyAlignment="1">
      <alignment horizontal="right" vertical="center"/>
    </xf>
    <xf numFmtId="0" fontId="9" fillId="0" borderId="34" xfId="0" applyFont="1" applyBorder="1" applyAlignment="1">
      <alignment vertical="center" wrapText="1"/>
    </xf>
    <xf numFmtId="3" fontId="9" fillId="0" borderId="17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9" fillId="0" borderId="39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4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3" fontId="9" fillId="0" borderId="49" xfId="0" applyNumberFormat="1" applyFont="1" applyBorder="1" applyAlignment="1">
      <alignment horizontal="right" vertical="center"/>
    </xf>
    <xf numFmtId="3" fontId="9" fillId="0" borderId="16" xfId="0" applyNumberFormat="1" applyFont="1" applyBorder="1" applyAlignment="1">
      <alignment horizontal="right" vertical="center"/>
    </xf>
    <xf numFmtId="3" fontId="9" fillId="0" borderId="3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3" fontId="9" fillId="0" borderId="5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3" fontId="9" fillId="0" borderId="53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8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3" fontId="9" fillId="0" borderId="45" xfId="0" applyNumberFormat="1" applyFont="1" applyBorder="1" applyAlignment="1">
      <alignment horizontal="right" vertical="center"/>
    </xf>
    <xf numFmtId="3" fontId="9" fillId="0" borderId="44" xfId="0" applyNumberFormat="1" applyFont="1" applyBorder="1" applyAlignment="1">
      <alignment horizontal="right" vertical="center"/>
    </xf>
    <xf numFmtId="3" fontId="9" fillId="0" borderId="52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9" fontId="9" fillId="0" borderId="8" xfId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36" xfId="0" applyNumberFormat="1" applyFont="1" applyBorder="1" applyAlignment="1">
      <alignment horizontal="right" vertical="center"/>
    </xf>
    <xf numFmtId="3" fontId="9" fillId="0" borderId="37" xfId="0" applyNumberFormat="1" applyFont="1" applyBorder="1" applyAlignment="1">
      <alignment horizontal="right" vertical="center"/>
    </xf>
    <xf numFmtId="3" fontId="9" fillId="0" borderId="38" xfId="0" applyNumberFormat="1" applyFont="1" applyBorder="1" applyAlignment="1">
      <alignment horizontal="right" vertical="center"/>
    </xf>
    <xf numFmtId="0" fontId="8" fillId="0" borderId="0" xfId="0" applyFont="1" applyAlignment="1">
      <alignment horizontal="justify" vertical="center"/>
    </xf>
    <xf numFmtId="3" fontId="9" fillId="0" borderId="38" xfId="0" applyNumberFormat="1" applyFont="1" applyBorder="1" applyAlignment="1">
      <alignment horizontal="right" vertical="center" wrapText="1"/>
    </xf>
    <xf numFmtId="3" fontId="9" fillId="0" borderId="26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3" fillId="0" borderId="0" xfId="2" applyFont="1"/>
    <xf numFmtId="0" fontId="12" fillId="0" borderId="0" xfId="2"/>
    <xf numFmtId="0" fontId="13" fillId="0" borderId="0" xfId="2" applyNumberFormat="1" applyFont="1" applyAlignment="1"/>
    <xf numFmtId="49" fontId="13" fillId="0" borderId="0" xfId="2" applyNumberFormat="1" applyFont="1" applyAlignment="1" applyProtection="1"/>
    <xf numFmtId="0" fontId="13" fillId="0" borderId="0" xfId="2" applyNumberFormat="1" applyFont="1" applyBorder="1" applyAlignment="1"/>
    <xf numFmtId="0" fontId="13" fillId="0" borderId="0" xfId="2" applyNumberFormat="1" applyFont="1" applyBorder="1" applyAlignment="1">
      <alignment horizontal="left"/>
    </xf>
    <xf numFmtId="0" fontId="13" fillId="0" borderId="0" xfId="2" applyNumberFormat="1" applyFont="1" applyAlignment="1">
      <alignment horizontal="left" vertical="center"/>
    </xf>
    <xf numFmtId="0" fontId="13" fillId="0" borderId="0" xfId="2" applyFont="1" applyAlignment="1">
      <alignment vertical="center"/>
    </xf>
    <xf numFmtId="0" fontId="11" fillId="0" borderId="0" xfId="2" applyFont="1"/>
    <xf numFmtId="0" fontId="12" fillId="0" borderId="0" xfId="2" applyAlignment="1">
      <alignment horizontal="right"/>
    </xf>
    <xf numFmtId="0" fontId="14" fillId="3" borderId="0" xfId="2" applyFont="1" applyFill="1" applyAlignment="1">
      <alignment horizontal="centerContinuous"/>
    </xf>
    <xf numFmtId="0" fontId="13" fillId="3" borderId="0" xfId="2" applyFont="1" applyFill="1" applyAlignment="1">
      <alignment horizontal="centerContinuous"/>
    </xf>
    <xf numFmtId="9" fontId="12" fillId="0" borderId="0" xfId="2" applyNumberFormat="1"/>
    <xf numFmtId="165" fontId="12" fillId="0" borderId="0" xfId="2" applyNumberFormat="1"/>
    <xf numFmtId="10" fontId="12" fillId="0" borderId="0" xfId="2" applyNumberFormat="1"/>
    <xf numFmtId="10" fontId="16" fillId="0" borderId="0" xfId="3" applyNumberFormat="1" applyFont="1" applyFill="1"/>
    <xf numFmtId="0" fontId="15" fillId="0" borderId="0" xfId="2" applyFont="1" applyAlignment="1">
      <alignment horizontal="left"/>
    </xf>
    <xf numFmtId="0" fontId="13" fillId="0" borderId="0" xfId="2" applyFont="1" applyAlignment="1">
      <alignment horizontal="centerContinuous"/>
    </xf>
    <xf numFmtId="0" fontId="13" fillId="3" borderId="55" xfId="2" applyFont="1" applyFill="1" applyBorder="1" applyAlignment="1">
      <alignment horizontal="center"/>
    </xf>
    <xf numFmtId="0" fontId="13" fillId="3" borderId="57" xfId="2" applyFont="1" applyFill="1" applyBorder="1" applyAlignment="1">
      <alignment horizontal="centerContinuous"/>
    </xf>
    <xf numFmtId="0" fontId="13" fillId="3" borderId="57" xfId="2" applyFont="1" applyFill="1" applyBorder="1" applyAlignment="1">
      <alignment horizontal="center" wrapText="1"/>
    </xf>
    <xf numFmtId="0" fontId="13" fillId="0" borderId="0" xfId="2" applyFont="1" applyAlignment="1">
      <alignment horizontal="center"/>
    </xf>
    <xf numFmtId="0" fontId="13" fillId="3" borderId="59" xfId="2" applyFont="1" applyFill="1" applyBorder="1" applyAlignment="1">
      <alignment horizontal="center" vertical="top"/>
    </xf>
    <xf numFmtId="0" fontId="13" fillId="3" borderId="0" xfId="2" applyFont="1" applyFill="1" applyBorder="1" applyAlignment="1">
      <alignment horizontal="center" vertical="top"/>
    </xf>
    <xf numFmtId="0" fontId="13" fillId="0" borderId="0" xfId="2" applyFont="1" applyAlignment="1">
      <alignment horizontal="center" vertical="top"/>
    </xf>
    <xf numFmtId="0" fontId="13" fillId="3" borderId="60" xfId="2" applyFont="1" applyFill="1" applyBorder="1" applyAlignment="1">
      <alignment horizontal="center" vertical="center"/>
    </xf>
    <xf numFmtId="0" fontId="14" fillId="2" borderId="0" xfId="2" applyFont="1" applyFill="1" applyAlignment="1">
      <alignment vertical="center"/>
    </xf>
    <xf numFmtId="0" fontId="14" fillId="2" borderId="62" xfId="2" quotePrefix="1" applyFont="1" applyFill="1" applyBorder="1" applyAlignment="1" applyProtection="1">
      <alignment horizontal="center" vertical="center"/>
    </xf>
    <xf numFmtId="3" fontId="14" fillId="0" borderId="0" xfId="2" applyNumberFormat="1" applyFont="1" applyAlignment="1">
      <alignment vertical="center"/>
    </xf>
    <xf numFmtId="0" fontId="14" fillId="0" borderId="0" xfId="2" applyFont="1" applyAlignment="1">
      <alignment vertical="center"/>
    </xf>
    <xf numFmtId="0" fontId="14" fillId="2" borderId="62" xfId="2" applyFont="1" applyFill="1" applyBorder="1" applyAlignment="1" applyProtection="1">
      <alignment vertical="center"/>
    </xf>
    <xf numFmtId="0" fontId="14" fillId="2" borderId="62" xfId="2" applyFont="1" applyFill="1" applyBorder="1" applyAlignment="1" applyProtection="1">
      <alignment horizontal="left" vertical="center"/>
    </xf>
    <xf numFmtId="0" fontId="13" fillId="3" borderId="62" xfId="2" applyFont="1" applyFill="1" applyBorder="1" applyAlignment="1" applyProtection="1">
      <alignment horizontal="left" vertical="center"/>
    </xf>
    <xf numFmtId="0" fontId="13" fillId="0" borderId="62" xfId="2" quotePrefix="1" applyFont="1" applyBorder="1" applyAlignment="1" applyProtection="1">
      <alignment horizontal="center" vertical="center"/>
    </xf>
    <xf numFmtId="166" fontId="13" fillId="0" borderId="0" xfId="2" applyNumberFormat="1" applyFont="1" applyAlignment="1">
      <alignment vertical="center"/>
    </xf>
    <xf numFmtId="0" fontId="13" fillId="2" borderId="62" xfId="2" applyFont="1" applyFill="1" applyBorder="1" applyAlignment="1" applyProtection="1">
      <alignment horizontal="left" vertical="center"/>
    </xf>
    <xf numFmtId="0" fontId="14" fillId="3" borderId="62" xfId="2" applyFont="1" applyFill="1" applyBorder="1" applyAlignment="1" applyProtection="1">
      <alignment horizontal="left" vertical="center"/>
    </xf>
    <xf numFmtId="3" fontId="18" fillId="0" borderId="0" xfId="2" applyNumberFormat="1" applyFont="1" applyAlignment="1">
      <alignment vertical="center" wrapText="1"/>
    </xf>
    <xf numFmtId="0" fontId="20" fillId="0" borderId="0" xfId="2" applyFont="1" applyAlignment="1">
      <alignment vertical="center"/>
    </xf>
    <xf numFmtId="0" fontId="13" fillId="0" borderId="62" xfId="2" applyFont="1" applyFill="1" applyBorder="1" applyAlignment="1" applyProtection="1">
      <alignment horizontal="left" vertical="center"/>
    </xf>
    <xf numFmtId="0" fontId="13" fillId="0" borderId="62" xfId="2" quotePrefix="1" applyFont="1" applyFill="1" applyBorder="1" applyAlignment="1" applyProtection="1">
      <alignment horizontal="center" vertical="center"/>
    </xf>
    <xf numFmtId="0" fontId="13" fillId="2" borderId="62" xfId="2" applyFont="1" applyFill="1" applyBorder="1" applyAlignment="1" applyProtection="1">
      <alignment vertical="center"/>
    </xf>
    <xf numFmtId="0" fontId="13" fillId="2" borderId="62" xfId="2" applyFont="1" applyFill="1" applyBorder="1" applyAlignment="1" applyProtection="1">
      <alignment horizontal="center" vertical="center"/>
    </xf>
    <xf numFmtId="0" fontId="13" fillId="3" borderId="0" xfId="2" applyFont="1" applyFill="1" applyAlignment="1">
      <alignment vertical="center"/>
    </xf>
    <xf numFmtId="167" fontId="13" fillId="0" borderId="0" xfId="2" applyNumberFormat="1" applyFont="1" applyAlignment="1">
      <alignment vertical="center"/>
    </xf>
    <xf numFmtId="0" fontId="13" fillId="3" borderId="55" xfId="2" applyFont="1" applyFill="1" applyBorder="1" applyAlignment="1" applyProtection="1">
      <alignment horizontal="center" vertical="center"/>
    </xf>
    <xf numFmtId="167" fontId="13" fillId="3" borderId="55" xfId="2" applyNumberFormat="1" applyFont="1" applyFill="1" applyBorder="1" applyAlignment="1" applyProtection="1">
      <alignment horizontal="center" vertical="center"/>
    </xf>
    <xf numFmtId="167" fontId="13" fillId="3" borderId="0" xfId="2" applyNumberFormat="1" applyFont="1" applyFill="1" applyAlignment="1">
      <alignment vertical="center"/>
    </xf>
    <xf numFmtId="0" fontId="13" fillId="3" borderId="59" xfId="2" applyFont="1" applyFill="1" applyBorder="1" applyAlignment="1" applyProtection="1">
      <alignment horizontal="center" vertical="center"/>
    </xf>
    <xf numFmtId="167" fontId="13" fillId="3" borderId="59" xfId="2" applyNumberFormat="1" applyFont="1" applyFill="1" applyBorder="1" applyAlignment="1" applyProtection="1">
      <alignment horizontal="center" vertical="center"/>
    </xf>
    <xf numFmtId="0" fontId="13" fillId="3" borderId="60" xfId="2" applyFont="1" applyFill="1" applyBorder="1" applyAlignment="1" applyProtection="1">
      <alignment horizontal="center" vertical="center"/>
    </xf>
    <xf numFmtId="1" fontId="13" fillId="3" borderId="60" xfId="2" applyNumberFormat="1" applyFont="1" applyFill="1" applyBorder="1" applyAlignment="1" applyProtection="1">
      <alignment horizontal="center" vertical="center"/>
    </xf>
    <xf numFmtId="0" fontId="13" fillId="0" borderId="0" xfId="2" applyFont="1" applyAlignment="1">
      <alignment vertical="top"/>
    </xf>
    <xf numFmtId="37" fontId="14" fillId="2" borderId="62" xfId="2" applyNumberFormat="1" applyFont="1" applyFill="1" applyBorder="1" applyAlignment="1" applyProtection="1">
      <alignment vertical="center"/>
    </xf>
    <xf numFmtId="37" fontId="14" fillId="2" borderId="62" xfId="2" quotePrefix="1" applyNumberFormat="1" applyFont="1" applyFill="1" applyBorder="1" applyAlignment="1" applyProtection="1">
      <alignment horizontal="center" vertical="center"/>
    </xf>
    <xf numFmtId="167" fontId="14" fillId="3" borderId="0" xfId="2" applyNumberFormat="1" applyFont="1" applyFill="1" applyAlignment="1">
      <alignment vertical="center"/>
    </xf>
    <xf numFmtId="37" fontId="13" fillId="3" borderId="62" xfId="2" applyNumberFormat="1" applyFont="1" applyFill="1" applyBorder="1" applyAlignment="1" applyProtection="1">
      <alignment vertical="center"/>
    </xf>
    <xf numFmtId="37" fontId="13" fillId="0" borderId="62" xfId="2" quotePrefix="1" applyNumberFormat="1" applyFont="1" applyBorder="1" applyAlignment="1" applyProtection="1">
      <alignment horizontal="center" vertical="center"/>
    </xf>
    <xf numFmtId="37" fontId="14" fillId="5" borderId="62" xfId="2" applyNumberFormat="1" applyFont="1" applyFill="1" applyBorder="1" applyAlignment="1" applyProtection="1">
      <alignment vertical="center"/>
    </xf>
    <xf numFmtId="37" fontId="14" fillId="5" borderId="62" xfId="2" quotePrefix="1" applyNumberFormat="1" applyFont="1" applyFill="1" applyBorder="1" applyAlignment="1" applyProtection="1">
      <alignment horizontal="center" vertical="center"/>
    </xf>
    <xf numFmtId="0" fontId="14" fillId="3" borderId="0" xfId="2" applyFont="1" applyFill="1" applyAlignment="1">
      <alignment vertical="center"/>
    </xf>
    <xf numFmtId="167" fontId="21" fillId="3" borderId="0" xfId="2" applyNumberFormat="1" applyFont="1" applyFill="1" applyAlignment="1">
      <alignment vertical="center"/>
    </xf>
    <xf numFmtId="37" fontId="13" fillId="4" borderId="62" xfId="2" applyNumberFormat="1" applyFont="1" applyFill="1" applyBorder="1" applyAlignment="1" applyProtection="1">
      <alignment vertical="center"/>
    </xf>
    <xf numFmtId="37" fontId="13" fillId="4" borderId="62" xfId="2" quotePrefix="1" applyNumberFormat="1" applyFont="1" applyFill="1" applyBorder="1" applyAlignment="1" applyProtection="1">
      <alignment horizontal="center" vertical="center"/>
    </xf>
    <xf numFmtId="37" fontId="17" fillId="2" borderId="62" xfId="2" applyNumberFormat="1" applyFont="1" applyFill="1" applyBorder="1" applyAlignment="1" applyProtection="1">
      <alignment vertical="center"/>
    </xf>
    <xf numFmtId="37" fontId="17" fillId="2" borderId="62" xfId="2" quotePrefix="1" applyNumberFormat="1" applyFont="1" applyFill="1" applyBorder="1" applyAlignment="1" applyProtection="1">
      <alignment horizontal="center" vertical="center"/>
    </xf>
    <xf numFmtId="37" fontId="13" fillId="2" borderId="62" xfId="2" applyNumberFormat="1" applyFont="1" applyFill="1" applyBorder="1" applyAlignment="1" applyProtection="1">
      <alignment vertical="center"/>
    </xf>
    <xf numFmtId="37" fontId="13" fillId="2" borderId="62" xfId="2" quotePrefix="1" applyNumberFormat="1" applyFont="1" applyFill="1" applyBorder="1" applyAlignment="1" applyProtection="1">
      <alignment horizontal="center" vertical="center"/>
    </xf>
    <xf numFmtId="0" fontId="13" fillId="0" borderId="0" xfId="2" applyFont="1" applyAlignment="1" applyProtection="1">
      <alignment horizontal="left"/>
    </xf>
    <xf numFmtId="0" fontId="13" fillId="0" borderId="0" xfId="2" applyFont="1" applyAlignment="1" applyProtection="1">
      <alignment horizontal="center"/>
    </xf>
    <xf numFmtId="37" fontId="13" fillId="0" borderId="0" xfId="2" applyNumberFormat="1" applyFont="1" applyProtection="1"/>
    <xf numFmtId="0" fontId="14" fillId="0" borderId="0" xfId="2" applyNumberFormat="1" applyFont="1" applyAlignment="1" applyProtection="1"/>
    <xf numFmtId="0" fontId="13" fillId="0" borderId="0" xfId="2" applyNumberFormat="1" applyFont="1" applyBorder="1" applyAlignment="1">
      <alignment vertical="center"/>
    </xf>
    <xf numFmtId="3" fontId="13" fillId="0" borderId="0" xfId="2" applyNumberFormat="1" applyFont="1" applyBorder="1" applyAlignment="1">
      <alignment horizontal="right" vertical="center"/>
    </xf>
    <xf numFmtId="15" fontId="13" fillId="0" borderId="0" xfId="2" applyNumberFormat="1" applyFont="1" applyBorder="1" applyAlignment="1">
      <alignment horizontal="left" vertical="center"/>
    </xf>
    <xf numFmtId="0" fontId="14" fillId="0" borderId="0" xfId="2" applyFont="1"/>
    <xf numFmtId="3" fontId="13" fillId="3" borderId="0" xfId="2" applyNumberFormat="1" applyFont="1" applyFill="1" applyAlignment="1">
      <alignment horizontal="centerContinuous"/>
    </xf>
    <xf numFmtId="0" fontId="13" fillId="3" borderId="0" xfId="2" applyFont="1" applyFill="1" applyBorder="1" applyAlignment="1">
      <alignment horizontal="centerContinuous"/>
    </xf>
    <xf numFmtId="0" fontId="15" fillId="0" borderId="0" xfId="2" applyFont="1" applyAlignment="1">
      <alignment horizontal="centerContinuous"/>
    </xf>
    <xf numFmtId="3" fontId="13" fillId="0" borderId="0" xfId="2" applyNumberFormat="1" applyFont="1" applyAlignment="1">
      <alignment horizontal="centerContinuous"/>
    </xf>
    <xf numFmtId="0" fontId="13" fillId="0" borderId="61" xfId="2" applyFont="1" applyBorder="1" applyAlignment="1">
      <alignment horizontal="centerContinuous"/>
    </xf>
    <xf numFmtId="0" fontId="13" fillId="0" borderId="55" xfId="2" applyFont="1" applyBorder="1" applyAlignment="1">
      <alignment horizontal="center"/>
    </xf>
    <xf numFmtId="0" fontId="13" fillId="0" borderId="56" xfId="2" applyFont="1" applyBorder="1" applyAlignment="1">
      <alignment horizontal="center"/>
    </xf>
    <xf numFmtId="3" fontId="13" fillId="0" borderId="56" xfId="2" applyNumberFormat="1" applyFont="1" applyBorder="1" applyAlignment="1">
      <alignment horizontal="centerContinuous"/>
    </xf>
    <xf numFmtId="0" fontId="13" fillId="0" borderId="57" xfId="2" applyFont="1" applyBorder="1" applyAlignment="1">
      <alignment horizontal="centerContinuous"/>
    </xf>
    <xf numFmtId="0" fontId="13" fillId="0" borderId="59" xfId="2" applyFont="1" applyBorder="1" applyAlignment="1">
      <alignment horizontal="center" vertical="top"/>
    </xf>
    <xf numFmtId="0" fontId="13" fillId="0" borderId="0" xfId="2" applyFont="1" applyBorder="1" applyAlignment="1">
      <alignment horizontal="center" vertical="top"/>
    </xf>
    <xf numFmtId="3" fontId="13" fillId="0" borderId="55" xfId="2" applyNumberFormat="1" applyFont="1" applyBorder="1" applyAlignment="1">
      <alignment horizontal="center" vertical="top"/>
    </xf>
    <xf numFmtId="0" fontId="13" fillId="0" borderId="55" xfId="2" applyFont="1" applyBorder="1" applyAlignment="1">
      <alignment horizontal="center" vertical="top"/>
    </xf>
    <xf numFmtId="0" fontId="13" fillId="0" borderId="60" xfId="2" applyFont="1" applyBorder="1" applyAlignment="1">
      <alignment horizontal="center"/>
    </xf>
    <xf numFmtId="0" fontId="13" fillId="0" borderId="61" xfId="2" applyFont="1" applyBorder="1" applyAlignment="1">
      <alignment horizontal="center"/>
    </xf>
    <xf numFmtId="3" fontId="13" fillId="0" borderId="60" xfId="2" applyNumberFormat="1" applyFont="1" applyBorder="1" applyAlignment="1">
      <alignment horizontal="center"/>
    </xf>
    <xf numFmtId="0" fontId="13" fillId="3" borderId="62" xfId="2" applyFont="1" applyFill="1" applyBorder="1" applyAlignment="1">
      <alignment vertical="center"/>
    </xf>
    <xf numFmtId="0" fontId="13" fillId="0" borderId="62" xfId="2" applyFont="1" applyBorder="1" applyAlignment="1">
      <alignment vertical="center"/>
    </xf>
    <xf numFmtId="0" fontId="13" fillId="0" borderId="62" xfId="2" quotePrefix="1" applyFont="1" applyBorder="1" applyAlignment="1">
      <alignment horizontal="center" vertical="center"/>
    </xf>
    <xf numFmtId="0" fontId="23" fillId="2" borderId="62" xfId="2" applyFont="1" applyFill="1" applyBorder="1" applyAlignment="1">
      <alignment vertical="center"/>
    </xf>
    <xf numFmtId="0" fontId="23" fillId="2" borderId="62" xfId="2" quotePrefix="1" applyFont="1" applyFill="1" applyBorder="1" applyAlignment="1">
      <alignment horizontal="center" vertical="center"/>
    </xf>
    <xf numFmtId="0" fontId="23" fillId="0" borderId="0" xfId="2" applyFont="1" applyAlignment="1">
      <alignment vertical="center"/>
    </xf>
    <xf numFmtId="0" fontId="14" fillId="2" borderId="62" xfId="2" applyFont="1" applyFill="1" applyBorder="1" applyAlignment="1">
      <alignment vertical="center"/>
    </xf>
    <xf numFmtId="0" fontId="14" fillId="2" borderId="62" xfId="2" quotePrefix="1" applyFont="1" applyFill="1" applyBorder="1" applyAlignment="1">
      <alignment horizontal="center" vertical="center"/>
    </xf>
    <xf numFmtId="0" fontId="13" fillId="2" borderId="62" xfId="2" applyFont="1" applyFill="1" applyBorder="1" applyAlignment="1">
      <alignment vertical="center"/>
    </xf>
    <xf numFmtId="0" fontId="17" fillId="2" borderId="62" xfId="2" applyFont="1" applyFill="1" applyBorder="1" applyAlignment="1">
      <alignment vertical="center"/>
    </xf>
    <xf numFmtId="0" fontId="13" fillId="2" borderId="62" xfId="2" quotePrefix="1" applyFont="1" applyFill="1" applyBorder="1" applyAlignment="1">
      <alignment horizontal="center" vertical="center"/>
    </xf>
    <xf numFmtId="0" fontId="13" fillId="0" borderId="62" xfId="2" applyFont="1" applyFill="1" applyBorder="1" applyAlignment="1">
      <alignment vertical="center"/>
    </xf>
    <xf numFmtId="0" fontId="23" fillId="2" borderId="62" xfId="2" applyFont="1" applyFill="1" applyBorder="1" applyAlignment="1">
      <alignment vertical="center" wrapText="1"/>
    </xf>
    <xf numFmtId="0" fontId="17" fillId="2" borderId="62" xfId="2" quotePrefix="1" applyFont="1" applyFill="1" applyBorder="1" applyAlignment="1">
      <alignment horizontal="center" vertical="center"/>
    </xf>
    <xf numFmtId="49" fontId="13" fillId="0" borderId="62" xfId="2" applyNumberFormat="1" applyFont="1" applyFill="1" applyBorder="1" applyAlignment="1">
      <alignment vertical="center"/>
    </xf>
    <xf numFmtId="0" fontId="23" fillId="3" borderId="0" xfId="2" applyFont="1" applyFill="1" applyAlignment="1">
      <alignment vertical="center"/>
    </xf>
    <xf numFmtId="49" fontId="13" fillId="2" borderId="62" xfId="2" applyNumberFormat="1" applyFont="1" applyFill="1" applyBorder="1" applyAlignment="1">
      <alignment vertical="center"/>
    </xf>
    <xf numFmtId="0" fontId="14" fillId="5" borderId="62" xfId="2" applyFont="1" applyFill="1" applyBorder="1" applyAlignment="1">
      <alignment vertical="center"/>
    </xf>
    <xf numFmtId="0" fontId="23" fillId="5" borderId="62" xfId="2" applyFont="1" applyFill="1" applyBorder="1" applyAlignment="1">
      <alignment vertical="center"/>
    </xf>
    <xf numFmtId="0" fontId="17" fillId="5" borderId="62" xfId="2" quotePrefix="1" applyFont="1" applyFill="1" applyBorder="1" applyAlignment="1">
      <alignment horizontal="center" vertical="center"/>
    </xf>
    <xf numFmtId="3" fontId="13" fillId="0" borderId="0" xfId="2" applyNumberFormat="1" applyFont="1"/>
    <xf numFmtId="0" fontId="0" fillId="0" borderId="75" xfId="0" applyBorder="1"/>
    <xf numFmtId="0" fontId="0" fillId="0" borderId="0" xfId="0" applyBorder="1"/>
    <xf numFmtId="3" fontId="0" fillId="0" borderId="0" xfId="0" applyNumberFormat="1" applyBorder="1"/>
    <xf numFmtId="3" fontId="0" fillId="0" borderId="75" xfId="0" applyNumberFormat="1" applyBorder="1"/>
    <xf numFmtId="0" fontId="7" fillId="0" borderId="77" xfId="0" applyFont="1" applyBorder="1" applyAlignment="1">
      <alignment horizontal="center"/>
    </xf>
    <xf numFmtId="0" fontId="0" fillId="0" borderId="77" xfId="0" applyBorder="1"/>
    <xf numFmtId="3" fontId="0" fillId="0" borderId="77" xfId="0" applyNumberFormat="1" applyBorder="1"/>
    <xf numFmtId="0" fontId="0" fillId="0" borderId="76" xfId="0" applyBorder="1"/>
    <xf numFmtId="0" fontId="7" fillId="0" borderId="75" xfId="0" applyFont="1" applyBorder="1"/>
    <xf numFmtId="0" fontId="0" fillId="0" borderId="77" xfId="0" applyBorder="1" applyAlignment="1">
      <alignment wrapText="1"/>
    </xf>
    <xf numFmtId="0" fontId="7" fillId="0" borderId="0" xfId="0" applyFont="1" applyBorder="1" applyAlignment="1"/>
    <xf numFmtId="0" fontId="8" fillId="0" borderId="78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7" fillId="0" borderId="76" xfId="0" applyFont="1" applyBorder="1" applyAlignment="1"/>
    <xf numFmtId="3" fontId="0" fillId="0" borderId="76" xfId="0" applyNumberFormat="1" applyBorder="1"/>
    <xf numFmtId="0" fontId="7" fillId="0" borderId="7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3" fontId="9" fillId="0" borderId="83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0" fillId="0" borderId="80" xfId="0" applyNumberFormat="1" applyBorder="1"/>
    <xf numFmtId="0" fontId="9" fillId="0" borderId="77" xfId="0" applyFont="1" applyBorder="1" applyAlignment="1">
      <alignment vertical="center"/>
    </xf>
    <xf numFmtId="0" fontId="9" fillId="0" borderId="75" xfId="0" applyFont="1" applyBorder="1" applyAlignment="1">
      <alignment vertical="center"/>
    </xf>
    <xf numFmtId="0" fontId="9" fillId="0" borderId="76" xfId="0" applyFont="1" applyBorder="1" applyAlignment="1">
      <alignment vertical="center"/>
    </xf>
    <xf numFmtId="3" fontId="9" fillId="0" borderId="76" xfId="0" applyNumberFormat="1" applyFont="1" applyBorder="1" applyAlignment="1">
      <alignment vertical="center"/>
    </xf>
    <xf numFmtId="0" fontId="9" fillId="7" borderId="76" xfId="0" applyFont="1" applyFill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75" xfId="0" applyBorder="1" applyAlignment="1">
      <alignment wrapText="1"/>
    </xf>
    <xf numFmtId="0" fontId="0" fillId="0" borderId="76" xfId="0" applyBorder="1" applyAlignment="1">
      <alignment wrapText="1"/>
    </xf>
    <xf numFmtId="0" fontId="0" fillId="0" borderId="77" xfId="0" applyBorder="1" applyAlignment="1">
      <alignment horizontal="center"/>
    </xf>
    <xf numFmtId="3" fontId="9" fillId="0" borderId="77" xfId="0" applyNumberFormat="1" applyFont="1" applyBorder="1" applyAlignment="1">
      <alignment vertical="center"/>
    </xf>
    <xf numFmtId="0" fontId="9" fillId="7" borderId="77" xfId="0" applyFont="1" applyFill="1" applyBorder="1" applyAlignment="1">
      <alignment vertical="center"/>
    </xf>
    <xf numFmtId="3" fontId="9" fillId="0" borderId="75" xfId="0" applyNumberFormat="1" applyFont="1" applyBorder="1" applyAlignment="1">
      <alignment vertical="center"/>
    </xf>
    <xf numFmtId="0" fontId="9" fillId="7" borderId="75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77" xfId="0" applyNumberFormat="1" applyBorder="1" applyAlignment="1">
      <alignment horizontal="centerContinuous"/>
    </xf>
    <xf numFmtId="0" fontId="0" fillId="0" borderId="75" xfId="0" applyNumberFormat="1" applyBorder="1" applyAlignment="1">
      <alignment horizontal="centerContinuous"/>
    </xf>
    <xf numFmtId="0" fontId="8" fillId="0" borderId="32" xfId="0" applyNumberFormat="1" applyFont="1" applyBorder="1" applyAlignment="1">
      <alignment horizontal="centerContinuous" vertical="center" wrapText="1"/>
    </xf>
    <xf numFmtId="0" fontId="0" fillId="0" borderId="75" xfId="0" applyNumberFormat="1" applyBorder="1" applyAlignment="1">
      <alignment horizontal="right"/>
    </xf>
    <xf numFmtId="0" fontId="0" fillId="0" borderId="77" xfId="0" applyNumberFormat="1" applyBorder="1" applyAlignment="1">
      <alignment horizontal="right"/>
    </xf>
    <xf numFmtId="0" fontId="14" fillId="0" borderId="0" xfId="2" applyNumberFormat="1" applyFont="1" applyAlignment="1">
      <alignment horizontal="center"/>
    </xf>
    <xf numFmtId="0" fontId="14" fillId="0" borderId="0" xfId="2" applyFont="1" applyAlignment="1">
      <alignment horizontal="right"/>
    </xf>
    <xf numFmtId="0" fontId="5" fillId="0" borderId="0" xfId="0" applyFont="1" applyAlignment="1">
      <alignment horizontal="left" wrapText="1"/>
    </xf>
    <xf numFmtId="0" fontId="0" fillId="7" borderId="75" xfId="0" applyFill="1" applyBorder="1"/>
    <xf numFmtId="0" fontId="0" fillId="7" borderId="77" xfId="0" applyFill="1" applyBorder="1"/>
    <xf numFmtId="3" fontId="0" fillId="0" borderId="75" xfId="0" applyNumberFormat="1" applyFill="1" applyBorder="1"/>
    <xf numFmtId="3" fontId="0" fillId="0" borderId="77" xfId="0" applyNumberFormat="1" applyFill="1" applyBorder="1"/>
    <xf numFmtId="0" fontId="0" fillId="0" borderId="75" xfId="0" applyFill="1" applyBorder="1"/>
    <xf numFmtId="0" fontId="0" fillId="0" borderId="77" xfId="0" applyFill="1" applyBorder="1"/>
    <xf numFmtId="0" fontId="0" fillId="0" borderId="75" xfId="0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3" fontId="0" fillId="7" borderId="76" xfId="0" applyNumberFormat="1" applyFill="1" applyBorder="1"/>
    <xf numFmtId="0" fontId="16" fillId="0" borderId="0" xfId="5" applyFill="1" applyAlignment="1">
      <alignment vertical="center"/>
    </xf>
    <xf numFmtId="0" fontId="33" fillId="0" borderId="0" xfId="5" applyFont="1" applyFill="1" applyAlignment="1">
      <alignment horizontal="left" vertical="center"/>
    </xf>
    <xf numFmtId="0" fontId="37" fillId="0" borderId="0" xfId="5" applyFont="1" applyFill="1" applyAlignment="1">
      <alignment horizontal="left" vertical="center"/>
    </xf>
    <xf numFmtId="0" fontId="37" fillId="0" borderId="13" xfId="5" applyFont="1" applyFill="1" applyBorder="1" applyAlignment="1">
      <alignment horizontal="left" vertical="center"/>
    </xf>
    <xf numFmtId="0" fontId="37" fillId="0" borderId="97" xfId="5" applyFont="1" applyFill="1" applyBorder="1" applyAlignment="1">
      <alignment horizontal="left" vertical="center"/>
    </xf>
    <xf numFmtId="0" fontId="33" fillId="0" borderId="97" xfId="5" applyFont="1" applyFill="1" applyBorder="1" applyAlignment="1">
      <alignment horizontal="left" vertical="center"/>
    </xf>
    <xf numFmtId="0" fontId="33" fillId="0" borderId="96" xfId="5" applyFont="1" applyFill="1" applyBorder="1" applyAlignment="1">
      <alignment horizontal="left" vertical="center"/>
    </xf>
    <xf numFmtId="0" fontId="30" fillId="0" borderId="0" xfId="5" applyFont="1" applyFill="1" applyAlignment="1">
      <alignment horizontal="left" vertical="center"/>
    </xf>
    <xf numFmtId="0" fontId="37" fillId="0" borderId="29" xfId="5" applyFont="1" applyFill="1" applyBorder="1" applyAlignment="1">
      <alignment horizontal="left" vertical="center"/>
    </xf>
    <xf numFmtId="0" fontId="37" fillId="0" borderId="0" xfId="5" applyFont="1" applyFill="1" applyBorder="1" applyAlignment="1">
      <alignment horizontal="left" vertical="center"/>
    </xf>
    <xf numFmtId="0" fontId="30" fillId="0" borderId="0" xfId="5" applyFont="1" applyFill="1" applyBorder="1" applyAlignment="1">
      <alignment horizontal="left" vertical="center"/>
    </xf>
    <xf numFmtId="0" fontId="30" fillId="0" borderId="95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left" vertical="center"/>
    </xf>
    <xf numFmtId="0" fontId="33" fillId="0" borderId="95" xfId="5" applyFont="1" applyFill="1" applyBorder="1" applyAlignment="1">
      <alignment horizontal="left" vertical="center"/>
    </xf>
    <xf numFmtId="0" fontId="16" fillId="0" borderId="0" xfId="5" applyFill="1" applyBorder="1" applyAlignment="1">
      <alignment vertical="center"/>
    </xf>
    <xf numFmtId="0" fontId="16" fillId="0" borderId="95" xfId="5" applyFill="1" applyBorder="1" applyAlignment="1">
      <alignment vertical="center"/>
    </xf>
    <xf numFmtId="0" fontId="37" fillId="0" borderId="94" xfId="5" applyFont="1" applyFill="1" applyBorder="1" applyAlignment="1">
      <alignment horizontal="left" vertical="center"/>
    </xf>
    <xf numFmtId="0" fontId="37" fillId="0" borderId="93" xfId="5" applyFont="1" applyFill="1" applyBorder="1" applyAlignment="1">
      <alignment horizontal="left" vertical="center"/>
    </xf>
    <xf numFmtId="0" fontId="30" fillId="0" borderId="93" xfId="5" applyFont="1" applyFill="1" applyBorder="1" applyAlignment="1">
      <alignment horizontal="left" vertical="center"/>
    </xf>
    <xf numFmtId="0" fontId="43" fillId="0" borderId="92" xfId="5" applyFont="1" applyFill="1" applyBorder="1" applyAlignment="1">
      <alignment horizontal="left" vertical="center"/>
    </xf>
    <xf numFmtId="0" fontId="30" fillId="0" borderId="105" xfId="5" applyFont="1" applyFill="1" applyBorder="1" applyAlignment="1">
      <alignment horizontal="left" vertical="center"/>
    </xf>
    <xf numFmtId="0" fontId="30" fillId="0" borderId="97" xfId="5" applyFont="1" applyFill="1" applyBorder="1" applyAlignment="1">
      <alignment horizontal="left" vertical="center"/>
    </xf>
    <xf numFmtId="0" fontId="30" fillId="0" borderId="96" xfId="5" applyFont="1" applyFill="1" applyBorder="1" applyAlignment="1">
      <alignment horizontal="left" vertical="center"/>
    </xf>
    <xf numFmtId="0" fontId="16" fillId="0" borderId="77" xfId="5" applyBorder="1" applyAlignment="1">
      <alignment horizontal="center" vertical="center"/>
    </xf>
    <xf numFmtId="0" fontId="16" fillId="0" borderId="0" xfId="5" applyAlignment="1">
      <alignment horizontal="center" vertical="center"/>
    </xf>
    <xf numFmtId="0" fontId="33" fillId="0" borderId="75" xfId="5" applyFont="1" applyFill="1" applyBorder="1" applyAlignment="1">
      <alignment horizontal="center" vertical="center"/>
    </xf>
    <xf numFmtId="0" fontId="33" fillId="0" borderId="77" xfId="5" applyFont="1" applyFill="1" applyBorder="1" applyAlignment="1">
      <alignment horizontal="center" vertical="center"/>
    </xf>
    <xf numFmtId="1" fontId="37" fillId="0" borderId="0" xfId="5" applyNumberFormat="1" applyFont="1" applyFill="1" applyBorder="1" applyAlignment="1">
      <alignment horizontal="center" vertical="center"/>
    </xf>
    <xf numFmtId="168" fontId="37" fillId="0" borderId="0" xfId="5" applyNumberFormat="1" applyFont="1" applyFill="1" applyBorder="1" applyAlignment="1">
      <alignment horizontal="center" vertical="center"/>
    </xf>
    <xf numFmtId="169" fontId="37" fillId="0" borderId="0" xfId="5" applyNumberFormat="1" applyFont="1" applyFill="1" applyBorder="1" applyAlignment="1">
      <alignment horizontal="center" vertical="center"/>
    </xf>
    <xf numFmtId="169" fontId="37" fillId="0" borderId="95" xfId="5" applyNumberFormat="1" applyFont="1" applyFill="1" applyBorder="1" applyAlignment="1">
      <alignment horizontal="center" vertical="center"/>
    </xf>
    <xf numFmtId="0" fontId="16" fillId="0" borderId="29" xfId="5" applyFill="1" applyBorder="1" applyAlignment="1"/>
    <xf numFmtId="0" fontId="16" fillId="0" borderId="0" xfId="5" applyFill="1" applyBorder="1" applyAlignment="1"/>
    <xf numFmtId="0" fontId="33" fillId="0" borderId="75" xfId="5" applyFont="1" applyFill="1" applyBorder="1" applyAlignment="1">
      <alignment vertical="top" wrapText="1"/>
    </xf>
    <xf numFmtId="0" fontId="33" fillId="0" borderId="77" xfId="5" applyFont="1" applyFill="1" applyBorder="1" applyAlignment="1">
      <alignment vertical="top" wrapText="1"/>
    </xf>
    <xf numFmtId="0" fontId="33" fillId="0" borderId="0" xfId="5" applyFont="1" applyFill="1" applyBorder="1" applyAlignment="1">
      <alignment vertical="top" wrapText="1"/>
    </xf>
    <xf numFmtId="0" fontId="33" fillId="0" borderId="0" xfId="5" applyFont="1" applyFill="1" applyBorder="1" applyAlignment="1">
      <alignment vertical="center" wrapText="1"/>
    </xf>
    <xf numFmtId="0" fontId="33" fillId="0" borderId="77" xfId="5" applyFont="1" applyFill="1" applyBorder="1" applyAlignment="1">
      <alignment vertical="center" wrapText="1"/>
    </xf>
    <xf numFmtId="1" fontId="33" fillId="0" borderId="0" xfId="5" applyNumberFormat="1" applyFont="1" applyFill="1" applyBorder="1" applyAlignment="1">
      <alignment horizontal="left" vertical="center"/>
    </xf>
    <xf numFmtId="0" fontId="33" fillId="0" borderId="85" xfId="5" applyFont="1" applyFill="1" applyBorder="1" applyAlignment="1">
      <alignment vertical="center" wrapText="1"/>
    </xf>
    <xf numFmtId="1" fontId="33" fillId="0" borderId="99" xfId="5" applyNumberFormat="1" applyFont="1" applyFill="1" applyBorder="1" applyAlignment="1">
      <alignment horizontal="left" vertical="center"/>
    </xf>
    <xf numFmtId="0" fontId="33" fillId="0" borderId="99" xfId="5" applyFont="1" applyFill="1" applyBorder="1" applyAlignment="1">
      <alignment horizontal="left" vertical="center"/>
    </xf>
    <xf numFmtId="0" fontId="33" fillId="0" borderId="98" xfId="5" applyFont="1" applyFill="1" applyBorder="1" applyAlignment="1">
      <alignment horizontal="left" vertical="center"/>
    </xf>
    <xf numFmtId="0" fontId="32" fillId="0" borderId="77" xfId="5" applyFont="1" applyFill="1" applyBorder="1" applyAlignment="1">
      <alignment horizontal="center" vertical="center" wrapText="1"/>
    </xf>
    <xf numFmtId="0" fontId="42" fillId="0" borderId="0" xfId="5" applyFont="1" applyFill="1" applyAlignment="1">
      <alignment horizontal="left" vertical="center"/>
    </xf>
    <xf numFmtId="0" fontId="42" fillId="0" borderId="103" xfId="5" applyFont="1" applyFill="1" applyBorder="1" applyAlignment="1">
      <alignment horizontal="left" vertical="center"/>
    </xf>
    <xf numFmtId="0" fontId="16" fillId="0" borderId="93" xfId="5" applyFill="1" applyBorder="1" applyAlignment="1">
      <alignment vertical="center"/>
    </xf>
    <xf numFmtId="0" fontId="33" fillId="0" borderId="92" xfId="5" applyFont="1" applyFill="1" applyBorder="1" applyAlignment="1">
      <alignment vertical="center"/>
    </xf>
    <xf numFmtId="0" fontId="37" fillId="0" borderId="13" xfId="5" applyFont="1" applyFill="1" applyBorder="1" applyAlignment="1">
      <alignment horizontal="center" vertical="center"/>
    </xf>
    <xf numFmtId="0" fontId="37" fillId="0" borderId="97" xfId="5" applyFont="1" applyFill="1" applyBorder="1" applyAlignment="1">
      <alignment horizontal="center" vertical="center"/>
    </xf>
    <xf numFmtId="0" fontId="37" fillId="0" borderId="96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vertical="center"/>
    </xf>
    <xf numFmtId="0" fontId="40" fillId="0" borderId="0" xfId="5" applyFont="1" applyFill="1" applyBorder="1" applyAlignment="1">
      <alignment vertical="center"/>
    </xf>
    <xf numFmtId="0" fontId="37" fillId="0" borderId="95" xfId="5" applyFont="1" applyFill="1" applyBorder="1" applyAlignment="1">
      <alignment vertical="center"/>
    </xf>
    <xf numFmtId="0" fontId="33" fillId="0" borderId="0" xfId="5" applyFont="1" applyFill="1" applyBorder="1" applyAlignment="1">
      <alignment vertical="center"/>
    </xf>
    <xf numFmtId="0" fontId="33" fillId="0" borderId="95" xfId="5" applyFont="1" applyFill="1" applyBorder="1" applyAlignment="1">
      <alignment vertical="center"/>
    </xf>
    <xf numFmtId="0" fontId="41" fillId="0" borderId="0" xfId="5" applyFont="1" applyFill="1" applyAlignment="1">
      <alignment vertical="center"/>
    </xf>
    <xf numFmtId="0" fontId="37" fillId="0" borderId="29" xfId="5" applyFont="1" applyFill="1" applyBorder="1" applyAlignment="1">
      <alignment horizontal="center" vertical="center"/>
    </xf>
    <xf numFmtId="0" fontId="37" fillId="0" borderId="95" xfId="5" applyFont="1" applyFill="1" applyBorder="1" applyAlignment="1">
      <alignment horizontal="center" vertical="center"/>
    </xf>
    <xf numFmtId="0" fontId="34" fillId="0" borderId="0" xfId="5" applyFont="1" applyFill="1" applyAlignment="1">
      <alignment vertical="center"/>
    </xf>
    <xf numFmtId="0" fontId="38" fillId="0" borderId="102" xfId="5" applyFont="1" applyFill="1" applyBorder="1" applyAlignment="1">
      <alignment horizontal="left" vertical="center"/>
    </xf>
    <xf numFmtId="0" fontId="38" fillId="0" borderId="88" xfId="5" applyFont="1" applyFill="1" applyBorder="1" applyAlignment="1">
      <alignment horizontal="left" vertical="center"/>
    </xf>
    <xf numFmtId="0" fontId="34" fillId="0" borderId="88" xfId="5" applyFont="1" applyFill="1" applyBorder="1" applyAlignment="1">
      <alignment vertical="center"/>
    </xf>
    <xf numFmtId="0" fontId="34" fillId="0" borderId="101" xfId="5" applyFont="1" applyFill="1" applyBorder="1" applyAlignment="1">
      <alignment vertical="center"/>
    </xf>
    <xf numFmtId="0" fontId="32" fillId="0" borderId="100" xfId="5" applyFont="1" applyFill="1" applyBorder="1" applyAlignment="1">
      <alignment horizontal="center" vertical="center"/>
    </xf>
    <xf numFmtId="0" fontId="32" fillId="0" borderId="99" xfId="5" applyFont="1" applyFill="1" applyBorder="1" applyAlignment="1">
      <alignment horizontal="center" vertical="center"/>
    </xf>
    <xf numFmtId="0" fontId="32" fillId="0" borderId="98" xfId="5" applyFont="1" applyFill="1" applyBorder="1" applyAlignment="1">
      <alignment horizontal="center" vertical="center"/>
    </xf>
    <xf numFmtId="0" fontId="38" fillId="0" borderId="100" xfId="5" applyFont="1" applyFill="1" applyBorder="1" applyAlignment="1">
      <alignment horizontal="left" vertical="center"/>
    </xf>
    <xf numFmtId="0" fontId="38" fillId="0" borderId="99" xfId="5" applyFont="1" applyFill="1" applyBorder="1" applyAlignment="1">
      <alignment horizontal="left" vertical="center"/>
    </xf>
    <xf numFmtId="0" fontId="38" fillId="0" borderId="99" xfId="5" applyFont="1" applyFill="1" applyBorder="1" applyAlignment="1">
      <alignment vertical="center"/>
    </xf>
    <xf numFmtId="0" fontId="38" fillId="0" borderId="98" xfId="5" applyFont="1" applyFill="1" applyBorder="1" applyAlignment="1">
      <alignment vertical="center"/>
    </xf>
    <xf numFmtId="0" fontId="36" fillId="0" borderId="0" xfId="5" applyFont="1" applyFill="1" applyAlignment="1">
      <alignment horizontal="left" vertical="center"/>
    </xf>
    <xf numFmtId="0" fontId="36" fillId="0" borderId="93" xfId="5" applyFont="1" applyFill="1" applyBorder="1" applyAlignment="1">
      <alignment horizontal="left" vertical="center"/>
    </xf>
    <xf numFmtId="0" fontId="33" fillId="0" borderId="92" xfId="5" applyFont="1" applyFill="1" applyBorder="1" applyAlignment="1">
      <alignment horizontal="left" vertical="center"/>
    </xf>
    <xf numFmtId="0" fontId="36" fillId="0" borderId="0" xfId="5" applyFont="1" applyFill="1" applyBorder="1" applyAlignment="1">
      <alignment horizontal="left" vertical="center"/>
    </xf>
    <xf numFmtId="0" fontId="33" fillId="0" borderId="97" xfId="5" applyFont="1" applyFill="1" applyBorder="1" applyAlignment="1">
      <alignment horizontal="left"/>
    </xf>
    <xf numFmtId="0" fontId="36" fillId="0" borderId="97" xfId="5" applyFont="1" applyFill="1" applyBorder="1" applyAlignment="1">
      <alignment horizontal="left" vertical="center"/>
    </xf>
    <xf numFmtId="0" fontId="36" fillId="0" borderId="13" xfId="5" applyFont="1" applyFill="1" applyBorder="1" applyAlignment="1">
      <alignment horizontal="left" vertical="center"/>
    </xf>
    <xf numFmtId="0" fontId="37" fillId="0" borderId="96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left"/>
    </xf>
    <xf numFmtId="0" fontId="36" fillId="0" borderId="29" xfId="5" applyFont="1" applyFill="1" applyBorder="1" applyAlignment="1">
      <alignment horizontal="left" vertical="center"/>
    </xf>
    <xf numFmtId="0" fontId="37" fillId="0" borderId="0" xfId="5" applyFont="1" applyFill="1" applyBorder="1" applyAlignment="1">
      <alignment horizontal="left"/>
    </xf>
    <xf numFmtId="0" fontId="15" fillId="0" borderId="0" xfId="5" applyFont="1" applyFill="1" applyBorder="1" applyAlignment="1">
      <alignment horizontal="left"/>
    </xf>
    <xf numFmtId="0" fontId="32" fillId="0" borderId="0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/>
    </xf>
    <xf numFmtId="0" fontId="37" fillId="0" borderId="95" xfId="5" applyFont="1" applyFill="1" applyBorder="1" applyAlignment="1" applyProtection="1">
      <alignment horizontal="center" vertical="center"/>
      <protection locked="0"/>
    </xf>
    <xf numFmtId="0" fontId="36" fillId="0" borderId="96" xfId="5" applyFont="1" applyFill="1" applyBorder="1" applyAlignment="1">
      <alignment horizontal="left"/>
    </xf>
    <xf numFmtId="0" fontId="39" fillId="0" borderId="0" xfId="5" applyFont="1" applyFill="1" applyBorder="1" applyAlignment="1">
      <alignment horizontal="center" vertical="center"/>
    </xf>
    <xf numFmtId="0" fontId="36" fillId="0" borderId="94" xfId="5" applyFont="1" applyFill="1" applyBorder="1" applyAlignment="1">
      <alignment horizontal="left" vertical="center"/>
    </xf>
    <xf numFmtId="0" fontId="33" fillId="0" borderId="93" xfId="5" applyFont="1" applyFill="1" applyBorder="1" applyAlignment="1">
      <alignment horizontal="left" vertical="center"/>
    </xf>
    <xf numFmtId="0" fontId="38" fillId="0" borderId="93" xfId="5" applyFont="1" applyFill="1" applyBorder="1" applyAlignment="1">
      <alignment horizontal="left" vertical="center"/>
    </xf>
    <xf numFmtId="0" fontId="35" fillId="0" borderId="0" xfId="5" applyFont="1" applyFill="1" applyAlignment="1">
      <alignment horizontal="left" vertical="center"/>
    </xf>
    <xf numFmtId="0" fontId="35" fillId="0" borderId="13" xfId="5" applyFont="1" applyFill="1" applyBorder="1" applyAlignment="1">
      <alignment horizontal="left" vertical="center"/>
    </xf>
    <xf numFmtId="0" fontId="35" fillId="0" borderId="97" xfId="5" applyFont="1" applyFill="1" applyBorder="1" applyAlignment="1">
      <alignment horizontal="left" vertical="center"/>
    </xf>
    <xf numFmtId="0" fontId="35" fillId="0" borderId="96" xfId="5" applyFont="1" applyFill="1" applyBorder="1" applyAlignment="1">
      <alignment horizontal="left" vertical="center"/>
    </xf>
    <xf numFmtId="0" fontId="33" fillId="0" borderId="29" xfId="5" applyFont="1" applyFill="1" applyBorder="1" applyAlignment="1">
      <alignment horizontal="left" vertical="center"/>
    </xf>
    <xf numFmtId="0" fontId="34" fillId="0" borderId="0" xfId="5" applyFont="1" applyFill="1" applyAlignment="1">
      <alignment horizontal="left" vertical="center"/>
    </xf>
    <xf numFmtId="0" fontId="34" fillId="0" borderId="94" xfId="5" applyFont="1" applyFill="1" applyBorder="1" applyAlignment="1">
      <alignment horizontal="left" vertical="center"/>
    </xf>
    <xf numFmtId="0" fontId="34" fillId="0" borderId="93" xfId="5" applyFont="1" applyFill="1" applyBorder="1" applyAlignment="1">
      <alignment horizontal="left" vertical="center"/>
    </xf>
    <xf numFmtId="0" fontId="34" fillId="0" borderId="92" xfId="5" applyFont="1" applyFill="1" applyBorder="1" applyAlignment="1">
      <alignment horizontal="left" vertical="center"/>
    </xf>
    <xf numFmtId="0" fontId="16" fillId="0" borderId="17" xfId="5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3" fillId="0" borderId="91" xfId="5" quotePrefix="1" applyFont="1" applyFill="1" applyBorder="1" applyAlignment="1">
      <alignment horizontal="left" vertical="center"/>
    </xf>
    <xf numFmtId="0" fontId="32" fillId="0" borderId="91" xfId="5" applyFont="1" applyFill="1" applyBorder="1" applyAlignment="1">
      <alignment horizontal="center" vertical="center"/>
    </xf>
    <xf numFmtId="0" fontId="30" fillId="0" borderId="90" xfId="5" applyFont="1" applyFill="1" applyBorder="1" applyAlignment="1">
      <alignment vertical="center"/>
    </xf>
    <xf numFmtId="0" fontId="31" fillId="0" borderId="0" xfId="5" applyFont="1" applyFill="1" applyAlignment="1">
      <alignment horizontal="left" vertical="center"/>
    </xf>
    <xf numFmtId="0" fontId="16" fillId="0" borderId="89" xfId="5" applyFont="1" applyFill="1" applyBorder="1" applyAlignment="1">
      <alignment horizontal="left" vertical="center"/>
    </xf>
    <xf numFmtId="0" fontId="30" fillId="0" borderId="88" xfId="5" applyFont="1" applyFill="1" applyBorder="1" applyAlignment="1">
      <alignment horizontal="left" vertical="center"/>
    </xf>
    <xf numFmtId="0" fontId="16" fillId="0" borderId="87" xfId="5" applyFont="1" applyFill="1" applyBorder="1" applyAlignment="1">
      <alignment horizontal="left" vertical="center"/>
    </xf>
    <xf numFmtId="0" fontId="28" fillId="0" borderId="0" xfId="5" applyFont="1" applyFill="1" applyAlignment="1">
      <alignment horizontal="left" vertical="center"/>
    </xf>
    <xf numFmtId="0" fontId="29" fillId="0" borderId="0" xfId="5" quotePrefix="1" applyFont="1" applyFill="1" applyAlignment="1">
      <alignment horizontal="left" vertical="center"/>
    </xf>
    <xf numFmtId="0" fontId="33" fillId="0" borderId="0" xfId="5" applyFont="1" applyFill="1" applyAlignment="1">
      <alignment vertical="center"/>
    </xf>
    <xf numFmtId="49" fontId="46" fillId="0" borderId="43" xfId="5" applyNumberFormat="1" applyFont="1" applyFill="1" applyBorder="1" applyAlignment="1">
      <alignment horizontal="center" vertical="top"/>
    </xf>
    <xf numFmtId="0" fontId="46" fillId="0" borderId="72" xfId="5" applyFont="1" applyFill="1" applyBorder="1" applyAlignment="1">
      <alignment horizontal="right" vertical="top" wrapText="1"/>
    </xf>
    <xf numFmtId="0" fontId="46" fillId="0" borderId="66" xfId="5" applyFont="1" applyFill="1" applyBorder="1" applyAlignment="1">
      <alignment horizontal="right" vertical="top" wrapText="1"/>
    </xf>
    <xf numFmtId="0" fontId="46" fillId="0" borderId="66" xfId="5" applyFont="1" applyFill="1" applyBorder="1" applyAlignment="1">
      <alignment horizontal="left" vertical="top" wrapText="1"/>
    </xf>
    <xf numFmtId="0" fontId="47" fillId="0" borderId="66" xfId="5" applyFont="1" applyFill="1" applyBorder="1" applyAlignment="1">
      <alignment horizontal="left" vertical="top" wrapText="1"/>
    </xf>
    <xf numFmtId="0" fontId="47" fillId="0" borderId="66" xfId="5" quotePrefix="1" applyFont="1" applyFill="1" applyBorder="1" applyAlignment="1">
      <alignment horizontal="left" vertical="top" wrapText="1"/>
    </xf>
    <xf numFmtId="0" fontId="48" fillId="0" borderId="64" xfId="5" applyFont="1" applyFill="1" applyBorder="1" applyAlignment="1">
      <alignment horizontal="center" wrapText="1"/>
    </xf>
    <xf numFmtId="0" fontId="48" fillId="0" borderId="63" xfId="5" applyFont="1" applyFill="1" applyBorder="1" applyAlignment="1">
      <alignment horizontal="center" wrapText="1"/>
    </xf>
    <xf numFmtId="49" fontId="47" fillId="0" borderId="73" xfId="5" applyNumberFormat="1" applyFont="1" applyFill="1" applyBorder="1" applyAlignment="1">
      <alignment horizontal="center" vertical="top"/>
    </xf>
    <xf numFmtId="0" fontId="47" fillId="0" borderId="72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9" fillId="0" borderId="66" xfId="5" applyFont="1" applyFill="1" applyBorder="1" applyAlignment="1">
      <alignment horizontal="right" vertical="top" wrapText="1"/>
    </xf>
    <xf numFmtId="0" fontId="33" fillId="0" borderId="0" xfId="5" applyFont="1" applyFill="1"/>
    <xf numFmtId="0" fontId="47" fillId="0" borderId="66" xfId="5" applyFont="1" applyFill="1" applyBorder="1" applyAlignment="1">
      <alignment horizontal="left" vertical="top"/>
    </xf>
    <xf numFmtId="0" fontId="48" fillId="0" borderId="71" xfId="5" applyFont="1" applyFill="1" applyBorder="1" applyAlignment="1">
      <alignment horizontal="center" wrapText="1"/>
    </xf>
    <xf numFmtId="0" fontId="48" fillId="0" borderId="70" xfId="5" applyFont="1" applyFill="1" applyBorder="1" applyAlignment="1">
      <alignment horizontal="center" wrapText="1"/>
    </xf>
    <xf numFmtId="0" fontId="33" fillId="0" borderId="0" xfId="5" applyFont="1" applyFill="1" applyAlignment="1">
      <alignment vertical="center" wrapText="1"/>
    </xf>
    <xf numFmtId="0" fontId="45" fillId="0" borderId="114" xfId="5" applyFont="1" applyFill="1" applyBorder="1" applyAlignment="1">
      <alignment horizontal="right" vertical="center" wrapText="1"/>
    </xf>
    <xf numFmtId="0" fontId="34" fillId="0" borderId="0" xfId="5" applyFont="1" applyFill="1" applyAlignment="1">
      <alignment vertical="center" wrapText="1"/>
    </xf>
    <xf numFmtId="0" fontId="32" fillId="0" borderId="89" xfId="5" applyFont="1" applyFill="1" applyBorder="1" applyAlignment="1">
      <alignment horizontal="left" vertical="center"/>
    </xf>
    <xf numFmtId="0" fontId="32" fillId="0" borderId="88" xfId="5" applyFont="1" applyFill="1" applyBorder="1" applyAlignment="1">
      <alignment horizontal="left" vertical="center"/>
    </xf>
    <xf numFmtId="0" fontId="45" fillId="0" borderId="87" xfId="5" applyFont="1" applyFill="1" applyBorder="1" applyAlignment="1">
      <alignment horizontal="left" vertical="center"/>
    </xf>
    <xf numFmtId="0" fontId="32" fillId="0" borderId="43" xfId="5" applyFont="1" applyFill="1" applyBorder="1" applyAlignment="1">
      <alignment horizontal="center" vertical="center"/>
    </xf>
    <xf numFmtId="0" fontId="33" fillId="0" borderId="43" xfId="5" applyFont="1" applyFill="1" applyBorder="1" applyAlignment="1">
      <alignment horizontal="center" vertical="center"/>
    </xf>
    <xf numFmtId="0" fontId="37" fillId="0" borderId="77" xfId="5" applyFont="1" applyFill="1" applyBorder="1" applyAlignment="1">
      <alignment horizontal="left" vertical="center"/>
    </xf>
    <xf numFmtId="0" fontId="33" fillId="0" borderId="77" xfId="5" applyFont="1" applyFill="1" applyBorder="1" applyAlignment="1">
      <alignment horizontal="left" vertical="center"/>
    </xf>
    <xf numFmtId="171" fontId="33" fillId="0" borderId="0" xfId="5" applyNumberFormat="1" applyFont="1" applyFill="1" applyAlignment="1">
      <alignment horizontal="left" vertical="center"/>
    </xf>
    <xf numFmtId="0" fontId="40" fillId="0" borderId="0" xfId="5" applyFont="1" applyFill="1" applyAlignment="1">
      <alignment vertical="center"/>
    </xf>
    <xf numFmtId="0" fontId="16" fillId="0" borderId="0" xfId="5" applyFont="1" applyFill="1" applyAlignment="1">
      <alignment vertical="center"/>
    </xf>
    <xf numFmtId="0" fontId="16" fillId="0" borderId="0" xfId="5" applyFont="1" applyFill="1" applyBorder="1" applyAlignment="1">
      <alignment horizontal="left" vertical="center"/>
    </xf>
    <xf numFmtId="0" fontId="30" fillId="0" borderId="89" xfId="5" applyFont="1" applyFill="1" applyBorder="1" applyAlignment="1">
      <alignment horizontal="left" vertical="center"/>
    </xf>
    <xf numFmtId="0" fontId="16" fillId="0" borderId="102" xfId="5" applyFont="1" applyFill="1" applyBorder="1" applyAlignment="1">
      <alignment horizontal="left" vertical="center"/>
    </xf>
    <xf numFmtId="0" fontId="46" fillId="0" borderId="0" xfId="5" applyFont="1" applyFill="1" applyAlignment="1">
      <alignment vertical="center"/>
    </xf>
    <xf numFmtId="0" fontId="47" fillId="0" borderId="0" xfId="5" applyFont="1" applyFill="1" applyAlignment="1">
      <alignment vertical="center"/>
    </xf>
    <xf numFmtId="0" fontId="47" fillId="0" borderId="109" xfId="5" applyFont="1" applyFill="1" applyBorder="1" applyAlignment="1">
      <alignment horizontal="left" vertical="top" wrapText="1"/>
    </xf>
    <xf numFmtId="0" fontId="47" fillId="0" borderId="108" xfId="5" applyFont="1" applyFill="1" applyBorder="1" applyAlignment="1">
      <alignment horizontal="left" vertical="top" wrapText="1"/>
    </xf>
    <xf numFmtId="170" fontId="45" fillId="0" borderId="67" xfId="5" applyNumberFormat="1" applyFont="1" applyFill="1" applyBorder="1" applyAlignment="1">
      <alignment horizontal="right" vertical="center"/>
    </xf>
    <xf numFmtId="0" fontId="46" fillId="0" borderId="89" xfId="5" applyFont="1" applyFill="1" applyBorder="1" applyAlignment="1">
      <alignment horizontal="left" vertical="top" wrapText="1"/>
    </xf>
    <xf numFmtId="0" fontId="46" fillId="0" borderId="87" xfId="5" applyFont="1" applyFill="1" applyBorder="1" applyAlignment="1">
      <alignment horizontal="left" vertical="top" wrapText="1"/>
    </xf>
    <xf numFmtId="0" fontId="47" fillId="0" borderId="89" xfId="5" applyFont="1" applyFill="1" applyBorder="1" applyAlignment="1">
      <alignment horizontal="left" vertical="top" wrapText="1"/>
    </xf>
    <xf numFmtId="0" fontId="47" fillId="0" borderId="87" xfId="5" applyFont="1" applyFill="1" applyBorder="1" applyAlignment="1">
      <alignment horizontal="left" vertical="top" wrapText="1"/>
    </xf>
    <xf numFmtId="49" fontId="47" fillId="0" borderId="71" xfId="5" applyNumberFormat="1" applyFont="1" applyFill="1" applyBorder="1" applyAlignment="1">
      <alignment horizontal="center" vertical="top"/>
    </xf>
    <xf numFmtId="0" fontId="47" fillId="0" borderId="85" xfId="5" applyFont="1" applyFill="1" applyBorder="1" applyAlignment="1">
      <alignment horizontal="left" vertical="top" wrapText="1"/>
    </xf>
    <xf numFmtId="0" fontId="47" fillId="0" borderId="84" xfId="5" applyFont="1" applyFill="1" applyBorder="1" applyAlignment="1">
      <alignment horizontal="left" vertical="top" wrapText="1"/>
    </xf>
    <xf numFmtId="0" fontId="47" fillId="0" borderId="70" xfId="5" applyFont="1" applyFill="1" applyBorder="1" applyAlignment="1">
      <alignment horizontal="left" vertical="top" wrapText="1"/>
    </xf>
    <xf numFmtId="0" fontId="46" fillId="0" borderId="66" xfId="5" quotePrefix="1" applyFont="1" applyFill="1" applyBorder="1" applyAlignment="1">
      <alignment horizontal="left" vertical="top" wrapText="1"/>
    </xf>
    <xf numFmtId="49" fontId="46" fillId="0" borderId="71" xfId="5" applyNumberFormat="1" applyFont="1" applyFill="1" applyBorder="1" applyAlignment="1">
      <alignment horizontal="center" vertical="top"/>
    </xf>
    <xf numFmtId="0" fontId="46" fillId="0" borderId="85" xfId="5" applyFont="1" applyFill="1" applyBorder="1" applyAlignment="1">
      <alignment horizontal="left" vertical="top" wrapText="1"/>
    </xf>
    <xf numFmtId="0" fontId="46" fillId="0" borderId="84" xfId="5" applyFont="1" applyFill="1" applyBorder="1" applyAlignment="1">
      <alignment horizontal="left" vertical="top" wrapText="1"/>
    </xf>
    <xf numFmtId="0" fontId="46" fillId="0" borderId="70" xfId="5" applyFont="1" applyFill="1" applyBorder="1" applyAlignment="1">
      <alignment horizontal="left" vertical="top" wrapText="1"/>
    </xf>
    <xf numFmtId="0" fontId="50" fillId="0" borderId="89" xfId="5" applyFont="1" applyFill="1" applyBorder="1" applyAlignment="1">
      <alignment horizontal="left" vertical="top" wrapText="1"/>
    </xf>
    <xf numFmtId="0" fontId="50" fillId="0" borderId="87" xfId="5" applyFont="1" applyFill="1" applyBorder="1" applyAlignment="1">
      <alignment horizontal="left" vertical="top" wrapText="1"/>
    </xf>
    <xf numFmtId="0" fontId="50" fillId="0" borderId="66" xfId="5" applyFont="1" applyFill="1" applyBorder="1" applyAlignment="1">
      <alignment horizontal="left" vertical="top" wrapText="1"/>
    </xf>
    <xf numFmtId="0" fontId="50" fillId="0" borderId="89" xfId="5" quotePrefix="1" applyFont="1" applyFill="1" applyBorder="1" applyAlignment="1">
      <alignment horizontal="left" vertical="top" wrapText="1"/>
    </xf>
    <xf numFmtId="0" fontId="50" fillId="0" borderId="87" xfId="5" quotePrefix="1" applyFont="1" applyFill="1" applyBorder="1" applyAlignment="1">
      <alignment horizontal="left" vertical="top" wrapText="1"/>
    </xf>
    <xf numFmtId="0" fontId="46" fillId="0" borderId="85" xfId="5" quotePrefix="1" applyFont="1" applyFill="1" applyBorder="1" applyAlignment="1">
      <alignment horizontal="left" vertical="top" wrapText="1"/>
    </xf>
    <xf numFmtId="0" fontId="46" fillId="0" borderId="84" xfId="5" quotePrefix="1" applyFont="1" applyFill="1" applyBorder="1" applyAlignment="1">
      <alignment horizontal="left" vertical="top" wrapText="1"/>
    </xf>
    <xf numFmtId="0" fontId="46" fillId="0" borderId="0" xfId="5" applyFont="1" applyFill="1" applyAlignment="1">
      <alignment vertical="center" wrapText="1"/>
    </xf>
    <xf numFmtId="49" fontId="46" fillId="0" borderId="73" xfId="5" applyNumberFormat="1" applyFont="1" applyFill="1" applyBorder="1" applyAlignment="1">
      <alignment horizontal="center" vertical="top"/>
    </xf>
    <xf numFmtId="0" fontId="46" fillId="0" borderId="109" xfId="5" applyFont="1" applyFill="1" applyBorder="1" applyAlignment="1">
      <alignment horizontal="left" vertical="top" wrapText="1"/>
    </xf>
    <xf numFmtId="0" fontId="46" fillId="0" borderId="108" xfId="5" applyFont="1" applyFill="1" applyBorder="1" applyAlignment="1">
      <alignment horizontal="left" vertical="top" wrapText="1"/>
    </xf>
    <xf numFmtId="0" fontId="46" fillId="0" borderId="72" xfId="5" applyFont="1" applyFill="1" applyBorder="1" applyAlignment="1">
      <alignment horizontal="left" vertical="top" wrapText="1"/>
    </xf>
    <xf numFmtId="0" fontId="47" fillId="0" borderId="0" xfId="5" applyFont="1" applyFill="1" applyAlignment="1">
      <alignment vertical="center" wrapText="1"/>
    </xf>
    <xf numFmtId="0" fontId="47" fillId="0" borderId="89" xfId="5" quotePrefix="1" applyFont="1" applyFill="1" applyBorder="1" applyAlignment="1">
      <alignment horizontal="left" vertical="top" wrapText="1"/>
    </xf>
    <xf numFmtId="0" fontId="47" fillId="0" borderId="87" xfId="5" quotePrefix="1" applyFont="1" applyFill="1" applyBorder="1" applyAlignment="1">
      <alignment horizontal="left" vertical="top" wrapText="1"/>
    </xf>
    <xf numFmtId="0" fontId="46" fillId="0" borderId="89" xfId="5" quotePrefix="1" applyFont="1" applyFill="1" applyBorder="1" applyAlignment="1">
      <alignment horizontal="left" vertical="top" wrapText="1"/>
    </xf>
    <xf numFmtId="0" fontId="46" fillId="0" borderId="87" xfId="5" quotePrefix="1" applyFont="1" applyFill="1" applyBorder="1" applyAlignment="1">
      <alignment horizontal="left" vertical="top" wrapText="1"/>
    </xf>
    <xf numFmtId="0" fontId="47" fillId="0" borderId="67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89" xfId="5" applyFont="1" applyFill="1" applyBorder="1" applyAlignment="1">
      <alignment horizontal="center" vertical="center" wrapText="1"/>
    </xf>
    <xf numFmtId="0" fontId="47" fillId="0" borderId="87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6" fillId="0" borderId="64" xfId="5" applyFont="1" applyFill="1" applyBorder="1" applyAlignment="1">
      <alignment horizontal="center" vertical="center"/>
    </xf>
    <xf numFmtId="0" fontId="46" fillId="0" borderId="112" xfId="5" applyFont="1" applyFill="1" applyBorder="1" applyAlignment="1">
      <alignment horizontal="center" vertical="center"/>
    </xf>
    <xf numFmtId="0" fontId="46" fillId="0" borderId="111" xfId="5" applyFont="1" applyFill="1" applyBorder="1" applyAlignment="1">
      <alignment horizontal="center" vertical="center"/>
    </xf>
    <xf numFmtId="0" fontId="46" fillId="0" borderId="63" xfId="5" applyFont="1" applyFill="1" applyBorder="1" applyAlignment="1">
      <alignment horizontal="center" vertical="center"/>
    </xf>
    <xf numFmtId="0" fontId="33" fillId="0" borderId="97" xfId="5" applyFont="1" applyFill="1" applyBorder="1" applyAlignment="1">
      <alignment vertical="center"/>
    </xf>
    <xf numFmtId="0" fontId="45" fillId="0" borderId="0" xfId="5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3" fontId="0" fillId="0" borderId="75" xfId="0" applyNumberFormat="1" applyBorder="1" applyAlignment="1">
      <alignment horizontal="right"/>
    </xf>
    <xf numFmtId="3" fontId="0" fillId="0" borderId="77" xfId="0" applyNumberFormat="1" applyBorder="1" applyAlignment="1">
      <alignment horizontal="right"/>
    </xf>
    <xf numFmtId="0" fontId="8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4" fillId="6" borderId="90" xfId="5" applyFont="1" applyFill="1" applyBorder="1"/>
    <xf numFmtId="0" fontId="14" fillId="6" borderId="91" xfId="5" applyFont="1" applyFill="1" applyBorder="1"/>
    <xf numFmtId="0" fontId="13" fillId="6" borderId="91" xfId="5" applyFont="1" applyFill="1" applyBorder="1"/>
    <xf numFmtId="0" fontId="13" fillId="6" borderId="17" xfId="5" applyFont="1" applyFill="1" applyBorder="1"/>
    <xf numFmtId="0" fontId="13" fillId="0" borderId="0" xfId="5" applyFont="1"/>
    <xf numFmtId="0" fontId="52" fillId="3" borderId="92" xfId="5" applyFont="1" applyFill="1" applyBorder="1"/>
    <xf numFmtId="0" fontId="13" fillId="3" borderId="93" xfId="5" applyFont="1" applyFill="1" applyBorder="1"/>
    <xf numFmtId="0" fontId="13" fillId="3" borderId="94" xfId="5" applyFont="1" applyFill="1" applyBorder="1"/>
    <xf numFmtId="0" fontId="13" fillId="0" borderId="0" xfId="5" applyFont="1" applyFill="1"/>
    <xf numFmtId="0" fontId="13" fillId="6" borderId="133" xfId="5" applyFont="1" applyFill="1" applyBorder="1"/>
    <xf numFmtId="0" fontId="17" fillId="0" borderId="132" xfId="5" applyFont="1" applyFill="1" applyBorder="1" applyAlignment="1" applyProtection="1">
      <alignment horizontal="left" vertical="top"/>
      <protection locked="0"/>
    </xf>
    <xf numFmtId="0" fontId="13" fillId="7" borderId="17" xfId="5" applyFont="1" applyFill="1" applyBorder="1"/>
    <xf numFmtId="0" fontId="13" fillId="0" borderId="29" xfId="5" applyFont="1" applyFill="1" applyBorder="1"/>
    <xf numFmtId="0" fontId="13" fillId="3" borderId="95" xfId="5" applyFont="1" applyFill="1" applyBorder="1"/>
    <xf numFmtId="0" fontId="13" fillId="3" borderId="0" xfId="5" applyFont="1" applyFill="1" applyBorder="1"/>
    <xf numFmtId="0" fontId="13" fillId="3" borderId="29" xfId="5" applyFont="1" applyFill="1" applyBorder="1"/>
    <xf numFmtId="0" fontId="14" fillId="6" borderId="131" xfId="5" applyFont="1" applyFill="1" applyBorder="1"/>
    <xf numFmtId="0" fontId="14" fillId="6" borderId="123" xfId="5" applyFont="1" applyFill="1" applyBorder="1" applyAlignment="1">
      <alignment horizontal="center"/>
    </xf>
    <xf numFmtId="0" fontId="14" fillId="6" borderId="128" xfId="7" applyFont="1" applyFill="1" applyBorder="1" applyAlignment="1">
      <alignment horizontal="left" vertical="top"/>
    </xf>
    <xf numFmtId="0" fontId="13" fillId="6" borderId="94" xfId="5" applyFont="1" applyFill="1" applyBorder="1"/>
    <xf numFmtId="0" fontId="14" fillId="3" borderId="63" xfId="5" applyFont="1" applyFill="1" applyBorder="1"/>
    <xf numFmtId="0" fontId="14" fillId="0" borderId="128" xfId="7" applyFont="1" applyFill="1" applyBorder="1" applyAlignment="1" applyProtection="1">
      <alignment horizontal="center" vertical="top"/>
      <protection locked="0"/>
    </xf>
    <xf numFmtId="0" fontId="55" fillId="0" borderId="0" xfId="6" applyFont="1" applyFill="1" applyBorder="1" applyAlignment="1" applyProtection="1">
      <alignment vertical="center"/>
      <protection hidden="1"/>
    </xf>
    <xf numFmtId="0" fontId="13" fillId="0" borderId="0" xfId="5" applyFont="1" applyFill="1" applyBorder="1"/>
    <xf numFmtId="0" fontId="14" fillId="3" borderId="66" xfId="5" applyFont="1" applyFill="1" applyBorder="1"/>
    <xf numFmtId="172" fontId="13" fillId="3" borderId="67" xfId="5" quotePrefix="1" applyNumberFormat="1" applyFont="1" applyFill="1" applyBorder="1" applyAlignment="1">
      <alignment horizontal="center"/>
    </xf>
    <xf numFmtId="0" fontId="14" fillId="0" borderId="130" xfId="7" applyFont="1" applyFill="1" applyBorder="1" applyAlignment="1" applyProtection="1">
      <alignment horizontal="center" vertical="top"/>
      <protection locked="0"/>
    </xf>
    <xf numFmtId="0" fontId="13" fillId="3" borderId="74" xfId="5" quotePrefix="1" applyFont="1" applyFill="1" applyBorder="1" applyAlignment="1">
      <alignment horizontal="center"/>
    </xf>
    <xf numFmtId="0" fontId="14" fillId="3" borderId="129" xfId="5" applyFont="1" applyFill="1" applyBorder="1" applyAlignment="1" applyProtection="1">
      <alignment horizontal="center" vertical="center"/>
      <protection locked="0"/>
    </xf>
    <xf numFmtId="0" fontId="14" fillId="3" borderId="124" xfId="5" applyFont="1" applyFill="1" applyBorder="1"/>
    <xf numFmtId="0" fontId="13" fillId="3" borderId="0" xfId="5" applyFont="1" applyFill="1"/>
    <xf numFmtId="0" fontId="14" fillId="3" borderId="43" xfId="5" applyFont="1" applyFill="1" applyBorder="1"/>
    <xf numFmtId="0" fontId="13" fillId="3" borderId="54" xfId="5" applyNumberFormat="1" applyFont="1" applyFill="1" applyBorder="1" applyAlignment="1">
      <alignment horizontal="center"/>
    </xf>
    <xf numFmtId="0" fontId="13" fillId="3" borderId="54" xfId="5" quotePrefix="1" applyNumberFormat="1" applyFont="1" applyFill="1" applyBorder="1" applyAlignment="1">
      <alignment horizontal="center"/>
    </xf>
    <xf numFmtId="0" fontId="13" fillId="0" borderId="0" xfId="5" applyFont="1" applyAlignment="1">
      <alignment horizontal="center"/>
    </xf>
    <xf numFmtId="16" fontId="13" fillId="3" borderId="0" xfId="5" applyNumberFormat="1" applyFont="1" applyFill="1" applyBorder="1" applyAlignment="1">
      <alignment horizontal="center"/>
    </xf>
    <xf numFmtId="0" fontId="14" fillId="3" borderId="72" xfId="5" applyFont="1" applyFill="1" applyBorder="1"/>
    <xf numFmtId="0" fontId="13" fillId="3" borderId="0" xfId="5" quotePrefix="1" applyFont="1" applyFill="1" applyBorder="1" applyAlignment="1">
      <alignment horizontal="center"/>
    </xf>
    <xf numFmtId="0" fontId="13" fillId="3" borderId="0" xfId="5" applyFont="1" applyFill="1" applyBorder="1" applyAlignment="1">
      <alignment horizontal="right"/>
    </xf>
    <xf numFmtId="0" fontId="14" fillId="6" borderId="124" xfId="5" applyFont="1" applyFill="1" applyBorder="1"/>
    <xf numFmtId="0" fontId="14" fillId="6" borderId="127" xfId="5" quotePrefix="1" applyFont="1" applyFill="1" applyBorder="1" applyAlignment="1">
      <alignment horizontal="center"/>
    </xf>
    <xf numFmtId="0" fontId="14" fillId="3" borderId="126" xfId="5" applyFont="1" applyFill="1" applyBorder="1" applyAlignment="1" applyProtection="1">
      <alignment horizontal="center" vertical="center"/>
      <protection locked="0"/>
    </xf>
    <xf numFmtId="0" fontId="13" fillId="0" borderId="110" xfId="7" applyFont="1" applyFill="1" applyBorder="1" applyAlignment="1">
      <alignment horizontal="left" vertical="center"/>
    </xf>
    <xf numFmtId="0" fontId="14" fillId="3" borderId="125" xfId="5" applyFont="1" applyFill="1" applyBorder="1" applyAlignment="1" applyProtection="1">
      <alignment horizontal="center" vertical="center"/>
      <protection locked="0"/>
    </xf>
    <xf numFmtId="0" fontId="13" fillId="0" borderId="107" xfId="7" applyFont="1" applyFill="1" applyBorder="1" applyAlignment="1">
      <alignment horizontal="left" vertical="center"/>
    </xf>
    <xf numFmtId="172" fontId="13" fillId="3" borderId="67" xfId="5" quotePrefix="1" applyNumberFormat="1" applyFont="1" applyFill="1" applyBorder="1" applyAlignment="1" applyProtection="1">
      <alignment horizontal="center"/>
    </xf>
    <xf numFmtId="0" fontId="13" fillId="6" borderId="17" xfId="5" applyFont="1" applyFill="1" applyBorder="1" applyProtection="1">
      <protection locked="0"/>
    </xf>
    <xf numFmtId="0" fontId="14" fillId="3" borderId="95" xfId="5" applyFont="1" applyFill="1" applyBorder="1"/>
    <xf numFmtId="0" fontId="13" fillId="7" borderId="123" xfId="5" applyFont="1" applyFill="1" applyBorder="1" applyAlignment="1" applyProtection="1">
      <alignment horizontal="center" vertical="center"/>
      <protection locked="0"/>
    </xf>
    <xf numFmtId="0" fontId="14" fillId="6" borderId="122" xfId="7" applyFont="1" applyFill="1" applyBorder="1" applyAlignment="1">
      <alignment vertical="center"/>
    </xf>
    <xf numFmtId="14" fontId="13" fillId="7" borderId="65" xfId="5" applyNumberFormat="1" applyFont="1" applyFill="1" applyBorder="1" applyAlignment="1" applyProtection="1">
      <alignment horizontal="center"/>
      <protection locked="0"/>
    </xf>
    <xf numFmtId="0" fontId="13" fillId="0" borderId="0" xfId="5" applyFont="1" applyBorder="1"/>
    <xf numFmtId="0" fontId="14" fillId="6" borderId="121" xfId="7" applyFont="1" applyFill="1" applyBorder="1" applyAlignment="1">
      <alignment vertical="center"/>
    </xf>
    <xf numFmtId="14" fontId="13" fillId="7" borderId="74" xfId="5" applyNumberFormat="1" applyFont="1" applyFill="1" applyBorder="1" applyAlignment="1" applyProtection="1">
      <alignment horizontal="center"/>
      <protection locked="0"/>
    </xf>
    <xf numFmtId="0" fontId="14" fillId="6" borderId="122" xfId="7" applyFont="1" applyFill="1" applyBorder="1" applyAlignment="1"/>
    <xf numFmtId="0" fontId="13" fillId="6" borderId="113" xfId="7" applyFont="1" applyFill="1" applyBorder="1" applyAlignment="1"/>
    <xf numFmtId="0" fontId="13" fillId="3" borderId="0" xfId="5" applyFont="1" applyFill="1" applyBorder="1" applyAlignment="1"/>
    <xf numFmtId="0" fontId="13" fillId="3" borderId="95" xfId="7" applyFont="1" applyFill="1" applyBorder="1" applyAlignment="1"/>
    <xf numFmtId="0" fontId="13" fillId="3" borderId="0" xfId="7" applyFont="1" applyFill="1" applyBorder="1" applyAlignment="1"/>
    <xf numFmtId="0" fontId="13" fillId="3" borderId="29" xfId="5" applyFont="1" applyFill="1" applyBorder="1" applyAlignment="1"/>
    <xf numFmtId="0" fontId="14" fillId="6" borderId="92" xfId="7" applyFont="1" applyFill="1" applyBorder="1" applyAlignment="1">
      <alignment vertical="center"/>
    </xf>
    <xf numFmtId="0" fontId="14" fillId="6" borderId="101" xfId="7" applyFont="1" applyFill="1" applyBorder="1" applyAlignment="1">
      <alignment vertical="top"/>
    </xf>
    <xf numFmtId="0" fontId="13" fillId="6" borderId="88" xfId="7" applyFont="1" applyFill="1" applyBorder="1" applyAlignment="1">
      <alignment vertical="top"/>
    </xf>
    <xf numFmtId="0" fontId="14" fillId="6" borderId="95" xfId="7" applyFont="1" applyFill="1" applyBorder="1" applyAlignment="1">
      <alignment vertical="center"/>
    </xf>
    <xf numFmtId="0" fontId="13" fillId="6" borderId="29" xfId="5" applyFont="1" applyFill="1" applyBorder="1"/>
    <xf numFmtId="0" fontId="13" fillId="3" borderId="121" xfId="5" applyFont="1" applyFill="1" applyBorder="1" applyAlignment="1">
      <alignment vertical="center"/>
    </xf>
    <xf numFmtId="0" fontId="13" fillId="3" borderId="74" xfId="5" applyFont="1" applyFill="1" applyBorder="1" applyAlignment="1" applyProtection="1">
      <alignment horizontal="center"/>
      <protection locked="0"/>
    </xf>
    <xf numFmtId="0" fontId="13" fillId="6" borderId="88" xfId="5" applyFont="1" applyFill="1" applyBorder="1"/>
    <xf numFmtId="0" fontId="13" fillId="3" borderId="0" xfId="5" applyFont="1" applyFill="1" applyBorder="1" applyAlignment="1">
      <alignment vertical="center"/>
    </xf>
    <xf numFmtId="0" fontId="13" fillId="3" borderId="0" xfId="7" applyFont="1" applyFill="1" applyBorder="1" applyAlignment="1">
      <alignment vertical="top"/>
    </xf>
    <xf numFmtId="0" fontId="14" fillId="6" borderId="121" xfId="5" applyFont="1" applyFill="1" applyBorder="1" applyAlignment="1">
      <alignment vertical="center"/>
    </xf>
    <xf numFmtId="0" fontId="13" fillId="6" borderId="109" xfId="5" applyFont="1" applyFill="1" applyBorder="1"/>
    <xf numFmtId="0" fontId="13" fillId="7" borderId="74" xfId="5" applyFont="1" applyFill="1" applyBorder="1" applyAlignment="1" applyProtection="1">
      <alignment horizontal="center"/>
      <protection locked="0"/>
    </xf>
    <xf numFmtId="0" fontId="14" fillId="6" borderId="122" xfId="7" applyFont="1" applyFill="1" applyBorder="1" applyAlignment="1">
      <alignment vertical="top"/>
    </xf>
    <xf numFmtId="0" fontId="13" fillId="6" borderId="113" xfId="5" applyFont="1" applyFill="1" applyBorder="1"/>
    <xf numFmtId="0" fontId="13" fillId="7" borderId="65" xfId="5" quotePrefix="1" applyFont="1" applyFill="1" applyBorder="1" applyAlignment="1" applyProtection="1">
      <alignment horizontal="center"/>
      <protection locked="0"/>
    </xf>
    <xf numFmtId="0" fontId="13" fillId="3" borderId="0" xfId="5" quotePrefix="1" applyFont="1" applyFill="1" applyBorder="1" applyAlignment="1">
      <alignment horizontal="right"/>
    </xf>
    <xf numFmtId="0" fontId="14" fillId="6" borderId="101" xfId="7" applyFont="1" applyFill="1" applyBorder="1" applyAlignment="1">
      <alignment vertical="center"/>
    </xf>
    <xf numFmtId="0" fontId="13" fillId="7" borderId="67" xfId="5" quotePrefix="1" applyFont="1" applyFill="1" applyBorder="1" applyAlignment="1" applyProtection="1">
      <alignment horizontal="center"/>
      <protection locked="0"/>
    </xf>
    <xf numFmtId="0" fontId="14" fillId="3" borderId="96" xfId="5" applyFont="1" applyFill="1" applyBorder="1"/>
    <xf numFmtId="0" fontId="13" fillId="3" borderId="97" xfId="7" applyFont="1" applyFill="1" applyBorder="1" applyAlignment="1">
      <alignment vertical="center"/>
    </xf>
    <xf numFmtId="0" fontId="13" fillId="3" borderId="13" xfId="5" applyFont="1" applyFill="1" applyBorder="1"/>
    <xf numFmtId="0" fontId="14" fillId="6" borderId="96" xfId="7" applyFont="1" applyFill="1" applyBorder="1" applyAlignment="1">
      <alignment vertical="center"/>
    </xf>
    <xf numFmtId="0" fontId="13" fillId="6" borderId="97" xfId="5" applyFont="1" applyFill="1" applyBorder="1"/>
    <xf numFmtId="0" fontId="13" fillId="7" borderId="58" xfId="5" applyFont="1" applyFill="1" applyBorder="1" applyAlignment="1" applyProtection="1">
      <alignment horizontal="center"/>
      <protection locked="0"/>
    </xf>
    <xf numFmtId="0" fontId="13" fillId="3" borderId="0" xfId="7" applyFont="1" applyFill="1" applyBorder="1" applyAlignment="1">
      <alignment vertical="center"/>
    </xf>
    <xf numFmtId="0" fontId="14" fillId="6" borderId="90" xfId="7" applyFont="1" applyFill="1" applyBorder="1" applyAlignment="1">
      <alignment vertical="center"/>
    </xf>
    <xf numFmtId="0" fontId="13" fillId="3" borderId="97" xfId="5" applyFont="1" applyFill="1" applyBorder="1"/>
    <xf numFmtId="49" fontId="13" fillId="7" borderId="123" xfId="5" applyNumberFormat="1" applyFont="1" applyFill="1" applyBorder="1" applyAlignment="1" applyProtection="1">
      <alignment horizontal="center" vertical="center"/>
    </xf>
    <xf numFmtId="49" fontId="13" fillId="0" borderId="0" xfId="5" applyNumberFormat="1" applyFont="1"/>
    <xf numFmtId="173" fontId="13" fillId="7" borderId="65" xfId="5" applyNumberFormat="1" applyFont="1" applyFill="1" applyBorder="1" applyAlignment="1" applyProtection="1">
      <alignment horizontal="center"/>
      <protection locked="0"/>
    </xf>
    <xf numFmtId="170" fontId="45" fillId="0" borderId="87" xfId="5" applyNumberFormat="1" applyFont="1" applyFill="1" applyBorder="1" applyAlignment="1">
      <alignment horizontal="right" vertical="center"/>
    </xf>
    <xf numFmtId="0" fontId="47" fillId="0" borderId="87" xfId="5" applyFont="1" applyFill="1" applyBorder="1" applyAlignment="1">
      <alignment horizontal="center" vertical="center" wrapText="1"/>
    </xf>
    <xf numFmtId="0" fontId="48" fillId="0" borderId="70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6" fillId="0" borderId="66" xfId="5" applyFont="1" applyFill="1" applyBorder="1" applyAlignment="1">
      <alignment horizontal="right" vertical="top" wrapText="1"/>
    </xf>
    <xf numFmtId="49" fontId="46" fillId="0" borderId="71" xfId="5" applyNumberFormat="1" applyFont="1" applyFill="1" applyBorder="1" applyAlignment="1">
      <alignment horizontal="center" vertical="top"/>
    </xf>
    <xf numFmtId="49" fontId="46" fillId="0" borderId="43" xfId="5" applyNumberFormat="1" applyFont="1" applyFill="1" applyBorder="1" applyAlignment="1">
      <alignment horizontal="center" vertical="top"/>
    </xf>
    <xf numFmtId="0" fontId="47" fillId="0" borderId="43" xfId="5" applyFont="1" applyFill="1" applyBorder="1" applyAlignment="1">
      <alignment horizontal="center" vertical="center" wrapText="1"/>
    </xf>
    <xf numFmtId="0" fontId="48" fillId="0" borderId="71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0" fontId="46" fillId="0" borderId="66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7" fillId="0" borderId="66" xfId="5" applyFont="1" applyFill="1" applyBorder="1" applyAlignment="1">
      <alignment horizontal="left" vertical="top" wrapText="1"/>
    </xf>
    <xf numFmtId="0" fontId="46" fillId="0" borderId="66" xfId="5" quotePrefix="1" applyFont="1" applyFill="1" applyBorder="1" applyAlignment="1">
      <alignment horizontal="left" vertical="top" wrapText="1"/>
    </xf>
    <xf numFmtId="0" fontId="47" fillId="0" borderId="66" xfId="5" quotePrefix="1" applyFont="1" applyFill="1" applyBorder="1" applyAlignment="1">
      <alignment horizontal="left" vertical="top" wrapText="1"/>
    </xf>
    <xf numFmtId="49" fontId="47" fillId="0" borderId="71" xfId="5" applyNumberFormat="1" applyFont="1" applyFill="1" applyBorder="1" applyAlignment="1">
      <alignment horizontal="center" vertical="top"/>
    </xf>
    <xf numFmtId="170" fontId="45" fillId="0" borderId="87" xfId="5" applyNumberFormat="1" applyFont="1" applyFill="1" applyBorder="1" applyAlignment="1">
      <alignment horizontal="right" vertical="center"/>
    </xf>
    <xf numFmtId="170" fontId="45" fillId="0" borderId="43" xfId="5" applyNumberFormat="1" applyFont="1" applyFill="1" applyBorder="1" applyAlignment="1">
      <alignment horizontal="right" vertical="center"/>
    </xf>
    <xf numFmtId="49" fontId="46" fillId="0" borderId="43" xfId="5" applyNumberFormat="1" applyFont="1" applyFill="1" applyBorder="1" applyAlignment="1">
      <alignment horizontal="center" vertical="top"/>
    </xf>
    <xf numFmtId="0" fontId="46" fillId="0" borderId="66" xfId="5" applyFont="1" applyFill="1" applyBorder="1" applyAlignment="1">
      <alignment horizontal="right" vertical="top" wrapText="1"/>
    </xf>
    <xf numFmtId="0" fontId="47" fillId="0" borderId="66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7" fillId="0" borderId="66" xfId="5" quotePrefix="1" applyFont="1" applyFill="1" applyBorder="1" applyAlignment="1">
      <alignment horizontal="left" vertical="top" wrapText="1"/>
    </xf>
    <xf numFmtId="0" fontId="46" fillId="0" borderId="66" xfId="5" applyFont="1" applyFill="1" applyBorder="1" applyAlignment="1">
      <alignment horizontal="left" vertical="top" wrapText="1"/>
    </xf>
    <xf numFmtId="0" fontId="29" fillId="0" borderId="0" xfId="5" applyFont="1" applyFill="1" applyAlignment="1">
      <alignment horizontal="left" vertical="center"/>
    </xf>
    <xf numFmtId="0" fontId="16" fillId="0" borderId="0" xfId="5" applyFill="1" applyAlignment="1">
      <alignment vertical="center"/>
    </xf>
    <xf numFmtId="0" fontId="16" fillId="0" borderId="90" xfId="5" applyFont="1" applyFill="1" applyBorder="1" applyAlignment="1">
      <alignment horizontal="left" vertical="center"/>
    </xf>
    <xf numFmtId="0" fontId="30" fillId="0" borderId="91" xfId="5" applyFont="1" applyFill="1" applyBorder="1" applyAlignment="1">
      <alignment horizontal="left" vertical="center"/>
    </xf>
    <xf numFmtId="0" fontId="16" fillId="0" borderId="17" xfId="5" applyFont="1" applyFill="1" applyBorder="1" applyAlignment="1">
      <alignment horizontal="left" vertical="center"/>
    </xf>
    <xf numFmtId="0" fontId="30" fillId="0" borderId="17" xfId="5" applyFont="1" applyFill="1" applyBorder="1" applyAlignment="1">
      <alignment horizontal="left" vertical="center"/>
    </xf>
    <xf numFmtId="0" fontId="16" fillId="0" borderId="0" xfId="5" applyFill="1" applyBorder="1" applyAlignment="1">
      <alignment vertical="center"/>
    </xf>
    <xf numFmtId="0" fontId="30" fillId="0" borderId="91" xfId="5" applyFont="1" applyFill="1" applyBorder="1" applyAlignment="1">
      <alignment vertical="center"/>
    </xf>
    <xf numFmtId="0" fontId="36" fillId="0" borderId="84" xfId="5" applyFont="1" applyFill="1" applyBorder="1" applyAlignment="1">
      <alignment horizontal="left"/>
    </xf>
    <xf numFmtId="0" fontId="36" fillId="0" borderId="99" xfId="5" applyFont="1" applyFill="1" applyBorder="1" applyAlignment="1">
      <alignment horizontal="left" vertical="center"/>
    </xf>
    <xf numFmtId="0" fontId="33" fillId="0" borderId="99" xfId="5" applyFont="1" applyFill="1" applyBorder="1" applyAlignment="1">
      <alignment horizontal="left"/>
    </xf>
    <xf numFmtId="0" fontId="37" fillId="0" borderId="99" xfId="5" applyFont="1" applyFill="1" applyBorder="1" applyAlignment="1">
      <alignment horizontal="center" vertical="center"/>
    </xf>
    <xf numFmtId="0" fontId="36" fillId="0" borderId="100" xfId="5" applyFont="1" applyFill="1" applyBorder="1" applyAlignment="1">
      <alignment horizontal="left" vertical="center"/>
    </xf>
    <xf numFmtId="0" fontId="42" fillId="0" borderId="93" xfId="5" applyFont="1" applyFill="1" applyBorder="1" applyAlignment="1">
      <alignment horizontal="left" vertical="center"/>
    </xf>
    <xf numFmtId="0" fontId="32" fillId="0" borderId="0" xfId="5" applyFont="1" applyFill="1" applyBorder="1" applyAlignment="1">
      <alignment horizontal="center" vertical="center" wrapText="1"/>
    </xf>
    <xf numFmtId="0" fontId="33" fillId="0" borderId="99" xfId="5" applyFont="1" applyFill="1" applyBorder="1" applyAlignment="1">
      <alignment vertical="center" wrapText="1"/>
    </xf>
    <xf numFmtId="0" fontId="33" fillId="0" borderId="118" xfId="5" applyFont="1" applyFill="1" applyBorder="1" applyAlignment="1">
      <alignment vertical="center" wrapText="1"/>
    </xf>
    <xf numFmtId="0" fontId="57" fillId="0" borderId="0" xfId="5" applyFont="1" applyFill="1" applyBorder="1" applyAlignment="1">
      <alignment horizontal="center" vertical="center"/>
    </xf>
    <xf numFmtId="0" fontId="45" fillId="0" borderId="87" xfId="5" applyFont="1" applyFill="1" applyBorder="1" applyAlignment="1">
      <alignment horizontal="left" vertical="center"/>
    </xf>
    <xf numFmtId="0" fontId="45" fillId="0" borderId="120" xfId="5" applyFont="1" applyFill="1" applyBorder="1" applyAlignment="1">
      <alignment horizontal="right" vertical="center" wrapText="1"/>
    </xf>
    <xf numFmtId="0" fontId="45" fillId="0" borderId="114" xfId="5" applyFont="1" applyFill="1" applyBorder="1" applyAlignment="1">
      <alignment horizontal="right" vertical="center"/>
    </xf>
    <xf numFmtId="170" fontId="45" fillId="0" borderId="76" xfId="5" applyNumberFormat="1" applyFont="1" applyFill="1" applyBorder="1" applyAlignment="1">
      <alignment horizontal="right" vertical="center"/>
    </xf>
    <xf numFmtId="170" fontId="45" fillId="0" borderId="71" xfId="5" applyNumberFormat="1" applyFont="1" applyFill="1" applyBorder="1" applyAlignment="1">
      <alignment horizontal="right" vertical="center"/>
    </xf>
    <xf numFmtId="170" fontId="45" fillId="0" borderId="75" xfId="5" applyNumberFormat="1" applyFont="1" applyFill="1" applyBorder="1" applyAlignment="1">
      <alignment horizontal="right" vertical="center"/>
    </xf>
    <xf numFmtId="0" fontId="37" fillId="0" borderId="103" xfId="5" applyFont="1" applyFill="1" applyBorder="1" applyAlignment="1">
      <alignment horizontal="left" vertical="center"/>
    </xf>
    <xf numFmtId="0" fontId="36" fillId="0" borderId="103" xfId="5" applyFont="1" applyFill="1" applyBorder="1" applyAlignment="1">
      <alignment horizontal="left" vertical="center"/>
    </xf>
    <xf numFmtId="0" fontId="37" fillId="0" borderId="77" xfId="5" applyFont="1" applyFill="1" applyBorder="1" applyAlignment="1">
      <alignment horizontal="center" vertical="center"/>
    </xf>
    <xf numFmtId="0" fontId="37" fillId="0" borderId="75" xfId="5" applyFont="1" applyFill="1" applyBorder="1" applyAlignment="1">
      <alignment horizontal="left" vertical="center"/>
    </xf>
    <xf numFmtId="0" fontId="36" fillId="0" borderId="77" xfId="5" applyFont="1" applyFill="1" applyBorder="1" applyAlignment="1">
      <alignment horizontal="left" vertical="center"/>
    </xf>
    <xf numFmtId="168" fontId="37" fillId="0" borderId="97" xfId="5" applyNumberFormat="1" applyFont="1" applyFill="1" applyBorder="1" applyAlignment="1">
      <alignment horizontal="center" vertical="center"/>
    </xf>
    <xf numFmtId="0" fontId="37" fillId="0" borderId="105" xfId="5" applyFont="1" applyFill="1" applyBorder="1" applyAlignment="1">
      <alignment horizontal="left" vertical="center"/>
    </xf>
    <xf numFmtId="0" fontId="37" fillId="0" borderId="106" xfId="5" applyFont="1" applyFill="1" applyBorder="1" applyAlignment="1">
      <alignment horizontal="left" vertical="center"/>
    </xf>
    <xf numFmtId="0" fontId="36" fillId="0" borderId="105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center" vertical="center"/>
    </xf>
    <xf numFmtId="0" fontId="32" fillId="0" borderId="43" xfId="5" applyFont="1" applyFill="1" applyBorder="1" applyAlignment="1">
      <alignment horizontal="right" vertical="center"/>
    </xf>
    <xf numFmtId="0" fontId="45" fillId="0" borderId="43" xfId="5" applyFont="1" applyFill="1" applyBorder="1" applyAlignment="1">
      <alignment horizontal="center" vertical="center"/>
    </xf>
    <xf numFmtId="170" fontId="45" fillId="0" borderId="73" xfId="5" applyNumberFormat="1" applyFont="1" applyFill="1" applyBorder="1" applyAlignment="1">
      <alignment horizontal="right" vertical="center"/>
    </xf>
    <xf numFmtId="170" fontId="45" fillId="0" borderId="74" xfId="5" applyNumberFormat="1" applyFont="1" applyFill="1" applyBorder="1" applyAlignment="1">
      <alignment horizontal="right" vertical="center"/>
    </xf>
    <xf numFmtId="170" fontId="45" fillId="0" borderId="54" xfId="5" applyNumberFormat="1" applyFont="1" applyFill="1" applyBorder="1" applyAlignment="1">
      <alignment horizontal="right" vertical="center"/>
    </xf>
    <xf numFmtId="0" fontId="19" fillId="0" borderId="90" xfId="5" applyFont="1" applyFill="1" applyBorder="1" applyAlignment="1">
      <alignment vertical="center"/>
    </xf>
    <xf numFmtId="0" fontId="34" fillId="0" borderId="95" xfId="5" applyFont="1" applyFill="1" applyBorder="1" applyAlignment="1">
      <alignment horizontal="left" vertical="center"/>
    </xf>
    <xf numFmtId="0" fontId="34" fillId="0" borderId="0" xfId="5" applyFont="1" applyFill="1" applyBorder="1" applyAlignment="1">
      <alignment horizontal="left" vertical="center"/>
    </xf>
    <xf numFmtId="0" fontId="34" fillId="0" borderId="29" xfId="5" applyFont="1" applyFill="1" applyBorder="1" applyAlignment="1">
      <alignment horizontal="left" vertical="center"/>
    </xf>
    <xf numFmtId="0" fontId="19" fillId="0" borderId="95" xfId="5" applyFont="1" applyFill="1" applyBorder="1" applyAlignment="1">
      <alignment horizontal="left" vertical="center"/>
    </xf>
    <xf numFmtId="0" fontId="19" fillId="0" borderId="0" xfId="5" applyFont="1" applyFill="1" applyBorder="1" applyAlignment="1">
      <alignment horizontal="left" vertical="center"/>
    </xf>
    <xf numFmtId="0" fontId="19" fillId="0" borderId="29" xfId="5" applyFont="1" applyFill="1" applyBorder="1" applyAlignment="1">
      <alignment horizontal="left" vertical="center"/>
    </xf>
    <xf numFmtId="0" fontId="19" fillId="0" borderId="0" xfId="5" applyFont="1" applyFill="1" applyAlignment="1">
      <alignment horizontal="left" vertical="center"/>
    </xf>
    <xf numFmtId="0" fontId="32" fillId="0" borderId="95" xfId="5" applyFont="1" applyFill="1" applyBorder="1" applyAlignment="1" applyProtection="1">
      <alignment horizontal="center" vertical="center"/>
      <protection locked="0"/>
    </xf>
    <xf numFmtId="0" fontId="58" fillId="0" borderId="0" xfId="5" applyFont="1" applyFill="1" applyBorder="1" applyAlignment="1">
      <alignment horizontal="left"/>
    </xf>
    <xf numFmtId="0" fontId="36" fillId="0" borderId="86" xfId="5" applyFont="1" applyFill="1" applyBorder="1" applyAlignment="1">
      <alignment horizontal="left" vertical="center"/>
    </xf>
    <xf numFmtId="0" fontId="40" fillId="0" borderId="29" xfId="5" applyFont="1" applyFill="1" applyBorder="1" applyAlignment="1">
      <alignment vertical="center"/>
    </xf>
    <xf numFmtId="0" fontId="34" fillId="0" borderId="98" xfId="5" applyFont="1" applyFill="1" applyBorder="1" applyAlignment="1">
      <alignment vertical="center"/>
    </xf>
    <xf numFmtId="0" fontId="34" fillId="0" borderId="99" xfId="5" applyFont="1" applyFill="1" applyBorder="1" applyAlignment="1">
      <alignment vertical="center"/>
    </xf>
    <xf numFmtId="0" fontId="34" fillId="0" borderId="100" xfId="5" applyFont="1" applyFill="1" applyBorder="1" applyAlignment="1">
      <alignment vertical="center"/>
    </xf>
    <xf numFmtId="0" fontId="16" fillId="0" borderId="29" xfId="5" applyFill="1" applyBorder="1" applyAlignment="1">
      <alignment vertical="center"/>
    </xf>
    <xf numFmtId="0" fontId="40" fillId="0" borderId="13" xfId="5" applyFont="1" applyFill="1" applyBorder="1" applyAlignment="1">
      <alignment vertical="center"/>
    </xf>
    <xf numFmtId="0" fontId="37" fillId="0" borderId="0" xfId="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wrapText="1"/>
    </xf>
    <xf numFmtId="170" fontId="32" fillId="0" borderId="43" xfId="5" applyNumberFormat="1" applyFont="1" applyFill="1" applyBorder="1" applyAlignment="1">
      <alignment horizontal="center" vertical="center"/>
    </xf>
    <xf numFmtId="0" fontId="30" fillId="0" borderId="90" xfId="5" applyFont="1" applyFill="1" applyBorder="1" applyAlignment="1">
      <alignment horizontal="left" vertical="center"/>
    </xf>
    <xf numFmtId="3" fontId="14" fillId="2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Border="1" applyAlignment="1" applyProtection="1">
      <alignment vertical="center"/>
    </xf>
    <xf numFmtId="3" fontId="19" fillId="0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Fill="1" applyBorder="1" applyAlignment="1" applyProtection="1">
      <alignment vertical="center"/>
    </xf>
    <xf numFmtId="3" fontId="13" fillId="3" borderId="62" xfId="0" applyNumberFormat="1" applyFont="1" applyFill="1" applyBorder="1" applyAlignment="1" applyProtection="1">
      <alignment vertical="center"/>
    </xf>
    <xf numFmtId="3" fontId="13" fillId="4" borderId="62" xfId="0" applyNumberFormat="1" applyFont="1" applyFill="1" applyBorder="1" applyAlignment="1" applyProtection="1">
      <alignment vertical="center"/>
    </xf>
    <xf numFmtId="3" fontId="13" fillId="4" borderId="62" xfId="0" applyNumberFormat="1" applyFont="1" applyFill="1" applyBorder="1" applyAlignment="1">
      <alignment vertical="center"/>
    </xf>
    <xf numFmtId="3" fontId="19" fillId="0" borderId="62" xfId="0" applyNumberFormat="1" applyFont="1" applyBorder="1" applyAlignment="1" applyProtection="1">
      <alignment vertical="center"/>
    </xf>
    <xf numFmtId="3" fontId="14" fillId="0" borderId="62" xfId="0" applyNumberFormat="1" applyFont="1" applyBorder="1" applyAlignment="1" applyProtection="1">
      <alignment vertical="center"/>
    </xf>
    <xf numFmtId="3" fontId="13" fillId="2" borderId="62" xfId="0" applyNumberFormat="1" applyFont="1" applyFill="1" applyBorder="1" applyAlignment="1" applyProtection="1">
      <alignment vertical="center"/>
    </xf>
    <xf numFmtId="0" fontId="13" fillId="0" borderId="0" xfId="0" applyFont="1" applyAlignment="1">
      <alignment vertical="center"/>
    </xf>
    <xf numFmtId="3" fontId="14" fillId="5" borderId="62" xfId="0" applyNumberFormat="1" applyFont="1" applyFill="1" applyBorder="1" applyAlignment="1" applyProtection="1">
      <alignment vertical="center"/>
    </xf>
    <xf numFmtId="3" fontId="17" fillId="2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Fill="1" applyBorder="1" applyAlignment="1">
      <alignment vertical="center"/>
    </xf>
    <xf numFmtId="3" fontId="13" fillId="0" borderId="62" xfId="0" applyNumberFormat="1" applyFont="1" applyBorder="1" applyAlignment="1">
      <alignment vertical="center"/>
    </xf>
    <xf numFmtId="3" fontId="13" fillId="0" borderId="0" xfId="0" applyNumberFormat="1" applyFont="1" applyFill="1" applyAlignment="1">
      <alignment vertical="center"/>
    </xf>
    <xf numFmtId="3" fontId="13" fillId="0" borderId="62" xfId="0" applyNumberFormat="1" applyFont="1" applyBorder="1"/>
    <xf numFmtId="3" fontId="23" fillId="2" borderId="62" xfId="0" applyNumberFormat="1" applyFont="1" applyFill="1" applyBorder="1" applyAlignment="1">
      <alignment vertical="center"/>
    </xf>
    <xf numFmtId="3" fontId="14" fillId="2" borderId="62" xfId="0" applyNumberFormat="1" applyFont="1" applyFill="1" applyBorder="1" applyAlignment="1">
      <alignment vertical="center"/>
    </xf>
    <xf numFmtId="3" fontId="13" fillId="2" borderId="62" xfId="0" applyNumberFormat="1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3" fontId="23" fillId="5" borderId="62" xfId="0" applyNumberFormat="1" applyFont="1" applyFill="1" applyBorder="1" applyAlignment="1">
      <alignment vertical="center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2" fillId="0" borderId="0" xfId="5" applyFont="1" applyFill="1" applyAlignment="1">
      <alignment vertical="center"/>
    </xf>
    <xf numFmtId="0" fontId="37" fillId="0" borderId="98" xfId="5" applyFont="1" applyFill="1" applyBorder="1" applyAlignment="1">
      <alignment horizontal="left" vertical="center"/>
    </xf>
    <xf numFmtId="0" fontId="15" fillId="0" borderId="99" xfId="5" applyFont="1" applyFill="1" applyBorder="1" applyAlignment="1">
      <alignment horizontal="left"/>
    </xf>
    <xf numFmtId="0" fontId="15" fillId="0" borderId="97" xfId="5" applyFont="1" applyFill="1" applyBorder="1" applyAlignment="1">
      <alignment horizontal="left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33" fillId="0" borderId="29" xfId="5" applyFont="1" applyFill="1" applyBorder="1" applyAlignment="1">
      <alignment vertical="top" wrapText="1"/>
    </xf>
    <xf numFmtId="0" fontId="16" fillId="8" borderId="0" xfId="5" applyFill="1" applyAlignment="1">
      <alignment vertical="center"/>
    </xf>
    <xf numFmtId="0" fontId="14" fillId="0" borderId="0" xfId="2" applyNumberFormat="1" applyFont="1" applyAlignment="1">
      <alignment vertical="top"/>
    </xf>
    <xf numFmtId="0" fontId="13" fillId="3" borderId="0" xfId="2" applyFont="1" applyFill="1" applyAlignment="1">
      <alignment horizontal="center" vertical="top"/>
    </xf>
    <xf numFmtId="0" fontId="13" fillId="3" borderId="56" xfId="2" applyFont="1" applyFill="1" applyBorder="1" applyAlignment="1">
      <alignment horizontal="center" vertical="top"/>
    </xf>
    <xf numFmtId="0" fontId="13" fillId="3" borderId="61" xfId="2" applyFont="1" applyFill="1" applyBorder="1" applyAlignment="1">
      <alignment horizontal="center" vertical="top"/>
    </xf>
    <xf numFmtId="0" fontId="14" fillId="2" borderId="62" xfId="2" applyFont="1" applyFill="1" applyBorder="1" applyAlignment="1" applyProtection="1">
      <alignment vertical="top" wrapText="1"/>
    </xf>
    <xf numFmtId="0" fontId="14" fillId="2" borderId="62" xfId="2" applyFont="1" applyFill="1" applyBorder="1" applyAlignment="1" applyProtection="1">
      <alignment horizontal="left" vertical="top" wrapText="1"/>
    </xf>
    <xf numFmtId="0" fontId="14" fillId="2" borderId="62" xfId="2" applyFont="1" applyFill="1" applyBorder="1" applyAlignment="1" applyProtection="1">
      <alignment horizontal="left" vertical="top"/>
    </xf>
    <xf numFmtId="0" fontId="13" fillId="0" borderId="62" xfId="2" applyFont="1" applyBorder="1" applyAlignment="1" applyProtection="1">
      <alignment horizontal="left" vertical="top"/>
    </xf>
    <xf numFmtId="0" fontId="13" fillId="0" borderId="62" xfId="2" applyFont="1" applyBorder="1" applyAlignment="1" applyProtection="1">
      <alignment horizontal="left" vertical="top" wrapText="1"/>
    </xf>
    <xf numFmtId="0" fontId="13" fillId="0" borderId="62" xfId="2" applyFont="1" applyFill="1" applyBorder="1" applyAlignment="1" applyProtection="1">
      <alignment horizontal="left" vertical="top" wrapText="1"/>
    </xf>
    <xf numFmtId="0" fontId="13" fillId="3" borderId="62" xfId="2" applyFont="1" applyFill="1" applyBorder="1" applyAlignment="1" applyProtection="1">
      <alignment horizontal="left" vertical="top"/>
    </xf>
    <xf numFmtId="0" fontId="13" fillId="2" borderId="62" xfId="2" applyFont="1" applyFill="1" applyBorder="1" applyAlignment="1" applyProtection="1">
      <alignment vertical="top"/>
    </xf>
    <xf numFmtId="0" fontId="13" fillId="3" borderId="55" xfId="2" applyFont="1" applyFill="1" applyBorder="1" applyAlignment="1" applyProtection="1">
      <alignment horizontal="center" vertical="top"/>
    </xf>
    <xf numFmtId="0" fontId="13" fillId="3" borderId="59" xfId="2" applyFont="1" applyFill="1" applyBorder="1" applyAlignment="1" applyProtection="1">
      <alignment horizontal="center" vertical="top"/>
    </xf>
    <xf numFmtId="0" fontId="13" fillId="3" borderId="60" xfId="2" applyFont="1" applyFill="1" applyBorder="1" applyAlignment="1" applyProtection="1">
      <alignment horizontal="center" vertical="top"/>
    </xf>
    <xf numFmtId="37" fontId="14" fillId="2" borderId="62" xfId="2" applyNumberFormat="1" applyFont="1" applyFill="1" applyBorder="1" applyAlignment="1" applyProtection="1">
      <alignment vertical="top"/>
    </xf>
    <xf numFmtId="37" fontId="13" fillId="0" borderId="62" xfId="2" applyNumberFormat="1" applyFont="1" applyBorder="1" applyAlignment="1" applyProtection="1">
      <alignment vertical="top"/>
    </xf>
    <xf numFmtId="37" fontId="14" fillId="5" borderId="62" xfId="2" applyNumberFormat="1" applyFont="1" applyFill="1" applyBorder="1" applyAlignment="1" applyProtection="1">
      <alignment vertical="top"/>
    </xf>
    <xf numFmtId="37" fontId="13" fillId="4" borderId="62" xfId="2" applyNumberFormat="1" applyFont="1" applyFill="1" applyBorder="1" applyAlignment="1" applyProtection="1">
      <alignment vertical="top"/>
    </xf>
    <xf numFmtId="0" fontId="13" fillId="4" borderId="62" xfId="2" applyFont="1" applyFill="1" applyBorder="1" applyAlignment="1" applyProtection="1">
      <alignment horizontal="left" vertical="top"/>
    </xf>
    <xf numFmtId="37" fontId="13" fillId="3" borderId="62" xfId="2" applyNumberFormat="1" applyFont="1" applyFill="1" applyBorder="1" applyAlignment="1" applyProtection="1">
      <alignment vertical="top"/>
    </xf>
    <xf numFmtId="37" fontId="17" fillId="2" borderId="62" xfId="2" applyNumberFormat="1" applyFont="1" applyFill="1" applyBorder="1" applyAlignment="1" applyProtection="1">
      <alignment vertical="top"/>
    </xf>
    <xf numFmtId="37" fontId="13" fillId="2" borderId="62" xfId="2" applyNumberFormat="1" applyFont="1" applyFill="1" applyBorder="1" applyAlignment="1" applyProtection="1">
      <alignment vertical="top"/>
    </xf>
    <xf numFmtId="0" fontId="13" fillId="0" borderId="0" xfId="2" applyFont="1" applyAlignment="1" applyProtection="1">
      <alignment horizontal="left" vertical="top"/>
    </xf>
    <xf numFmtId="3" fontId="18" fillId="0" borderId="0" xfId="2" applyNumberFormat="1" applyFont="1" applyAlignment="1">
      <alignment horizontal="left" vertical="center" wrapText="1"/>
    </xf>
    <xf numFmtId="170" fontId="45" fillId="0" borderId="87" xfId="5" applyNumberFormat="1" applyFont="1" applyFill="1" applyBorder="1" applyAlignment="1">
      <alignment horizontal="right" vertical="center"/>
    </xf>
    <xf numFmtId="0" fontId="47" fillId="0" borderId="84" xfId="5" applyFont="1" applyFill="1" applyBorder="1" applyAlignment="1">
      <alignment horizontal="center" vertical="center" wrapText="1"/>
    </xf>
    <xf numFmtId="0" fontId="47" fillId="0" borderId="75" xfId="5" applyFont="1" applyFill="1" applyBorder="1" applyAlignment="1">
      <alignment horizontal="center" vertical="center" wrapText="1"/>
    </xf>
    <xf numFmtId="0" fontId="47" fillId="0" borderId="87" xfId="5" applyFont="1" applyFill="1" applyBorder="1" applyAlignment="1">
      <alignment horizontal="center" vertical="center" wrapText="1"/>
    </xf>
    <xf numFmtId="0" fontId="46" fillId="0" borderId="71" xfId="5" applyFont="1" applyFill="1" applyBorder="1" applyAlignment="1">
      <alignment horizontal="left" vertical="top" wrapText="1"/>
    </xf>
    <xf numFmtId="0" fontId="46" fillId="0" borderId="43" xfId="5" applyFont="1" applyFill="1" applyBorder="1" applyAlignment="1">
      <alignment horizontal="left" vertical="top" wrapText="1"/>
    </xf>
    <xf numFmtId="0" fontId="47" fillId="0" borderId="71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0" fontId="47" fillId="0" borderId="43" xfId="5" applyFont="1" applyFill="1" applyBorder="1" applyAlignment="1">
      <alignment horizontal="left" vertical="top" wrapText="1"/>
    </xf>
    <xf numFmtId="0" fontId="47" fillId="0" borderId="71" xfId="5" quotePrefix="1" applyFont="1" applyFill="1" applyBorder="1" applyAlignment="1">
      <alignment horizontal="left" vertical="top" wrapText="1"/>
    </xf>
    <xf numFmtId="0" fontId="47" fillId="0" borderId="43" xfId="5" quotePrefix="1" applyFont="1" applyFill="1" applyBorder="1" applyAlignment="1">
      <alignment horizontal="left" vertical="top" wrapText="1"/>
    </xf>
    <xf numFmtId="0" fontId="47" fillId="0" borderId="116" xfId="5" applyFont="1" applyFill="1" applyBorder="1" applyAlignment="1">
      <alignment horizontal="center" vertical="center" wrapText="1"/>
    </xf>
    <xf numFmtId="0" fontId="45" fillId="0" borderId="87" xfId="5" applyFont="1" applyFill="1" applyBorder="1" applyAlignment="1">
      <alignment horizontal="left" vertical="center"/>
    </xf>
    <xf numFmtId="0" fontId="32" fillId="0" borderId="17" xfId="5" applyFont="1" applyFill="1" applyBorder="1" applyAlignment="1">
      <alignment horizontal="center" vertical="center"/>
    </xf>
    <xf numFmtId="0" fontId="32" fillId="0" borderId="97" xfId="5" applyFont="1" applyFill="1" applyBorder="1" applyAlignment="1">
      <alignment horizontal="center" vertical="center"/>
    </xf>
    <xf numFmtId="0" fontId="37" fillId="0" borderId="97" xfId="5" applyFont="1" applyFill="1" applyBorder="1" applyAlignment="1">
      <alignment horizontal="left"/>
    </xf>
    <xf numFmtId="0" fontId="19" fillId="0" borderId="0" xfId="5" applyFont="1" applyFill="1" applyBorder="1" applyAlignment="1">
      <alignment horizontal="center" vertical="top"/>
    </xf>
    <xf numFmtId="0" fontId="36" fillId="0" borderId="95" xfId="5" applyFont="1" applyFill="1" applyBorder="1" applyAlignment="1">
      <alignment horizontal="left" vertical="center"/>
    </xf>
    <xf numFmtId="0" fontId="36" fillId="0" borderId="96" xfId="5" applyFont="1" applyFill="1" applyBorder="1" applyAlignment="1">
      <alignment horizontal="left" vertical="center"/>
    </xf>
    <xf numFmtId="0" fontId="14" fillId="0" borderId="0" xfId="7" applyFont="1" applyFill="1" applyBorder="1" applyAlignment="1" applyProtection="1">
      <alignment horizontal="center" vertical="top"/>
      <protection locked="0"/>
    </xf>
    <xf numFmtId="0" fontId="14" fillId="0" borderId="0" xfId="5" applyFont="1" applyFill="1" applyBorder="1" applyAlignment="1" applyProtection="1">
      <alignment horizontal="center" vertical="center"/>
      <protection locked="0"/>
    </xf>
    <xf numFmtId="0" fontId="17" fillId="6" borderId="89" xfId="5" applyFont="1" applyFill="1" applyBorder="1"/>
    <xf numFmtId="0" fontId="13" fillId="7" borderId="89" xfId="5" applyFont="1" applyFill="1" applyBorder="1" applyAlignment="1">
      <alignment horizontal="center"/>
    </xf>
    <xf numFmtId="0" fontId="13" fillId="6" borderId="128" xfId="5" applyFont="1" applyFill="1" applyBorder="1"/>
    <xf numFmtId="0" fontId="13" fillId="0" borderId="128" xfId="7" applyFont="1" applyFill="1" applyBorder="1" applyAlignment="1">
      <alignment horizontal="left" vertical="center"/>
    </xf>
    <xf numFmtId="0" fontId="13" fillId="0" borderId="130" xfId="7" applyFont="1" applyFill="1" applyBorder="1" applyAlignment="1">
      <alignment horizontal="left" vertical="center"/>
    </xf>
    <xf numFmtId="0" fontId="13" fillId="0" borderId="129" xfId="7" applyFont="1" applyFill="1" applyBorder="1" applyAlignment="1">
      <alignment horizontal="left" vertical="center"/>
    </xf>
    <xf numFmtId="1" fontId="33" fillId="0" borderId="97" xfId="5" applyNumberFormat="1" applyFont="1" applyFill="1" applyBorder="1" applyAlignment="1">
      <alignment horizontal="left" vertical="center"/>
    </xf>
    <xf numFmtId="0" fontId="33" fillId="0" borderId="105" xfId="5" applyFont="1" applyFill="1" applyBorder="1" applyAlignment="1">
      <alignment vertical="center" wrapText="1"/>
    </xf>
    <xf numFmtId="0" fontId="33" fillId="0" borderId="97" xfId="5" applyFont="1" applyFill="1" applyBorder="1" applyAlignment="1">
      <alignment vertical="center" wrapText="1"/>
    </xf>
    <xf numFmtId="0" fontId="33" fillId="0" borderId="97" xfId="5" applyFont="1" applyFill="1" applyBorder="1" applyAlignment="1">
      <alignment vertical="top" wrapText="1"/>
    </xf>
    <xf numFmtId="0" fontId="33" fillId="0" borderId="105" xfId="5" applyFont="1" applyFill="1" applyBorder="1" applyAlignment="1">
      <alignment vertical="top" wrapText="1"/>
    </xf>
    <xf numFmtId="0" fontId="14" fillId="0" borderId="0" xfId="7" applyFont="1" applyFill="1" applyBorder="1" applyAlignment="1">
      <alignment vertical="center"/>
    </xf>
    <xf numFmtId="0" fontId="14" fillId="6" borderId="137" xfId="5" applyFont="1" applyFill="1" applyBorder="1"/>
    <xf numFmtId="0" fontId="14" fillId="6" borderId="68" xfId="5" applyFont="1" applyFill="1" applyBorder="1"/>
    <xf numFmtId="0" fontId="13" fillId="0" borderId="0" xfId="2" applyNumberFormat="1" applyFont="1" applyAlignment="1">
      <alignment vertical="center"/>
    </xf>
    <xf numFmtId="0" fontId="12" fillId="0" borderId="0" xfId="2" applyFont="1"/>
    <xf numFmtId="0" fontId="13" fillId="0" borderId="0" xfId="2" applyFont="1" applyAlignment="1">
      <alignment horizontal="right"/>
    </xf>
    <xf numFmtId="0" fontId="12" fillId="0" borderId="0" xfId="2" applyFont="1" applyAlignment="1">
      <alignment horizontal="right"/>
    </xf>
    <xf numFmtId="0" fontId="16" fillId="0" borderId="0" xfId="2" applyFont="1"/>
    <xf numFmtId="0" fontId="12" fillId="0" borderId="0" xfId="2" applyFont="1" applyAlignment="1">
      <alignment horizontal="left"/>
    </xf>
    <xf numFmtId="0" fontId="12" fillId="0" borderId="0" xfId="2" applyAlignment="1">
      <alignment horizontal="left"/>
    </xf>
    <xf numFmtId="9" fontId="12" fillId="0" borderId="0" xfId="2" applyNumberFormat="1" applyFont="1" applyAlignment="1">
      <alignment horizontal="left"/>
    </xf>
    <xf numFmtId="165" fontId="12" fillId="0" borderId="0" xfId="2" applyNumberFormat="1" applyFont="1" applyAlignment="1">
      <alignment horizontal="left"/>
    </xf>
    <xf numFmtId="10" fontId="16" fillId="0" borderId="0" xfId="3" applyNumberFormat="1" applyFont="1" applyFill="1" applyAlignment="1">
      <alignment horizontal="right"/>
    </xf>
    <xf numFmtId="0" fontId="13" fillId="0" borderId="0" xfId="2" applyFont="1" applyBorder="1"/>
    <xf numFmtId="0" fontId="12" fillId="0" borderId="138" xfId="2" applyBorder="1" applyAlignment="1"/>
    <xf numFmtId="3" fontId="14" fillId="2" borderId="62" xfId="2" applyNumberFormat="1" applyFont="1" applyFill="1" applyBorder="1" applyAlignment="1" applyProtection="1">
      <alignment vertical="center"/>
    </xf>
    <xf numFmtId="3" fontId="13" fillId="0" borderId="62" xfId="2" applyNumberFormat="1" applyFont="1" applyBorder="1" applyAlignment="1" applyProtection="1">
      <alignment vertical="center"/>
    </xf>
    <xf numFmtId="0" fontId="17" fillId="2" borderId="62" xfId="2" applyFont="1" applyFill="1" applyBorder="1" applyAlignment="1" applyProtection="1">
      <alignment horizontal="left" vertical="center"/>
    </xf>
    <xf numFmtId="0" fontId="19" fillId="3" borderId="62" xfId="2" applyFont="1" applyFill="1" applyBorder="1" applyAlignment="1" applyProtection="1">
      <alignment horizontal="left" vertical="center"/>
    </xf>
    <xf numFmtId="0" fontId="14" fillId="0" borderId="0" xfId="2" applyFont="1" applyAlignment="1">
      <alignment horizontal="right" vertical="center"/>
    </xf>
    <xf numFmtId="10" fontId="12" fillId="0" borderId="0" xfId="2" applyNumberFormat="1" applyFont="1" applyAlignment="1">
      <alignment horizontal="left"/>
    </xf>
    <xf numFmtId="0" fontId="13" fillId="0" borderId="0" xfId="2" applyFont="1" applyAlignment="1">
      <alignment horizontal="right" vertical="center"/>
    </xf>
    <xf numFmtId="0" fontId="13" fillId="4" borderId="0" xfId="2" applyFont="1" applyFill="1" applyBorder="1" applyAlignment="1">
      <alignment vertical="center"/>
    </xf>
    <xf numFmtId="0" fontId="17" fillId="4" borderId="0" xfId="2" applyFont="1" applyFill="1" applyBorder="1" applyAlignment="1">
      <alignment vertical="center"/>
    </xf>
    <xf numFmtId="0" fontId="13" fillId="9" borderId="62" xfId="2" applyFont="1" applyFill="1" applyBorder="1" applyAlignment="1" applyProtection="1">
      <alignment horizontal="left" vertical="top"/>
    </xf>
    <xf numFmtId="0" fontId="13" fillId="9" borderId="62" xfId="2" applyFont="1" applyFill="1" applyBorder="1" applyAlignment="1" applyProtection="1">
      <alignment horizontal="left" vertical="top" wrapText="1"/>
    </xf>
    <xf numFmtId="3" fontId="13" fillId="4" borderId="62" xfId="2" applyNumberFormat="1" applyFont="1" applyFill="1" applyBorder="1" applyAlignment="1" applyProtection="1">
      <alignment vertical="center"/>
    </xf>
    <xf numFmtId="3" fontId="17" fillId="0" borderId="0" xfId="2" applyNumberFormat="1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4" fillId="0" borderId="0" xfId="2" applyFont="1" applyFill="1" applyAlignment="1">
      <alignment vertical="center"/>
    </xf>
    <xf numFmtId="3" fontId="13" fillId="2" borderId="62" xfId="2" applyNumberFormat="1" applyFont="1" applyFill="1" applyBorder="1" applyAlignment="1" applyProtection="1">
      <alignment vertical="center"/>
    </xf>
    <xf numFmtId="167" fontId="13" fillId="0" borderId="0" xfId="2" applyNumberFormat="1" applyFont="1" applyFill="1" applyAlignment="1">
      <alignment vertical="center"/>
    </xf>
    <xf numFmtId="37" fontId="14" fillId="9" borderId="62" xfId="2" applyNumberFormat="1" applyFont="1" applyFill="1" applyBorder="1" applyAlignment="1" applyProtection="1">
      <alignment vertical="top"/>
    </xf>
    <xf numFmtId="167" fontId="14" fillId="0" borderId="0" xfId="2" applyNumberFormat="1" applyFont="1" applyFill="1" applyAlignment="1">
      <alignment vertical="center"/>
    </xf>
    <xf numFmtId="37" fontId="13" fillId="9" borderId="62" xfId="2" applyNumberFormat="1" applyFont="1" applyFill="1" applyBorder="1" applyAlignment="1" applyProtection="1">
      <alignment vertical="top"/>
    </xf>
    <xf numFmtId="3" fontId="14" fillId="5" borderId="62" xfId="2" applyNumberFormat="1" applyFont="1" applyFill="1" applyBorder="1" applyAlignment="1" applyProtection="1">
      <alignment vertical="center"/>
    </xf>
    <xf numFmtId="3" fontId="17" fillId="2" borderId="62" xfId="2" applyNumberFormat="1" applyFont="1" applyFill="1" applyBorder="1" applyAlignment="1" applyProtection="1">
      <alignment vertical="center"/>
    </xf>
    <xf numFmtId="0" fontId="13" fillId="0" borderId="0" xfId="2" applyFont="1" applyFill="1"/>
    <xf numFmtId="0" fontId="8" fillId="0" borderId="0" xfId="2" applyFont="1" applyFill="1" applyBorder="1" applyAlignment="1">
      <alignment horizontal="right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 vertical="center"/>
    </xf>
    <xf numFmtId="3" fontId="15" fillId="0" borderId="0" xfId="2" applyNumberFormat="1" applyFont="1" applyFill="1" applyBorder="1" applyAlignment="1">
      <alignment horizontal="center" wrapText="1"/>
    </xf>
    <xf numFmtId="0" fontId="13" fillId="0" borderId="0" xfId="2" applyFont="1" applyFill="1" applyBorder="1"/>
    <xf numFmtId="3" fontId="15" fillId="0" borderId="0" xfId="2" applyNumberFormat="1" applyFont="1" applyFill="1" applyBorder="1" applyAlignment="1">
      <alignment horizontal="center"/>
    </xf>
    <xf numFmtId="3" fontId="17" fillId="0" borderId="0" xfId="2" applyNumberFormat="1" applyFont="1" applyFill="1" applyBorder="1" applyAlignment="1">
      <alignment horizontal="right"/>
    </xf>
    <xf numFmtId="3" fontId="14" fillId="0" borderId="0" xfId="2" applyNumberFormat="1" applyFont="1" applyFill="1" applyAlignment="1">
      <alignment vertical="center"/>
    </xf>
    <xf numFmtId="3" fontId="18" fillId="0" borderId="0" xfId="2" applyNumberFormat="1" applyFont="1" applyFill="1" applyAlignment="1">
      <alignment vertical="center" wrapText="1"/>
    </xf>
    <xf numFmtId="3" fontId="18" fillId="0" borderId="0" xfId="2" applyNumberFormat="1" applyFont="1" applyFill="1" applyBorder="1" applyAlignment="1">
      <alignment vertical="center" wrapText="1"/>
    </xf>
    <xf numFmtId="0" fontId="13" fillId="0" borderId="0" xfId="2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62" fillId="0" borderId="0" xfId="2" applyFont="1" applyFill="1" applyAlignment="1">
      <alignment vertical="center"/>
    </xf>
    <xf numFmtId="0" fontId="15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62" fillId="0" borderId="0" xfId="2" applyFont="1" applyFill="1" applyBorder="1" applyAlignment="1">
      <alignment vertical="center"/>
    </xf>
    <xf numFmtId="3" fontId="63" fillId="0" borderId="0" xfId="2" applyNumberFormat="1" applyFont="1" applyFill="1" applyAlignment="1">
      <alignment vertical="center"/>
    </xf>
    <xf numFmtId="167" fontId="21" fillId="0" borderId="0" xfId="2" applyNumberFormat="1" applyFont="1" applyFill="1" applyAlignment="1">
      <alignment vertical="center"/>
    </xf>
    <xf numFmtId="3" fontId="18" fillId="0" borderId="0" xfId="2" applyNumberFormat="1" applyFont="1" applyFill="1" applyAlignment="1">
      <alignment horizontal="left" vertical="center" wrapText="1"/>
    </xf>
    <xf numFmtId="0" fontId="14" fillId="0" borderId="0" xfId="2" applyNumberFormat="1" applyFont="1" applyAlignment="1" applyProtection="1">
      <alignment vertical="top"/>
    </xf>
    <xf numFmtId="0" fontId="14" fillId="0" borderId="0" xfId="2" applyFont="1" applyAlignment="1">
      <alignment vertical="top"/>
    </xf>
    <xf numFmtId="0" fontId="17" fillId="0" borderId="0" xfId="2" applyFont="1" applyBorder="1" applyAlignment="1">
      <alignment horizontal="right"/>
    </xf>
    <xf numFmtId="0" fontId="15" fillId="0" borderId="0" xfId="2" applyFont="1" applyAlignment="1">
      <alignment horizontal="center" vertical="top"/>
    </xf>
    <xf numFmtId="0" fontId="13" fillId="0" borderId="56" xfId="2" applyFont="1" applyBorder="1" applyAlignment="1">
      <alignment horizontal="center" vertical="top"/>
    </xf>
    <xf numFmtId="0" fontId="13" fillId="0" borderId="61" xfId="2" applyFont="1" applyBorder="1" applyAlignment="1">
      <alignment horizontal="center" vertical="top"/>
    </xf>
    <xf numFmtId="3" fontId="23" fillId="2" borderId="62" xfId="2" applyNumberFormat="1" applyFont="1" applyFill="1" applyBorder="1" applyAlignment="1">
      <alignment vertical="center"/>
    </xf>
    <xf numFmtId="0" fontId="14" fillId="2" borderId="62" xfId="2" applyFont="1" applyFill="1" applyBorder="1" applyAlignment="1">
      <alignment vertical="top"/>
    </xf>
    <xf numFmtId="3" fontId="14" fillId="2" borderId="62" xfId="2" applyNumberFormat="1" applyFont="1" applyFill="1" applyBorder="1" applyAlignment="1">
      <alignment vertical="center"/>
    </xf>
    <xf numFmtId="0" fontId="17" fillId="3" borderId="62" xfId="2" applyFont="1" applyFill="1" applyBorder="1" applyAlignment="1">
      <alignment horizontal="left" vertical="center"/>
    </xf>
    <xf numFmtId="0" fontId="17" fillId="0" borderId="62" xfId="2" applyFont="1" applyBorder="1" applyAlignment="1">
      <alignment vertical="top"/>
    </xf>
    <xf numFmtId="0" fontId="17" fillId="0" borderId="62" xfId="2" quotePrefix="1" applyFont="1" applyBorder="1" applyAlignment="1">
      <alignment horizontal="center" vertical="center"/>
    </xf>
    <xf numFmtId="3" fontId="17" fillId="0" borderId="62" xfId="2" applyNumberFormat="1" applyFont="1" applyFill="1" applyBorder="1" applyAlignment="1">
      <alignment vertical="center"/>
    </xf>
    <xf numFmtId="3" fontId="17" fillId="0" borderId="62" xfId="2" applyNumberFormat="1" applyFont="1" applyBorder="1" applyAlignment="1">
      <alignment vertical="center"/>
    </xf>
    <xf numFmtId="0" fontId="17" fillId="3" borderId="62" xfId="2" applyFont="1" applyFill="1" applyBorder="1" applyAlignment="1">
      <alignment vertical="center"/>
    </xf>
    <xf numFmtId="3" fontId="17" fillId="0" borderId="0" xfId="2" applyNumberFormat="1" applyFont="1" applyFill="1" applyBorder="1" applyAlignment="1">
      <alignment vertical="center"/>
    </xf>
    <xf numFmtId="0" fontId="17" fillId="0" borderId="62" xfId="2" applyFont="1" applyFill="1" applyBorder="1" applyAlignment="1">
      <alignment vertical="top"/>
    </xf>
    <xf numFmtId="3" fontId="17" fillId="0" borderId="62" xfId="2" applyNumberFormat="1" applyFont="1" applyBorder="1"/>
    <xf numFmtId="0" fontId="14" fillId="4" borderId="62" xfId="2" applyFont="1" applyFill="1" applyBorder="1" applyAlignment="1">
      <alignment vertical="center"/>
    </xf>
    <xf numFmtId="0" fontId="14" fillId="4" borderId="62" xfId="2" applyFont="1" applyFill="1" applyBorder="1" applyAlignment="1">
      <alignment vertical="top"/>
    </xf>
    <xf numFmtId="0" fontId="14" fillId="4" borderId="62" xfId="2" quotePrefix="1" applyFont="1" applyFill="1" applyBorder="1" applyAlignment="1">
      <alignment horizontal="center" vertical="center"/>
    </xf>
    <xf numFmtId="3" fontId="14" fillId="4" borderId="62" xfId="2" applyNumberFormat="1" applyFont="1" applyFill="1" applyBorder="1" applyAlignment="1">
      <alignment vertical="center"/>
    </xf>
    <xf numFmtId="0" fontId="17" fillId="2" borderId="62" xfId="2" applyFont="1" applyFill="1" applyBorder="1" applyAlignment="1">
      <alignment vertical="top"/>
    </xf>
    <xf numFmtId="3" fontId="13" fillId="2" borderId="62" xfId="2" applyNumberFormat="1" applyFont="1" applyFill="1" applyBorder="1" applyAlignment="1">
      <alignment vertical="center"/>
    </xf>
    <xf numFmtId="3" fontId="17" fillId="0" borderId="0" xfId="2" applyNumberFormat="1" applyFont="1" applyAlignment="1">
      <alignment vertical="center"/>
    </xf>
    <xf numFmtId="0" fontId="23" fillId="5" borderId="62" xfId="2" quotePrefix="1" applyFont="1" applyFill="1" applyBorder="1" applyAlignment="1">
      <alignment vertical="top"/>
    </xf>
    <xf numFmtId="3" fontId="23" fillId="5" borderId="62" xfId="2" applyNumberFormat="1" applyFont="1" applyFill="1" applyBorder="1" applyAlignment="1">
      <alignment vertical="center"/>
    </xf>
    <xf numFmtId="0" fontId="66" fillId="0" borderId="0" xfId="2" applyFont="1"/>
    <xf numFmtId="0" fontId="17" fillId="0" borderId="0" xfId="2" applyNumberFormat="1" applyFont="1" applyFill="1" applyBorder="1" applyAlignment="1">
      <alignment horizontal="right"/>
    </xf>
    <xf numFmtId="3" fontId="13" fillId="0" borderId="0" xfId="2" applyNumberFormat="1" applyFont="1" applyFill="1" applyBorder="1" applyAlignment="1"/>
    <xf numFmtId="14" fontId="17" fillId="0" borderId="0" xfId="2" applyNumberFormat="1" applyFont="1" applyFill="1" applyBorder="1" applyAlignment="1">
      <alignment horizontal="right" vertical="center"/>
    </xf>
    <xf numFmtId="0" fontId="17" fillId="0" borderId="0" xfId="2" applyFont="1" applyFill="1" applyBorder="1" applyAlignment="1">
      <alignment horizontal="right"/>
    </xf>
    <xf numFmtId="0" fontId="13" fillId="0" borderId="0" xfId="2" applyFont="1" applyFill="1" applyAlignment="1">
      <alignment horizontal="center"/>
    </xf>
    <xf numFmtId="0" fontId="66" fillId="0" borderId="0" xfId="2" applyFont="1" applyFill="1" applyAlignment="1">
      <alignment vertical="center"/>
    </xf>
    <xf numFmtId="3" fontId="23" fillId="0" borderId="0" xfId="2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3" fontId="62" fillId="0" borderId="0" xfId="2" applyNumberFormat="1" applyFont="1" applyFill="1" applyBorder="1" applyAlignment="1">
      <alignment vertical="center"/>
    </xf>
    <xf numFmtId="3" fontId="13" fillId="0" borderId="0" xfId="2" applyNumberFormat="1" applyFont="1" applyFill="1" applyAlignment="1">
      <alignment vertical="center"/>
    </xf>
    <xf numFmtId="0" fontId="65" fillId="0" borderId="0" xfId="19" applyFont="1" applyFill="1" applyAlignment="1" applyProtection="1">
      <alignment vertical="center"/>
    </xf>
    <xf numFmtId="0" fontId="66" fillId="0" borderId="0" xfId="2" applyFont="1" applyFill="1"/>
    <xf numFmtId="49" fontId="19" fillId="0" borderId="43" xfId="5" applyNumberFormat="1" applyFont="1" applyFill="1" applyBorder="1" applyAlignment="1">
      <alignment horizontal="center" vertical="top" wrapText="1"/>
    </xf>
    <xf numFmtId="0" fontId="33" fillId="0" borderId="88" xfId="5" applyFont="1" applyFill="1" applyBorder="1" applyAlignment="1">
      <alignment vertical="center"/>
    </xf>
    <xf numFmtId="0" fontId="33" fillId="0" borderId="89" xfId="5" applyFont="1" applyFill="1" applyBorder="1" applyAlignment="1">
      <alignment vertical="center"/>
    </xf>
    <xf numFmtId="49" fontId="19" fillId="0" borderId="76" xfId="5" applyNumberFormat="1" applyFont="1" applyFill="1" applyBorder="1" applyAlignment="1">
      <alignment horizontal="center" vertical="top" wrapText="1"/>
    </xf>
    <xf numFmtId="0" fontId="48" fillId="0" borderId="84" xfId="5" applyFont="1" applyFill="1" applyBorder="1" applyAlignment="1">
      <alignment horizontal="center" wrapText="1"/>
    </xf>
    <xf numFmtId="49" fontId="47" fillId="0" borderId="87" xfId="5" applyNumberFormat="1" applyFont="1" applyFill="1" applyBorder="1" applyAlignment="1">
      <alignment horizontal="center" vertical="top"/>
    </xf>
    <xf numFmtId="49" fontId="46" fillId="0" borderId="87" xfId="5" applyNumberFormat="1" applyFont="1" applyFill="1" applyBorder="1" applyAlignment="1">
      <alignment horizontal="center" vertical="top"/>
    </xf>
    <xf numFmtId="49" fontId="47" fillId="0" borderId="115" xfId="5" applyNumberFormat="1" applyFont="1" applyFill="1" applyBorder="1" applyAlignment="1">
      <alignment horizontal="center" vertical="top"/>
    </xf>
    <xf numFmtId="0" fontId="48" fillId="0" borderId="111" xfId="5" applyFont="1" applyFill="1" applyBorder="1" applyAlignment="1">
      <alignment horizontal="center" wrapText="1"/>
    </xf>
    <xf numFmtId="0" fontId="32" fillId="0" borderId="76" xfId="5" applyFont="1" applyFill="1" applyBorder="1" applyAlignment="1">
      <alignment horizontal="left" vertical="center"/>
    </xf>
    <xf numFmtId="170" fontId="45" fillId="0" borderId="87" xfId="5" applyNumberFormat="1" applyFont="1" applyFill="1" applyBorder="1" applyAlignment="1">
      <alignment vertical="center"/>
    </xf>
    <xf numFmtId="170" fontId="45" fillId="0" borderId="89" xfId="5" applyNumberFormat="1" applyFont="1" applyFill="1" applyBorder="1" applyAlignment="1">
      <alignment vertical="center"/>
    </xf>
    <xf numFmtId="0" fontId="29" fillId="0" borderId="0" xfId="15" quotePrefix="1" applyFont="1" applyFill="1" applyAlignment="1">
      <alignment horizontal="left" vertical="center"/>
    </xf>
    <xf numFmtId="0" fontId="33" fillId="0" borderId="0" xfId="15" applyFont="1" applyFill="1" applyAlignment="1">
      <alignment vertical="center"/>
    </xf>
    <xf numFmtId="0" fontId="33" fillId="0" borderId="0" xfId="15" applyFont="1" applyFill="1" applyBorder="1" applyAlignment="1">
      <alignment vertical="center"/>
    </xf>
    <xf numFmtId="0" fontId="33" fillId="0" borderId="0" xfId="15" applyFont="1" applyFill="1" applyAlignment="1">
      <alignment vertical="center" wrapText="1"/>
    </xf>
    <xf numFmtId="0" fontId="67" fillId="0" borderId="114" xfId="15" applyFont="1" applyFill="1" applyBorder="1" applyAlignment="1">
      <alignment horizontal="right" vertical="center" wrapText="1"/>
    </xf>
    <xf numFmtId="0" fontId="34" fillId="0" borderId="0" xfId="15" applyFont="1" applyFill="1" applyAlignment="1">
      <alignment vertical="center" wrapText="1"/>
    </xf>
    <xf numFmtId="0" fontId="45" fillId="0" borderId="114" xfId="15" applyFont="1" applyFill="1" applyBorder="1" applyAlignment="1">
      <alignment horizontal="right" vertical="center" wrapText="1"/>
    </xf>
    <xf numFmtId="0" fontId="34" fillId="0" borderId="0" xfId="15" applyFont="1" applyFill="1" applyAlignment="1">
      <alignment vertical="center"/>
    </xf>
    <xf numFmtId="0" fontId="33" fillId="0" borderId="0" xfId="15" applyFont="1" applyFill="1"/>
    <xf numFmtId="0" fontId="46" fillId="0" borderId="0" xfId="15" applyFont="1" applyFill="1" applyBorder="1" applyAlignment="1">
      <alignment horizontal="right" vertical="top" wrapText="1"/>
    </xf>
    <xf numFmtId="0" fontId="46" fillId="0" borderId="0" xfId="15" applyFont="1" applyFill="1" applyBorder="1" applyAlignment="1">
      <alignment horizontal="left" vertical="top" wrapText="1"/>
    </xf>
    <xf numFmtId="49" fontId="46" fillId="0" borderId="0" xfId="15" applyNumberFormat="1" applyFont="1" applyFill="1" applyBorder="1" applyAlignment="1">
      <alignment horizontal="center" vertical="top"/>
    </xf>
    <xf numFmtId="170" fontId="45" fillId="0" borderId="0" xfId="15" applyNumberFormat="1" applyFont="1" applyFill="1" applyBorder="1" applyAlignment="1">
      <alignment horizontal="right" vertical="center"/>
    </xf>
    <xf numFmtId="0" fontId="47" fillId="0" borderId="66" xfId="15" applyFont="1" applyFill="1" applyBorder="1" applyAlignment="1">
      <alignment horizontal="left" vertical="top"/>
    </xf>
    <xf numFmtId="49" fontId="47" fillId="0" borderId="43" xfId="15" applyNumberFormat="1" applyFont="1" applyFill="1" applyBorder="1" applyAlignment="1">
      <alignment horizontal="center" vertical="top"/>
    </xf>
    <xf numFmtId="0" fontId="46" fillId="0" borderId="66" xfId="15" applyFont="1" applyFill="1" applyBorder="1" applyAlignment="1">
      <alignment horizontal="left" vertical="top"/>
    </xf>
    <xf numFmtId="49" fontId="46" fillId="0" borderId="43" xfId="15" applyNumberFormat="1" applyFont="1" applyFill="1" applyBorder="1" applyAlignment="1">
      <alignment horizontal="center" vertical="top"/>
    </xf>
    <xf numFmtId="0" fontId="46" fillId="0" borderId="66" xfId="15" applyFont="1" applyFill="1" applyBorder="1" applyAlignment="1">
      <alignment horizontal="left" vertical="top" wrapText="1"/>
    </xf>
    <xf numFmtId="0" fontId="16" fillId="0" borderId="0" xfId="15" applyFont="1" applyFill="1" applyBorder="1" applyAlignment="1">
      <alignment horizontal="left" vertical="top" wrapText="1"/>
    </xf>
    <xf numFmtId="0" fontId="32" fillId="0" borderId="0" xfId="5" applyFont="1" applyFill="1" applyBorder="1" applyAlignment="1">
      <alignment horizontal="left" vertical="center"/>
    </xf>
    <xf numFmtId="2" fontId="47" fillId="0" borderId="87" xfId="15" applyNumberFormat="1" applyFont="1" applyFill="1" applyBorder="1" applyAlignment="1">
      <alignment horizontal="center" vertical="top"/>
    </xf>
    <xf numFmtId="49" fontId="47" fillId="0" borderId="87" xfId="15" applyNumberFormat="1" applyFont="1" applyFill="1" applyBorder="1" applyAlignment="1">
      <alignment horizontal="center" vertical="top"/>
    </xf>
    <xf numFmtId="49" fontId="46" fillId="0" borderId="87" xfId="15" applyNumberFormat="1" applyFont="1" applyFill="1" applyBorder="1" applyAlignment="1">
      <alignment horizontal="center" vertical="top"/>
    </xf>
    <xf numFmtId="0" fontId="45" fillId="0" borderId="87" xfId="5" applyFont="1" applyFill="1" applyBorder="1" applyAlignment="1">
      <alignment vertical="center"/>
    </xf>
    <xf numFmtId="0" fontId="45" fillId="0" borderId="88" xfId="5" applyFont="1" applyFill="1" applyBorder="1" applyAlignment="1">
      <alignment vertical="center"/>
    </xf>
    <xf numFmtId="0" fontId="45" fillId="0" borderId="89" xfId="5" applyFont="1" applyFill="1" applyBorder="1" applyAlignment="1">
      <alignment vertical="center"/>
    </xf>
    <xf numFmtId="0" fontId="32" fillId="0" borderId="43" xfId="5" applyFont="1" applyFill="1" applyBorder="1" applyAlignment="1">
      <alignment horizontal="left" vertical="center"/>
    </xf>
    <xf numFmtId="0" fontId="47" fillId="0" borderId="115" xfId="15" quotePrefix="1" applyFont="1" applyFill="1" applyBorder="1" applyAlignment="1">
      <alignment horizontal="left" vertical="top" wrapText="1"/>
    </xf>
    <xf numFmtId="0" fontId="47" fillId="0" borderId="84" xfId="15" quotePrefix="1" applyFont="1" applyFill="1" applyBorder="1" applyAlignment="1">
      <alignment horizontal="left" vertical="top" wrapText="1"/>
    </xf>
    <xf numFmtId="0" fontId="47" fillId="0" borderId="75" xfId="15" quotePrefix="1" applyFont="1" applyFill="1" applyBorder="1" applyAlignment="1">
      <alignment horizontal="left" vertical="top" wrapText="1"/>
    </xf>
    <xf numFmtId="0" fontId="46" fillId="0" borderId="99" xfId="15" applyFont="1" applyFill="1" applyBorder="1" applyAlignment="1">
      <alignment horizontal="left" vertical="top" wrapText="1"/>
    </xf>
    <xf numFmtId="0" fontId="33" fillId="0" borderId="97" xfId="15" applyFont="1" applyFill="1" applyBorder="1" applyAlignment="1">
      <alignment vertical="center"/>
    </xf>
    <xf numFmtId="0" fontId="46" fillId="0" borderId="63" xfId="15" applyFont="1" applyFill="1" applyBorder="1" applyAlignment="1">
      <alignment horizontal="center" vertical="center"/>
    </xf>
    <xf numFmtId="0" fontId="46" fillId="0" borderId="111" xfId="15" applyFont="1" applyFill="1" applyBorder="1" applyAlignment="1">
      <alignment horizontal="center" vertical="center"/>
    </xf>
    <xf numFmtId="0" fontId="46" fillId="0" borderId="112" xfId="15" applyFont="1" applyFill="1" applyBorder="1" applyAlignment="1">
      <alignment horizontal="center" vertical="center"/>
    </xf>
    <xf numFmtId="0" fontId="46" fillId="0" borderId="64" xfId="15" applyFont="1" applyFill="1" applyBorder="1" applyAlignment="1">
      <alignment horizontal="center" vertical="center"/>
    </xf>
    <xf numFmtId="0" fontId="46" fillId="0" borderId="0" xfId="15" applyFont="1" applyFill="1" applyAlignment="1">
      <alignment vertical="center" wrapText="1"/>
    </xf>
    <xf numFmtId="170" fontId="67" fillId="0" borderId="67" xfId="15" applyNumberFormat="1" applyFont="1" applyFill="1" applyBorder="1" applyAlignment="1">
      <alignment horizontal="right" vertical="center"/>
    </xf>
    <xf numFmtId="170" fontId="45" fillId="0" borderId="67" xfId="15" applyNumberFormat="1" applyFont="1" applyFill="1" applyBorder="1" applyAlignment="1">
      <alignment horizontal="right" vertical="center"/>
    </xf>
    <xf numFmtId="0" fontId="47" fillId="0" borderId="0" xfId="15" applyFont="1" applyFill="1" applyAlignment="1">
      <alignment vertical="center" wrapText="1"/>
    </xf>
    <xf numFmtId="0" fontId="46" fillId="0" borderId="0" xfId="15" applyFont="1" applyFill="1" applyAlignment="1">
      <alignment vertical="center"/>
    </xf>
    <xf numFmtId="0" fontId="68" fillId="0" borderId="66" xfId="15" applyFont="1" applyFill="1" applyBorder="1" applyAlignment="1">
      <alignment horizontal="left" vertical="top" wrapText="1"/>
    </xf>
    <xf numFmtId="0" fontId="47" fillId="0" borderId="0" xfId="15" applyFont="1" applyFill="1" applyAlignment="1">
      <alignment vertical="center"/>
    </xf>
    <xf numFmtId="0" fontId="46" fillId="0" borderId="66" xfId="15" quotePrefix="1" applyFont="1" applyFill="1" applyBorder="1" applyAlignment="1">
      <alignment horizontal="left" vertical="top" wrapText="1"/>
    </xf>
    <xf numFmtId="0" fontId="47" fillId="0" borderId="66" xfId="15" quotePrefix="1" applyFont="1" applyFill="1" applyBorder="1" applyAlignment="1">
      <alignment horizontal="left" vertical="top" wrapText="1"/>
    </xf>
    <xf numFmtId="0" fontId="46" fillId="0" borderId="85" xfId="15" applyFont="1" applyFill="1" applyBorder="1" applyAlignment="1">
      <alignment horizontal="left" vertical="top" wrapText="1"/>
    </xf>
    <xf numFmtId="0" fontId="46" fillId="0" borderId="115" xfId="15" quotePrefix="1" applyFont="1" applyFill="1" applyBorder="1" applyAlignment="1">
      <alignment horizontal="left" vertical="top" wrapText="1"/>
    </xf>
    <xf numFmtId="0" fontId="46" fillId="0" borderId="84" xfId="15" quotePrefix="1" applyFont="1" applyFill="1" applyBorder="1" applyAlignment="1">
      <alignment horizontal="left" vertical="top" wrapText="1"/>
    </xf>
    <xf numFmtId="0" fontId="47" fillId="0" borderId="75" xfId="15" applyFont="1" applyFill="1" applyBorder="1" applyAlignment="1">
      <alignment horizontal="left" vertical="top" wrapText="1"/>
    </xf>
    <xf numFmtId="0" fontId="46" fillId="0" borderId="118" xfId="15" applyFont="1" applyFill="1" applyBorder="1" applyAlignment="1">
      <alignment horizontal="left" vertical="top" wrapText="1"/>
    </xf>
    <xf numFmtId="0" fontId="46" fillId="0" borderId="119" xfId="15" applyFont="1" applyFill="1" applyBorder="1" applyAlignment="1">
      <alignment horizontal="left" vertical="top" wrapText="1"/>
    </xf>
    <xf numFmtId="49" fontId="47" fillId="0" borderId="88" xfId="15" applyNumberFormat="1" applyFont="1" applyFill="1" applyBorder="1" applyAlignment="1">
      <alignment horizontal="center" vertical="top"/>
    </xf>
    <xf numFmtId="49" fontId="46" fillId="0" borderId="88" xfId="15" applyNumberFormat="1" applyFont="1" applyFill="1" applyBorder="1" applyAlignment="1">
      <alignment horizontal="center" vertical="top"/>
    </xf>
    <xf numFmtId="0" fontId="46" fillId="0" borderId="101" xfId="15" applyFont="1" applyFill="1" applyBorder="1" applyAlignment="1">
      <alignment horizontal="right" vertical="top" wrapText="1"/>
    </xf>
    <xf numFmtId="0" fontId="47" fillId="0" borderId="118" xfId="15" applyFont="1" applyFill="1" applyBorder="1" applyAlignment="1">
      <alignment horizontal="left" vertical="top" wrapText="1"/>
    </xf>
    <xf numFmtId="0" fontId="46" fillId="4" borderId="118" xfId="15" applyFont="1" applyFill="1" applyBorder="1" applyAlignment="1">
      <alignment horizontal="left" vertical="top" wrapText="1"/>
    </xf>
    <xf numFmtId="0" fontId="46" fillId="4" borderId="85" xfId="15" applyFont="1" applyFill="1" applyBorder="1" applyAlignment="1">
      <alignment horizontal="left" vertical="top" wrapText="1"/>
    </xf>
    <xf numFmtId="170" fontId="67" fillId="0" borderId="118" xfId="15" applyNumberFormat="1" applyFont="1" applyFill="1" applyBorder="1" applyAlignment="1">
      <alignment horizontal="right" vertical="center"/>
    </xf>
    <xf numFmtId="49" fontId="46" fillId="0" borderId="99" xfId="15" applyNumberFormat="1" applyFont="1" applyFill="1" applyBorder="1" applyAlignment="1">
      <alignment horizontal="center" vertical="top"/>
    </xf>
    <xf numFmtId="0" fontId="48" fillId="0" borderId="89" xfId="15" applyFont="1" applyFill="1" applyBorder="1" applyAlignment="1">
      <alignment horizontal="center" wrapText="1"/>
    </xf>
    <xf numFmtId="2" fontId="47" fillId="0" borderId="88" xfId="15" applyNumberFormat="1" applyFont="1" applyFill="1" applyBorder="1" applyAlignment="1">
      <alignment horizontal="center" vertical="top"/>
    </xf>
    <xf numFmtId="49" fontId="46" fillId="0" borderId="84" xfId="15" applyNumberFormat="1" applyFont="1" applyFill="1" applyBorder="1" applyAlignment="1">
      <alignment horizontal="center" vertical="top"/>
    </xf>
    <xf numFmtId="49" fontId="47" fillId="0" borderId="84" xfId="15" applyNumberFormat="1" applyFont="1" applyFill="1" applyBorder="1" applyAlignment="1">
      <alignment horizontal="center" vertical="top"/>
    </xf>
    <xf numFmtId="49" fontId="47" fillId="0" borderId="99" xfId="15" applyNumberFormat="1" applyFont="1" applyFill="1" applyBorder="1" applyAlignment="1">
      <alignment horizontal="center" vertical="top"/>
    </xf>
    <xf numFmtId="0" fontId="46" fillId="0" borderId="43" xfId="15" applyFont="1" applyFill="1" applyBorder="1" applyAlignment="1">
      <alignment horizontal="left" vertical="top" wrapText="1"/>
    </xf>
    <xf numFmtId="0" fontId="46" fillId="0" borderId="113" xfId="15" applyFont="1" applyFill="1" applyBorder="1" applyAlignment="1">
      <alignment horizontal="center" vertical="center"/>
    </xf>
    <xf numFmtId="0" fontId="16" fillId="0" borderId="43" xfId="5" applyFont="1" applyFill="1" applyBorder="1" applyAlignment="1">
      <alignment horizontal="left" vertical="center"/>
    </xf>
    <xf numFmtId="0" fontId="45" fillId="0" borderId="43" xfId="5" applyFont="1" applyFill="1" applyBorder="1" applyAlignment="1">
      <alignment horizontal="left" vertical="center"/>
    </xf>
    <xf numFmtId="0" fontId="46" fillId="0" borderId="66" xfId="15" applyFont="1" applyFill="1" applyBorder="1" applyAlignment="1">
      <alignment vertical="top" wrapText="1"/>
    </xf>
    <xf numFmtId="0" fontId="47" fillId="0" borderId="66" xfId="15" applyFont="1" applyFill="1" applyBorder="1" applyAlignment="1">
      <alignment vertical="top" wrapText="1"/>
    </xf>
    <xf numFmtId="0" fontId="19" fillId="0" borderId="97" xfId="5" applyFont="1" applyBorder="1" applyAlignment="1">
      <alignment horizontal="center" vertical="top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6" fillId="0" borderId="92" xfId="5" applyFont="1" applyFill="1" applyBorder="1" applyAlignment="1">
      <alignment horizontal="left" vertical="center"/>
    </xf>
    <xf numFmtId="0" fontId="33" fillId="0" borderId="95" xfId="5" applyFont="1" applyFill="1" applyBorder="1" applyAlignment="1">
      <alignment horizontal="left"/>
    </xf>
    <xf numFmtId="0" fontId="47" fillId="0" borderId="75" xfId="1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16" fillId="7" borderId="0" xfId="5" applyFill="1" applyAlignment="1">
      <alignment vertical="center"/>
    </xf>
    <xf numFmtId="0" fontId="33" fillId="7" borderId="0" xfId="5" applyFont="1" applyFill="1" applyBorder="1" applyAlignment="1">
      <alignment horizontal="left"/>
    </xf>
    <xf numFmtId="0" fontId="33" fillId="7" borderId="93" xfId="5" applyFont="1" applyFill="1" applyBorder="1" applyAlignment="1">
      <alignment horizontal="left" vertical="center"/>
    </xf>
    <xf numFmtId="0" fontId="36" fillId="7" borderId="93" xfId="5" applyFont="1" applyFill="1" applyBorder="1" applyAlignment="1">
      <alignment horizontal="left" vertical="center"/>
    </xf>
    <xf numFmtId="0" fontId="37" fillId="7" borderId="93" xfId="5" applyFont="1" applyFill="1" applyBorder="1" applyAlignment="1">
      <alignment horizontal="left" vertical="center"/>
    </xf>
    <xf numFmtId="0" fontId="36" fillId="7" borderId="94" xfId="5" applyFont="1" applyFill="1" applyBorder="1" applyAlignment="1">
      <alignment horizontal="left" vertical="center"/>
    </xf>
    <xf numFmtId="0" fontId="33" fillId="7" borderId="92" xfId="5" applyFont="1" applyFill="1" applyBorder="1" applyAlignment="1">
      <alignment horizontal="left" vertical="center"/>
    </xf>
    <xf numFmtId="0" fontId="37" fillId="7" borderId="0" xfId="5" applyFont="1" applyFill="1" applyBorder="1" applyAlignment="1">
      <alignment horizontal="left"/>
    </xf>
    <xf numFmtId="0" fontId="36" fillId="7" borderId="0" xfId="5" applyFont="1" applyFill="1" applyBorder="1" applyAlignment="1">
      <alignment horizontal="left" vertical="center"/>
    </xf>
    <xf numFmtId="0" fontId="37" fillId="7" borderId="0" xfId="5" applyFont="1" applyFill="1" applyBorder="1" applyAlignment="1">
      <alignment horizontal="left" vertical="center"/>
    </xf>
    <xf numFmtId="0" fontId="39" fillId="7" borderId="0" xfId="5" applyFont="1" applyFill="1" applyBorder="1" applyAlignment="1">
      <alignment horizontal="center" vertical="center"/>
    </xf>
    <xf numFmtId="0" fontId="57" fillId="7" borderId="97" xfId="5" applyFont="1" applyFill="1" applyBorder="1" applyAlignment="1">
      <alignment horizontal="left"/>
    </xf>
    <xf numFmtId="0" fontId="36" fillId="7" borderId="97" xfId="5" applyFont="1" applyFill="1" applyBorder="1" applyAlignment="1">
      <alignment horizontal="left" vertical="center"/>
    </xf>
    <xf numFmtId="0" fontId="37" fillId="7" borderId="97" xfId="5" applyFont="1" applyFill="1" applyBorder="1" applyAlignment="1">
      <alignment horizontal="left" vertical="center"/>
    </xf>
    <xf numFmtId="0" fontId="33" fillId="7" borderId="95" xfId="5" applyFont="1" applyFill="1" applyBorder="1" applyAlignment="1">
      <alignment vertical="center"/>
    </xf>
    <xf numFmtId="0" fontId="37" fillId="7" borderId="0" xfId="5" applyFont="1" applyFill="1" applyBorder="1" applyAlignment="1">
      <alignment horizontal="center" vertical="center"/>
    </xf>
    <xf numFmtId="0" fontId="43" fillId="0" borderId="95" xfId="5" applyFont="1" applyFill="1" applyBorder="1" applyAlignment="1">
      <alignment horizontal="left" vertical="center"/>
    </xf>
    <xf numFmtId="0" fontId="19" fillId="0" borderId="97" xfId="5" applyFont="1" applyFill="1" applyBorder="1" applyAlignment="1">
      <alignment horizontal="center" vertical="top"/>
    </xf>
    <xf numFmtId="0" fontId="13" fillId="7" borderId="65" xfId="5" applyFont="1" applyFill="1" applyBorder="1" applyAlignment="1" applyProtection="1">
      <alignment horizontal="center" wrapText="1"/>
      <protection locked="0"/>
    </xf>
    <xf numFmtId="0" fontId="30" fillId="0" borderId="29" xfId="5" applyFont="1" applyFill="1" applyBorder="1" applyAlignment="1">
      <alignment horizontal="left" vertical="center"/>
    </xf>
    <xf numFmtId="0" fontId="37" fillId="0" borderId="95" xfId="5" applyFont="1" applyFill="1" applyBorder="1" applyAlignment="1">
      <alignment horizontal="left" vertical="center"/>
    </xf>
    <xf numFmtId="0" fontId="33" fillId="0" borderId="91" xfId="5" applyFont="1" applyFill="1" applyBorder="1" applyAlignment="1">
      <alignment horizontal="left" vertical="center"/>
    </xf>
    <xf numFmtId="0" fontId="37" fillId="0" borderId="91" xfId="5" applyFont="1" applyFill="1" applyBorder="1" applyAlignment="1">
      <alignment horizontal="left" vertical="center"/>
    </xf>
    <xf numFmtId="0" fontId="30" fillId="7" borderId="0" xfId="5" applyFont="1" applyFill="1" applyBorder="1" applyAlignment="1">
      <alignment vertical="center"/>
    </xf>
    <xf numFmtId="0" fontId="16" fillId="7" borderId="0" xfId="5" applyFill="1" applyBorder="1" applyAlignment="1">
      <alignment vertical="center"/>
    </xf>
    <xf numFmtId="0" fontId="45" fillId="0" borderId="67" xfId="15" applyFont="1" applyFill="1" applyBorder="1" applyAlignment="1">
      <alignment horizontal="right" vertical="center" wrapText="1"/>
    </xf>
    <xf numFmtId="0" fontId="47" fillId="0" borderId="106" xfId="15" applyFont="1" applyFill="1" applyBorder="1" applyAlignment="1">
      <alignment horizontal="left" vertical="top" wrapText="1"/>
    </xf>
    <xf numFmtId="0" fontId="46" fillId="0" borderId="105" xfId="15" applyFont="1" applyFill="1" applyBorder="1" applyAlignment="1">
      <alignment horizontal="left" vertical="top" wrapText="1"/>
    </xf>
    <xf numFmtId="0" fontId="48" fillId="0" borderId="112" xfId="15" applyFont="1" applyFill="1" applyBorder="1" applyAlignment="1">
      <alignment horizontal="center" wrapText="1"/>
    </xf>
    <xf numFmtId="49" fontId="46" fillId="0" borderId="108" xfId="15" applyNumberFormat="1" applyFont="1" applyFill="1" applyBorder="1" applyAlignment="1">
      <alignment horizontal="center" vertical="top"/>
    </xf>
    <xf numFmtId="49" fontId="46" fillId="0" borderId="134" xfId="15" applyNumberFormat="1" applyFont="1" applyFill="1" applyBorder="1" applyAlignment="1">
      <alignment horizontal="center" vertical="top"/>
    </xf>
    <xf numFmtId="0" fontId="46" fillId="0" borderId="72" xfId="15" applyFont="1" applyFill="1" applyBorder="1" applyAlignment="1">
      <alignment horizontal="left" vertical="top" wrapText="1"/>
    </xf>
    <xf numFmtId="170" fontId="45" fillId="0" borderId="109" xfId="15" applyNumberFormat="1" applyFont="1" applyFill="1" applyBorder="1" applyAlignment="1">
      <alignment horizontal="right" vertical="center"/>
    </xf>
    <xf numFmtId="170" fontId="45" fillId="0" borderId="89" xfId="15" applyNumberFormat="1" applyFont="1" applyFill="1" applyBorder="1" applyAlignment="1">
      <alignment horizontal="right" vertical="center"/>
    </xf>
    <xf numFmtId="170" fontId="45" fillId="0" borderId="102" xfId="15" applyNumberFormat="1" applyFont="1" applyFill="1" applyBorder="1" applyAlignment="1">
      <alignment horizontal="right" vertical="center"/>
    </xf>
    <xf numFmtId="0" fontId="47" fillId="0" borderId="104" xfId="15" applyFont="1" applyFill="1" applyBorder="1" applyAlignment="1">
      <alignment horizontal="center" vertical="center" wrapText="1"/>
    </xf>
    <xf numFmtId="0" fontId="47" fillId="0" borderId="84" xfId="15" applyFont="1" applyFill="1" applyBorder="1" applyAlignment="1">
      <alignment horizontal="center" vertical="center" wrapText="1"/>
    </xf>
    <xf numFmtId="0" fontId="47" fillId="0" borderId="66" xfId="15" applyFont="1" applyFill="1" applyBorder="1" applyAlignment="1">
      <alignment horizontal="right" vertical="top" wrapText="1"/>
    </xf>
    <xf numFmtId="170" fontId="45" fillId="0" borderId="43" xfId="15" applyNumberFormat="1" applyFont="1" applyFill="1" applyBorder="1" applyAlignment="1">
      <alignment horizontal="right" vertical="center"/>
    </xf>
    <xf numFmtId="170" fontId="45" fillId="0" borderId="88" xfId="15" applyNumberFormat="1" applyFont="1" applyFill="1" applyBorder="1" applyAlignment="1">
      <alignment horizontal="right" vertical="center"/>
    </xf>
    <xf numFmtId="170" fontId="45" fillId="0" borderId="73" xfId="15" applyNumberFormat="1" applyFont="1" applyFill="1" applyBorder="1" applyAlignment="1">
      <alignment horizontal="right" vertical="center"/>
    </xf>
    <xf numFmtId="170" fontId="67" fillId="0" borderId="43" xfId="15" applyNumberFormat="1" applyFont="1" applyFill="1" applyBorder="1" applyAlignment="1">
      <alignment horizontal="right" vertical="center"/>
    </xf>
    <xf numFmtId="170" fontId="67" fillId="0" borderId="88" xfId="15" applyNumberFormat="1" applyFont="1" applyFill="1" applyBorder="1" applyAlignment="1">
      <alignment horizontal="right" vertical="center"/>
    </xf>
    <xf numFmtId="170" fontId="67" fillId="0" borderId="89" xfId="15" applyNumberFormat="1" applyFont="1" applyFill="1" applyBorder="1" applyAlignment="1">
      <alignment horizontal="right" vertical="center"/>
    </xf>
    <xf numFmtId="170" fontId="67" fillId="0" borderId="102" xfId="15" applyNumberFormat="1" applyFont="1" applyFill="1" applyBorder="1" applyAlignment="1">
      <alignment horizontal="right" vertical="center"/>
    </xf>
    <xf numFmtId="0" fontId="47" fillId="0" borderId="43" xfId="15" applyFont="1" applyFill="1" applyBorder="1" applyAlignment="1">
      <alignment horizontal="left" vertical="top" wrapText="1"/>
    </xf>
    <xf numFmtId="0" fontId="46" fillId="0" borderId="66" xfId="15" applyFont="1" applyFill="1" applyBorder="1" applyAlignment="1">
      <alignment horizontal="right" vertical="top" wrapText="1"/>
    </xf>
    <xf numFmtId="0" fontId="46" fillId="0" borderId="115" xfId="15" applyFont="1" applyFill="1" applyBorder="1" applyAlignment="1">
      <alignment horizontal="left" vertical="top" wrapText="1"/>
    </xf>
    <xf numFmtId="0" fontId="46" fillId="0" borderId="84" xfId="15" applyFont="1" applyFill="1" applyBorder="1" applyAlignment="1">
      <alignment horizontal="left" vertical="top" wrapText="1"/>
    </xf>
    <xf numFmtId="49" fontId="46" fillId="0" borderId="71" xfId="15" applyNumberFormat="1" applyFont="1" applyFill="1" applyBorder="1" applyAlignment="1">
      <alignment horizontal="center" vertical="top"/>
    </xf>
    <xf numFmtId="0" fontId="47" fillId="0" borderId="115" xfId="15" applyFont="1" applyFill="1" applyBorder="1" applyAlignment="1">
      <alignment horizontal="left" vertical="top" wrapText="1"/>
    </xf>
    <xf numFmtId="0" fontId="47" fillId="0" borderId="84" xfId="15" applyFont="1" applyFill="1" applyBorder="1" applyAlignment="1">
      <alignment horizontal="left" vertical="top" wrapText="1"/>
    </xf>
    <xf numFmtId="49" fontId="47" fillId="0" borderId="71" xfId="15" applyNumberFormat="1" applyFont="1" applyFill="1" applyBorder="1" applyAlignment="1">
      <alignment horizontal="center" vertical="top"/>
    </xf>
    <xf numFmtId="170" fontId="45" fillId="0" borderId="99" xfId="15" applyNumberFormat="1" applyFont="1" applyFill="1" applyBorder="1" applyAlignment="1">
      <alignment horizontal="right" vertical="center"/>
    </xf>
    <xf numFmtId="170" fontId="67" fillId="0" borderId="116" xfId="15" applyNumberFormat="1" applyFont="1" applyFill="1" applyBorder="1" applyAlignment="1">
      <alignment horizontal="right" vertical="center"/>
    </xf>
    <xf numFmtId="0" fontId="46" fillId="0" borderId="72" xfId="15" applyFont="1" applyFill="1" applyBorder="1" applyAlignment="1">
      <alignment horizontal="right" vertical="top" wrapText="1"/>
    </xf>
    <xf numFmtId="0" fontId="46" fillId="0" borderId="106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right" vertical="top" wrapText="1"/>
    </xf>
    <xf numFmtId="0" fontId="46" fillId="0" borderId="70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left" vertical="top" wrapText="1"/>
    </xf>
    <xf numFmtId="0" fontId="47" fillId="0" borderId="66" xfId="15" applyFont="1" applyFill="1" applyBorder="1" applyAlignment="1">
      <alignment horizontal="left" vertical="top" wrapText="1"/>
    </xf>
    <xf numFmtId="0" fontId="47" fillId="0" borderId="43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89" xfId="15" applyFont="1" applyFill="1" applyBorder="1" applyAlignment="1">
      <alignment horizontal="center" vertical="center" wrapText="1"/>
    </xf>
    <xf numFmtId="0" fontId="45" fillId="0" borderId="87" xfId="5" applyFont="1" applyFill="1" applyBorder="1" applyAlignment="1">
      <alignment horizontal="left" vertical="center"/>
    </xf>
    <xf numFmtId="0" fontId="47" fillId="0" borderId="85" xfId="15" applyFont="1" applyFill="1" applyBorder="1" applyAlignment="1">
      <alignment horizontal="left" vertical="top" wrapText="1"/>
    </xf>
    <xf numFmtId="0" fontId="6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3" fillId="0" borderId="0" xfId="23" applyProtection="1">
      <alignment vertical="top" readingOrder="3"/>
    </xf>
    <xf numFmtId="43" fontId="73" fillId="0" borderId="0" xfId="23" applyNumberFormat="1" applyProtection="1">
      <alignment vertical="top" readingOrder="3"/>
    </xf>
    <xf numFmtId="0" fontId="73" fillId="0" borderId="0" xfId="23" applyNumberFormat="1" applyProtection="1">
      <alignment vertical="top" readingOrder="3"/>
    </xf>
    <xf numFmtId="49" fontId="73" fillId="0" borderId="0" xfId="23" applyNumberFormat="1" applyProtection="1">
      <alignment vertical="top" readingOrder="3"/>
    </xf>
    <xf numFmtId="0" fontId="43" fillId="0" borderId="0" xfId="23" applyFont="1" applyProtection="1">
      <alignment vertical="top" readingOrder="3"/>
    </xf>
    <xf numFmtId="0" fontId="43" fillId="0" borderId="0" xfId="23" applyFont="1" applyAlignment="1" applyProtection="1">
      <alignment vertical="top" wrapText="1"/>
    </xf>
    <xf numFmtId="0" fontId="76" fillId="10" borderId="139" xfId="22" applyFont="1" applyAlignment="1" applyProtection="1">
      <alignment vertical="top" wrapText="1"/>
    </xf>
    <xf numFmtId="175" fontId="73" fillId="0" borderId="0" xfId="24" applyNumberFormat="1" applyFont="1" applyAlignment="1" applyProtection="1">
      <alignment vertical="top" readingOrder="3"/>
    </xf>
    <xf numFmtId="43" fontId="43" fillId="0" borderId="0" xfId="23" applyNumberFormat="1" applyFont="1" applyProtection="1">
      <alignment vertical="top" readingOrder="3"/>
    </xf>
    <xf numFmtId="2" fontId="77" fillId="0" borderId="0" xfId="2" applyNumberFormat="1" applyFont="1"/>
    <xf numFmtId="41" fontId="13" fillId="0" borderId="0" xfId="2" applyNumberFormat="1" applyFont="1"/>
    <xf numFmtId="2" fontId="13" fillId="0" borderId="0" xfId="2" applyNumberFormat="1" applyFont="1"/>
    <xf numFmtId="49" fontId="13" fillId="0" borderId="0" xfId="2" applyNumberFormat="1" applyFont="1"/>
    <xf numFmtId="41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 vertical="center"/>
    </xf>
    <xf numFmtId="2" fontId="19" fillId="0" borderId="0" xfId="0" applyNumberFormat="1" applyFont="1" applyFill="1" applyBorder="1" applyAlignment="1" applyProtection="1">
      <alignment horizontal="center" vertical="center"/>
    </xf>
    <xf numFmtId="0" fontId="19" fillId="0" borderId="59" xfId="0" applyNumberFormat="1" applyFont="1" applyFill="1" applyBorder="1" applyAlignment="1" applyProtection="1">
      <alignment horizontal="center" vertical="center"/>
    </xf>
    <xf numFmtId="0" fontId="19" fillId="0" borderId="59" xfId="0" applyNumberFormat="1" applyFont="1" applyFill="1" applyBorder="1" applyAlignment="1" applyProtection="1">
      <alignment vertical="top"/>
    </xf>
    <xf numFmtId="0" fontId="13" fillId="0" borderId="59" xfId="2" applyNumberFormat="1" applyFont="1" applyBorder="1" applyAlignment="1">
      <alignment horizontal="center" vertical="center"/>
    </xf>
    <xf numFmtId="2" fontId="13" fillId="0" borderId="59" xfId="2" applyNumberFormat="1" applyFont="1" applyBorder="1" applyAlignment="1">
      <alignment horizontal="center" vertical="center"/>
    </xf>
    <xf numFmtId="41" fontId="19" fillId="0" borderId="59" xfId="2" applyNumberFormat="1" applyFont="1" applyFill="1" applyBorder="1"/>
    <xf numFmtId="0" fontId="19" fillId="0" borderId="59" xfId="2" applyNumberFormat="1" applyFont="1" applyFill="1" applyBorder="1" applyAlignment="1">
      <alignment horizontal="center" vertical="center"/>
    </xf>
    <xf numFmtId="2" fontId="19" fillId="0" borderId="59" xfId="2" applyNumberFormat="1" applyFont="1" applyFill="1" applyBorder="1" applyAlignment="1">
      <alignment horizontal="center" vertical="center"/>
    </xf>
    <xf numFmtId="49" fontId="13" fillId="0" borderId="62" xfId="2" quotePrefix="1" applyNumberFormat="1" applyFont="1" applyFill="1" applyBorder="1" applyAlignment="1">
      <alignment horizontal="center" vertical="center"/>
    </xf>
    <xf numFmtId="41" fontId="13" fillId="0" borderId="59" xfId="2" applyNumberFormat="1" applyFont="1" applyBorder="1" applyAlignment="1">
      <alignment vertical="center"/>
    </xf>
    <xf numFmtId="49" fontId="13" fillId="4" borderId="62" xfId="2" quotePrefix="1" applyNumberFormat="1" applyFont="1" applyFill="1" applyBorder="1" applyAlignment="1" applyProtection="1">
      <alignment horizontal="center" vertical="center"/>
    </xf>
    <xf numFmtId="41" fontId="14" fillId="0" borderId="59" xfId="2" applyNumberFormat="1" applyFont="1" applyBorder="1" applyAlignment="1">
      <alignment vertical="center"/>
    </xf>
    <xf numFmtId="41" fontId="71" fillId="6" borderId="118" xfId="20" applyNumberFormat="1" applyFont="1" applyFill="1" applyBorder="1" applyAlignment="1" applyProtection="1">
      <alignment horizontal="center" vertical="center" wrapText="1"/>
    </xf>
    <xf numFmtId="43" fontId="13" fillId="0" borderId="0" xfId="2" applyNumberFormat="1" applyFont="1"/>
    <xf numFmtId="0" fontId="78" fillId="0" borderId="0" xfId="0" applyFont="1" applyAlignment="1">
      <alignment horizontal="right"/>
    </xf>
    <xf numFmtId="0" fontId="78" fillId="0" borderId="0" xfId="0" applyFont="1" applyAlignment="1">
      <alignment horizontal="center"/>
    </xf>
    <xf numFmtId="0" fontId="19" fillId="0" borderId="0" xfId="0" applyFont="1"/>
    <xf numFmtId="0" fontId="79" fillId="0" borderId="0" xfId="0" applyFont="1"/>
    <xf numFmtId="0" fontId="80" fillId="0" borderId="0" xfId="0" applyFont="1" applyAlignment="1">
      <alignment horizontal="right"/>
    </xf>
    <xf numFmtId="0" fontId="80" fillId="0" borderId="0" xfId="0" applyFont="1"/>
    <xf numFmtId="3" fontId="81" fillId="0" borderId="0" xfId="0" applyNumberFormat="1" applyFont="1"/>
    <xf numFmtId="174" fontId="72" fillId="0" borderId="0" xfId="0" applyNumberFormat="1" applyFont="1" applyBorder="1" applyAlignment="1" applyProtection="1">
      <alignment horizontal="left" vertical="top" readingOrder="3"/>
    </xf>
    <xf numFmtId="174" fontId="74" fillId="0" borderId="51" xfId="0" applyNumberFormat="1" applyFont="1" applyBorder="1" applyAlignment="1" applyProtection="1">
      <alignment horizontal="left" vertical="top" readingOrder="3"/>
    </xf>
    <xf numFmtId="174" fontId="73" fillId="0" borderId="51" xfId="0" applyNumberFormat="1" applyFont="1" applyBorder="1" applyAlignment="1" applyProtection="1">
      <alignment horizontal="left" vertical="top" readingOrder="3"/>
    </xf>
    <xf numFmtId="174" fontId="73" fillId="0" borderId="19" xfId="0" applyNumberFormat="1" applyFont="1" applyBorder="1" applyAlignment="1" applyProtection="1">
      <alignment horizontal="left" vertical="top" readingOrder="3"/>
    </xf>
    <xf numFmtId="174" fontId="74" fillId="0" borderId="0" xfId="0" applyNumberFormat="1" applyFont="1" applyBorder="1" applyAlignment="1" applyProtection="1">
      <alignment horizontal="left" vertical="top" readingOrder="3"/>
    </xf>
    <xf numFmtId="174" fontId="73" fillId="0" borderId="0" xfId="0" applyNumberFormat="1" applyFont="1" applyBorder="1" applyAlignment="1" applyProtection="1">
      <alignment horizontal="left" vertical="top" readingOrder="3"/>
    </xf>
    <xf numFmtId="174" fontId="74" fillId="0" borderId="99" xfId="0" applyNumberFormat="1" applyFont="1" applyBorder="1" applyAlignment="1" applyProtection="1">
      <alignment horizontal="left" vertical="top" readingOrder="3"/>
    </xf>
    <xf numFmtId="0" fontId="0" fillId="0" borderId="0" xfId="0" applyAlignment="1" applyProtection="1">
      <alignment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0" fontId="14" fillId="3" borderId="0" xfId="2" applyFont="1" applyFill="1" applyAlignment="1">
      <alignment horizontal="left"/>
    </xf>
    <xf numFmtId="0" fontId="0" fillId="0" borderId="0" xfId="0" applyAlignment="1" applyProtection="1">
      <alignment horizontal="left" vertical="center" indent="4"/>
      <protection locked="0"/>
    </xf>
    <xf numFmtId="0" fontId="8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2" fillId="0" borderId="0" xfId="0" applyFont="1" applyAlignment="1" applyProtection="1">
      <protection locked="0"/>
    </xf>
    <xf numFmtId="0" fontId="82" fillId="0" borderId="0" xfId="0" applyFont="1" applyProtection="1">
      <protection locked="0"/>
    </xf>
    <xf numFmtId="0" fontId="8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6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86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2" fillId="0" borderId="0" xfId="0" applyFont="1" applyBorder="1" applyAlignment="1" applyProtection="1">
      <alignment horizontal="center" wrapText="1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86" fillId="0" borderId="0" xfId="0" applyFont="1" applyAlignment="1" applyProtection="1">
      <protection locked="0"/>
    </xf>
    <xf numFmtId="0" fontId="0" fillId="0" borderId="93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82" fillId="0" borderId="97" xfId="0" applyFont="1" applyBorder="1" applyAlignment="1" applyProtection="1">
      <alignment horizontal="justify" vertical="top" wrapText="1"/>
      <protection locked="0"/>
    </xf>
    <xf numFmtId="0" fontId="86" fillId="0" borderId="0" xfId="0" applyFont="1" applyAlignment="1" applyProtection="1">
      <alignment horizontal="left" vertical="top"/>
      <protection locked="0"/>
    </xf>
    <xf numFmtId="0" fontId="82" fillId="0" borderId="0" xfId="0" applyFont="1" applyBorder="1" applyAlignment="1" applyProtection="1">
      <alignment horizontal="left" vertical="center" wrapText="1"/>
      <protection locked="0"/>
    </xf>
    <xf numFmtId="0" fontId="86" fillId="0" borderId="0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/>
      <protection locked="0"/>
    </xf>
    <xf numFmtId="3" fontId="91" fillId="0" borderId="84" xfId="0" applyNumberFormat="1" applyFont="1" applyBorder="1" applyAlignment="1" applyProtection="1">
      <alignment horizontal="right" indent="1"/>
      <protection locked="0"/>
    </xf>
    <xf numFmtId="3" fontId="91" fillId="0" borderId="87" xfId="0" applyNumberFormat="1" applyFont="1" applyBorder="1" applyAlignment="1" applyProtection="1">
      <alignment horizontal="right" indent="1"/>
      <protection locked="0"/>
    </xf>
    <xf numFmtId="3" fontId="88" fillId="0" borderId="87" xfId="0" applyNumberFormat="1" applyFont="1" applyBorder="1" applyAlignment="1" applyProtection="1">
      <alignment horizontal="right" indent="1"/>
      <protection locked="0"/>
    </xf>
    <xf numFmtId="3" fontId="88" fillId="0" borderId="108" xfId="0" applyNumberFormat="1" applyFont="1" applyBorder="1" applyAlignment="1" applyProtection="1">
      <alignment horizontal="right" indent="1"/>
      <protection locked="0"/>
    </xf>
    <xf numFmtId="0" fontId="82" fillId="0" borderId="0" xfId="0" applyFont="1" applyBorder="1" applyProtection="1">
      <protection locked="0"/>
    </xf>
    <xf numFmtId="0" fontId="86" fillId="0" borderId="0" xfId="0" applyFont="1" applyAlignment="1" applyProtection="1">
      <alignment horizontal="justify" vertical="top" wrapText="1"/>
      <protection locked="0"/>
    </xf>
    <xf numFmtId="0" fontId="9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37" fillId="0" borderId="0" xfId="5" applyFont="1" applyFill="1" applyBorder="1" applyAlignment="1" applyProtection="1">
      <alignment horizontal="center" vertical="center"/>
      <protection locked="0"/>
    </xf>
    <xf numFmtId="0" fontId="0" fillId="0" borderId="93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 vertical="center"/>
      <protection locked="0"/>
    </xf>
    <xf numFmtId="0" fontId="94" fillId="0" borderId="0" xfId="0" applyFont="1" applyAlignment="1"/>
    <xf numFmtId="0" fontId="95" fillId="0" borderId="0" xfId="0" applyFont="1" applyProtection="1"/>
    <xf numFmtId="43" fontId="95" fillId="0" borderId="0" xfId="0" applyNumberFormat="1" applyFont="1" applyProtection="1"/>
    <xf numFmtId="0" fontId="0" fillId="0" borderId="0" xfId="0" applyBorder="1" applyAlignment="1" applyProtection="1">
      <alignment horizontal="center" vertical="center"/>
      <protection locked="0"/>
    </xf>
    <xf numFmtId="2" fontId="0" fillId="0" borderId="0" xfId="0" applyNumberFormat="1"/>
    <xf numFmtId="49" fontId="13" fillId="7" borderId="67" xfId="5" applyNumberFormat="1" applyFont="1" applyFill="1" applyBorder="1" applyAlignment="1" applyProtection="1">
      <alignment horizontal="right"/>
      <protection locked="0"/>
    </xf>
    <xf numFmtId="49" fontId="13" fillId="7" borderId="67" xfId="5" applyNumberFormat="1" applyFont="1" applyFill="1" applyBorder="1" applyAlignment="1" applyProtection="1">
      <alignment horizontal="center"/>
      <protection locked="0"/>
    </xf>
    <xf numFmtId="3" fontId="0" fillId="0" borderId="0" xfId="0" applyNumberFormat="1"/>
    <xf numFmtId="0" fontId="0" fillId="0" borderId="0" xfId="0" applyAlignment="1" applyProtection="1">
      <alignment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0" fontId="73" fillId="0" borderId="0" xfId="0" applyFont="1" applyProtection="1"/>
    <xf numFmtId="43" fontId="73" fillId="0" borderId="0" xfId="0" applyNumberFormat="1" applyFont="1" applyProtection="1"/>
    <xf numFmtId="0" fontId="56" fillId="0" borderId="87" xfId="12" applyBorder="1" applyAlignment="1" applyProtection="1"/>
    <xf numFmtId="0" fontId="19" fillId="0" borderId="89" xfId="5" applyFont="1" applyBorder="1"/>
    <xf numFmtId="0" fontId="54" fillId="0" borderId="0" xfId="6" applyFont="1" applyFill="1" applyBorder="1" applyAlignment="1" applyProtection="1">
      <alignment horizontal="left" vertical="center" wrapText="1" indent="1"/>
      <protection hidden="1"/>
    </xf>
    <xf numFmtId="0" fontId="14" fillId="6" borderId="90" xfId="5" applyFont="1" applyFill="1" applyBorder="1" applyAlignment="1">
      <alignment horizontal="center" vertical="center" wrapText="1"/>
    </xf>
    <xf numFmtId="0" fontId="14" fillId="6" borderId="91" xfId="5" applyFont="1" applyFill="1" applyBorder="1" applyAlignment="1">
      <alignment horizontal="center" vertical="center" wrapText="1"/>
    </xf>
    <xf numFmtId="0" fontId="13" fillId="7" borderId="127" xfId="5" applyFont="1" applyFill="1" applyBorder="1" applyAlignment="1">
      <alignment horizontal="left" vertical="top" wrapText="1"/>
    </xf>
    <xf numFmtId="0" fontId="13" fillId="7" borderId="114" xfId="5" applyFont="1" applyFill="1" applyBorder="1" applyAlignment="1">
      <alignment horizontal="left" vertical="top" wrapText="1"/>
    </xf>
    <xf numFmtId="0" fontId="13" fillId="7" borderId="58" xfId="5" applyFont="1" applyFill="1" applyBorder="1" applyAlignment="1">
      <alignment horizontal="left" vertical="top" wrapText="1"/>
    </xf>
    <xf numFmtId="0" fontId="7" fillId="0" borderId="7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7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7" fillId="0" borderId="8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24" fillId="0" borderId="82" xfId="0" applyNumberFormat="1" applyFont="1" applyBorder="1" applyAlignment="1">
      <alignment horizontal="center"/>
    </xf>
    <xf numFmtId="0" fontId="25" fillId="0" borderId="81" xfId="0" applyNumberFormat="1" applyFont="1" applyBorder="1" applyAlignment="1">
      <alignment horizontal="center"/>
    </xf>
    <xf numFmtId="0" fontId="7" fillId="0" borderId="84" xfId="0" applyFont="1" applyBorder="1" applyAlignment="1">
      <alignment horizontal="center"/>
    </xf>
    <xf numFmtId="0" fontId="7" fillId="0" borderId="85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8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2" fontId="73" fillId="0" borderId="0" xfId="0" applyNumberFormat="1" applyFont="1" applyBorder="1" applyAlignment="1" applyProtection="1">
      <alignment horizontal="right" vertical="top" readingOrder="3"/>
    </xf>
    <xf numFmtId="0" fontId="0" fillId="0" borderId="0" xfId="0" applyAlignment="1" applyProtection="1">
      <alignment vertical="top" readingOrder="3"/>
    </xf>
    <xf numFmtId="174" fontId="73" fillId="0" borderId="0" xfId="0" applyNumberFormat="1" applyFont="1" applyBorder="1" applyAlignment="1" applyProtection="1">
      <alignment horizontal="right"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2" fontId="73" fillId="0" borderId="119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2" fontId="73" fillId="0" borderId="99" xfId="0" applyNumberFormat="1" applyFont="1" applyBorder="1" applyAlignment="1" applyProtection="1">
      <alignment horizontal="right"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2" fontId="74" fillId="0" borderId="99" xfId="0" applyNumberFormat="1" applyFont="1" applyBorder="1" applyAlignment="1" applyProtection="1">
      <alignment horizontal="right" vertical="top" readingOrder="3"/>
    </xf>
    <xf numFmtId="3" fontId="18" fillId="0" borderId="0" xfId="2" applyNumberFormat="1" applyFont="1" applyFill="1" applyAlignment="1">
      <alignment horizontal="left" vertical="center" wrapText="1"/>
    </xf>
    <xf numFmtId="3" fontId="18" fillId="0" borderId="0" xfId="2" applyNumberFormat="1" applyFont="1" applyFill="1" applyAlignment="1">
      <alignment vertical="center" wrapText="1"/>
    </xf>
    <xf numFmtId="3" fontId="18" fillId="0" borderId="0" xfId="2" applyNumberFormat="1" applyFont="1" applyFill="1" applyAlignment="1">
      <alignment horizontal="left" vertical="top" wrapText="1"/>
    </xf>
    <xf numFmtId="0" fontId="17" fillId="4" borderId="0" xfId="2" applyFont="1" applyFill="1" applyBorder="1" applyAlignment="1">
      <alignment horizontal="center" vertical="center"/>
    </xf>
    <xf numFmtId="0" fontId="65" fillId="0" borderId="0" xfId="19" applyFont="1" applyFill="1" applyAlignment="1" applyProtection="1">
      <alignment horizontal="left" vertical="center"/>
    </xf>
    <xf numFmtId="0" fontId="17" fillId="0" borderId="0" xfId="2" applyFont="1" applyFill="1" applyBorder="1" applyAlignment="1">
      <alignment horizontal="center" vertical="center"/>
    </xf>
    <xf numFmtId="3" fontId="91" fillId="0" borderId="87" xfId="0" applyNumberFormat="1" applyFont="1" applyBorder="1" applyAlignment="1" applyProtection="1">
      <alignment horizontal="center"/>
      <protection locked="0"/>
    </xf>
    <xf numFmtId="3" fontId="91" fillId="0" borderId="102" xfId="0" applyNumberFormat="1" applyFont="1" applyBorder="1" applyAlignment="1" applyProtection="1">
      <alignment horizontal="center"/>
      <protection locked="0"/>
    </xf>
    <xf numFmtId="3" fontId="88" fillId="0" borderId="87" xfId="0" applyNumberFormat="1" applyFont="1" applyBorder="1" applyAlignment="1" applyProtection="1">
      <alignment horizontal="center"/>
      <protection locked="0"/>
    </xf>
    <xf numFmtId="3" fontId="88" fillId="0" borderId="102" xfId="0" applyNumberFormat="1" applyFont="1" applyBorder="1" applyAlignment="1" applyProtection="1">
      <alignment horizontal="center"/>
      <protection locked="0"/>
    </xf>
    <xf numFmtId="3" fontId="88" fillId="0" borderId="108" xfId="0" applyNumberFormat="1" applyFont="1" applyBorder="1" applyAlignment="1" applyProtection="1">
      <alignment horizontal="center"/>
      <protection locked="0"/>
    </xf>
    <xf numFmtId="3" fontId="88" fillId="0" borderId="107" xfId="0" applyNumberFormat="1" applyFont="1" applyBorder="1" applyAlignment="1" applyProtection="1">
      <alignment horizontal="center"/>
      <protection locked="0"/>
    </xf>
    <xf numFmtId="0" fontId="8" fillId="0" borderId="108" xfId="0" applyFont="1" applyBorder="1" applyAlignment="1" applyProtection="1">
      <alignment horizontal="center"/>
      <protection locked="0"/>
    </xf>
    <xf numFmtId="0" fontId="8" fillId="0" borderId="134" xfId="0" applyFont="1" applyBorder="1" applyAlignment="1" applyProtection="1">
      <alignment horizontal="center"/>
      <protection locked="0"/>
    </xf>
    <xf numFmtId="0" fontId="8" fillId="0" borderId="109" xfId="0" applyFont="1" applyBorder="1" applyAlignment="1" applyProtection="1">
      <alignment horizontal="center"/>
      <protection locked="0"/>
    </xf>
    <xf numFmtId="3" fontId="91" fillId="0" borderId="111" xfId="0" applyNumberFormat="1" applyFont="1" applyBorder="1" applyAlignment="1" applyProtection="1">
      <alignment horizontal="center"/>
      <protection locked="0"/>
    </xf>
    <xf numFmtId="3" fontId="91" fillId="0" borderId="113" xfId="0" applyNumberFormat="1" applyFont="1" applyBorder="1" applyAlignment="1" applyProtection="1">
      <alignment horizontal="center"/>
      <protection locked="0"/>
    </xf>
    <xf numFmtId="3" fontId="91" fillId="0" borderId="112" xfId="0" applyNumberFormat="1" applyFont="1" applyBorder="1" applyAlignment="1" applyProtection="1">
      <alignment horizontal="center"/>
      <protection locked="0"/>
    </xf>
    <xf numFmtId="3" fontId="91" fillId="0" borderId="88" xfId="0" applyNumberFormat="1" applyFont="1" applyBorder="1" applyAlignment="1" applyProtection="1">
      <alignment horizontal="center"/>
      <protection locked="0"/>
    </xf>
    <xf numFmtId="3" fontId="91" fillId="0" borderId="89" xfId="0" applyNumberFormat="1" applyFont="1" applyBorder="1" applyAlignment="1" applyProtection="1">
      <alignment horizontal="center"/>
      <protection locked="0"/>
    </xf>
    <xf numFmtId="3" fontId="88" fillId="0" borderId="88" xfId="0" applyNumberFormat="1" applyFont="1" applyBorder="1" applyAlignment="1" applyProtection="1">
      <alignment horizontal="center"/>
      <protection locked="0"/>
    </xf>
    <xf numFmtId="3" fontId="88" fillId="0" borderId="89" xfId="0" applyNumberFormat="1" applyFont="1" applyBorder="1" applyAlignment="1" applyProtection="1">
      <alignment horizontal="center"/>
      <protection locked="0"/>
    </xf>
    <xf numFmtId="3" fontId="88" fillId="0" borderId="134" xfId="0" applyNumberFormat="1" applyFont="1" applyBorder="1" applyAlignment="1" applyProtection="1">
      <alignment horizontal="center"/>
      <protection locked="0"/>
    </xf>
    <xf numFmtId="3" fontId="88" fillId="0" borderId="109" xfId="0" applyNumberFormat="1" applyFont="1" applyBorder="1" applyAlignment="1" applyProtection="1">
      <alignment horizontal="center"/>
      <protection locked="0"/>
    </xf>
    <xf numFmtId="3" fontId="91" fillId="0" borderId="111" xfId="0" applyNumberFormat="1" applyFont="1" applyBorder="1" applyAlignment="1" applyProtection="1">
      <alignment horizontal="center" vertical="center"/>
      <protection locked="0"/>
    </xf>
    <xf numFmtId="3" fontId="91" fillId="0" borderId="113" xfId="0" applyNumberFormat="1" applyFont="1" applyBorder="1" applyAlignment="1" applyProtection="1">
      <alignment horizontal="center" vertical="center"/>
      <protection locked="0"/>
    </xf>
    <xf numFmtId="3" fontId="91" fillId="0" borderId="110" xfId="0" applyNumberFormat="1" applyFont="1" applyBorder="1" applyAlignment="1" applyProtection="1">
      <alignment horizontal="center" vertical="center"/>
      <protection locked="0"/>
    </xf>
    <xf numFmtId="3" fontId="91" fillId="0" borderId="87" xfId="0" applyNumberFormat="1" applyFont="1" applyBorder="1" applyAlignment="1" applyProtection="1">
      <alignment horizontal="center" vertical="center"/>
      <protection locked="0"/>
    </xf>
    <xf numFmtId="3" fontId="91" fillId="0" borderId="88" xfId="0" applyNumberFormat="1" applyFont="1" applyBorder="1" applyAlignment="1" applyProtection="1">
      <alignment horizontal="center" vertical="center"/>
      <protection locked="0"/>
    </xf>
    <xf numFmtId="3" fontId="91" fillId="0" borderId="102" xfId="0" applyNumberFormat="1" applyFont="1" applyBorder="1" applyAlignment="1" applyProtection="1">
      <alignment horizontal="center" vertical="center"/>
      <protection locked="0"/>
    </xf>
    <xf numFmtId="3" fontId="91" fillId="0" borderId="108" xfId="0" applyNumberFormat="1" applyFont="1" applyBorder="1" applyAlignment="1" applyProtection="1">
      <alignment horizontal="center" vertical="center"/>
      <protection locked="0"/>
    </xf>
    <xf numFmtId="3" fontId="91" fillId="0" borderId="134" xfId="0" applyNumberFormat="1" applyFont="1" applyBorder="1" applyAlignment="1" applyProtection="1">
      <alignment horizontal="center" vertical="center"/>
      <protection locked="0"/>
    </xf>
    <xf numFmtId="3" fontId="91" fillId="0" borderId="107" xfId="0" applyNumberFormat="1" applyFont="1" applyBorder="1" applyAlignment="1" applyProtection="1">
      <alignment horizontal="center" vertical="center"/>
      <protection locked="0"/>
    </xf>
    <xf numFmtId="3" fontId="90" fillId="0" borderId="84" xfId="0" applyNumberFormat="1" applyFont="1" applyBorder="1" applyAlignment="1" applyProtection="1">
      <alignment horizontal="center"/>
      <protection locked="0"/>
    </xf>
    <xf numFmtId="3" fontId="90" fillId="0" borderId="99" xfId="0" applyNumberFormat="1" applyFont="1" applyBorder="1" applyAlignment="1" applyProtection="1">
      <alignment horizontal="center"/>
      <protection locked="0"/>
    </xf>
    <xf numFmtId="3" fontId="90" fillId="0" borderId="85" xfId="0" applyNumberFormat="1" applyFont="1" applyBorder="1" applyAlignment="1" applyProtection="1">
      <alignment horizontal="center"/>
      <protection locked="0"/>
    </xf>
    <xf numFmtId="176" fontId="90" fillId="0" borderId="87" xfId="0" applyNumberFormat="1" applyFont="1" applyBorder="1" applyAlignment="1" applyProtection="1">
      <alignment horizontal="center"/>
      <protection locked="0"/>
    </xf>
    <xf numFmtId="176" fontId="90" fillId="0" borderId="88" xfId="0" applyNumberFormat="1" applyFont="1" applyBorder="1" applyAlignment="1" applyProtection="1">
      <alignment horizontal="center"/>
      <protection locked="0"/>
    </xf>
    <xf numFmtId="176" fontId="90" fillId="0" borderId="89" xfId="0" applyNumberFormat="1" applyFont="1" applyBorder="1" applyAlignment="1" applyProtection="1">
      <alignment horizontal="center"/>
      <protection locked="0"/>
    </xf>
    <xf numFmtId="3" fontId="90" fillId="0" borderId="87" xfId="0" applyNumberFormat="1" applyFont="1" applyBorder="1" applyAlignment="1" applyProtection="1">
      <alignment horizontal="center"/>
      <protection locked="0"/>
    </xf>
    <xf numFmtId="3" fontId="90" fillId="0" borderId="88" xfId="0" applyNumberFormat="1" applyFont="1" applyBorder="1" applyAlignment="1" applyProtection="1">
      <alignment horizontal="center"/>
      <protection locked="0"/>
    </xf>
    <xf numFmtId="3" fontId="90" fillId="0" borderId="89" xfId="0" applyNumberFormat="1" applyFont="1" applyBorder="1" applyAlignment="1" applyProtection="1">
      <alignment horizontal="center"/>
      <protection locked="0"/>
    </xf>
    <xf numFmtId="3" fontId="90" fillId="0" borderId="108" xfId="0" applyNumberFormat="1" applyFont="1" applyBorder="1" applyAlignment="1" applyProtection="1">
      <alignment horizontal="center"/>
      <protection locked="0"/>
    </xf>
    <xf numFmtId="3" fontId="90" fillId="0" borderId="134" xfId="0" applyNumberFormat="1" applyFont="1" applyBorder="1" applyAlignment="1" applyProtection="1">
      <alignment horizontal="center"/>
      <protection locked="0"/>
    </xf>
    <xf numFmtId="3" fontId="90" fillId="0" borderId="109" xfId="0" applyNumberFormat="1" applyFont="1" applyBorder="1" applyAlignment="1" applyProtection="1">
      <alignment horizontal="center"/>
      <protection locked="0"/>
    </xf>
    <xf numFmtId="0" fontId="86" fillId="0" borderId="115" xfId="0" applyFont="1" applyBorder="1" applyAlignment="1" applyProtection="1">
      <alignment horizontal="center" vertical="center" wrapText="1"/>
      <protection locked="0"/>
    </xf>
    <xf numFmtId="0" fontId="86" fillId="0" borderId="119" xfId="0" applyFont="1" applyBorder="1" applyAlignment="1" applyProtection="1">
      <alignment horizontal="center" vertical="center" wrapText="1"/>
      <protection locked="0"/>
    </xf>
    <xf numFmtId="0" fontId="86" fillId="0" borderId="142" xfId="0" applyFont="1" applyBorder="1" applyAlignment="1" applyProtection="1">
      <alignment horizontal="center" vertical="center" wrapText="1"/>
      <protection locked="0"/>
    </xf>
    <xf numFmtId="0" fontId="86" fillId="0" borderId="75" xfId="0" applyFont="1" applyBorder="1" applyAlignment="1" applyProtection="1">
      <alignment horizontal="center" vertical="center" wrapText="1"/>
      <protection locked="0"/>
    </xf>
    <xf numFmtId="0" fontId="86" fillId="0" borderId="0" xfId="0" applyFont="1" applyBorder="1" applyAlignment="1" applyProtection="1">
      <alignment horizontal="center" vertical="center" wrapText="1"/>
      <protection locked="0"/>
    </xf>
    <xf numFmtId="0" fontId="86" fillId="0" borderId="29" xfId="0" applyFont="1" applyBorder="1" applyAlignment="1" applyProtection="1">
      <alignment horizontal="center" vertical="center" wrapText="1"/>
      <protection locked="0"/>
    </xf>
    <xf numFmtId="0" fontId="86" fillId="0" borderId="106" xfId="0" applyFont="1" applyBorder="1" applyAlignment="1" applyProtection="1">
      <alignment horizontal="center" vertical="center" wrapText="1"/>
      <protection locked="0"/>
    </xf>
    <xf numFmtId="0" fontId="86" fillId="0" borderId="97" xfId="0" applyFont="1" applyBorder="1" applyAlignment="1" applyProtection="1">
      <alignment horizontal="center" vertical="center" wrapText="1"/>
      <protection locked="0"/>
    </xf>
    <xf numFmtId="0" fontId="86" fillId="0" borderId="13" xfId="0" applyFont="1" applyBorder="1" applyAlignment="1" applyProtection="1">
      <alignment horizontal="center" vertical="center" wrapText="1"/>
      <protection locked="0"/>
    </xf>
    <xf numFmtId="3" fontId="91" fillId="0" borderId="104" xfId="0" applyNumberFormat="1" applyFont="1" applyBorder="1" applyAlignment="1" applyProtection="1">
      <alignment horizontal="center" vertical="center"/>
      <protection locked="0"/>
    </xf>
    <xf numFmtId="3" fontId="91" fillId="0" borderId="93" xfId="0" applyNumberFormat="1" applyFont="1" applyBorder="1" applyAlignment="1" applyProtection="1">
      <alignment horizontal="center" vertical="center"/>
      <protection locked="0"/>
    </xf>
    <xf numFmtId="3" fontId="91" fillId="0" borderId="103" xfId="0" applyNumberFormat="1" applyFont="1" applyBorder="1" applyAlignment="1" applyProtection="1">
      <alignment horizontal="center" vertical="center"/>
      <protection locked="0"/>
    </xf>
    <xf numFmtId="3" fontId="91" fillId="0" borderId="75" xfId="0" applyNumberFormat="1" applyFont="1" applyBorder="1" applyAlignment="1" applyProtection="1">
      <alignment horizontal="center" vertical="center"/>
      <protection locked="0"/>
    </xf>
    <xf numFmtId="3" fontId="91" fillId="0" borderId="0" xfId="0" applyNumberFormat="1" applyFont="1" applyBorder="1" applyAlignment="1" applyProtection="1">
      <alignment horizontal="center" vertical="center"/>
      <protection locked="0"/>
    </xf>
    <xf numFmtId="3" fontId="91" fillId="0" borderId="77" xfId="0" applyNumberFormat="1" applyFont="1" applyBorder="1" applyAlignment="1" applyProtection="1">
      <alignment horizontal="center" vertical="center"/>
      <protection locked="0"/>
    </xf>
    <xf numFmtId="3" fontId="91" fillId="0" borderId="106" xfId="0" applyNumberFormat="1" applyFont="1" applyBorder="1" applyAlignment="1" applyProtection="1">
      <alignment horizontal="center" vertical="center"/>
      <protection locked="0"/>
    </xf>
    <xf numFmtId="3" fontId="91" fillId="0" borderId="97" xfId="0" applyNumberFormat="1" applyFont="1" applyBorder="1" applyAlignment="1" applyProtection="1">
      <alignment horizontal="center" vertical="center"/>
      <protection locked="0"/>
    </xf>
    <xf numFmtId="3" fontId="91" fillId="0" borderId="105" xfId="0" applyNumberFormat="1" applyFont="1" applyBorder="1" applyAlignment="1" applyProtection="1">
      <alignment horizontal="center" vertical="center"/>
      <protection locked="0"/>
    </xf>
    <xf numFmtId="3" fontId="91" fillId="0" borderId="108" xfId="0" applyNumberFormat="1" applyFont="1" applyBorder="1" applyAlignment="1" applyProtection="1">
      <alignment horizontal="center"/>
      <protection locked="0"/>
    </xf>
    <xf numFmtId="3" fontId="91" fillId="0" borderId="134" xfId="0" applyNumberFormat="1" applyFont="1" applyBorder="1" applyAlignment="1" applyProtection="1">
      <alignment horizontal="center"/>
      <protection locked="0"/>
    </xf>
    <xf numFmtId="3" fontId="91" fillId="0" borderId="107" xfId="0" applyNumberFormat="1" applyFont="1" applyBorder="1" applyAlignment="1" applyProtection="1">
      <alignment horizontal="center"/>
      <protection locked="0"/>
    </xf>
    <xf numFmtId="0" fontId="86" fillId="0" borderId="115" xfId="0" applyFont="1" applyBorder="1" applyAlignment="1" applyProtection="1">
      <alignment horizontal="center" vertical="center"/>
      <protection locked="0"/>
    </xf>
    <xf numFmtId="0" fontId="86" fillId="0" borderId="119" xfId="0" applyFont="1" applyBorder="1" applyAlignment="1" applyProtection="1">
      <alignment horizontal="center" vertical="center"/>
      <protection locked="0"/>
    </xf>
    <xf numFmtId="0" fontId="82" fillId="0" borderId="75" xfId="0" applyFont="1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 vertical="center"/>
      <protection locked="0"/>
    </xf>
    <xf numFmtId="0" fontId="82" fillId="0" borderId="75" xfId="0" applyFont="1" applyBorder="1" applyAlignment="1" applyProtection="1">
      <alignment horizontal="center" vertical="center" wrapText="1"/>
      <protection locked="0"/>
    </xf>
    <xf numFmtId="0" fontId="82" fillId="0" borderId="0" xfId="0" applyFont="1" applyBorder="1" applyAlignment="1" applyProtection="1">
      <alignment horizontal="center" vertical="center" wrapText="1"/>
      <protection locked="0"/>
    </xf>
    <xf numFmtId="0" fontId="82" fillId="0" borderId="106" xfId="0" applyFont="1" applyBorder="1" applyAlignment="1" applyProtection="1">
      <alignment horizontal="center" vertical="center" wrapText="1"/>
      <protection locked="0"/>
    </xf>
    <xf numFmtId="0" fontId="82" fillId="0" borderId="97" xfId="0" applyFont="1" applyBorder="1" applyAlignment="1" applyProtection="1">
      <alignment horizontal="center" vertical="center" wrapText="1"/>
      <protection locked="0"/>
    </xf>
    <xf numFmtId="3" fontId="90" fillId="0" borderId="111" xfId="0" applyNumberFormat="1" applyFont="1" applyBorder="1" applyAlignment="1" applyProtection="1">
      <alignment horizontal="center"/>
      <protection locked="0"/>
    </xf>
    <xf numFmtId="3" fontId="90" fillId="0" borderId="113" xfId="0" applyNumberFormat="1" applyFont="1" applyBorder="1" applyAlignment="1" applyProtection="1">
      <alignment horizontal="center"/>
      <protection locked="0"/>
    </xf>
    <xf numFmtId="3" fontId="90" fillId="0" borderId="112" xfId="0" applyNumberFormat="1" applyFont="1" applyBorder="1" applyAlignment="1" applyProtection="1">
      <alignment horizontal="center"/>
      <protection locked="0"/>
    </xf>
    <xf numFmtId="0" fontId="90" fillId="0" borderId="0" xfId="0" applyFont="1" applyBorder="1" applyAlignment="1">
      <alignment horizontal="left" vertical="justify"/>
    </xf>
    <xf numFmtId="0" fontId="86" fillId="0" borderId="132" xfId="0" applyFont="1" applyBorder="1" applyAlignment="1" applyProtection="1">
      <alignment horizontal="center" vertical="center"/>
      <protection locked="0"/>
    </xf>
    <xf numFmtId="0" fontId="86" fillId="0" borderId="91" xfId="0" applyFont="1" applyBorder="1" applyAlignment="1" applyProtection="1">
      <alignment horizontal="center" vertical="center"/>
      <protection locked="0"/>
    </xf>
    <xf numFmtId="0" fontId="86" fillId="0" borderId="133" xfId="0" applyFont="1" applyBorder="1" applyAlignment="1" applyProtection="1">
      <alignment horizontal="center" vertical="center"/>
      <protection locked="0"/>
    </xf>
    <xf numFmtId="0" fontId="91" fillId="0" borderId="111" xfId="0" applyFont="1" applyBorder="1" applyAlignment="1" applyProtection="1">
      <alignment horizontal="center"/>
      <protection locked="0"/>
    </xf>
    <xf numFmtId="0" fontId="91" fillId="0" borderId="113" xfId="0" applyFont="1" applyBorder="1" applyAlignment="1" applyProtection="1">
      <alignment horizontal="center"/>
      <protection locked="0"/>
    </xf>
    <xf numFmtId="0" fontId="91" fillId="0" borderId="87" xfId="0" applyFont="1" applyBorder="1" applyAlignment="1" applyProtection="1">
      <alignment horizontal="center"/>
      <protection locked="0"/>
    </xf>
    <xf numFmtId="0" fontId="91" fillId="0" borderId="88" xfId="0" applyFont="1" applyBorder="1" applyAlignment="1" applyProtection="1">
      <alignment horizontal="center"/>
      <protection locked="0"/>
    </xf>
    <xf numFmtId="0" fontId="91" fillId="0" borderId="108" xfId="0" applyFont="1" applyBorder="1" applyAlignment="1" applyProtection="1">
      <alignment horizontal="center"/>
      <protection locked="0"/>
    </xf>
    <xf numFmtId="0" fontId="91" fillId="0" borderId="134" xfId="0" applyFont="1" applyBorder="1" applyAlignment="1" applyProtection="1">
      <alignment horizontal="center"/>
      <protection locked="0"/>
    </xf>
    <xf numFmtId="0" fontId="86" fillId="0" borderId="132" xfId="0" applyFont="1" applyBorder="1" applyAlignment="1" applyProtection="1">
      <alignment horizontal="center" vertical="center" wrapText="1"/>
      <protection locked="0"/>
    </xf>
    <xf numFmtId="0" fontId="86" fillId="0" borderId="91" xfId="0" applyFont="1" applyBorder="1" applyAlignment="1" applyProtection="1">
      <alignment horizontal="center" vertical="center" wrapText="1"/>
      <protection locked="0"/>
    </xf>
    <xf numFmtId="0" fontId="86" fillId="0" borderId="133" xfId="0" applyFont="1" applyBorder="1" applyAlignment="1" applyProtection="1">
      <alignment horizontal="center" vertical="center" wrapText="1"/>
      <protection locked="0"/>
    </xf>
    <xf numFmtId="49" fontId="91" fillId="0" borderId="111" xfId="0" applyNumberFormat="1" applyFont="1" applyBorder="1" applyAlignment="1" applyProtection="1">
      <alignment horizontal="center"/>
      <protection locked="0"/>
    </xf>
    <xf numFmtId="49" fontId="91" fillId="0" borderId="113" xfId="0" applyNumberFormat="1" applyFont="1" applyBorder="1" applyAlignment="1" applyProtection="1">
      <alignment horizontal="center"/>
      <protection locked="0"/>
    </xf>
    <xf numFmtId="49" fontId="91" fillId="0" borderId="112" xfId="0" applyNumberFormat="1" applyFont="1" applyBorder="1" applyAlignment="1" applyProtection="1">
      <alignment horizontal="center"/>
      <protection locked="0"/>
    </xf>
    <xf numFmtId="49" fontId="91" fillId="0" borderId="87" xfId="0" applyNumberFormat="1" applyFont="1" applyBorder="1" applyAlignment="1" applyProtection="1">
      <alignment horizontal="center"/>
      <protection locked="0"/>
    </xf>
    <xf numFmtId="49" fontId="91" fillId="0" borderId="88" xfId="0" applyNumberFormat="1" applyFont="1" applyBorder="1" applyAlignment="1" applyProtection="1">
      <alignment horizontal="center"/>
      <protection locked="0"/>
    </xf>
    <xf numFmtId="49" fontId="91" fillId="0" borderId="89" xfId="0" applyNumberFormat="1" applyFont="1" applyBorder="1" applyAlignment="1" applyProtection="1">
      <alignment horizontal="center"/>
      <protection locked="0"/>
    </xf>
    <xf numFmtId="0" fontId="90" fillId="0" borderId="0" xfId="0" applyFont="1" applyBorder="1" applyAlignment="1" applyProtection="1">
      <alignment horizontal="left" vertical="justify"/>
      <protection locked="0"/>
    </xf>
    <xf numFmtId="0" fontId="86" fillId="0" borderId="0" xfId="0" applyFont="1" applyAlignment="1" applyProtection="1">
      <alignment horizontal="justify" vertical="top" wrapText="1"/>
      <protection locked="0"/>
    </xf>
    <xf numFmtId="0" fontId="90" fillId="0" borderId="0" xfId="0" applyFont="1" applyBorder="1" applyAlignment="1" applyProtection="1">
      <alignment horizontal="left"/>
      <protection locked="0"/>
    </xf>
    <xf numFmtId="0" fontId="86" fillId="0" borderId="0" xfId="0" applyFont="1" applyAlignment="1" applyProtection="1">
      <alignment horizontal="left" vertical="top" wrapText="1"/>
      <protection locked="0"/>
    </xf>
    <xf numFmtId="0" fontId="0" fillId="0" borderId="101" xfId="0" applyBorder="1" applyAlignment="1" applyProtection="1">
      <alignment horizontal="left"/>
      <protection locked="0"/>
    </xf>
    <xf numFmtId="0" fontId="0" fillId="0" borderId="88" xfId="0" applyBorder="1" applyAlignment="1" applyProtection="1">
      <alignment horizontal="left"/>
      <protection locked="0"/>
    </xf>
    <xf numFmtId="0" fontId="0" fillId="0" borderId="89" xfId="0" applyBorder="1" applyAlignment="1" applyProtection="1">
      <alignment horizontal="left"/>
      <protection locked="0"/>
    </xf>
    <xf numFmtId="3" fontId="90" fillId="0" borderId="87" xfId="0" applyNumberFormat="1" applyFont="1" applyBorder="1" applyAlignment="1" applyProtection="1">
      <alignment horizontal="right" indent="4"/>
      <protection locked="0"/>
    </xf>
    <xf numFmtId="3" fontId="90" fillId="0" borderId="88" xfId="0" applyNumberFormat="1" applyFont="1" applyBorder="1" applyAlignment="1" applyProtection="1">
      <alignment horizontal="right" indent="4"/>
      <protection locked="0"/>
    </xf>
    <xf numFmtId="3" fontId="90" fillId="0" borderId="89" xfId="0" applyNumberFormat="1" applyFont="1" applyBorder="1" applyAlignment="1" applyProtection="1">
      <alignment horizontal="right" indent="4"/>
      <protection locked="0"/>
    </xf>
    <xf numFmtId="0" fontId="86" fillId="0" borderId="108" xfId="0" applyFont="1" applyBorder="1" applyAlignment="1" applyProtection="1">
      <alignment horizontal="center" vertical="center"/>
      <protection locked="0"/>
    </xf>
    <xf numFmtId="0" fontId="86" fillId="0" borderId="134" xfId="0" applyFont="1" applyBorder="1" applyAlignment="1" applyProtection="1">
      <alignment horizontal="center" vertical="center"/>
      <protection locked="0"/>
    </xf>
    <xf numFmtId="3" fontId="90" fillId="0" borderId="102" xfId="0" applyNumberFormat="1" applyFont="1" applyBorder="1" applyAlignment="1" applyProtection="1">
      <alignment horizontal="right" indent="4"/>
      <protection locked="0"/>
    </xf>
    <xf numFmtId="0" fontId="0" fillId="0" borderId="121" xfId="0" applyBorder="1" applyAlignment="1" applyProtection="1">
      <alignment horizontal="left"/>
      <protection locked="0"/>
    </xf>
    <xf numFmtId="0" fontId="0" fillId="0" borderId="134" xfId="0" applyBorder="1" applyAlignment="1" applyProtection="1">
      <alignment horizontal="left"/>
      <protection locked="0"/>
    </xf>
    <xf numFmtId="0" fontId="0" fillId="0" borderId="109" xfId="0" applyBorder="1" applyAlignment="1" applyProtection="1">
      <alignment horizontal="left"/>
      <protection locked="0"/>
    </xf>
    <xf numFmtId="3" fontId="90" fillId="0" borderId="108" xfId="0" applyNumberFormat="1" applyFont="1" applyBorder="1" applyAlignment="1" applyProtection="1">
      <alignment horizontal="right" indent="4"/>
      <protection locked="0"/>
    </xf>
    <xf numFmtId="3" fontId="90" fillId="0" borderId="134" xfId="0" applyNumberFormat="1" applyFont="1" applyBorder="1" applyAlignment="1" applyProtection="1">
      <alignment horizontal="right" indent="4"/>
      <protection locked="0"/>
    </xf>
    <xf numFmtId="3" fontId="90" fillId="0" borderId="109" xfId="0" applyNumberFormat="1" applyFont="1" applyBorder="1" applyAlignment="1" applyProtection="1">
      <alignment horizontal="right" indent="4"/>
      <protection locked="0"/>
    </xf>
    <xf numFmtId="3" fontId="90" fillId="0" borderId="107" xfId="0" applyNumberFormat="1" applyFont="1" applyBorder="1" applyAlignment="1" applyProtection="1">
      <alignment horizontal="right" indent="4"/>
      <protection locked="0"/>
    </xf>
    <xf numFmtId="0" fontId="0" fillId="0" borderId="98" xfId="0" applyBorder="1" applyAlignment="1" applyProtection="1">
      <alignment horizontal="left"/>
      <protection locked="0"/>
    </xf>
    <xf numFmtId="0" fontId="0" fillId="0" borderId="99" xfId="0" applyBorder="1" applyAlignment="1" applyProtection="1">
      <alignment horizontal="left"/>
      <protection locked="0"/>
    </xf>
    <xf numFmtId="0" fontId="0" fillId="0" borderId="85" xfId="0" applyBorder="1" applyAlignment="1" applyProtection="1">
      <alignment horizontal="left"/>
      <protection locked="0"/>
    </xf>
    <xf numFmtId="3" fontId="90" fillId="0" borderId="111" xfId="0" applyNumberFormat="1" applyFont="1" applyBorder="1" applyAlignment="1" applyProtection="1">
      <alignment horizontal="right" indent="4"/>
      <protection locked="0"/>
    </xf>
    <xf numFmtId="3" fontId="90" fillId="0" borderId="113" xfId="0" applyNumberFormat="1" applyFont="1" applyBorder="1" applyAlignment="1" applyProtection="1">
      <alignment horizontal="right" indent="4"/>
      <protection locked="0"/>
    </xf>
    <xf numFmtId="3" fontId="90" fillId="0" borderId="112" xfId="0" applyNumberFormat="1" applyFont="1" applyBorder="1" applyAlignment="1" applyProtection="1">
      <alignment horizontal="right" indent="4"/>
      <protection locked="0"/>
    </xf>
    <xf numFmtId="3" fontId="90" fillId="0" borderId="110" xfId="0" applyNumberFormat="1" applyFont="1" applyBorder="1" applyAlignment="1" applyProtection="1">
      <alignment horizontal="right" indent="4"/>
      <protection locked="0"/>
    </xf>
    <xf numFmtId="0" fontId="86" fillId="0" borderId="92" xfId="0" applyFont="1" applyBorder="1" applyAlignment="1" applyProtection="1">
      <alignment horizontal="center" vertical="center"/>
      <protection locked="0"/>
    </xf>
    <xf numFmtId="0" fontId="86" fillId="0" borderId="93" xfId="0" applyFont="1" applyBorder="1" applyAlignment="1" applyProtection="1">
      <alignment horizontal="center" vertical="center"/>
      <protection locked="0"/>
    </xf>
    <xf numFmtId="0" fontId="86" fillId="0" borderId="103" xfId="0" applyFont="1" applyBorder="1" applyAlignment="1" applyProtection="1">
      <alignment horizontal="center" vertical="center"/>
      <protection locked="0"/>
    </xf>
    <xf numFmtId="0" fontId="86" fillId="0" borderId="96" xfId="0" applyFont="1" applyBorder="1" applyAlignment="1" applyProtection="1">
      <alignment horizontal="center" vertical="center"/>
      <protection locked="0"/>
    </xf>
    <xf numFmtId="0" fontId="86" fillId="0" borderId="97" xfId="0" applyFont="1" applyBorder="1" applyAlignment="1" applyProtection="1">
      <alignment horizontal="center" vertical="center"/>
      <protection locked="0"/>
    </xf>
    <xf numFmtId="0" fontId="86" fillId="0" borderId="105" xfId="0" applyFont="1" applyBorder="1" applyAlignment="1" applyProtection="1">
      <alignment horizontal="center" vertical="center"/>
      <protection locked="0"/>
    </xf>
    <xf numFmtId="0" fontId="86" fillId="0" borderId="111" xfId="0" applyFont="1" applyBorder="1" applyAlignment="1" applyProtection="1">
      <alignment horizontal="center" vertical="center"/>
      <protection locked="0"/>
    </xf>
    <xf numFmtId="0" fontId="86" fillId="0" borderId="113" xfId="0" applyFont="1" applyBorder="1" applyAlignment="1" applyProtection="1">
      <alignment horizontal="center" vertical="center"/>
      <protection locked="0"/>
    </xf>
    <xf numFmtId="0" fontId="86" fillId="0" borderId="110" xfId="0" applyFont="1" applyBorder="1" applyAlignment="1" applyProtection="1">
      <alignment horizontal="center" vertical="center"/>
      <protection locked="0"/>
    </xf>
    <xf numFmtId="0" fontId="86" fillId="0" borderId="118" xfId="0" applyFont="1" applyBorder="1" applyAlignment="1" applyProtection="1">
      <alignment horizontal="center" vertical="center"/>
      <protection locked="0"/>
    </xf>
    <xf numFmtId="0" fontId="0" fillId="0" borderId="121" xfId="0" applyBorder="1" applyAlignment="1" applyProtection="1">
      <alignment horizontal="left" vertical="center"/>
      <protection locked="0"/>
    </xf>
    <xf numFmtId="0" fontId="0" fillId="0" borderId="134" xfId="0" applyBorder="1" applyAlignment="1" applyProtection="1">
      <alignment horizontal="left" vertical="center"/>
      <protection locked="0"/>
    </xf>
    <xf numFmtId="0" fontId="0" fillId="0" borderId="109" xfId="0" applyBorder="1" applyAlignment="1" applyProtection="1">
      <alignment horizontal="left" vertical="center"/>
      <protection locked="0"/>
    </xf>
    <xf numFmtId="0" fontId="0" fillId="0" borderId="101" xfId="0" applyBorder="1" applyAlignment="1" applyProtection="1">
      <alignment horizontal="left" vertical="center"/>
      <protection locked="0"/>
    </xf>
    <xf numFmtId="0" fontId="0" fillId="0" borderId="88" xfId="0" applyBorder="1" applyAlignment="1" applyProtection="1">
      <alignment horizontal="left" vertical="center"/>
      <protection locked="0"/>
    </xf>
    <xf numFmtId="0" fontId="0" fillId="0" borderId="89" xfId="0" applyBorder="1" applyAlignment="1" applyProtection="1">
      <alignment horizontal="left" vertical="center"/>
      <protection locked="0"/>
    </xf>
    <xf numFmtId="0" fontId="87" fillId="0" borderId="0" xfId="0" applyFont="1" applyAlignment="1" applyProtection="1">
      <alignment horizontal="left" vertical="justify" wrapText="1"/>
      <protection locked="0"/>
    </xf>
    <xf numFmtId="0" fontId="86" fillId="0" borderId="0" xfId="0" applyFont="1" applyAlignment="1" applyProtection="1">
      <alignment horizontal="justify" wrapText="1"/>
      <protection locked="0"/>
    </xf>
    <xf numFmtId="0" fontId="86" fillId="0" borderId="63" xfId="0" applyFont="1" applyBorder="1" applyAlignment="1" applyProtection="1">
      <alignment horizontal="center" vertical="center"/>
      <protection locked="0"/>
    </xf>
    <xf numFmtId="0" fontId="86" fillId="0" borderId="64" xfId="0" applyFont="1" applyBorder="1" applyAlignment="1" applyProtection="1">
      <alignment horizontal="center" vertical="center"/>
      <protection locked="0"/>
    </xf>
    <xf numFmtId="0" fontId="82" fillId="0" borderId="101" xfId="0" applyFont="1" applyBorder="1" applyAlignment="1" applyProtection="1">
      <alignment horizontal="left" vertical="center"/>
      <protection locked="0"/>
    </xf>
    <xf numFmtId="0" fontId="82" fillId="0" borderId="88" xfId="0" applyFont="1" applyBorder="1" applyAlignment="1" applyProtection="1">
      <alignment horizontal="left" vertical="center"/>
      <protection locked="0"/>
    </xf>
    <xf numFmtId="0" fontId="82" fillId="0" borderId="89" xfId="0" applyFont="1" applyBorder="1" applyAlignment="1" applyProtection="1">
      <alignment horizontal="left" vertical="center"/>
      <protection locked="0"/>
    </xf>
    <xf numFmtId="0" fontId="82" fillId="0" borderId="121" xfId="0" applyFont="1" applyBorder="1" applyAlignment="1" applyProtection="1">
      <alignment horizontal="left" vertical="justify" wrapText="1"/>
      <protection locked="0"/>
    </xf>
    <xf numFmtId="0" fontId="82" fillId="0" borderId="134" xfId="0" applyFont="1" applyBorder="1" applyAlignment="1" applyProtection="1">
      <alignment horizontal="left" vertical="justify" wrapText="1"/>
      <protection locked="0"/>
    </xf>
    <xf numFmtId="0" fontId="82" fillId="0" borderId="109" xfId="0" applyFont="1" applyBorder="1" applyAlignment="1" applyProtection="1">
      <alignment horizontal="left" vertical="justify" wrapText="1"/>
      <protection locked="0"/>
    </xf>
    <xf numFmtId="3" fontId="91" fillId="0" borderId="101" xfId="0" applyNumberFormat="1" applyFont="1" applyBorder="1" applyAlignment="1" applyProtection="1">
      <alignment horizontal="center"/>
      <protection locked="0"/>
    </xf>
    <xf numFmtId="3" fontId="88" fillId="0" borderId="101" xfId="0" applyNumberFormat="1" applyFont="1" applyBorder="1" applyAlignment="1" applyProtection="1">
      <alignment horizontal="center"/>
      <protection locked="0"/>
    </xf>
    <xf numFmtId="3" fontId="88" fillId="0" borderId="121" xfId="0" applyNumberFormat="1" applyFont="1" applyBorder="1" applyAlignment="1" applyProtection="1">
      <alignment horizontal="center"/>
      <protection locked="0"/>
    </xf>
    <xf numFmtId="0" fontId="92" fillId="0" borderId="111" xfId="0" applyFont="1" applyBorder="1" applyAlignment="1" applyProtection="1">
      <alignment horizontal="center" wrapText="1"/>
      <protection locked="0"/>
    </xf>
    <xf numFmtId="0" fontId="92" fillId="0" borderId="113" xfId="0" applyFont="1" applyBorder="1" applyAlignment="1" applyProtection="1">
      <alignment horizontal="center" wrapText="1"/>
      <protection locked="0"/>
    </xf>
    <xf numFmtId="0" fontId="92" fillId="0" borderId="122" xfId="0" applyFont="1" applyBorder="1" applyAlignment="1" applyProtection="1">
      <alignment horizontal="center" wrapText="1"/>
      <protection locked="0"/>
    </xf>
    <xf numFmtId="0" fontId="92" fillId="0" borderId="110" xfId="0" applyFont="1" applyBorder="1" applyAlignment="1" applyProtection="1">
      <alignment horizontal="center" wrapText="1"/>
      <protection locked="0"/>
    </xf>
    <xf numFmtId="0" fontId="82" fillId="0" borderId="98" xfId="0" applyFont="1" applyBorder="1" applyAlignment="1" applyProtection="1">
      <alignment horizontal="left" vertical="center"/>
      <protection locked="0"/>
    </xf>
    <xf numFmtId="0" fontId="82" fillId="0" borderId="99" xfId="0" applyFont="1" applyBorder="1" applyAlignment="1" applyProtection="1">
      <alignment horizontal="left" vertical="center"/>
      <protection locked="0"/>
    </xf>
    <xf numFmtId="0" fontId="82" fillId="0" borderId="85" xfId="0" applyFont="1" applyBorder="1" applyAlignment="1" applyProtection="1">
      <alignment horizontal="left" vertical="center"/>
      <protection locked="0"/>
    </xf>
    <xf numFmtId="0" fontId="8" fillId="0" borderId="121" xfId="0" applyFont="1" applyBorder="1" applyAlignment="1" applyProtection="1">
      <alignment horizontal="center"/>
      <protection locked="0"/>
    </xf>
    <xf numFmtId="3" fontId="91" fillId="0" borderId="122" xfId="0" applyNumberFormat="1" applyFont="1" applyBorder="1" applyAlignment="1" applyProtection="1">
      <alignment horizontal="center"/>
      <protection locked="0"/>
    </xf>
    <xf numFmtId="0" fontId="8" fillId="0" borderId="107" xfId="0" applyFont="1" applyBorder="1" applyAlignment="1" applyProtection="1">
      <alignment horizontal="center"/>
      <protection locked="0"/>
    </xf>
    <xf numFmtId="3" fontId="91" fillId="0" borderId="110" xfId="0" applyNumberFormat="1" applyFont="1" applyBorder="1" applyAlignment="1" applyProtection="1">
      <alignment horizontal="center"/>
      <protection locked="0"/>
    </xf>
    <xf numFmtId="0" fontId="91" fillId="0" borderId="92" xfId="0" applyFont="1" applyBorder="1" applyAlignment="1" applyProtection="1">
      <alignment horizontal="left" vertical="center" indent="1"/>
      <protection locked="0"/>
    </xf>
    <xf numFmtId="0" fontId="91" fillId="0" borderId="103" xfId="0" applyFont="1" applyBorder="1" applyAlignment="1" applyProtection="1">
      <alignment horizontal="left" vertical="center" indent="1"/>
      <protection locked="0"/>
    </xf>
    <xf numFmtId="0" fontId="91" fillId="0" borderId="95" xfId="0" applyFont="1" applyBorder="1" applyAlignment="1" applyProtection="1">
      <alignment horizontal="left" vertical="center" indent="1"/>
      <protection locked="0"/>
    </xf>
    <xf numFmtId="0" fontId="91" fillId="0" borderId="77" xfId="0" applyFont="1" applyBorder="1" applyAlignment="1" applyProtection="1">
      <alignment horizontal="left" vertical="center" indent="1"/>
      <protection locked="0"/>
    </xf>
    <xf numFmtId="0" fontId="91" fillId="0" borderId="96" xfId="0" applyFont="1" applyBorder="1" applyAlignment="1" applyProtection="1">
      <alignment horizontal="left" vertical="center" indent="1"/>
      <protection locked="0"/>
    </xf>
    <xf numFmtId="0" fontId="91" fillId="0" borderId="105" xfId="0" applyFont="1" applyBorder="1" applyAlignment="1" applyProtection="1">
      <alignment horizontal="left" vertical="center" indent="1"/>
      <protection locked="0"/>
    </xf>
    <xf numFmtId="0" fontId="91" fillId="0" borderId="104" xfId="0" applyFont="1" applyBorder="1" applyAlignment="1" applyProtection="1">
      <alignment horizontal="left" vertical="center" indent="1"/>
      <protection locked="0"/>
    </xf>
    <xf numFmtId="0" fontId="91" fillId="0" borderId="75" xfId="0" applyFont="1" applyBorder="1" applyAlignment="1" applyProtection="1">
      <alignment horizontal="left" vertical="center" indent="1"/>
      <protection locked="0"/>
    </xf>
    <xf numFmtId="0" fontId="91" fillId="0" borderId="106" xfId="0" applyFont="1" applyBorder="1" applyAlignment="1" applyProtection="1">
      <alignment horizontal="left" vertical="center" indent="1"/>
      <protection locked="0"/>
    </xf>
    <xf numFmtId="3" fontId="90" fillId="0" borderId="84" xfId="0" applyNumberFormat="1" applyFont="1" applyBorder="1" applyAlignment="1" applyProtection="1">
      <alignment horizontal="right" indent="3"/>
      <protection locked="0"/>
    </xf>
    <xf numFmtId="3" fontId="90" fillId="0" borderId="99" xfId="0" applyNumberFormat="1" applyFont="1" applyBorder="1" applyAlignment="1" applyProtection="1">
      <alignment horizontal="right" indent="3"/>
      <protection locked="0"/>
    </xf>
    <xf numFmtId="3" fontId="90" fillId="0" borderId="85" xfId="0" applyNumberFormat="1" applyFont="1" applyBorder="1" applyAlignment="1" applyProtection="1">
      <alignment horizontal="right" indent="3"/>
      <protection locked="0"/>
    </xf>
    <xf numFmtId="176" fontId="90" fillId="0" borderId="87" xfId="0" applyNumberFormat="1" applyFont="1" applyBorder="1" applyAlignment="1" applyProtection="1">
      <alignment horizontal="right" indent="3"/>
      <protection locked="0"/>
    </xf>
    <xf numFmtId="176" fontId="90" fillId="0" borderId="88" xfId="0" applyNumberFormat="1" applyFont="1" applyBorder="1" applyAlignment="1" applyProtection="1">
      <alignment horizontal="right" indent="3"/>
      <protection locked="0"/>
    </xf>
    <xf numFmtId="176" fontId="90" fillId="0" borderId="89" xfId="0" applyNumberFormat="1" applyFont="1" applyBorder="1" applyAlignment="1" applyProtection="1">
      <alignment horizontal="right" indent="3"/>
      <protection locked="0"/>
    </xf>
    <xf numFmtId="3" fontId="90" fillId="0" borderId="87" xfId="0" applyNumberFormat="1" applyFont="1" applyBorder="1" applyAlignment="1" applyProtection="1">
      <alignment horizontal="right" indent="3"/>
      <protection locked="0"/>
    </xf>
    <xf numFmtId="3" fontId="90" fillId="0" borderId="88" xfId="0" applyNumberFormat="1" applyFont="1" applyBorder="1" applyAlignment="1" applyProtection="1">
      <alignment horizontal="right" indent="3"/>
      <protection locked="0"/>
    </xf>
    <xf numFmtId="3" fontId="90" fillId="0" borderId="89" xfId="0" applyNumberFormat="1" applyFont="1" applyBorder="1" applyAlignment="1" applyProtection="1">
      <alignment horizontal="right" indent="3"/>
      <protection locked="0"/>
    </xf>
    <xf numFmtId="3" fontId="90" fillId="0" borderId="108" xfId="0" applyNumberFormat="1" applyFont="1" applyBorder="1" applyAlignment="1" applyProtection="1">
      <alignment horizontal="right" indent="3"/>
      <protection locked="0"/>
    </xf>
    <xf numFmtId="3" fontId="90" fillId="0" borderId="134" xfId="0" applyNumberFormat="1" applyFont="1" applyBorder="1" applyAlignment="1" applyProtection="1">
      <alignment horizontal="right" indent="3"/>
      <protection locked="0"/>
    </xf>
    <xf numFmtId="3" fontId="90" fillId="0" borderId="109" xfId="0" applyNumberFormat="1" applyFont="1" applyBorder="1" applyAlignment="1" applyProtection="1">
      <alignment horizontal="right" indent="3"/>
      <protection locked="0"/>
    </xf>
    <xf numFmtId="0" fontId="82" fillId="0" borderId="105" xfId="0" applyFont="1" applyBorder="1" applyAlignment="1" applyProtection="1">
      <alignment horizontal="center" vertical="center" wrapText="1"/>
      <protection locked="0"/>
    </xf>
    <xf numFmtId="3" fontId="90" fillId="0" borderId="111" xfId="0" applyNumberFormat="1" applyFont="1" applyBorder="1" applyAlignment="1" applyProtection="1">
      <alignment horizontal="right" indent="3"/>
      <protection locked="0"/>
    </xf>
    <xf numFmtId="3" fontId="90" fillId="0" borderId="113" xfId="0" applyNumberFormat="1" applyFont="1" applyBorder="1" applyAlignment="1" applyProtection="1">
      <alignment horizontal="right" indent="3"/>
      <protection locked="0"/>
    </xf>
    <xf numFmtId="3" fontId="90" fillId="0" borderId="112" xfId="0" applyNumberFormat="1" applyFont="1" applyBorder="1" applyAlignment="1" applyProtection="1">
      <alignment horizontal="right" indent="3"/>
      <protection locked="0"/>
    </xf>
    <xf numFmtId="0" fontId="82" fillId="0" borderId="87" xfId="0" applyFont="1" applyBorder="1" applyAlignment="1" applyProtection="1">
      <alignment horizontal="center" vertical="center"/>
      <protection locked="0"/>
    </xf>
    <xf numFmtId="0" fontId="82" fillId="0" borderId="88" xfId="0" applyFont="1" applyBorder="1" applyAlignment="1" applyProtection="1">
      <alignment horizontal="center" vertical="center"/>
      <protection locked="0"/>
    </xf>
    <xf numFmtId="0" fontId="82" fillId="0" borderId="89" xfId="0" applyFont="1" applyBorder="1" applyAlignment="1" applyProtection="1">
      <alignment horizontal="center" vertical="center"/>
      <protection locked="0"/>
    </xf>
    <xf numFmtId="0" fontId="82" fillId="0" borderId="87" xfId="0" applyFont="1" applyBorder="1" applyAlignment="1" applyProtection="1">
      <alignment horizontal="center" vertical="center" wrapText="1"/>
      <protection locked="0"/>
    </xf>
    <xf numFmtId="0" fontId="82" fillId="0" borderId="88" xfId="0" applyFont="1" applyBorder="1" applyAlignment="1" applyProtection="1">
      <alignment horizontal="center" vertical="center" wrapText="1"/>
      <protection locked="0"/>
    </xf>
    <xf numFmtId="0" fontId="82" fillId="0" borderId="89" xfId="0" applyFont="1" applyBorder="1" applyAlignment="1" applyProtection="1">
      <alignment horizontal="center" vertical="center" wrapText="1"/>
      <protection locked="0"/>
    </xf>
    <xf numFmtId="0" fontId="90" fillId="0" borderId="121" xfId="0" applyFont="1" applyBorder="1" applyAlignment="1" applyProtection="1">
      <alignment horizontal="left" indent="1"/>
      <protection locked="0"/>
    </xf>
    <xf numFmtId="0" fontId="90" fillId="0" borderId="134" xfId="0" applyFont="1" applyBorder="1" applyAlignment="1" applyProtection="1">
      <alignment horizontal="left" indent="1"/>
      <protection locked="0"/>
    </xf>
    <xf numFmtId="0" fontId="90" fillId="0" borderId="109" xfId="0" applyFont="1" applyBorder="1" applyAlignment="1" applyProtection="1">
      <alignment horizontal="left" indent="1"/>
      <protection locked="0"/>
    </xf>
    <xf numFmtId="0" fontId="86" fillId="0" borderId="0" xfId="0" applyFont="1" applyAlignment="1" applyProtection="1">
      <alignment horizontal="left"/>
      <protection locked="0"/>
    </xf>
    <xf numFmtId="0" fontId="86" fillId="0" borderId="92" xfId="0" applyFont="1" applyBorder="1" applyAlignment="1" applyProtection="1">
      <alignment horizontal="center" vertical="center" wrapText="1"/>
      <protection locked="0"/>
    </xf>
    <xf numFmtId="0" fontId="86" fillId="0" borderId="103" xfId="0" applyFont="1" applyBorder="1" applyAlignment="1" applyProtection="1">
      <alignment horizontal="center" vertical="center" wrapText="1"/>
      <protection locked="0"/>
    </xf>
    <xf numFmtId="0" fontId="86" fillId="0" borderId="95" xfId="0" applyFont="1" applyBorder="1" applyAlignment="1" applyProtection="1">
      <alignment horizontal="center" vertical="center" wrapText="1"/>
      <protection locked="0"/>
    </xf>
    <xf numFmtId="0" fontId="86" fillId="0" borderId="77" xfId="0" applyFont="1" applyBorder="1" applyAlignment="1" applyProtection="1">
      <alignment horizontal="center" vertical="center" wrapText="1"/>
      <protection locked="0"/>
    </xf>
    <xf numFmtId="0" fontId="86" fillId="0" borderId="96" xfId="0" applyFont="1" applyBorder="1" applyAlignment="1" applyProtection="1">
      <alignment horizontal="center" vertical="center" wrapText="1"/>
      <protection locked="0"/>
    </xf>
    <xf numFmtId="0" fontId="86" fillId="0" borderId="105" xfId="0" applyFont="1" applyBorder="1" applyAlignment="1" applyProtection="1">
      <alignment horizontal="center" vertical="center" wrapText="1"/>
      <protection locked="0"/>
    </xf>
    <xf numFmtId="0" fontId="86" fillId="0" borderId="111" xfId="0" applyFont="1" applyBorder="1" applyAlignment="1" applyProtection="1">
      <alignment horizontal="center"/>
      <protection locked="0"/>
    </xf>
    <xf numFmtId="0" fontId="86" fillId="0" borderId="113" xfId="0" applyFont="1" applyBorder="1" applyAlignment="1" applyProtection="1">
      <alignment horizontal="center"/>
      <protection locked="0"/>
    </xf>
    <xf numFmtId="0" fontId="86" fillId="0" borderId="110" xfId="0" applyFont="1" applyBorder="1" applyAlignment="1" applyProtection="1">
      <alignment horizontal="center"/>
      <protection locked="0"/>
    </xf>
    <xf numFmtId="0" fontId="86" fillId="0" borderId="84" xfId="0" applyFont="1" applyBorder="1" applyAlignment="1" applyProtection="1">
      <alignment horizontal="center" vertical="center"/>
      <protection locked="0"/>
    </xf>
    <xf numFmtId="0" fontId="86" fillId="0" borderId="99" xfId="0" applyFont="1" applyBorder="1" applyAlignment="1" applyProtection="1">
      <alignment horizontal="center" vertical="center"/>
      <protection locked="0"/>
    </xf>
    <xf numFmtId="0" fontId="86" fillId="0" borderId="85" xfId="0" applyFont="1" applyBorder="1" applyAlignment="1" applyProtection="1">
      <alignment horizontal="center" vertical="center"/>
      <protection locked="0"/>
    </xf>
    <xf numFmtId="0" fontId="90" fillId="0" borderId="101" xfId="0" applyFont="1" applyBorder="1" applyAlignment="1" applyProtection="1">
      <alignment horizontal="left" indent="1"/>
      <protection locked="0"/>
    </xf>
    <xf numFmtId="0" fontId="90" fillId="0" borderId="88" xfId="0" applyFont="1" applyBorder="1" applyAlignment="1" applyProtection="1">
      <alignment horizontal="left" indent="1"/>
      <protection locked="0"/>
    </xf>
    <xf numFmtId="0" fontId="90" fillId="0" borderId="89" xfId="0" applyFont="1" applyBorder="1" applyAlignment="1" applyProtection="1">
      <alignment horizontal="left" indent="1"/>
      <protection locked="0"/>
    </xf>
    <xf numFmtId="0" fontId="90" fillId="0" borderId="122" xfId="0" applyFont="1" applyBorder="1" applyAlignment="1" applyProtection="1">
      <alignment horizontal="left" indent="1"/>
      <protection locked="0"/>
    </xf>
    <xf numFmtId="0" fontId="90" fillId="0" borderId="113" xfId="0" applyFont="1" applyBorder="1" applyAlignment="1" applyProtection="1">
      <alignment horizontal="left" indent="1"/>
      <protection locked="0"/>
    </xf>
    <xf numFmtId="0" fontId="90" fillId="0" borderId="112" xfId="0" applyFont="1" applyBorder="1" applyAlignment="1" applyProtection="1">
      <alignment horizontal="left" indent="1"/>
      <protection locked="0"/>
    </xf>
    <xf numFmtId="0" fontId="82" fillId="0" borderId="121" xfId="0" applyFont="1" applyBorder="1" applyAlignment="1" applyProtection="1">
      <alignment horizontal="left" vertical="justify"/>
      <protection locked="0"/>
    </xf>
    <xf numFmtId="0" fontId="82" fillId="0" borderId="134" xfId="0" applyFont="1" applyBorder="1" applyAlignment="1" applyProtection="1">
      <alignment horizontal="left" vertical="justify"/>
      <protection locked="0"/>
    </xf>
    <xf numFmtId="0" fontId="82" fillId="0" borderId="109" xfId="0" applyFont="1" applyBorder="1" applyAlignment="1" applyProtection="1">
      <alignment horizontal="left" vertical="justify"/>
      <protection locked="0"/>
    </xf>
    <xf numFmtId="3" fontId="91" fillId="0" borderId="108" xfId="0" applyNumberFormat="1" applyFont="1" applyBorder="1" applyAlignment="1" applyProtection="1">
      <alignment horizontal="right" vertical="center" indent="4"/>
      <protection locked="0"/>
    </xf>
    <xf numFmtId="3" fontId="91" fillId="0" borderId="134" xfId="0" applyNumberFormat="1" applyFont="1" applyBorder="1" applyAlignment="1" applyProtection="1">
      <alignment horizontal="right" vertical="center" indent="4"/>
      <protection locked="0"/>
    </xf>
    <xf numFmtId="3" fontId="91" fillId="0" borderId="109" xfId="0" applyNumberFormat="1" applyFont="1" applyBorder="1" applyAlignment="1" applyProtection="1">
      <alignment horizontal="right" vertical="center" indent="4"/>
      <protection locked="0"/>
    </xf>
    <xf numFmtId="3" fontId="91" fillId="0" borderId="107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86" fillId="0" borderId="95" xfId="0" applyFont="1" applyBorder="1" applyAlignment="1" applyProtection="1">
      <alignment horizontal="center" vertical="center"/>
      <protection locked="0"/>
    </xf>
    <xf numFmtId="0" fontId="86" fillId="0" borderId="0" xfId="0" applyFont="1" applyBorder="1" applyAlignment="1" applyProtection="1">
      <alignment horizontal="center" vertical="center"/>
      <protection locked="0"/>
    </xf>
    <xf numFmtId="0" fontId="86" fillId="0" borderId="77" xfId="0" applyFont="1" applyBorder="1" applyAlignment="1" applyProtection="1">
      <alignment horizontal="center" vertical="center"/>
      <protection locked="0"/>
    </xf>
    <xf numFmtId="0" fontId="86" fillId="0" borderId="108" xfId="0" applyFont="1" applyBorder="1" applyAlignment="1" applyProtection="1">
      <alignment horizontal="center" vertical="center" wrapText="1"/>
      <protection locked="0"/>
    </xf>
    <xf numFmtId="0" fontId="86" fillId="0" borderId="134" xfId="0" applyFont="1" applyBorder="1" applyAlignment="1" applyProtection="1">
      <alignment horizontal="center" vertical="center" wrapText="1"/>
      <protection locked="0"/>
    </xf>
    <xf numFmtId="0" fontId="86" fillId="0" borderId="107" xfId="0" applyFont="1" applyBorder="1" applyAlignment="1" applyProtection="1">
      <alignment horizontal="center" vertical="center" wrapText="1"/>
      <protection locked="0"/>
    </xf>
    <xf numFmtId="0" fontId="86" fillId="0" borderId="131" xfId="0" applyFont="1" applyBorder="1" applyAlignment="1" applyProtection="1">
      <alignment horizontal="left"/>
      <protection locked="0"/>
    </xf>
    <xf numFmtId="0" fontId="86" fillId="0" borderId="141" xfId="0" applyFont="1" applyBorder="1" applyAlignment="1" applyProtection="1">
      <alignment horizontal="left"/>
      <protection locked="0"/>
    </xf>
    <xf numFmtId="3" fontId="90" fillId="0" borderId="141" xfId="0" applyNumberFormat="1" applyFont="1" applyBorder="1" applyAlignment="1" applyProtection="1">
      <alignment horizontal="right" vertical="center" indent="4"/>
      <protection hidden="1"/>
    </xf>
    <xf numFmtId="3" fontId="90" fillId="0" borderId="123" xfId="0" applyNumberFormat="1" applyFont="1" applyBorder="1" applyAlignment="1" applyProtection="1">
      <alignment horizontal="right" vertical="center" indent="4"/>
      <protection hidden="1"/>
    </xf>
    <xf numFmtId="0" fontId="82" fillId="0" borderId="98" xfId="0" applyFont="1" applyBorder="1" applyAlignment="1" applyProtection="1">
      <alignment horizontal="left" vertical="justify" wrapText="1"/>
      <protection locked="0"/>
    </xf>
    <xf numFmtId="0" fontId="82" fillId="0" borderId="99" xfId="0" applyFont="1" applyBorder="1" applyAlignment="1" applyProtection="1">
      <alignment horizontal="left" vertical="justify" wrapText="1"/>
      <protection locked="0"/>
    </xf>
    <xf numFmtId="0" fontId="82" fillId="0" borderId="85" xfId="0" applyFont="1" applyBorder="1" applyAlignment="1" applyProtection="1">
      <alignment horizontal="left" vertical="justify" wrapText="1"/>
      <protection locked="0"/>
    </xf>
    <xf numFmtId="3" fontId="91" fillId="0" borderId="84" xfId="0" applyNumberFormat="1" applyFont="1" applyBorder="1" applyAlignment="1" applyProtection="1">
      <alignment horizontal="right" vertical="center" indent="4"/>
      <protection locked="0"/>
    </xf>
    <xf numFmtId="3" fontId="91" fillId="0" borderId="99" xfId="0" applyNumberFormat="1" applyFont="1" applyBorder="1" applyAlignment="1" applyProtection="1">
      <alignment horizontal="right" vertical="center" indent="4"/>
      <protection locked="0"/>
    </xf>
    <xf numFmtId="3" fontId="91" fillId="0" borderId="85" xfId="0" applyNumberFormat="1" applyFont="1" applyBorder="1" applyAlignment="1" applyProtection="1">
      <alignment horizontal="right" vertical="center" indent="4"/>
      <protection locked="0"/>
    </xf>
    <xf numFmtId="3" fontId="91" fillId="0" borderId="100" xfId="0" applyNumberFormat="1" applyFont="1" applyBorder="1" applyAlignment="1" applyProtection="1">
      <alignment horizontal="right" vertical="center" indent="4"/>
      <protection locked="0"/>
    </xf>
    <xf numFmtId="0" fontId="82" fillId="0" borderId="136" xfId="0" applyFont="1" applyBorder="1" applyAlignment="1" applyProtection="1">
      <alignment horizontal="left" vertical="justify" wrapText="1"/>
      <protection locked="0"/>
    </xf>
    <xf numFmtId="0" fontId="82" fillId="0" borderId="119" xfId="0" applyFont="1" applyBorder="1" applyAlignment="1" applyProtection="1">
      <alignment horizontal="left" vertical="justify" wrapText="1"/>
      <protection locked="0"/>
    </xf>
    <xf numFmtId="0" fontId="82" fillId="0" borderId="118" xfId="0" applyFont="1" applyBorder="1" applyAlignment="1" applyProtection="1">
      <alignment horizontal="left" vertical="justify" wrapText="1"/>
      <protection locked="0"/>
    </xf>
    <xf numFmtId="3" fontId="91" fillId="0" borderId="115" xfId="0" applyNumberFormat="1" applyFont="1" applyBorder="1" applyAlignment="1" applyProtection="1">
      <alignment horizontal="right" vertical="center" indent="4"/>
      <protection locked="0"/>
    </xf>
    <xf numFmtId="3" fontId="91" fillId="0" borderId="119" xfId="0" applyNumberFormat="1" applyFont="1" applyBorder="1" applyAlignment="1" applyProtection="1">
      <alignment horizontal="right" vertical="center" indent="4"/>
      <protection locked="0"/>
    </xf>
    <xf numFmtId="3" fontId="91" fillId="0" borderId="118" xfId="0" applyNumberFormat="1" applyFont="1" applyBorder="1" applyAlignment="1" applyProtection="1">
      <alignment horizontal="right" vertical="center" indent="4"/>
      <protection locked="0"/>
    </xf>
    <xf numFmtId="3" fontId="91" fillId="0" borderId="142" xfId="0" applyNumberFormat="1" applyFont="1" applyBorder="1" applyAlignment="1" applyProtection="1">
      <alignment horizontal="right" vertical="center" indent="4"/>
      <protection locked="0"/>
    </xf>
    <xf numFmtId="0" fontId="86" fillId="0" borderId="131" xfId="0" applyFont="1" applyBorder="1" applyAlignment="1" applyProtection="1">
      <alignment horizontal="center" vertical="center" wrapText="1"/>
      <protection locked="0"/>
    </xf>
    <xf numFmtId="0" fontId="86" fillId="0" borderId="141" xfId="0" applyFont="1" applyBorder="1" applyAlignment="1" applyProtection="1">
      <alignment horizontal="center" vertical="center" wrapText="1"/>
      <protection locked="0"/>
    </xf>
    <xf numFmtId="0" fontId="86" fillId="0" borderId="123" xfId="0" applyFont="1" applyBorder="1" applyAlignment="1" applyProtection="1">
      <alignment horizontal="center" vertical="center" wrapText="1"/>
      <protection locked="0"/>
    </xf>
    <xf numFmtId="3" fontId="90" fillId="0" borderId="132" xfId="0" applyNumberFormat="1" applyFont="1" applyBorder="1" applyAlignment="1" applyProtection="1">
      <alignment horizontal="right" vertical="center" indent="4"/>
      <protection hidden="1"/>
    </xf>
    <xf numFmtId="3" fontId="90" fillId="0" borderId="91" xfId="0" applyNumberFormat="1" applyFont="1" applyBorder="1" applyAlignment="1" applyProtection="1">
      <alignment horizontal="right" vertical="center" indent="4"/>
      <protection hidden="1"/>
    </xf>
    <xf numFmtId="3" fontId="90" fillId="0" borderId="17" xfId="0" applyNumberFormat="1" applyFont="1" applyBorder="1" applyAlignment="1" applyProtection="1">
      <alignment horizontal="right" vertical="center" indent="4"/>
      <protection hidden="1"/>
    </xf>
    <xf numFmtId="0" fontId="0" fillId="0" borderId="93" xfId="0" applyBorder="1" applyAlignment="1" applyProtection="1">
      <alignment horizontal="center"/>
      <protection locked="0"/>
    </xf>
    <xf numFmtId="0" fontId="90" fillId="0" borderId="121" xfId="0" applyFont="1" applyBorder="1" applyAlignment="1" applyProtection="1">
      <alignment horizontal="center" vertical="center"/>
      <protection locked="0"/>
    </xf>
    <xf numFmtId="0" fontId="90" fillId="0" borderId="134" xfId="0" applyFont="1" applyBorder="1" applyAlignment="1" applyProtection="1">
      <alignment horizontal="center" vertical="center"/>
      <protection locked="0"/>
    </xf>
    <xf numFmtId="0" fontId="91" fillId="0" borderId="108" xfId="0" applyFont="1" applyBorder="1" applyAlignment="1" applyProtection="1">
      <alignment horizontal="center" vertical="center"/>
      <protection locked="0"/>
    </xf>
    <xf numFmtId="0" fontId="91" fillId="0" borderId="134" xfId="0" applyFont="1" applyBorder="1" applyAlignment="1" applyProtection="1">
      <alignment horizontal="center" vertical="center"/>
      <protection locked="0"/>
    </xf>
    <xf numFmtId="0" fontId="90" fillId="0" borderId="101" xfId="0" applyFont="1" applyBorder="1" applyAlignment="1" applyProtection="1">
      <alignment horizontal="center" vertical="center"/>
      <protection locked="0"/>
    </xf>
    <xf numFmtId="0" fontId="90" fillId="0" borderId="88" xfId="0" applyFont="1" applyBorder="1" applyAlignment="1" applyProtection="1">
      <alignment horizontal="center" vertical="center"/>
      <protection locked="0"/>
    </xf>
    <xf numFmtId="0" fontId="91" fillId="0" borderId="87" xfId="0" applyFont="1" applyBorder="1" applyAlignment="1" applyProtection="1">
      <alignment horizontal="center" vertical="center"/>
      <protection locked="0"/>
    </xf>
    <xf numFmtId="0" fontId="91" fillId="0" borderId="88" xfId="0" applyFont="1" applyBorder="1" applyAlignment="1" applyProtection="1">
      <alignment horizontal="center" vertical="center"/>
      <protection locked="0"/>
    </xf>
    <xf numFmtId="0" fontId="90" fillId="0" borderId="122" xfId="0" applyFont="1" applyBorder="1" applyAlignment="1" applyProtection="1">
      <alignment horizontal="center" vertical="center"/>
      <protection locked="0"/>
    </xf>
    <xf numFmtId="0" fontId="90" fillId="0" borderId="113" xfId="0" applyFont="1" applyBorder="1" applyAlignment="1" applyProtection="1">
      <alignment horizontal="center" vertical="center"/>
      <protection locked="0"/>
    </xf>
    <xf numFmtId="0" fontId="91" fillId="0" borderId="111" xfId="0" applyFont="1" applyBorder="1" applyAlignment="1" applyProtection="1">
      <alignment horizontal="center" vertical="center"/>
      <protection locked="0"/>
    </xf>
    <xf numFmtId="0" fontId="91" fillId="0" borderId="113" xfId="0" applyFont="1" applyBorder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center"/>
      <protection locked="0"/>
    </xf>
    <xf numFmtId="0" fontId="86" fillId="0" borderId="104" xfId="0" applyFont="1" applyBorder="1" applyAlignment="1" applyProtection="1">
      <alignment horizontal="center" vertical="center"/>
      <protection locked="0"/>
    </xf>
    <xf numFmtId="0" fontId="86" fillId="0" borderId="106" xfId="0" applyFont="1" applyBorder="1" applyAlignment="1" applyProtection="1">
      <alignment horizontal="center" vertical="center"/>
      <protection locked="0"/>
    </xf>
    <xf numFmtId="0" fontId="86" fillId="0" borderId="104" xfId="0" applyFont="1" applyBorder="1" applyAlignment="1" applyProtection="1">
      <alignment horizontal="center" vertical="center" wrapText="1"/>
      <protection locked="0"/>
    </xf>
    <xf numFmtId="0" fontId="86" fillId="0" borderId="93" xfId="0" applyFont="1" applyBorder="1" applyAlignment="1" applyProtection="1">
      <alignment horizontal="center" vertical="center" wrapText="1"/>
      <protection locked="0"/>
    </xf>
    <xf numFmtId="0" fontId="86" fillId="0" borderId="94" xfId="0" applyFont="1" applyBorder="1" applyAlignment="1" applyProtection="1">
      <alignment horizontal="center" vertical="center" wrapText="1"/>
      <protection locked="0"/>
    </xf>
    <xf numFmtId="0" fontId="82" fillId="0" borderId="63" xfId="0" applyFont="1" applyBorder="1" applyAlignment="1" applyProtection="1">
      <alignment horizontal="left" vertical="justify" wrapText="1"/>
      <protection locked="0"/>
    </xf>
    <xf numFmtId="0" fontId="82" fillId="0" borderId="64" xfId="0" applyFont="1" applyBorder="1" applyAlignment="1" applyProtection="1">
      <alignment horizontal="left" vertical="justify" wrapText="1"/>
      <protection locked="0"/>
    </xf>
    <xf numFmtId="3" fontId="87" fillId="0" borderId="64" xfId="0" applyNumberFormat="1" applyFont="1" applyBorder="1" applyAlignment="1" applyProtection="1">
      <alignment horizontal="right" vertical="center" wrapText="1" indent="2"/>
      <protection locked="0"/>
    </xf>
    <xf numFmtId="0" fontId="91" fillId="0" borderId="64" xfId="0" applyFont="1" applyBorder="1" applyAlignment="1" applyProtection="1">
      <alignment horizontal="left" vertical="center" wrapText="1"/>
      <protection locked="0"/>
    </xf>
    <xf numFmtId="0" fontId="91" fillId="0" borderId="65" xfId="0" applyFont="1" applyBorder="1" applyAlignment="1" applyProtection="1">
      <alignment horizontal="left" vertical="center" wrapText="1"/>
      <protection locked="0"/>
    </xf>
    <xf numFmtId="0" fontId="82" fillId="0" borderId="72" xfId="0" applyFont="1" applyBorder="1" applyAlignment="1" applyProtection="1">
      <alignment horizontal="left" vertical="justify" wrapText="1"/>
      <protection locked="0"/>
    </xf>
    <xf numFmtId="0" fontId="82" fillId="0" borderId="73" xfId="0" applyFont="1" applyBorder="1" applyAlignment="1" applyProtection="1">
      <alignment horizontal="left" vertical="justify" wrapText="1"/>
      <protection locked="0"/>
    </xf>
    <xf numFmtId="3" fontId="87" fillId="0" borderId="73" xfId="0" applyNumberFormat="1" applyFont="1" applyBorder="1" applyAlignment="1" applyProtection="1">
      <alignment horizontal="right" vertical="center" wrapText="1" indent="2"/>
      <protection locked="0"/>
    </xf>
    <xf numFmtId="0" fontId="91" fillId="0" borderId="73" xfId="0" applyFont="1" applyBorder="1" applyAlignment="1" applyProtection="1">
      <alignment horizontal="left" vertical="center" wrapText="1"/>
      <protection locked="0"/>
    </xf>
    <xf numFmtId="0" fontId="91" fillId="0" borderId="74" xfId="0" applyFont="1" applyBorder="1" applyAlignment="1" applyProtection="1">
      <alignment horizontal="left" vertical="center" wrapText="1"/>
      <protection locked="0"/>
    </xf>
    <xf numFmtId="0" fontId="91" fillId="0" borderId="73" xfId="0" applyFont="1" applyBorder="1" applyAlignment="1" applyProtection="1">
      <alignment horizontal="left" indent="1"/>
      <protection locked="0"/>
    </xf>
    <xf numFmtId="3" fontId="91" fillId="0" borderId="108" xfId="0" applyNumberFormat="1" applyFont="1" applyBorder="1" applyAlignment="1" applyProtection="1">
      <alignment horizontal="right" indent="4"/>
      <protection locked="0"/>
    </xf>
    <xf numFmtId="3" fontId="91" fillId="0" borderId="134" xfId="0" applyNumberFormat="1" applyFont="1" applyBorder="1" applyAlignment="1" applyProtection="1">
      <alignment horizontal="right" indent="4"/>
      <protection locked="0"/>
    </xf>
    <xf numFmtId="3" fontId="91" fillId="0" borderId="107" xfId="0" applyNumberFormat="1" applyFont="1" applyBorder="1" applyAlignment="1" applyProtection="1">
      <alignment horizontal="right" indent="4"/>
      <protection locked="0"/>
    </xf>
    <xf numFmtId="0" fontId="91" fillId="0" borderId="71" xfId="0" applyFont="1" applyBorder="1" applyAlignment="1" applyProtection="1">
      <alignment horizontal="left" indent="1"/>
      <protection locked="0"/>
    </xf>
    <xf numFmtId="3" fontId="91" fillId="0" borderId="111" xfId="0" applyNumberFormat="1" applyFont="1" applyBorder="1" applyAlignment="1" applyProtection="1">
      <alignment horizontal="right" indent="4"/>
      <protection locked="0"/>
    </xf>
    <xf numFmtId="3" fontId="91" fillId="0" borderId="113" xfId="0" applyNumberFormat="1" applyFont="1" applyBorder="1" applyAlignment="1" applyProtection="1">
      <alignment horizontal="right" indent="4"/>
      <protection locked="0"/>
    </xf>
    <xf numFmtId="3" fontId="91" fillId="0" borderId="110" xfId="0" applyNumberFormat="1" applyFont="1" applyBorder="1" applyAlignment="1" applyProtection="1">
      <alignment horizontal="right" indent="4"/>
      <protection locked="0"/>
    </xf>
    <xf numFmtId="0" fontId="91" fillId="0" borderId="43" xfId="0" applyFont="1" applyBorder="1" applyAlignment="1" applyProtection="1">
      <alignment horizontal="left" indent="1"/>
      <protection locked="0"/>
    </xf>
    <xf numFmtId="3" fontId="91" fillId="0" borderId="87" xfId="0" applyNumberFormat="1" applyFont="1" applyBorder="1" applyAlignment="1" applyProtection="1">
      <alignment horizontal="right" indent="4"/>
      <protection locked="0"/>
    </xf>
    <xf numFmtId="3" fontId="91" fillId="0" borderId="88" xfId="0" applyNumberFormat="1" applyFont="1" applyBorder="1" applyAlignment="1" applyProtection="1">
      <alignment horizontal="right" indent="4"/>
      <protection locked="0"/>
    </xf>
    <xf numFmtId="3" fontId="91" fillId="0" borderId="10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90" fillId="0" borderId="101" xfId="0" applyFont="1" applyBorder="1" applyAlignment="1" applyProtection="1">
      <protection locked="0"/>
    </xf>
    <xf numFmtId="0" fontId="90" fillId="0" borderId="88" xfId="0" applyFont="1" applyBorder="1" applyAlignment="1" applyProtection="1">
      <protection locked="0"/>
    </xf>
    <xf numFmtId="0" fontId="90" fillId="0" borderId="89" xfId="0" applyFont="1" applyBorder="1" applyAlignment="1" applyProtection="1">
      <protection locked="0"/>
    </xf>
    <xf numFmtId="0" fontId="91" fillId="0" borderId="87" xfId="0" applyFont="1" applyBorder="1" applyAlignment="1" applyProtection="1">
      <protection locked="0"/>
    </xf>
    <xf numFmtId="0" fontId="91" fillId="0" borderId="88" xfId="0" applyFont="1" applyBorder="1" applyAlignment="1" applyProtection="1">
      <protection locked="0"/>
    </xf>
    <xf numFmtId="0" fontId="91" fillId="0" borderId="89" xfId="0" applyFont="1" applyBorder="1" applyAlignment="1" applyProtection="1">
      <protection locked="0"/>
    </xf>
    <xf numFmtId="0" fontId="90" fillId="0" borderId="136" xfId="0" applyFont="1" applyBorder="1" applyAlignment="1" applyProtection="1">
      <protection locked="0"/>
    </xf>
    <xf numFmtId="0" fontId="90" fillId="0" borderId="119" xfId="0" applyFont="1" applyBorder="1" applyAlignment="1" applyProtection="1">
      <protection locked="0"/>
    </xf>
    <xf numFmtId="0" fontId="90" fillId="0" borderId="118" xfId="0" applyFont="1" applyBorder="1" applyAlignment="1" applyProtection="1">
      <protection locked="0"/>
    </xf>
    <xf numFmtId="0" fontId="91" fillId="0" borderId="115" xfId="0" applyFont="1" applyBorder="1" applyAlignment="1" applyProtection="1">
      <protection locked="0"/>
    </xf>
    <xf numFmtId="0" fontId="91" fillId="0" borderId="119" xfId="0" applyFont="1" applyBorder="1" applyAlignment="1" applyProtection="1">
      <protection locked="0"/>
    </xf>
    <xf numFmtId="0" fontId="91" fillId="0" borderId="118" xfId="0" applyFont="1" applyBorder="1" applyAlignment="1" applyProtection="1">
      <protection locked="0"/>
    </xf>
    <xf numFmtId="3" fontId="91" fillId="0" borderId="115" xfId="0" applyNumberFormat="1" applyFont="1" applyBorder="1" applyAlignment="1" applyProtection="1">
      <alignment horizontal="right" indent="4"/>
      <protection locked="0"/>
    </xf>
    <xf numFmtId="3" fontId="91" fillId="0" borderId="119" xfId="0" applyNumberFormat="1" applyFont="1" applyBorder="1" applyAlignment="1" applyProtection="1">
      <alignment horizontal="right" indent="4"/>
      <protection locked="0"/>
    </xf>
    <xf numFmtId="3" fontId="91" fillId="0" borderId="142" xfId="0" applyNumberFormat="1" applyFont="1" applyBorder="1" applyAlignment="1" applyProtection="1">
      <alignment horizontal="right" indent="4"/>
      <protection locked="0"/>
    </xf>
    <xf numFmtId="0" fontId="96" fillId="0" borderId="66" xfId="0" applyFont="1" applyFill="1" applyBorder="1" applyAlignment="1" applyProtection="1">
      <alignment wrapText="1"/>
      <protection locked="0"/>
    </xf>
    <xf numFmtId="0" fontId="96" fillId="0" borderId="43" xfId="0" applyFont="1" applyFill="1" applyBorder="1" applyAlignment="1" applyProtection="1">
      <alignment wrapText="1"/>
      <protection locked="0"/>
    </xf>
    <xf numFmtId="0" fontId="97" fillId="0" borderId="87" xfId="0" applyFont="1" applyBorder="1" applyAlignment="1" applyProtection="1">
      <alignment wrapText="1"/>
      <protection locked="0"/>
    </xf>
    <xf numFmtId="0" fontId="97" fillId="0" borderId="88" xfId="0" applyFont="1" applyBorder="1" applyAlignment="1" applyProtection="1">
      <alignment wrapText="1"/>
      <protection locked="0"/>
    </xf>
    <xf numFmtId="0" fontId="97" fillId="0" borderId="89" xfId="0" applyFont="1" applyBorder="1" applyAlignment="1" applyProtection="1">
      <alignment wrapText="1"/>
      <protection locked="0"/>
    </xf>
    <xf numFmtId="3" fontId="97" fillId="0" borderId="87" xfId="0" applyNumberFormat="1" applyFont="1" applyBorder="1" applyAlignment="1" applyProtection="1">
      <alignment horizontal="right" indent="4"/>
      <protection locked="0"/>
    </xf>
    <xf numFmtId="3" fontId="97" fillId="0" borderId="88" xfId="0" applyNumberFormat="1" applyFont="1" applyBorder="1" applyAlignment="1" applyProtection="1">
      <alignment horizontal="right" indent="4"/>
      <protection locked="0"/>
    </xf>
    <xf numFmtId="3" fontId="97" fillId="0" borderId="102" xfId="0" applyNumberFormat="1" applyFont="1" applyBorder="1" applyAlignment="1" applyProtection="1">
      <alignment horizontal="right" indent="4"/>
      <protection locked="0"/>
    </xf>
    <xf numFmtId="0" fontId="96" fillId="0" borderId="70" xfId="0" applyFont="1" applyFill="1" applyBorder="1" applyAlignment="1" applyProtection="1">
      <alignment wrapText="1"/>
      <protection locked="0"/>
    </xf>
    <xf numFmtId="0" fontId="96" fillId="0" borderId="71" xfId="0" applyFont="1" applyFill="1" applyBorder="1" applyAlignment="1" applyProtection="1">
      <alignment wrapText="1"/>
      <protection locked="0"/>
    </xf>
    <xf numFmtId="0" fontId="97" fillId="0" borderId="111" xfId="0" applyFont="1" applyBorder="1" applyAlignment="1" applyProtection="1">
      <protection locked="0"/>
    </xf>
    <xf numFmtId="0" fontId="97" fillId="0" borderId="113" xfId="0" applyFont="1" applyBorder="1" applyAlignment="1" applyProtection="1">
      <protection locked="0"/>
    </xf>
    <xf numFmtId="0" fontId="97" fillId="0" borderId="112" xfId="0" applyFont="1" applyBorder="1" applyAlignment="1" applyProtection="1">
      <protection locked="0"/>
    </xf>
    <xf numFmtId="3" fontId="97" fillId="0" borderId="111" xfId="0" applyNumberFormat="1" applyFont="1" applyBorder="1" applyAlignment="1" applyProtection="1">
      <alignment horizontal="right" indent="4"/>
      <protection locked="0"/>
    </xf>
    <xf numFmtId="3" fontId="97" fillId="0" borderId="113" xfId="0" applyNumberFormat="1" applyFont="1" applyBorder="1" applyAlignment="1" applyProtection="1">
      <alignment horizontal="right" indent="4"/>
      <protection locked="0"/>
    </xf>
    <xf numFmtId="3" fontId="97" fillId="0" borderId="110" xfId="0" applyNumberFormat="1" applyFont="1" applyBorder="1" applyAlignment="1" applyProtection="1">
      <alignment horizontal="right" indent="4"/>
      <protection locked="0"/>
    </xf>
    <xf numFmtId="0" fontId="82" fillId="0" borderId="0" xfId="0" applyFont="1" applyAlignment="1" applyProtection="1">
      <alignment horizontal="justify" vertical="top" wrapText="1"/>
      <protection locked="0"/>
    </xf>
    <xf numFmtId="0" fontId="82" fillId="0" borderId="0" xfId="0" applyFont="1" applyAlignment="1" applyProtection="1">
      <alignment horizontal="left" vertical="top" wrapText="1"/>
      <protection locked="0"/>
    </xf>
    <xf numFmtId="0" fontId="88" fillId="0" borderId="0" xfId="0" applyFont="1" applyAlignment="1" applyProtection="1">
      <alignment horizontal="left" vertical="justify" wrapText="1"/>
      <protection locked="0"/>
    </xf>
    <xf numFmtId="0" fontId="91" fillId="0" borderId="0" xfId="0" applyFont="1" applyAlignment="1" applyProtection="1">
      <alignment horizontal="center" vertical="justify"/>
      <protection locked="0"/>
    </xf>
    <xf numFmtId="0" fontId="90" fillId="0" borderId="136" xfId="0" applyFont="1" applyBorder="1" applyAlignment="1" applyProtection="1">
      <alignment horizontal="left"/>
      <protection locked="0"/>
    </xf>
    <xf numFmtId="0" fontId="90" fillId="0" borderId="119" xfId="0" applyFont="1" applyBorder="1" applyAlignment="1" applyProtection="1">
      <alignment horizontal="left"/>
      <protection locked="0"/>
    </xf>
    <xf numFmtId="0" fontId="90" fillId="0" borderId="118" xfId="0" applyFont="1" applyBorder="1" applyAlignment="1" applyProtection="1">
      <alignment horizontal="left"/>
      <protection locked="0"/>
    </xf>
    <xf numFmtId="0" fontId="91" fillId="0" borderId="115" xfId="0" applyFont="1" applyBorder="1" applyAlignment="1" applyProtection="1">
      <alignment horizontal="center"/>
      <protection locked="0"/>
    </xf>
    <xf numFmtId="0" fontId="91" fillId="0" borderId="119" xfId="0" applyFont="1" applyBorder="1" applyAlignment="1" applyProtection="1">
      <alignment horizontal="center"/>
      <protection locked="0"/>
    </xf>
    <xf numFmtId="0" fontId="91" fillId="0" borderId="142" xfId="0" applyFont="1" applyBorder="1" applyAlignment="1" applyProtection="1">
      <alignment horizontal="center"/>
      <protection locked="0"/>
    </xf>
    <xf numFmtId="49" fontId="91" fillId="0" borderId="108" xfId="0" applyNumberFormat="1" applyFont="1" applyBorder="1" applyAlignment="1" applyProtection="1">
      <alignment horizontal="center"/>
      <protection locked="0"/>
    </xf>
    <xf numFmtId="49" fontId="91" fillId="0" borderId="134" xfId="0" applyNumberFormat="1" applyFont="1" applyBorder="1" applyAlignment="1" applyProtection="1">
      <alignment horizontal="center"/>
      <protection locked="0"/>
    </xf>
    <xf numFmtId="49" fontId="91" fillId="0" borderId="109" xfId="0" applyNumberFormat="1" applyFont="1" applyBorder="1" applyAlignment="1" applyProtection="1">
      <alignment horizontal="center"/>
      <protection locked="0"/>
    </xf>
    <xf numFmtId="0" fontId="90" fillId="0" borderId="101" xfId="0" applyFont="1" applyBorder="1" applyAlignment="1" applyProtection="1">
      <alignment horizontal="left"/>
      <protection locked="0"/>
    </xf>
    <xf numFmtId="0" fontId="90" fillId="0" borderId="88" xfId="0" applyFont="1" applyBorder="1" applyAlignment="1" applyProtection="1">
      <alignment horizontal="left"/>
      <protection locked="0"/>
    </xf>
    <xf numFmtId="0" fontId="90" fillId="0" borderId="89" xfId="0" applyFont="1" applyBorder="1" applyAlignment="1" applyProtection="1">
      <alignment horizontal="left"/>
      <protection locked="0"/>
    </xf>
    <xf numFmtId="0" fontId="91" fillId="0" borderId="102" xfId="0" applyFont="1" applyBorder="1" applyAlignment="1" applyProtection="1">
      <alignment horizontal="center"/>
      <protection locked="0"/>
    </xf>
    <xf numFmtId="0" fontId="90" fillId="0" borderId="98" xfId="0" applyFont="1" applyBorder="1" applyAlignment="1" applyProtection="1">
      <alignment horizontal="left"/>
      <protection locked="0"/>
    </xf>
    <xf numFmtId="0" fontId="90" fillId="0" borderId="99" xfId="0" applyFont="1" applyBorder="1" applyAlignment="1" applyProtection="1">
      <alignment horizontal="left"/>
      <protection locked="0"/>
    </xf>
    <xf numFmtId="0" fontId="90" fillId="0" borderId="85" xfId="0" applyFont="1" applyBorder="1" applyAlignment="1" applyProtection="1">
      <alignment horizontal="left"/>
      <protection locked="0"/>
    </xf>
    <xf numFmtId="0" fontId="91" fillId="0" borderId="84" xfId="0" applyFont="1" applyBorder="1" applyAlignment="1" applyProtection="1">
      <alignment horizontal="center"/>
      <protection locked="0"/>
    </xf>
    <xf numFmtId="0" fontId="91" fillId="0" borderId="99" xfId="0" applyFont="1" applyBorder="1" applyAlignment="1" applyProtection="1">
      <alignment horizontal="center"/>
      <protection locked="0"/>
    </xf>
    <xf numFmtId="0" fontId="91" fillId="0" borderId="100" xfId="0" applyFont="1" applyBorder="1" applyAlignment="1" applyProtection="1">
      <alignment horizontal="center"/>
      <protection locked="0"/>
    </xf>
    <xf numFmtId="0" fontId="82" fillId="0" borderId="0" xfId="0" applyFont="1" applyBorder="1" applyAlignment="1" applyProtection="1">
      <alignment horizontal="justify" vertical="top" wrapText="1"/>
      <protection locked="0"/>
    </xf>
    <xf numFmtId="0" fontId="0" fillId="0" borderId="136" xfId="0" applyBorder="1" applyAlignment="1" applyProtection="1">
      <alignment horizontal="left"/>
      <protection locked="0"/>
    </xf>
    <xf numFmtId="0" fontId="0" fillId="0" borderId="119" xfId="0" applyBorder="1" applyAlignment="1" applyProtection="1">
      <alignment horizontal="left"/>
      <protection locked="0"/>
    </xf>
    <xf numFmtId="0" fontId="0" fillId="0" borderId="118" xfId="0" applyBorder="1" applyAlignment="1" applyProtection="1">
      <alignment horizontal="left"/>
      <protection locked="0"/>
    </xf>
    <xf numFmtId="0" fontId="90" fillId="0" borderId="115" xfId="0" applyFont="1" applyBorder="1" applyAlignment="1" applyProtection="1">
      <alignment horizontal="center"/>
      <protection locked="0"/>
    </xf>
    <xf numFmtId="0" fontId="90" fillId="0" borderId="119" xfId="0" applyFont="1" applyBorder="1" applyAlignment="1" applyProtection="1">
      <alignment horizontal="center"/>
      <protection locked="0"/>
    </xf>
    <xf numFmtId="0" fontId="90" fillId="0" borderId="118" xfId="0" applyFont="1" applyBorder="1" applyAlignment="1" applyProtection="1">
      <alignment horizontal="center"/>
      <protection locked="0"/>
    </xf>
    <xf numFmtId="0" fontId="90" fillId="0" borderId="108" xfId="0" applyFont="1" applyBorder="1" applyAlignment="1" applyProtection="1">
      <alignment horizontal="center"/>
      <protection locked="0"/>
    </xf>
    <xf numFmtId="0" fontId="90" fillId="0" borderId="134" xfId="0" applyFont="1" applyBorder="1" applyAlignment="1" applyProtection="1">
      <alignment horizontal="center"/>
      <protection locked="0"/>
    </xf>
    <xf numFmtId="0" fontId="90" fillId="0" borderId="107" xfId="0" applyFont="1" applyBorder="1" applyAlignment="1" applyProtection="1">
      <alignment horizontal="center"/>
      <protection locked="0"/>
    </xf>
    <xf numFmtId="0" fontId="0" fillId="0" borderId="93" xfId="0" applyBorder="1" applyAlignment="1" applyProtection="1">
      <alignment horizontal="left"/>
      <protection locked="0"/>
    </xf>
    <xf numFmtId="0" fontId="90" fillId="0" borderId="87" xfId="0" applyFont="1" applyBorder="1" applyAlignment="1" applyProtection="1">
      <alignment horizontal="center"/>
      <protection locked="0"/>
    </xf>
    <xf numFmtId="0" fontId="90" fillId="0" borderId="88" xfId="0" applyFont="1" applyBorder="1" applyAlignment="1" applyProtection="1">
      <alignment horizontal="center"/>
      <protection locked="0"/>
    </xf>
    <xf numFmtId="0" fontId="90" fillId="0" borderId="89" xfId="0" applyFont="1" applyBorder="1" applyAlignment="1" applyProtection="1">
      <alignment horizontal="center"/>
      <protection locked="0"/>
    </xf>
    <xf numFmtId="0" fontId="90" fillId="0" borderId="102" xfId="0" applyFont="1" applyBorder="1" applyAlignment="1" applyProtection="1">
      <alignment horizontal="center"/>
      <protection locked="0"/>
    </xf>
    <xf numFmtId="0" fontId="90" fillId="0" borderId="84" xfId="0" applyFont="1" applyBorder="1" applyAlignment="1" applyProtection="1">
      <alignment horizontal="center"/>
      <protection locked="0"/>
    </xf>
    <xf numFmtId="0" fontId="90" fillId="0" borderId="99" xfId="0" applyFont="1" applyBorder="1" applyAlignment="1" applyProtection="1">
      <alignment horizontal="center"/>
      <protection locked="0"/>
    </xf>
    <xf numFmtId="0" fontId="90" fillId="0" borderId="100" xfId="0" applyFont="1" applyBorder="1" applyAlignment="1" applyProtection="1">
      <alignment horizontal="center"/>
      <protection locked="0"/>
    </xf>
    <xf numFmtId="0" fontId="90" fillId="0" borderId="85" xfId="0" applyFont="1" applyBorder="1" applyAlignment="1" applyProtection="1">
      <alignment horizontal="center"/>
      <protection locked="0"/>
    </xf>
    <xf numFmtId="0" fontId="90" fillId="0" borderId="104" xfId="0" applyFont="1" applyBorder="1" applyAlignment="1" applyProtection="1">
      <alignment horizontal="center"/>
      <protection locked="0"/>
    </xf>
    <xf numFmtId="0" fontId="90" fillId="0" borderId="93" xfId="0" applyFont="1" applyBorder="1" applyAlignment="1" applyProtection="1">
      <alignment horizontal="center"/>
      <protection locked="0"/>
    </xf>
    <xf numFmtId="0" fontId="90" fillId="0" borderId="94" xfId="0" applyFont="1" applyBorder="1" applyAlignment="1" applyProtection="1">
      <alignment horizontal="center"/>
      <protection locked="0"/>
    </xf>
    <xf numFmtId="0" fontId="8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2" fillId="0" borderId="0" xfId="0" applyFont="1" applyBorder="1" applyAlignment="1" applyProtection="1">
      <alignment horizontal="center" wrapText="1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82" fillId="0" borderId="90" xfId="0" applyFont="1" applyBorder="1" applyAlignment="1" applyProtection="1">
      <alignment horizontal="center" vertical="center" wrapText="1"/>
      <protection locked="0"/>
    </xf>
    <xf numFmtId="0" fontId="82" fillId="0" borderId="91" xfId="0" applyFont="1" applyBorder="1" applyAlignment="1" applyProtection="1">
      <alignment horizontal="center" vertical="center" wrapText="1"/>
      <protection locked="0"/>
    </xf>
    <xf numFmtId="0" fontId="82" fillId="0" borderId="17" xfId="0" applyFont="1" applyBorder="1" applyAlignment="1" applyProtection="1">
      <alignment horizontal="center" vertical="center" wrapText="1"/>
      <protection locked="0"/>
    </xf>
    <xf numFmtId="0" fontId="87" fillId="0" borderId="96" xfId="0" applyFont="1" applyBorder="1" applyAlignment="1" applyProtection="1">
      <alignment horizontal="center" vertical="center"/>
      <protection locked="0"/>
    </xf>
    <xf numFmtId="0" fontId="87" fillId="0" borderId="97" xfId="0" applyFont="1" applyBorder="1" applyAlignment="1" applyProtection="1">
      <alignment horizontal="center" vertical="center"/>
      <protection locked="0"/>
    </xf>
    <xf numFmtId="0" fontId="87" fillId="0" borderId="13" xfId="0" applyFont="1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/>
      <protection locked="0"/>
    </xf>
    <xf numFmtId="0" fontId="82" fillId="0" borderId="93" xfId="0" applyFont="1" applyBorder="1" applyAlignment="1" applyProtection="1">
      <alignment horizontal="center"/>
      <protection locked="0"/>
    </xf>
    <xf numFmtId="0" fontId="82" fillId="0" borderId="93" xfId="0" applyFont="1" applyBorder="1" applyAlignment="1" applyProtection="1">
      <alignment horizontal="left"/>
      <protection locked="0"/>
    </xf>
    <xf numFmtId="0" fontId="87" fillId="0" borderId="66" xfId="0" applyFont="1" applyBorder="1" applyAlignment="1" applyProtection="1">
      <alignment horizontal="left" vertical="center" wrapText="1" indent="1"/>
      <protection locked="0"/>
    </xf>
    <xf numFmtId="0" fontId="87" fillId="0" borderId="43" xfId="0" applyFont="1" applyBorder="1" applyAlignment="1" applyProtection="1">
      <alignment horizontal="left" vertical="center" wrapText="1" indent="1"/>
      <protection locked="0"/>
    </xf>
    <xf numFmtId="0" fontId="88" fillId="0" borderId="43" xfId="0" applyFont="1" applyBorder="1" applyAlignment="1" applyProtection="1">
      <alignment horizontal="left" vertical="center" wrapText="1" indent="1"/>
      <protection locked="0"/>
    </xf>
    <xf numFmtId="0" fontId="88" fillId="0" borderId="67" xfId="0" applyFont="1" applyBorder="1" applyAlignment="1" applyProtection="1">
      <alignment horizontal="left" vertical="center" wrapText="1" indent="1"/>
      <protection locked="0"/>
    </xf>
    <xf numFmtId="0" fontId="87" fillId="0" borderId="72" xfId="0" applyFont="1" applyBorder="1" applyAlignment="1" applyProtection="1">
      <alignment horizontal="left" vertical="center" wrapText="1" indent="1"/>
      <protection locked="0"/>
    </xf>
    <xf numFmtId="0" fontId="87" fillId="0" borderId="73" xfId="0" applyFont="1" applyBorder="1" applyAlignment="1" applyProtection="1">
      <alignment horizontal="left" vertical="center" wrapText="1" indent="1"/>
      <protection locked="0"/>
    </xf>
    <xf numFmtId="0" fontId="88" fillId="0" borderId="73" xfId="0" applyFont="1" applyBorder="1" applyAlignment="1" applyProtection="1">
      <alignment horizontal="left" vertical="center" wrapText="1" indent="1"/>
      <protection locked="0"/>
    </xf>
    <xf numFmtId="0" fontId="88" fillId="0" borderId="74" xfId="0" applyFont="1" applyBorder="1" applyAlignment="1" applyProtection="1">
      <alignment horizontal="left" vertical="center" wrapText="1" indent="1"/>
      <protection locked="0"/>
    </xf>
    <xf numFmtId="0" fontId="86" fillId="0" borderId="90" xfId="0" applyFont="1" applyBorder="1" applyAlignment="1" applyProtection="1">
      <alignment horizontal="center" vertical="center" wrapText="1"/>
      <protection locked="0"/>
    </xf>
    <xf numFmtId="0" fontId="86" fillId="0" borderId="17" xfId="0" applyFont="1" applyBorder="1" applyAlignment="1" applyProtection="1">
      <alignment horizontal="center" vertical="center" wrapText="1"/>
      <protection locked="0"/>
    </xf>
    <xf numFmtId="0" fontId="87" fillId="0" borderId="70" xfId="0" applyFont="1" applyBorder="1" applyAlignment="1" applyProtection="1">
      <alignment horizontal="left" vertical="center" wrapText="1" indent="1"/>
      <protection locked="0"/>
    </xf>
    <xf numFmtId="0" fontId="87" fillId="0" borderId="71" xfId="0" applyFont="1" applyBorder="1" applyAlignment="1" applyProtection="1">
      <alignment horizontal="left" vertical="center" wrapText="1" indent="1"/>
      <protection locked="0"/>
    </xf>
    <xf numFmtId="0" fontId="88" fillId="0" borderId="71" xfId="0" applyFont="1" applyBorder="1" applyAlignment="1" applyProtection="1">
      <alignment horizontal="left" vertical="center" wrapText="1" indent="1"/>
      <protection locked="0"/>
    </xf>
    <xf numFmtId="0" fontId="88" fillId="0" borderId="54" xfId="0" applyFont="1" applyBorder="1" applyAlignment="1" applyProtection="1">
      <alignment horizontal="left" vertical="center" wrapText="1" indent="1"/>
      <protection locked="0"/>
    </xf>
    <xf numFmtId="0" fontId="87" fillId="0" borderId="140" xfId="0" applyFont="1" applyBorder="1" applyAlignment="1" applyProtection="1">
      <alignment horizontal="left" vertical="top" wrapText="1"/>
      <protection locked="0"/>
    </xf>
    <xf numFmtId="177" fontId="88" fillId="0" borderId="0" xfId="0" applyNumberFormat="1" applyFont="1" applyAlignment="1" applyProtection="1">
      <alignment horizontal="left"/>
      <protection locked="0"/>
    </xf>
    <xf numFmtId="0" fontId="98" fillId="0" borderId="140" xfId="0" applyFont="1" applyBorder="1" applyAlignment="1" applyProtection="1">
      <alignment horizontal="left" vertical="top" wrapText="1"/>
      <protection locked="0"/>
    </xf>
    <xf numFmtId="0" fontId="87" fillId="0" borderId="0" xfId="0" applyFont="1" applyAlignment="1" applyProtection="1">
      <alignment horizontal="left"/>
      <protection locked="0"/>
    </xf>
    <xf numFmtId="3" fontId="18" fillId="0" borderId="0" xfId="2" applyNumberFormat="1" applyFont="1" applyAlignment="1">
      <alignment horizontal="left" vertical="center" wrapText="1"/>
    </xf>
    <xf numFmtId="3" fontId="18" fillId="0" borderId="0" xfId="2" applyNumberFormat="1" applyFont="1" applyAlignment="1">
      <alignment vertical="center" wrapText="1"/>
    </xf>
    <xf numFmtId="0" fontId="33" fillId="0" borderId="104" xfId="5" applyFont="1" applyFill="1" applyBorder="1" applyAlignment="1">
      <alignment horizontal="left" vertical="top" wrapText="1"/>
    </xf>
    <xf numFmtId="0" fontId="33" fillId="0" borderId="93" xfId="5" applyFont="1" applyFill="1" applyBorder="1" applyAlignment="1">
      <alignment horizontal="left" vertical="top" wrapText="1"/>
    </xf>
    <xf numFmtId="0" fontId="33" fillId="0" borderId="103" xfId="5" applyFont="1" applyFill="1" applyBorder="1" applyAlignment="1">
      <alignment horizontal="left" vertical="top" wrapText="1"/>
    </xf>
    <xf numFmtId="0" fontId="33" fillId="0" borderId="75" xfId="5" applyFont="1" applyFill="1" applyBorder="1" applyAlignment="1">
      <alignment horizontal="left" vertical="top" wrapText="1"/>
    </xf>
    <xf numFmtId="0" fontId="33" fillId="0" borderId="0" xfId="5" applyFont="1" applyFill="1" applyBorder="1" applyAlignment="1">
      <alignment horizontal="left" vertical="top" wrapText="1"/>
    </xf>
    <xf numFmtId="0" fontId="33" fillId="0" borderId="77" xfId="5" applyFont="1" applyFill="1" applyBorder="1" applyAlignment="1">
      <alignment horizontal="left" vertical="top" wrapText="1"/>
    </xf>
    <xf numFmtId="0" fontId="33" fillId="0" borderId="94" xfId="5" applyFont="1" applyFill="1" applyBorder="1" applyAlignment="1">
      <alignment horizontal="left" vertical="top" wrapText="1"/>
    </xf>
    <xf numFmtId="0" fontId="33" fillId="0" borderId="29" xfId="5" applyFont="1" applyFill="1" applyBorder="1" applyAlignment="1">
      <alignment horizontal="left" vertical="top" wrapText="1"/>
    </xf>
    <xf numFmtId="0" fontId="19" fillId="0" borderId="106" xfId="5" applyFont="1" applyBorder="1" applyAlignment="1">
      <alignment horizontal="center" vertical="top"/>
    </xf>
    <xf numFmtId="0" fontId="19" fillId="0" borderId="97" xfId="5" applyFont="1" applyBorder="1" applyAlignment="1">
      <alignment horizontal="center" vertical="top"/>
    </xf>
    <xf numFmtId="0" fontId="19" fillId="0" borderId="105" xfId="5" applyFont="1" applyBorder="1" applyAlignment="1">
      <alignment horizontal="center" vertical="top"/>
    </xf>
    <xf numFmtId="0" fontId="19" fillId="0" borderId="106" xfId="5" applyFont="1" applyFill="1" applyBorder="1" applyAlignment="1">
      <alignment horizontal="center" vertical="top"/>
    </xf>
    <xf numFmtId="0" fontId="19" fillId="0" borderId="13" xfId="5" applyFont="1" applyBorder="1" applyAlignment="1">
      <alignment horizontal="center" vertical="top"/>
    </xf>
    <xf numFmtId="170" fontId="45" fillId="0" borderId="87" xfId="5" applyNumberFormat="1" applyFont="1" applyFill="1" applyBorder="1" applyAlignment="1">
      <alignment horizontal="center" vertical="center"/>
    </xf>
    <xf numFmtId="170" fontId="45" fillId="0" borderId="88" xfId="5" applyNumberFormat="1" applyFont="1" applyFill="1" applyBorder="1" applyAlignment="1">
      <alignment horizontal="center" vertical="center"/>
    </xf>
    <xf numFmtId="170" fontId="45" fillId="0" borderId="89" xfId="5" applyNumberFormat="1" applyFont="1" applyFill="1" applyBorder="1" applyAlignment="1">
      <alignment horizontal="center" vertical="center"/>
    </xf>
    <xf numFmtId="49" fontId="47" fillId="0" borderId="115" xfId="5" applyNumberFormat="1" applyFont="1" applyFill="1" applyBorder="1" applyAlignment="1">
      <alignment horizontal="center" vertical="top"/>
    </xf>
    <xf numFmtId="49" fontId="47" fillId="0" borderId="118" xfId="5" applyNumberFormat="1" applyFont="1" applyFill="1" applyBorder="1" applyAlignment="1">
      <alignment horizontal="center" vertical="top"/>
    </xf>
    <xf numFmtId="49" fontId="47" fillId="0" borderId="84" xfId="5" applyNumberFormat="1" applyFont="1" applyFill="1" applyBorder="1" applyAlignment="1">
      <alignment horizontal="center" vertical="top"/>
    </xf>
    <xf numFmtId="49" fontId="47" fillId="0" borderId="85" xfId="5" applyNumberFormat="1" applyFont="1" applyFill="1" applyBorder="1" applyAlignment="1">
      <alignment horizontal="center" vertical="top"/>
    </xf>
    <xf numFmtId="49" fontId="46" fillId="0" borderId="115" xfId="5" applyNumberFormat="1" applyFont="1" applyFill="1" applyBorder="1" applyAlignment="1">
      <alignment horizontal="center" vertical="top"/>
    </xf>
    <xf numFmtId="49" fontId="46" fillId="0" borderId="118" xfId="5" applyNumberFormat="1" applyFont="1" applyFill="1" applyBorder="1" applyAlignment="1">
      <alignment horizontal="center" vertical="top"/>
    </xf>
    <xf numFmtId="49" fontId="46" fillId="0" borderId="84" xfId="5" applyNumberFormat="1" applyFont="1" applyFill="1" applyBorder="1" applyAlignment="1">
      <alignment horizontal="center" vertical="top"/>
    </xf>
    <xf numFmtId="49" fontId="46" fillId="0" borderId="85" xfId="5" applyNumberFormat="1" applyFont="1" applyFill="1" applyBorder="1" applyAlignment="1">
      <alignment horizontal="center" vertical="top"/>
    </xf>
    <xf numFmtId="170" fontId="45" fillId="0" borderId="87" xfId="5" applyNumberFormat="1" applyFont="1" applyFill="1" applyBorder="1" applyAlignment="1">
      <alignment horizontal="right" vertical="center"/>
    </xf>
    <xf numFmtId="170" fontId="45" fillId="0" borderId="88" xfId="5" applyNumberFormat="1" applyFont="1" applyFill="1" applyBorder="1" applyAlignment="1">
      <alignment horizontal="right" vertical="center"/>
    </xf>
    <xf numFmtId="170" fontId="45" fillId="0" borderId="89" xfId="5" applyNumberFormat="1" applyFont="1" applyFill="1" applyBorder="1" applyAlignment="1">
      <alignment horizontal="right" vertical="center"/>
    </xf>
    <xf numFmtId="170" fontId="45" fillId="0" borderId="43" xfId="5" applyNumberFormat="1" applyFont="1" applyFill="1" applyBorder="1" applyAlignment="1">
      <alignment horizontal="right" vertical="center"/>
    </xf>
    <xf numFmtId="170" fontId="45" fillId="0" borderId="102" xfId="5" applyNumberFormat="1" applyFont="1" applyFill="1" applyBorder="1" applyAlignment="1">
      <alignment horizontal="right" vertical="center"/>
    </xf>
    <xf numFmtId="0" fontId="47" fillId="0" borderId="111" xfId="5" applyFont="1" applyFill="1" applyBorder="1" applyAlignment="1">
      <alignment horizontal="center" vertical="center" wrapText="1"/>
    </xf>
    <xf numFmtId="0" fontId="47" fillId="0" borderId="110" xfId="5" applyFont="1" applyFill="1" applyBorder="1" applyAlignment="1">
      <alignment horizontal="center" vertical="center" wrapText="1"/>
    </xf>
    <xf numFmtId="0" fontId="47" fillId="0" borderId="84" xfId="5" applyFont="1" applyFill="1" applyBorder="1" applyAlignment="1">
      <alignment horizontal="center" vertical="center" wrapText="1"/>
    </xf>
    <xf numFmtId="0" fontId="47" fillId="0" borderId="100" xfId="5" applyFont="1" applyFill="1" applyBorder="1" applyAlignment="1">
      <alignment horizontal="center" vertical="center" wrapText="1"/>
    </xf>
    <xf numFmtId="0" fontId="47" fillId="0" borderId="112" xfId="5" applyFont="1" applyFill="1" applyBorder="1" applyAlignment="1">
      <alignment horizontal="center" vertical="center" wrapText="1"/>
    </xf>
    <xf numFmtId="0" fontId="47" fillId="0" borderId="85" xfId="5" applyFont="1" applyFill="1" applyBorder="1" applyAlignment="1">
      <alignment horizontal="center" vertical="center" wrapText="1"/>
    </xf>
    <xf numFmtId="0" fontId="47" fillId="0" borderId="75" xfId="5" applyFont="1" applyFill="1" applyBorder="1" applyAlignment="1">
      <alignment horizontal="center" vertical="center" wrapText="1"/>
    </xf>
    <xf numFmtId="0" fontId="47" fillId="0" borderId="29" xfId="5" applyFont="1" applyFill="1" applyBorder="1" applyAlignment="1">
      <alignment horizontal="center" vertical="center" wrapText="1"/>
    </xf>
    <xf numFmtId="0" fontId="47" fillId="0" borderId="84" xfId="5" applyFont="1" applyFill="1" applyBorder="1" applyAlignment="1">
      <alignment horizontal="center" wrapText="1"/>
    </xf>
    <xf numFmtId="0" fontId="47" fillId="0" borderId="85" xfId="5" applyFont="1" applyFill="1" applyBorder="1" applyAlignment="1">
      <alignment horizontal="center" wrapText="1"/>
    </xf>
    <xf numFmtId="0" fontId="47" fillId="0" borderId="87" xfId="5" applyFont="1" applyFill="1" applyBorder="1" applyAlignment="1">
      <alignment horizontal="center" vertical="center" wrapText="1"/>
    </xf>
    <xf numFmtId="0" fontId="47" fillId="0" borderId="102" xfId="5" applyFont="1" applyFill="1" applyBorder="1" applyAlignment="1">
      <alignment horizontal="center" vertical="center" wrapText="1"/>
    </xf>
    <xf numFmtId="0" fontId="48" fillId="0" borderId="70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6" fillId="0" borderId="70" xfId="5" applyFont="1" applyFill="1" applyBorder="1" applyAlignment="1">
      <alignment horizontal="right" vertical="top" wrapText="1"/>
    </xf>
    <xf numFmtId="0" fontId="46" fillId="0" borderId="66" xfId="5" applyFont="1" applyFill="1" applyBorder="1" applyAlignment="1">
      <alignment horizontal="right" vertical="top" wrapText="1"/>
    </xf>
    <xf numFmtId="0" fontId="46" fillId="0" borderId="71" xfId="5" applyFont="1" applyFill="1" applyBorder="1" applyAlignment="1">
      <alignment horizontal="left" vertical="top" wrapText="1"/>
    </xf>
    <xf numFmtId="0" fontId="46" fillId="0" borderId="43" xfId="5" applyFont="1" applyFill="1" applyBorder="1" applyAlignment="1">
      <alignment horizontal="left" vertical="top" wrapText="1"/>
    </xf>
    <xf numFmtId="49" fontId="46" fillId="0" borderId="71" xfId="5" applyNumberFormat="1" applyFont="1" applyFill="1" applyBorder="1" applyAlignment="1">
      <alignment horizontal="center" vertical="top"/>
    </xf>
    <xf numFmtId="49" fontId="46" fillId="0" borderId="43" xfId="5" applyNumberFormat="1" applyFont="1" applyFill="1" applyBorder="1" applyAlignment="1">
      <alignment horizontal="center" vertical="top"/>
    </xf>
    <xf numFmtId="0" fontId="47" fillId="0" borderId="71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vertical="center" wrapText="1"/>
    </xf>
    <xf numFmtId="0" fontId="48" fillId="0" borderId="71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99" xfId="5" applyFont="1" applyFill="1" applyBorder="1" applyAlignment="1">
      <alignment horizontal="center" vertical="center" wrapText="1"/>
    </xf>
    <xf numFmtId="1" fontId="47" fillId="0" borderId="43" xfId="5" applyNumberFormat="1" applyFont="1" applyFill="1" applyBorder="1" applyAlignment="1">
      <alignment horizontal="center" vertical="center"/>
    </xf>
    <xf numFmtId="0" fontId="46" fillId="0" borderId="66" xfId="5" applyFont="1" applyFill="1" applyBorder="1" applyAlignment="1">
      <alignment horizontal="left" vertical="top" wrapText="1"/>
    </xf>
    <xf numFmtId="0" fontId="47" fillId="0" borderId="66" xfId="5" applyFont="1" applyFill="1" applyBorder="1" applyAlignment="1">
      <alignment horizontal="left" vertical="top" wrapText="1"/>
    </xf>
    <xf numFmtId="0" fontId="47" fillId="0" borderId="71" xfId="5" quotePrefix="1" applyFont="1" applyFill="1" applyBorder="1" applyAlignment="1">
      <alignment horizontal="left" vertical="top" wrapText="1"/>
    </xf>
    <xf numFmtId="0" fontId="47" fillId="0" borderId="43" xfId="5" applyFont="1" applyFill="1" applyBorder="1" applyAlignment="1">
      <alignment horizontal="left" vertical="top" wrapText="1"/>
    </xf>
    <xf numFmtId="0" fontId="47" fillId="0" borderId="70" xfId="5" quotePrefix="1" applyFont="1" applyFill="1" applyBorder="1" applyAlignment="1">
      <alignment horizontal="right" vertical="top" wrapText="1"/>
    </xf>
    <xf numFmtId="0" fontId="47" fillId="0" borderId="66" xfId="5" applyFont="1" applyFill="1" applyBorder="1" applyAlignment="1">
      <alignment horizontal="righ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7" fillId="0" borderId="66" xfId="5" quotePrefix="1" applyFont="1" applyFill="1" applyBorder="1" applyAlignment="1">
      <alignment horizontal="right" vertical="top" wrapText="1"/>
    </xf>
    <xf numFmtId="0" fontId="47" fillId="0" borderId="43" xfId="5" quotePrefix="1" applyFont="1" applyFill="1" applyBorder="1" applyAlignment="1">
      <alignment horizontal="left" vertical="top" wrapText="1"/>
    </xf>
    <xf numFmtId="0" fontId="47" fillId="0" borderId="115" xfId="5" applyFont="1" applyFill="1" applyBorder="1" applyAlignment="1">
      <alignment horizontal="center" vertical="center" wrapText="1"/>
    </xf>
    <xf numFmtId="0" fontId="47" fillId="0" borderId="116" xfId="5" applyFont="1" applyFill="1" applyBorder="1" applyAlignment="1">
      <alignment horizontal="center" vertical="center" wrapText="1"/>
    </xf>
    <xf numFmtId="0" fontId="47" fillId="0" borderId="75" xfId="5" applyFont="1" applyFill="1" applyBorder="1" applyAlignment="1">
      <alignment horizontal="center" wrapText="1"/>
    </xf>
    <xf numFmtId="0" fontId="47" fillId="0" borderId="77" xfId="5" applyFont="1" applyFill="1" applyBorder="1" applyAlignment="1">
      <alignment horizontal="center" wrapText="1"/>
    </xf>
    <xf numFmtId="0" fontId="46" fillId="0" borderId="66" xfId="5" quotePrefix="1" applyFont="1" applyFill="1" applyBorder="1" applyAlignment="1">
      <alignment horizontal="left" vertical="top" wrapText="1"/>
    </xf>
    <xf numFmtId="0" fontId="47" fillId="0" borderId="66" xfId="5" quotePrefix="1" applyFont="1" applyFill="1" applyBorder="1" applyAlignment="1">
      <alignment horizontal="left" vertical="top" wrapText="1"/>
    </xf>
    <xf numFmtId="0" fontId="48" fillId="0" borderId="117" xfId="5" applyFont="1" applyFill="1" applyBorder="1" applyAlignment="1">
      <alignment horizontal="center" vertical="center" wrapText="1"/>
    </xf>
    <xf numFmtId="1" fontId="47" fillId="0" borderId="116" xfId="5" applyNumberFormat="1" applyFont="1" applyFill="1" applyBorder="1" applyAlignment="1">
      <alignment horizontal="center" vertical="center"/>
    </xf>
    <xf numFmtId="0" fontId="46" fillId="0" borderId="66" xfId="5" applyFont="1" applyFill="1" applyBorder="1" applyAlignment="1">
      <alignment horizontal="center" vertical="top" wrapText="1"/>
    </xf>
    <xf numFmtId="0" fontId="46" fillId="0" borderId="66" xfId="5" quotePrefix="1" applyFont="1" applyFill="1" applyBorder="1" applyAlignment="1">
      <alignment horizontal="center" vertical="top" wrapText="1"/>
    </xf>
    <xf numFmtId="0" fontId="46" fillId="0" borderId="66" xfId="5" applyFont="1" applyFill="1" applyBorder="1"/>
    <xf numFmtId="0" fontId="47" fillId="0" borderId="116" xfId="15" quotePrefix="1" applyFont="1" applyFill="1" applyBorder="1" applyAlignment="1">
      <alignment horizontal="left" vertical="top" wrapText="1"/>
    </xf>
    <xf numFmtId="0" fontId="47" fillId="0" borderId="71" xfId="15" quotePrefix="1" applyFont="1" applyFill="1" applyBorder="1" applyAlignment="1">
      <alignment horizontal="left" vertical="top" wrapText="1"/>
    </xf>
    <xf numFmtId="0" fontId="48" fillId="0" borderId="63" xfId="5" applyFont="1" applyFill="1" applyBorder="1" applyAlignment="1">
      <alignment horizontal="center" vertical="center" wrapText="1"/>
    </xf>
    <xf numFmtId="0" fontId="47" fillId="0" borderId="64" xfId="5" applyFont="1" applyFill="1" applyBorder="1" applyAlignment="1">
      <alignment horizontal="center" vertical="center" wrapText="1"/>
    </xf>
    <xf numFmtId="0" fontId="47" fillId="0" borderId="66" xfId="5" applyFont="1" applyFill="1" applyBorder="1" applyAlignment="1">
      <alignment horizontal="left" vertical="center"/>
    </xf>
    <xf numFmtId="0" fontId="47" fillId="0" borderId="43" xfId="15" applyFont="1" applyFill="1" applyBorder="1" applyAlignment="1">
      <alignment horizontal="left" vertical="top" wrapText="1"/>
    </xf>
    <xf numFmtId="0" fontId="48" fillId="0" borderId="0" xfId="5" applyFont="1" applyFill="1" applyBorder="1" applyAlignment="1">
      <alignment horizontal="center" vertical="center" wrapText="1"/>
    </xf>
    <xf numFmtId="0" fontId="48" fillId="0" borderId="77" xfId="5" applyFont="1" applyFill="1" applyBorder="1" applyAlignment="1">
      <alignment horizontal="center" vertical="center" wrapText="1"/>
    </xf>
    <xf numFmtId="0" fontId="48" fillId="0" borderId="99" xfId="5" applyFont="1" applyFill="1" applyBorder="1" applyAlignment="1">
      <alignment horizontal="center" vertical="center" wrapText="1"/>
    </xf>
    <xf numFmtId="0" fontId="48" fillId="0" borderId="85" xfId="5" applyFont="1" applyFill="1" applyBorder="1" applyAlignment="1">
      <alignment horizontal="center" vertical="center" wrapText="1"/>
    </xf>
    <xf numFmtId="0" fontId="16" fillId="0" borderId="43" xfId="5" applyFont="1" applyFill="1" applyBorder="1" applyAlignment="1">
      <alignment horizontal="left" vertical="top" wrapText="1"/>
    </xf>
    <xf numFmtId="0" fontId="16" fillId="0" borderId="43" xfId="5" applyFill="1" applyBorder="1" applyAlignment="1">
      <alignment horizontal="left" vertical="top" wrapText="1"/>
    </xf>
    <xf numFmtId="0" fontId="47" fillId="0" borderId="73" xfId="5" applyFont="1" applyFill="1" applyBorder="1" applyAlignment="1">
      <alignment horizontal="left" vertical="top" wrapText="1"/>
    </xf>
    <xf numFmtId="0" fontId="16" fillId="0" borderId="73" xfId="5" applyFill="1" applyBorder="1" applyAlignment="1">
      <alignment horizontal="left" vertical="top" wrapText="1"/>
    </xf>
    <xf numFmtId="0" fontId="46" fillId="0" borderId="73" xfId="5" applyFont="1" applyFill="1" applyBorder="1" applyAlignment="1">
      <alignment horizontal="left" vertical="top" wrapText="1"/>
    </xf>
    <xf numFmtId="0" fontId="16" fillId="0" borderId="73" xfId="5" applyFont="1" applyFill="1" applyBorder="1" applyAlignment="1">
      <alignment horizontal="left" vertical="top" wrapText="1"/>
    </xf>
    <xf numFmtId="0" fontId="47" fillId="0" borderId="113" xfId="5" applyFont="1" applyFill="1" applyBorder="1" applyAlignment="1">
      <alignment horizontal="center" vertical="center" wrapText="1"/>
    </xf>
    <xf numFmtId="0" fontId="16" fillId="0" borderId="113" xfId="5" applyFill="1" applyBorder="1" applyAlignment="1">
      <alignment horizontal="center" vertical="center" wrapText="1"/>
    </xf>
    <xf numFmtId="0" fontId="16" fillId="0" borderId="112" xfId="5" applyFill="1" applyBorder="1" applyAlignment="1">
      <alignment horizontal="center" vertical="center" wrapText="1"/>
    </xf>
    <xf numFmtId="0" fontId="47" fillId="0" borderId="104" xfId="5" applyFont="1" applyFill="1" applyBorder="1" applyAlignment="1">
      <alignment horizontal="center" vertical="center" wrapText="1"/>
    </xf>
    <xf numFmtId="0" fontId="47" fillId="0" borderId="94" xfId="5" applyFont="1" applyFill="1" applyBorder="1" applyAlignment="1">
      <alignment horizontal="center" vertical="center" wrapText="1"/>
    </xf>
    <xf numFmtId="170" fontId="45" fillId="0" borderId="84" xfId="5" applyNumberFormat="1" applyFont="1" applyFill="1" applyBorder="1" applyAlignment="1">
      <alignment horizontal="right" vertical="center"/>
    </xf>
    <xf numFmtId="170" fontId="45" fillId="0" borderId="99" xfId="5" applyNumberFormat="1" applyFont="1" applyFill="1" applyBorder="1" applyAlignment="1">
      <alignment horizontal="right" vertical="center"/>
    </xf>
    <xf numFmtId="0" fontId="47" fillId="0" borderId="87" xfId="5" applyFont="1" applyFill="1" applyBorder="1" applyAlignment="1">
      <alignment horizontal="center" wrapText="1"/>
    </xf>
    <xf numFmtId="0" fontId="47" fillId="0" borderId="88" xfId="5" applyFont="1" applyFill="1" applyBorder="1" applyAlignment="1">
      <alignment horizontal="center" wrapText="1"/>
    </xf>
    <xf numFmtId="0" fontId="47" fillId="0" borderId="89" xfId="5" applyFont="1" applyFill="1" applyBorder="1" applyAlignment="1">
      <alignment horizontal="center" wrapText="1"/>
    </xf>
    <xf numFmtId="0" fontId="47" fillId="0" borderId="88" xfId="5" applyFont="1" applyFill="1" applyBorder="1" applyAlignment="1">
      <alignment horizontal="center" vertical="center" wrapText="1"/>
    </xf>
    <xf numFmtId="0" fontId="47" fillId="0" borderId="89" xfId="5" applyFont="1" applyFill="1" applyBorder="1" applyAlignment="1">
      <alignment horizontal="center" vertical="center" wrapText="1"/>
    </xf>
    <xf numFmtId="0" fontId="47" fillId="0" borderId="65" xfId="5" applyFont="1" applyFill="1" applyBorder="1" applyAlignment="1">
      <alignment horizontal="center" vertical="center" wrapText="1"/>
    </xf>
    <xf numFmtId="0" fontId="31" fillId="0" borderId="0" xfId="5" applyFont="1" applyFill="1" applyAlignment="1">
      <alignment horizontal="center" vertical="center" wrapText="1"/>
    </xf>
    <xf numFmtId="0" fontId="31" fillId="0" borderId="97" xfId="5" applyFont="1" applyFill="1" applyBorder="1" applyAlignment="1">
      <alignment horizontal="center" vertical="center" wrapText="1"/>
    </xf>
    <xf numFmtId="0" fontId="33" fillId="0" borderId="104" xfId="5" applyFont="1" applyFill="1" applyBorder="1" applyAlignment="1">
      <alignment horizontal="center" vertical="top" wrapText="1"/>
    </xf>
    <xf numFmtId="0" fontId="33" fillId="0" borderId="93" xfId="5" applyFont="1" applyFill="1" applyBorder="1" applyAlignment="1">
      <alignment horizontal="center" vertical="top" wrapText="1"/>
    </xf>
    <xf numFmtId="0" fontId="33" fillId="0" borderId="103" xfId="5" applyFont="1" applyFill="1" applyBorder="1" applyAlignment="1">
      <alignment horizontal="center" vertical="top" wrapText="1"/>
    </xf>
    <xf numFmtId="0" fontId="33" fillId="0" borderId="75" xfId="5" applyFont="1" applyFill="1" applyBorder="1" applyAlignment="1">
      <alignment horizontal="center" vertical="top" wrapText="1"/>
    </xf>
    <xf numFmtId="0" fontId="33" fillId="0" borderId="0" xfId="5" applyFont="1" applyFill="1" applyBorder="1" applyAlignment="1">
      <alignment horizontal="center" vertical="top" wrapText="1"/>
    </xf>
    <xf numFmtId="0" fontId="33" fillId="0" borderId="77" xfId="5" applyFont="1" applyFill="1" applyBorder="1" applyAlignment="1">
      <alignment horizontal="center" vertical="top" wrapText="1"/>
    </xf>
    <xf numFmtId="0" fontId="33" fillId="0" borderId="94" xfId="5" applyFont="1" applyFill="1" applyBorder="1" applyAlignment="1">
      <alignment horizontal="center" vertical="top" wrapText="1"/>
    </xf>
    <xf numFmtId="0" fontId="33" fillId="0" borderId="29" xfId="5" applyFont="1" applyFill="1" applyBorder="1" applyAlignment="1">
      <alignment horizontal="center" vertical="top" wrapText="1"/>
    </xf>
    <xf numFmtId="0" fontId="16" fillId="0" borderId="0" xfId="5" applyFill="1" applyAlignment="1">
      <alignment vertical="center"/>
    </xf>
    <xf numFmtId="0" fontId="31" fillId="0" borderId="0" xfId="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30" fillId="0" borderId="91" xfId="5" applyFont="1" applyFill="1" applyBorder="1" applyAlignment="1">
      <alignment vertical="center"/>
    </xf>
    <xf numFmtId="0" fontId="33" fillId="0" borderId="136" xfId="5" applyFont="1" applyFill="1" applyBorder="1" applyAlignment="1">
      <alignment horizontal="left" wrapText="1"/>
    </xf>
    <xf numFmtId="0" fontId="33" fillId="0" borderId="119" xfId="5" applyFont="1" applyFill="1" applyBorder="1" applyAlignment="1">
      <alignment horizontal="left" wrapText="1"/>
    </xf>
    <xf numFmtId="0" fontId="33" fillId="0" borderId="95" xfId="5" applyFont="1" applyFill="1" applyBorder="1" applyAlignment="1">
      <alignment horizontal="left" wrapText="1"/>
    </xf>
    <xf numFmtId="0" fontId="33" fillId="0" borderId="0" xfId="5" applyFont="1" applyFill="1" applyBorder="1" applyAlignment="1">
      <alignment horizontal="left" wrapText="1"/>
    </xf>
    <xf numFmtId="0" fontId="33" fillId="0" borderId="96" xfId="5" applyFont="1" applyFill="1" applyBorder="1" applyAlignment="1">
      <alignment horizontal="left" wrapText="1"/>
    </xf>
    <xf numFmtId="0" fontId="33" fillId="0" borderId="97" xfId="5" applyFont="1" applyFill="1" applyBorder="1" applyAlignment="1">
      <alignment horizontal="left" wrapText="1"/>
    </xf>
    <xf numFmtId="0" fontId="46" fillId="0" borderId="87" xfId="5" applyFont="1" applyFill="1" applyBorder="1" applyAlignment="1">
      <alignment horizontal="left" vertical="top" wrapText="1"/>
    </xf>
    <xf numFmtId="0" fontId="46" fillId="0" borderId="88" xfId="5" applyFont="1" applyFill="1" applyBorder="1" applyAlignment="1">
      <alignment horizontal="left" vertical="top" wrapText="1"/>
    </xf>
    <xf numFmtId="0" fontId="46" fillId="0" borderId="89" xfId="5" applyFont="1" applyFill="1" applyBorder="1" applyAlignment="1">
      <alignment horizontal="left" vertical="top" wrapText="1"/>
    </xf>
    <xf numFmtId="0" fontId="46" fillId="0" borderId="108" xfId="5" applyFont="1" applyFill="1" applyBorder="1" applyAlignment="1">
      <alignment horizontal="left" vertical="top" wrapText="1"/>
    </xf>
    <xf numFmtId="0" fontId="46" fillId="0" borderId="134" xfId="5" applyFont="1" applyFill="1" applyBorder="1" applyAlignment="1">
      <alignment horizontal="left" vertical="top" wrapText="1"/>
    </xf>
    <xf numFmtId="0" fontId="46" fillId="0" borderId="109" xfId="5" applyFont="1" applyFill="1" applyBorder="1" applyAlignment="1">
      <alignment horizontal="left" vertical="top" wrapText="1"/>
    </xf>
    <xf numFmtId="170" fontId="45" fillId="0" borderId="108" xfId="5" applyNumberFormat="1" applyFont="1" applyFill="1" applyBorder="1" applyAlignment="1">
      <alignment horizontal="right" vertical="center"/>
    </xf>
    <xf numFmtId="170" fontId="45" fillId="0" borderId="109" xfId="5" applyNumberFormat="1" applyFont="1" applyFill="1" applyBorder="1" applyAlignment="1">
      <alignment horizontal="right" vertical="center"/>
    </xf>
    <xf numFmtId="170" fontId="45" fillId="0" borderId="107" xfId="5" applyNumberFormat="1" applyFont="1" applyFill="1" applyBorder="1" applyAlignment="1">
      <alignment horizontal="right" vertical="center"/>
    </xf>
    <xf numFmtId="0" fontId="47" fillId="0" borderId="87" xfId="5" applyFont="1" applyFill="1" applyBorder="1" applyAlignment="1">
      <alignment horizontal="left" vertical="top" wrapText="1"/>
    </xf>
    <xf numFmtId="0" fontId="47" fillId="0" borderId="88" xfId="5" applyFont="1" applyFill="1" applyBorder="1" applyAlignment="1">
      <alignment horizontal="left" vertical="top" wrapText="1"/>
    </xf>
    <xf numFmtId="0" fontId="47" fillId="0" borderId="89" xfId="5" applyFont="1" applyFill="1" applyBorder="1" applyAlignment="1">
      <alignment horizontal="left" vertical="top" wrapText="1"/>
    </xf>
    <xf numFmtId="0" fontId="47" fillId="0" borderId="84" xfId="5" applyFont="1" applyFill="1" applyBorder="1" applyAlignment="1">
      <alignment horizontal="center" vertical="top" wrapText="1"/>
    </xf>
    <xf numFmtId="0" fontId="47" fillId="0" borderId="99" xfId="5" applyFont="1" applyFill="1" applyBorder="1" applyAlignment="1">
      <alignment horizontal="center" vertical="top" wrapText="1"/>
    </xf>
    <xf numFmtId="0" fontId="47" fillId="0" borderId="85" xfId="5" applyFont="1" applyFill="1" applyBorder="1" applyAlignment="1">
      <alignment horizontal="center" vertical="top" wrapText="1"/>
    </xf>
    <xf numFmtId="0" fontId="46" fillId="0" borderId="117" xfId="5" applyFont="1" applyFill="1" applyBorder="1" applyAlignment="1">
      <alignment horizontal="right" vertical="top" wrapText="1"/>
    </xf>
    <xf numFmtId="0" fontId="46" fillId="0" borderId="43" xfId="5" quotePrefix="1" applyFont="1" applyFill="1" applyBorder="1" applyAlignment="1">
      <alignment horizontal="left" vertical="top" wrapText="1"/>
    </xf>
    <xf numFmtId="0" fontId="46" fillId="0" borderId="117" xfId="5" applyFont="1" applyFill="1" applyBorder="1" applyAlignment="1">
      <alignment horizontal="left" vertical="top" wrapText="1"/>
    </xf>
    <xf numFmtId="0" fontId="46" fillId="0" borderId="70" xfId="5" applyFont="1" applyFill="1" applyBorder="1" applyAlignment="1">
      <alignment horizontal="left" vertical="top" wrapText="1"/>
    </xf>
    <xf numFmtId="0" fontId="47" fillId="0" borderId="117" xfId="5" applyFont="1" applyFill="1" applyBorder="1" applyAlignment="1">
      <alignment horizontal="left" vertical="top" wrapText="1"/>
    </xf>
    <xf numFmtId="0" fontId="47" fillId="0" borderId="70" xfId="5" applyFont="1" applyFill="1" applyBorder="1" applyAlignment="1">
      <alignment horizontal="left" vertical="top" wrapText="1"/>
    </xf>
    <xf numFmtId="0" fontId="48" fillId="0" borderId="137" xfId="5" applyFont="1" applyFill="1" applyBorder="1" applyAlignment="1">
      <alignment horizontal="center" vertical="center" wrapText="1"/>
    </xf>
    <xf numFmtId="0" fontId="47" fillId="0" borderId="76" xfId="5" applyFont="1" applyFill="1" applyBorder="1" applyAlignment="1">
      <alignment horizontal="center" vertical="center" wrapText="1"/>
    </xf>
    <xf numFmtId="0" fontId="48" fillId="0" borderId="76" xfId="5" applyFont="1" applyFill="1" applyBorder="1" applyAlignment="1">
      <alignment horizontal="center" vertical="center" wrapText="1"/>
    </xf>
    <xf numFmtId="1" fontId="47" fillId="0" borderId="71" xfId="5" applyNumberFormat="1" applyFont="1" applyFill="1" applyBorder="1" applyAlignment="1">
      <alignment horizontal="center" vertical="center"/>
    </xf>
    <xf numFmtId="0" fontId="47" fillId="0" borderId="117" xfId="5" quotePrefix="1" applyFont="1" applyFill="1" applyBorder="1" applyAlignment="1">
      <alignment horizontal="right" vertical="top" wrapText="1"/>
    </xf>
    <xf numFmtId="170" fontId="45" fillId="0" borderId="71" xfId="5" applyNumberFormat="1" applyFont="1" applyFill="1" applyBorder="1" applyAlignment="1">
      <alignment horizontal="right" vertical="center"/>
    </xf>
    <xf numFmtId="0" fontId="46" fillId="0" borderId="116" xfId="5" applyFont="1" applyFill="1" applyBorder="1" applyAlignment="1">
      <alignment horizontal="left" vertical="top" wrapText="1"/>
    </xf>
    <xf numFmtId="0" fontId="46" fillId="0" borderId="117" xfId="5" applyFont="1" applyFill="1" applyBorder="1" applyAlignment="1">
      <alignment horizontal="center" vertical="top" wrapText="1"/>
    </xf>
    <xf numFmtId="0" fontId="46" fillId="0" borderId="70" xfId="5" applyFont="1" applyFill="1" applyBorder="1" applyAlignment="1">
      <alignment horizontal="center" vertical="top" wrapText="1"/>
    </xf>
    <xf numFmtId="0" fontId="46" fillId="0" borderId="76" xfId="5" applyFont="1" applyFill="1" applyBorder="1" applyAlignment="1">
      <alignment horizontal="left" vertical="top" wrapText="1"/>
    </xf>
    <xf numFmtId="0" fontId="46" fillId="0" borderId="117" xfId="5" quotePrefix="1" applyFont="1" applyFill="1" applyBorder="1" applyAlignment="1">
      <alignment horizontal="left" vertical="top" wrapText="1"/>
    </xf>
    <xf numFmtId="0" fontId="46" fillId="0" borderId="70" xfId="5" quotePrefix="1" applyFont="1" applyFill="1" applyBorder="1" applyAlignment="1">
      <alignment horizontal="left" vertical="top" wrapText="1"/>
    </xf>
    <xf numFmtId="0" fontId="47" fillId="0" borderId="117" xfId="5" quotePrefix="1" applyFont="1" applyFill="1" applyBorder="1" applyAlignment="1">
      <alignment horizontal="left" vertical="top" wrapText="1"/>
    </xf>
    <xf numFmtId="0" fontId="47" fillId="0" borderId="70" xfId="5" quotePrefix="1" applyFont="1" applyFill="1" applyBorder="1" applyAlignment="1">
      <alignment horizontal="left" vertical="top" wrapText="1"/>
    </xf>
    <xf numFmtId="0" fontId="46" fillId="0" borderId="117" xfId="5" quotePrefix="1" applyFont="1" applyFill="1" applyBorder="1" applyAlignment="1">
      <alignment horizontal="center" vertical="top" wrapText="1"/>
    </xf>
    <xf numFmtId="0" fontId="46" fillId="0" borderId="70" xfId="5" quotePrefix="1" applyFont="1" applyFill="1" applyBorder="1" applyAlignment="1">
      <alignment horizontal="center" vertical="top" wrapText="1"/>
    </xf>
    <xf numFmtId="170" fontId="45" fillId="0" borderId="85" xfId="5" applyNumberFormat="1" applyFont="1" applyFill="1" applyBorder="1" applyAlignment="1">
      <alignment horizontal="right" vertical="center"/>
    </xf>
    <xf numFmtId="49" fontId="46" fillId="0" borderId="116" xfId="5" applyNumberFormat="1" applyFont="1" applyFill="1" applyBorder="1" applyAlignment="1">
      <alignment horizontal="center" vertical="top"/>
    </xf>
    <xf numFmtId="170" fontId="45" fillId="0" borderId="115" xfId="5" applyNumberFormat="1" applyFont="1" applyFill="1" applyBorder="1" applyAlignment="1">
      <alignment horizontal="right" vertical="center"/>
    </xf>
    <xf numFmtId="170" fontId="45" fillId="0" borderId="119" xfId="5" applyNumberFormat="1" applyFont="1" applyFill="1" applyBorder="1" applyAlignment="1">
      <alignment horizontal="right" vertical="center"/>
    </xf>
    <xf numFmtId="170" fontId="45" fillId="0" borderId="118" xfId="5" applyNumberFormat="1" applyFont="1" applyFill="1" applyBorder="1" applyAlignment="1">
      <alignment horizontal="right" vertical="center"/>
    </xf>
    <xf numFmtId="49" fontId="47" fillId="0" borderId="116" xfId="5" applyNumberFormat="1" applyFont="1" applyFill="1" applyBorder="1" applyAlignment="1">
      <alignment horizontal="center" vertical="top"/>
    </xf>
    <xf numFmtId="49" fontId="47" fillId="0" borderId="71" xfId="5" applyNumberFormat="1" applyFont="1" applyFill="1" applyBorder="1" applyAlignment="1">
      <alignment horizontal="center" vertical="top"/>
    </xf>
    <xf numFmtId="0" fontId="47" fillId="0" borderId="117" xfId="5" applyFont="1" applyFill="1" applyBorder="1" applyAlignment="1">
      <alignment horizontal="left" vertical="center"/>
    </xf>
    <xf numFmtId="0" fontId="47" fillId="0" borderId="70" xfId="5" applyFont="1" applyFill="1" applyBorder="1" applyAlignment="1">
      <alignment horizontal="left" vertical="center"/>
    </xf>
    <xf numFmtId="0" fontId="47" fillId="0" borderId="71" xfId="5" applyFont="1" applyFill="1" applyBorder="1" applyAlignment="1">
      <alignment horizontal="left" vertical="top" wrapText="1"/>
    </xf>
    <xf numFmtId="0" fontId="33" fillId="0" borderId="87" xfId="5" applyFont="1" applyFill="1" applyBorder="1" applyAlignment="1">
      <alignment horizontal="center" vertical="center"/>
    </xf>
    <xf numFmtId="0" fontId="33" fillId="0" borderId="89" xfId="5" applyFont="1" applyFill="1" applyBorder="1" applyAlignment="1">
      <alignment horizontal="center" vertical="center"/>
    </xf>
    <xf numFmtId="0" fontId="45" fillId="0" borderId="87" xfId="5" applyFont="1" applyFill="1" applyBorder="1" applyAlignment="1">
      <alignment horizontal="left" vertical="center"/>
    </xf>
    <xf numFmtId="0" fontId="16" fillId="0" borderId="88" xfId="5" applyBorder="1" applyAlignment="1">
      <alignment horizontal="left" vertical="center"/>
    </xf>
    <xf numFmtId="0" fontId="16" fillId="0" borderId="89" xfId="5" applyBorder="1" applyAlignment="1">
      <alignment horizontal="left" vertical="center"/>
    </xf>
    <xf numFmtId="0" fontId="48" fillId="0" borderId="124" xfId="5" applyFont="1" applyFill="1" applyBorder="1" applyAlignment="1">
      <alignment horizontal="center" vertical="center" wrapText="1"/>
    </xf>
    <xf numFmtId="0" fontId="47" fillId="0" borderId="135" xfId="5" applyFont="1" applyFill="1" applyBorder="1" applyAlignment="1">
      <alignment horizontal="center" vertical="center" wrapText="1"/>
    </xf>
    <xf numFmtId="0" fontId="48" fillId="0" borderId="135" xfId="5" applyFont="1" applyFill="1" applyBorder="1" applyAlignment="1">
      <alignment horizontal="center" vertical="center" wrapText="1"/>
    </xf>
    <xf numFmtId="0" fontId="16" fillId="0" borderId="97" xfId="5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3" fillId="0" borderId="115" xfId="5" applyFont="1" applyFill="1" applyBorder="1" applyAlignment="1">
      <alignment horizontal="left" wrapText="1"/>
    </xf>
    <xf numFmtId="0" fontId="33" fillId="0" borderId="75" xfId="5" applyFont="1" applyFill="1" applyBorder="1" applyAlignment="1">
      <alignment horizontal="left" wrapText="1"/>
    </xf>
    <xf numFmtId="0" fontId="33" fillId="0" borderId="106" xfId="5" applyFont="1" applyFill="1" applyBorder="1" applyAlignment="1">
      <alignment horizontal="left" wrapText="1"/>
    </xf>
    <xf numFmtId="0" fontId="33" fillId="7" borderId="93" xfId="5" applyFont="1" applyFill="1" applyBorder="1" applyAlignment="1">
      <alignment horizontal="left" vertical="top" wrapText="1"/>
    </xf>
    <xf numFmtId="0" fontId="33" fillId="7" borderId="94" xfId="5" applyFont="1" applyFill="1" applyBorder="1" applyAlignment="1">
      <alignment horizontal="left" vertical="top" wrapText="1"/>
    </xf>
    <xf numFmtId="0" fontId="33" fillId="7" borderId="0" xfId="5" applyFont="1" applyFill="1" applyBorder="1" applyAlignment="1">
      <alignment horizontal="left" vertical="top" wrapText="1"/>
    </xf>
    <xf numFmtId="0" fontId="33" fillId="7" borderId="29" xfId="5" applyFont="1" applyFill="1" applyBorder="1" applyAlignment="1">
      <alignment horizontal="left" vertical="top" wrapText="1"/>
    </xf>
    <xf numFmtId="0" fontId="33" fillId="0" borderId="75" xfId="5" applyFont="1" applyFill="1" applyBorder="1" applyAlignment="1">
      <alignment horizontal="center"/>
    </xf>
    <xf numFmtId="0" fontId="33" fillId="0" borderId="0" xfId="5" applyFont="1" applyFill="1" applyBorder="1" applyAlignment="1">
      <alignment horizontal="center"/>
    </xf>
    <xf numFmtId="0" fontId="33" fillId="0" borderId="29" xfId="5" applyFont="1" applyFill="1" applyBorder="1" applyAlignment="1">
      <alignment horizontal="center"/>
    </xf>
    <xf numFmtId="0" fontId="33" fillId="0" borderId="106" xfId="5" applyFont="1" applyFill="1" applyBorder="1" applyAlignment="1">
      <alignment horizontal="center"/>
    </xf>
    <xf numFmtId="0" fontId="33" fillId="0" borderId="97" xfId="5" applyFont="1" applyFill="1" applyBorder="1" applyAlignment="1">
      <alignment horizontal="center"/>
    </xf>
    <xf numFmtId="0" fontId="33" fillId="0" borderId="13" xfId="5" applyFont="1" applyFill="1" applyBorder="1" applyAlignment="1">
      <alignment horizontal="center"/>
    </xf>
    <xf numFmtId="0" fontId="16" fillId="0" borderId="91" xfId="5" applyFont="1" applyFill="1" applyBorder="1" applyAlignment="1">
      <alignment horizontal="center" vertical="center"/>
    </xf>
    <xf numFmtId="0" fontId="16" fillId="0" borderId="91" xfId="5" applyFill="1" applyBorder="1" applyAlignment="1">
      <alignment horizontal="center" vertical="center"/>
    </xf>
    <xf numFmtId="0" fontId="16" fillId="0" borderId="17" xfId="5" applyFill="1" applyBorder="1" applyAlignment="1">
      <alignment horizontal="center" vertical="center"/>
    </xf>
    <xf numFmtId="0" fontId="47" fillId="0" borderId="116" xfId="5" applyFont="1" applyFill="1" applyBorder="1" applyAlignment="1">
      <alignment horizontal="left" vertical="top" wrapText="1"/>
    </xf>
    <xf numFmtId="0" fontId="47" fillId="0" borderId="115" xfId="5" applyFont="1" applyFill="1" applyBorder="1" applyAlignment="1">
      <alignment horizontal="center" vertical="center"/>
    </xf>
    <xf numFmtId="0" fontId="47" fillId="0" borderId="118" xfId="5" applyFont="1" applyFill="1" applyBorder="1" applyAlignment="1">
      <alignment horizontal="center" vertical="center"/>
    </xf>
    <xf numFmtId="0" fontId="47" fillId="0" borderId="84" xfId="5" applyFont="1" applyFill="1" applyBorder="1" applyAlignment="1">
      <alignment horizontal="center" vertical="center"/>
    </xf>
    <xf numFmtId="0" fontId="47" fillId="0" borderId="85" xfId="5" applyFont="1" applyFill="1" applyBorder="1" applyAlignment="1">
      <alignment horizontal="center" vertical="center"/>
    </xf>
    <xf numFmtId="0" fontId="47" fillId="0" borderId="116" xfId="5" quotePrefix="1" applyFont="1" applyFill="1" applyBorder="1" applyAlignment="1">
      <alignment horizontal="left" vertical="top" wrapText="1"/>
    </xf>
    <xf numFmtId="0" fontId="47" fillId="0" borderId="108" xfId="5" applyFont="1" applyFill="1" applyBorder="1" applyAlignment="1">
      <alignment horizontal="left" vertical="top" wrapText="1"/>
    </xf>
    <xf numFmtId="0" fontId="47" fillId="0" borderId="134" xfId="5" applyFont="1" applyFill="1" applyBorder="1" applyAlignment="1">
      <alignment horizontal="left" vertical="top" wrapText="1"/>
    </xf>
    <xf numFmtId="0" fontId="47" fillId="0" borderId="109" xfId="5" applyFont="1" applyFill="1" applyBorder="1" applyAlignment="1">
      <alignment horizontal="left" vertical="top" wrapText="1"/>
    </xf>
    <xf numFmtId="0" fontId="48" fillId="0" borderId="103" xfId="5" applyFont="1" applyFill="1" applyBorder="1" applyAlignment="1">
      <alignment horizontal="center" vertical="center" wrapText="1"/>
    </xf>
    <xf numFmtId="0" fontId="47" fillId="0" borderId="111" xfId="15" applyFont="1" applyFill="1" applyBorder="1" applyAlignment="1">
      <alignment horizontal="center" vertical="center" wrapText="1"/>
    </xf>
    <xf numFmtId="0" fontId="47" fillId="0" borderId="113" xfId="15" applyFont="1" applyFill="1" applyBorder="1" applyAlignment="1">
      <alignment horizontal="center" vertical="center" wrapText="1"/>
    </xf>
    <xf numFmtId="0" fontId="47" fillId="0" borderId="112" xfId="15" applyFont="1" applyFill="1" applyBorder="1" applyAlignment="1">
      <alignment horizontal="center" vertical="center" wrapText="1"/>
    </xf>
    <xf numFmtId="1" fontId="47" fillId="0" borderId="43" xfId="15" applyNumberFormat="1" applyFont="1" applyFill="1" applyBorder="1" applyAlignment="1">
      <alignment horizontal="center" vertical="center"/>
    </xf>
    <xf numFmtId="0" fontId="47" fillId="0" borderId="66" xfId="15" applyFont="1" applyFill="1" applyBorder="1" applyAlignment="1">
      <alignment horizontal="left" vertical="top" wrapText="1"/>
    </xf>
    <xf numFmtId="49" fontId="47" fillId="0" borderId="118" xfId="15" applyNumberFormat="1" applyFont="1" applyFill="1" applyBorder="1" applyAlignment="1">
      <alignment horizontal="center" vertical="top"/>
    </xf>
    <xf numFmtId="49" fontId="47" fillId="0" borderId="85" xfId="15" applyNumberFormat="1" applyFont="1" applyFill="1" applyBorder="1" applyAlignment="1">
      <alignment horizontal="center" vertical="top"/>
    </xf>
    <xf numFmtId="170" fontId="67" fillId="0" borderId="43" xfId="15" applyNumberFormat="1" applyFont="1" applyFill="1" applyBorder="1" applyAlignment="1">
      <alignment horizontal="right" vertical="center"/>
    </xf>
    <xf numFmtId="170" fontId="67" fillId="0" borderId="87" xfId="15" applyNumberFormat="1" applyFont="1" applyFill="1" applyBorder="1" applyAlignment="1">
      <alignment horizontal="right" vertical="center"/>
    </xf>
    <xf numFmtId="170" fontId="67" fillId="0" borderId="88" xfId="15" applyNumberFormat="1" applyFont="1" applyFill="1" applyBorder="1" applyAlignment="1">
      <alignment horizontal="right" vertical="center"/>
    </xf>
    <xf numFmtId="170" fontId="67" fillId="0" borderId="89" xfId="15" applyNumberFormat="1" applyFont="1" applyFill="1" applyBorder="1" applyAlignment="1">
      <alignment horizontal="right" vertical="center"/>
    </xf>
    <xf numFmtId="170" fontId="67" fillId="0" borderId="102" xfId="15" applyNumberFormat="1" applyFont="1" applyFill="1" applyBorder="1" applyAlignment="1">
      <alignment horizontal="right" vertical="center"/>
    </xf>
    <xf numFmtId="0" fontId="46" fillId="0" borderId="117" xfId="15" applyFont="1" applyFill="1" applyBorder="1" applyAlignment="1">
      <alignment horizontal="left" vertical="top" wrapText="1"/>
    </xf>
    <xf numFmtId="0" fontId="46" fillId="0" borderId="70" xfId="15" applyFont="1" applyFill="1" applyBorder="1" applyAlignment="1">
      <alignment horizontal="left" vertical="top" wrapText="1"/>
    </xf>
    <xf numFmtId="49" fontId="46" fillId="0" borderId="118" xfId="15" applyNumberFormat="1" applyFont="1" applyFill="1" applyBorder="1" applyAlignment="1">
      <alignment horizontal="center" vertical="top"/>
    </xf>
    <xf numFmtId="49" fontId="46" fillId="0" borderId="85" xfId="15" applyNumberFormat="1" applyFont="1" applyFill="1" applyBorder="1" applyAlignment="1">
      <alignment horizontal="center" vertical="top"/>
    </xf>
    <xf numFmtId="170" fontId="45" fillId="0" borderId="43" xfId="15" applyNumberFormat="1" applyFont="1" applyFill="1" applyBorder="1" applyAlignment="1">
      <alignment horizontal="right" vertical="center"/>
    </xf>
    <xf numFmtId="170" fontId="45" fillId="0" borderId="87" xfId="15" applyNumberFormat="1" applyFont="1" applyFill="1" applyBorder="1" applyAlignment="1">
      <alignment horizontal="right" vertical="center"/>
    </xf>
    <xf numFmtId="170" fontId="45" fillId="0" borderId="88" xfId="15" applyNumberFormat="1" applyFont="1" applyFill="1" applyBorder="1" applyAlignment="1">
      <alignment horizontal="right" vertical="center"/>
    </xf>
    <xf numFmtId="170" fontId="45" fillId="0" borderId="89" xfId="15" applyNumberFormat="1" applyFont="1" applyFill="1" applyBorder="1" applyAlignment="1">
      <alignment horizontal="right" vertical="center"/>
    </xf>
    <xf numFmtId="170" fontId="45" fillId="0" borderId="102" xfId="15" applyNumberFormat="1" applyFont="1" applyFill="1" applyBorder="1" applyAlignment="1">
      <alignment horizontal="right" vertical="center"/>
    </xf>
    <xf numFmtId="0" fontId="47" fillId="0" borderId="117" xfId="15" quotePrefix="1" applyFont="1" applyFill="1" applyBorder="1" applyAlignment="1">
      <alignment horizontal="left" vertical="top" wrapText="1"/>
    </xf>
    <xf numFmtId="0" fontId="47" fillId="0" borderId="70" xfId="15" quotePrefix="1" applyFont="1" applyFill="1" applyBorder="1" applyAlignment="1">
      <alignment horizontal="left" vertical="top" wrapText="1"/>
    </xf>
    <xf numFmtId="0" fontId="46" fillId="0" borderId="117" xfId="15" applyFont="1" applyFill="1" applyBorder="1" applyAlignment="1">
      <alignment horizontal="right" vertical="top" wrapText="1"/>
    </xf>
    <xf numFmtId="0" fontId="46" fillId="0" borderId="70" xfId="15" applyFont="1" applyFill="1" applyBorder="1" applyAlignment="1">
      <alignment horizontal="right" vertical="top" wrapText="1"/>
    </xf>
    <xf numFmtId="0" fontId="47" fillId="0" borderId="117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left" vertical="top" wrapText="1"/>
    </xf>
    <xf numFmtId="0" fontId="46" fillId="0" borderId="72" xfId="15" applyFont="1" applyFill="1" applyBorder="1" applyAlignment="1">
      <alignment horizontal="right" vertical="top" wrapText="1"/>
    </xf>
    <xf numFmtId="0" fontId="46" fillId="0" borderId="69" xfId="5" applyFont="1" applyFill="1" applyBorder="1" applyAlignment="1">
      <alignment horizontal="left" vertical="top" wrapText="1"/>
    </xf>
    <xf numFmtId="49" fontId="46" fillId="0" borderId="105" xfId="15" applyNumberFormat="1" applyFont="1" applyFill="1" applyBorder="1" applyAlignment="1">
      <alignment horizontal="center" vertical="top"/>
    </xf>
    <xf numFmtId="170" fontId="45" fillId="0" borderId="73" xfId="15" applyNumberFormat="1" applyFont="1" applyFill="1" applyBorder="1" applyAlignment="1">
      <alignment horizontal="right" vertical="center"/>
    </xf>
    <xf numFmtId="170" fontId="45" fillId="0" borderId="108" xfId="15" applyNumberFormat="1" applyFont="1" applyFill="1" applyBorder="1" applyAlignment="1">
      <alignment horizontal="right" vertical="center"/>
    </xf>
    <xf numFmtId="170" fontId="45" fillId="0" borderId="134" xfId="15" applyNumberFormat="1" applyFont="1" applyFill="1" applyBorder="1" applyAlignment="1">
      <alignment horizontal="right" vertical="center"/>
    </xf>
    <xf numFmtId="170" fontId="45" fillId="0" borderId="107" xfId="15" applyNumberFormat="1" applyFont="1" applyFill="1" applyBorder="1" applyAlignment="1">
      <alignment horizontal="right" vertical="center"/>
    </xf>
    <xf numFmtId="0" fontId="46" fillId="0" borderId="66" xfId="15" applyFont="1" applyFill="1" applyBorder="1" applyAlignment="1">
      <alignment horizontal="right" vertical="top" wrapText="1"/>
    </xf>
    <xf numFmtId="0" fontId="46" fillId="7" borderId="116" xfId="15" applyFont="1" applyFill="1" applyBorder="1" applyAlignment="1">
      <alignment horizontal="left" vertical="top" wrapText="1"/>
    </xf>
    <xf numFmtId="0" fontId="46" fillId="7" borderId="71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right" vertical="top" wrapText="1"/>
    </xf>
    <xf numFmtId="0" fontId="47" fillId="0" borderId="66" xfId="15" applyFont="1" applyFill="1" applyBorder="1" applyAlignment="1">
      <alignment horizontal="right" vertical="top" wrapText="1"/>
    </xf>
    <xf numFmtId="0" fontId="46" fillId="7" borderId="69" xfId="15" applyFont="1" applyFill="1" applyBorder="1" applyAlignment="1">
      <alignment horizontal="left" vertical="top" wrapText="1"/>
    </xf>
    <xf numFmtId="0" fontId="46" fillId="7" borderId="116" xfId="15" quotePrefix="1" applyFont="1" applyFill="1" applyBorder="1" applyAlignment="1">
      <alignment horizontal="left" vertical="top" wrapText="1"/>
    </xf>
    <xf numFmtId="0" fontId="46" fillId="7" borderId="71" xfId="15" quotePrefix="1" applyFont="1" applyFill="1" applyBorder="1" applyAlignment="1">
      <alignment horizontal="left" vertical="top" wrapText="1"/>
    </xf>
    <xf numFmtId="0" fontId="47" fillId="0" borderId="71" xfId="15" applyFont="1" applyFill="1" applyBorder="1" applyAlignment="1">
      <alignment horizontal="left" vertical="top" wrapText="1"/>
    </xf>
    <xf numFmtId="0" fontId="46" fillId="0" borderId="116" xfId="15" applyFont="1" applyFill="1" applyBorder="1" applyAlignment="1">
      <alignment horizontal="left" vertical="top" wrapText="1"/>
    </xf>
    <xf numFmtId="0" fontId="46" fillId="0" borderId="71" xfId="15" applyFont="1" applyFill="1" applyBorder="1" applyAlignment="1">
      <alignment horizontal="left" vertical="top" wrapText="1"/>
    </xf>
    <xf numFmtId="0" fontId="47" fillId="0" borderId="72" xfId="15" applyFont="1" applyFill="1" applyBorder="1" applyAlignment="1">
      <alignment horizontal="right" vertical="top" wrapText="1"/>
    </xf>
    <xf numFmtId="0" fontId="47" fillId="0" borderId="116" xfId="15" applyFont="1" applyFill="1" applyBorder="1" applyAlignment="1">
      <alignment horizontal="left" vertical="top" wrapText="1"/>
    </xf>
    <xf numFmtId="0" fontId="47" fillId="0" borderId="69" xfId="15" applyFont="1" applyFill="1" applyBorder="1" applyAlignment="1">
      <alignment horizontal="left" vertical="top" wrapText="1"/>
    </xf>
    <xf numFmtId="49" fontId="47" fillId="0" borderId="105" xfId="15" applyNumberFormat="1" applyFont="1" applyFill="1" applyBorder="1" applyAlignment="1">
      <alignment horizontal="center" vertical="top"/>
    </xf>
    <xf numFmtId="0" fontId="46" fillId="7" borderId="115" xfId="15" applyFont="1" applyFill="1" applyBorder="1" applyAlignment="1">
      <alignment horizontal="left" vertical="top" wrapText="1"/>
    </xf>
    <xf numFmtId="0" fontId="46" fillId="7" borderId="84" xfId="15" applyFont="1" applyFill="1" applyBorder="1" applyAlignment="1">
      <alignment horizontal="left" vertical="top" wrapText="1"/>
    </xf>
    <xf numFmtId="49" fontId="46" fillId="0" borderId="116" xfId="15" applyNumberFormat="1" applyFont="1" applyFill="1" applyBorder="1" applyAlignment="1">
      <alignment horizontal="center" vertical="top"/>
    </xf>
    <xf numFmtId="49" fontId="46" fillId="0" borderId="71" xfId="15" applyNumberFormat="1" applyFont="1" applyFill="1" applyBorder="1" applyAlignment="1">
      <alignment horizontal="center" vertical="top"/>
    </xf>
    <xf numFmtId="0" fontId="47" fillId="7" borderId="115" xfId="15" applyFont="1" applyFill="1" applyBorder="1" applyAlignment="1">
      <alignment horizontal="left" vertical="top" wrapText="1"/>
    </xf>
    <xf numFmtId="0" fontId="47" fillId="7" borderId="84" xfId="15" applyFont="1" applyFill="1" applyBorder="1" applyAlignment="1">
      <alignment horizontal="left" vertical="top" wrapText="1"/>
    </xf>
    <xf numFmtId="49" fontId="47" fillId="0" borderId="116" xfId="15" applyNumberFormat="1" applyFont="1" applyFill="1" applyBorder="1" applyAlignment="1">
      <alignment horizontal="center" vertical="top"/>
    </xf>
    <xf numFmtId="49" fontId="47" fillId="0" borderId="71" xfId="15" applyNumberFormat="1" applyFont="1" applyFill="1" applyBorder="1" applyAlignment="1">
      <alignment horizontal="center" vertical="top"/>
    </xf>
    <xf numFmtId="0" fontId="46" fillId="7" borderId="106" xfId="15" applyFont="1" applyFill="1" applyBorder="1" applyAlignment="1">
      <alignment horizontal="left" vertical="top" wrapText="1"/>
    </xf>
    <xf numFmtId="49" fontId="46" fillId="0" borderId="69" xfId="15" applyNumberFormat="1" applyFont="1" applyFill="1" applyBorder="1" applyAlignment="1">
      <alignment horizontal="center" vertical="top"/>
    </xf>
    <xf numFmtId="0" fontId="47" fillId="0" borderId="115" xfId="15" applyFont="1" applyFill="1" applyBorder="1" applyAlignment="1">
      <alignment horizontal="left" vertical="top" wrapText="1"/>
    </xf>
    <xf numFmtId="0" fontId="47" fillId="0" borderId="84" xfId="15" applyFont="1" applyFill="1" applyBorder="1" applyAlignment="1">
      <alignment horizontal="left" vertical="top" wrapText="1"/>
    </xf>
    <xf numFmtId="170" fontId="67" fillId="0" borderId="116" xfId="15" applyNumberFormat="1" applyFont="1" applyFill="1" applyBorder="1" applyAlignment="1">
      <alignment horizontal="right" vertical="center"/>
    </xf>
    <xf numFmtId="170" fontId="67" fillId="0" borderId="115" xfId="15" applyNumberFormat="1" applyFont="1" applyFill="1" applyBorder="1" applyAlignment="1">
      <alignment horizontal="right" vertical="center"/>
    </xf>
    <xf numFmtId="0" fontId="46" fillId="0" borderId="115" xfId="15" applyFont="1" applyFill="1" applyBorder="1" applyAlignment="1">
      <alignment horizontal="left" vertical="top" wrapText="1"/>
    </xf>
    <xf numFmtId="0" fontId="46" fillId="0" borderId="84" xfId="15" applyFont="1" applyFill="1" applyBorder="1" applyAlignment="1">
      <alignment horizontal="left" vertical="top" wrapText="1"/>
    </xf>
    <xf numFmtId="170" fontId="45" fillId="0" borderId="99" xfId="15" applyNumberFormat="1" applyFont="1" applyFill="1" applyBorder="1" applyAlignment="1">
      <alignment horizontal="right" vertical="center"/>
    </xf>
    <xf numFmtId="170" fontId="45" fillId="0" borderId="85" xfId="15" applyNumberFormat="1" applyFont="1" applyFill="1" applyBorder="1" applyAlignment="1">
      <alignment horizontal="right" vertical="center"/>
    </xf>
    <xf numFmtId="0" fontId="47" fillId="0" borderId="84" xfId="15" applyFont="1" applyFill="1" applyBorder="1" applyAlignment="1">
      <alignment horizontal="center" vertical="center" wrapText="1"/>
    </xf>
    <xf numFmtId="0" fontId="47" fillId="0" borderId="99" xfId="15" applyFont="1" applyFill="1" applyBorder="1" applyAlignment="1">
      <alignment horizontal="center" vertical="center" wrapText="1"/>
    </xf>
    <xf numFmtId="0" fontId="47" fillId="0" borderId="85" xfId="15" applyFont="1" applyFill="1" applyBorder="1" applyAlignment="1">
      <alignment horizontal="center" vertical="center" wrapText="1"/>
    </xf>
    <xf numFmtId="0" fontId="16" fillId="0" borderId="43" xfId="15" applyFill="1" applyBorder="1" applyAlignment="1">
      <alignment horizontal="left" vertical="top" wrapText="1"/>
    </xf>
    <xf numFmtId="0" fontId="46" fillId="0" borderId="87" xfId="15" applyFont="1" applyFill="1" applyBorder="1" applyAlignment="1">
      <alignment horizontal="left" vertical="top" wrapText="1"/>
    </xf>
    <xf numFmtId="0" fontId="46" fillId="0" borderId="88" xfId="15" applyFont="1" applyFill="1" applyBorder="1" applyAlignment="1">
      <alignment horizontal="left" vertical="top" wrapText="1"/>
    </xf>
    <xf numFmtId="0" fontId="46" fillId="0" borderId="89" xfId="15" applyFont="1" applyFill="1" applyBorder="1" applyAlignment="1">
      <alignment horizontal="left" vertical="top" wrapText="1"/>
    </xf>
    <xf numFmtId="0" fontId="47" fillId="0" borderId="87" xfId="15" applyFont="1" applyFill="1" applyBorder="1" applyAlignment="1">
      <alignment horizontal="left" vertical="top" wrapText="1"/>
    </xf>
    <xf numFmtId="0" fontId="47" fillId="0" borderId="88" xfId="15" applyFont="1" applyFill="1" applyBorder="1" applyAlignment="1">
      <alignment horizontal="left" vertical="top" wrapText="1"/>
    </xf>
    <xf numFmtId="0" fontId="47" fillId="0" borderId="89" xfId="15" applyFont="1" applyFill="1" applyBorder="1" applyAlignment="1">
      <alignment horizontal="left" vertical="top" wrapText="1"/>
    </xf>
    <xf numFmtId="0" fontId="47" fillId="7" borderId="87" xfId="15" applyFont="1" applyFill="1" applyBorder="1" applyAlignment="1">
      <alignment horizontal="left" vertical="top" wrapText="1"/>
    </xf>
    <xf numFmtId="0" fontId="47" fillId="7" borderId="88" xfId="15" applyFont="1" applyFill="1" applyBorder="1" applyAlignment="1">
      <alignment horizontal="left" vertical="top" wrapText="1"/>
    </xf>
    <xf numFmtId="0" fontId="47" fillId="7" borderId="89" xfId="15" applyFont="1" applyFill="1" applyBorder="1" applyAlignment="1">
      <alignment horizontal="left" vertical="top" wrapText="1"/>
    </xf>
    <xf numFmtId="0" fontId="46" fillId="7" borderId="87" xfId="15" applyFont="1" applyFill="1" applyBorder="1" applyAlignment="1">
      <alignment horizontal="left" vertical="top" wrapText="1"/>
    </xf>
    <xf numFmtId="0" fontId="46" fillId="7" borderId="88" xfId="15" applyFont="1" applyFill="1" applyBorder="1" applyAlignment="1">
      <alignment horizontal="left" vertical="top" wrapText="1"/>
    </xf>
    <xf numFmtId="0" fontId="46" fillId="7" borderId="89" xfId="15" applyFont="1" applyFill="1" applyBorder="1" applyAlignment="1">
      <alignment horizontal="left" vertical="top" wrapText="1"/>
    </xf>
    <xf numFmtId="0" fontId="16" fillId="7" borderId="71" xfId="15" applyFont="1" applyFill="1" applyBorder="1" applyAlignment="1">
      <alignment horizontal="left" vertical="top" wrapText="1"/>
    </xf>
    <xf numFmtId="170" fontId="45" fillId="0" borderId="84" xfId="15" applyNumberFormat="1" applyFont="1" applyFill="1" applyBorder="1" applyAlignment="1">
      <alignment horizontal="right" vertical="center"/>
    </xf>
    <xf numFmtId="170" fontId="45" fillId="0" borderId="100" xfId="15" applyNumberFormat="1" applyFont="1" applyFill="1" applyBorder="1" applyAlignment="1">
      <alignment horizontal="right" vertical="center"/>
    </xf>
    <xf numFmtId="0" fontId="46" fillId="7" borderId="108" xfId="15" applyFont="1" applyFill="1" applyBorder="1" applyAlignment="1">
      <alignment horizontal="left" vertical="top" wrapText="1"/>
    </xf>
    <xf numFmtId="0" fontId="46" fillId="7" borderId="134" xfId="15" applyFont="1" applyFill="1" applyBorder="1" applyAlignment="1">
      <alignment horizontal="left" vertical="top" wrapText="1"/>
    </xf>
    <xf numFmtId="0" fontId="46" fillId="7" borderId="109" xfId="15" applyFont="1" applyFill="1" applyBorder="1" applyAlignment="1">
      <alignment horizontal="left" vertical="top" wrapText="1"/>
    </xf>
    <xf numFmtId="170" fontId="45" fillId="0" borderId="109" xfId="15" applyNumberFormat="1" applyFont="1" applyFill="1" applyBorder="1" applyAlignment="1">
      <alignment horizontal="right" vertical="center"/>
    </xf>
    <xf numFmtId="0" fontId="47" fillId="7" borderId="71" xfId="15" applyFont="1" applyFill="1" applyBorder="1" applyAlignment="1">
      <alignment horizontal="left" vertical="top" wrapText="1"/>
    </xf>
    <xf numFmtId="0" fontId="32" fillId="7" borderId="71" xfId="15" applyFont="1" applyFill="1" applyBorder="1" applyAlignment="1">
      <alignment horizontal="left" vertical="top" wrapText="1"/>
    </xf>
    <xf numFmtId="170" fontId="67" fillId="0" borderId="84" xfId="15" applyNumberFormat="1" applyFont="1" applyFill="1" applyBorder="1" applyAlignment="1">
      <alignment horizontal="right" vertical="center"/>
    </xf>
    <xf numFmtId="170" fontId="67" fillId="0" borderId="85" xfId="15" applyNumberFormat="1" applyFont="1" applyFill="1" applyBorder="1" applyAlignment="1">
      <alignment horizontal="right" vertical="center"/>
    </xf>
    <xf numFmtId="170" fontId="67" fillId="0" borderId="100" xfId="15" applyNumberFormat="1" applyFont="1" applyFill="1" applyBorder="1" applyAlignment="1">
      <alignment horizontal="right" vertical="center"/>
    </xf>
    <xf numFmtId="0" fontId="47" fillId="0" borderId="87" xfId="15" applyFont="1" applyFill="1" applyBorder="1" applyAlignment="1">
      <alignment horizontal="center" vertical="center" wrapText="1"/>
    </xf>
    <xf numFmtId="0" fontId="47" fillId="0" borderId="88" xfId="15" applyFont="1" applyFill="1" applyBorder="1" applyAlignment="1">
      <alignment horizontal="center" vertical="center" wrapText="1"/>
    </xf>
    <xf numFmtId="0" fontId="47" fillId="7" borderId="99" xfId="15" applyFont="1" applyFill="1" applyBorder="1" applyAlignment="1">
      <alignment horizontal="left" vertical="top" wrapText="1"/>
    </xf>
    <xf numFmtId="0" fontId="47" fillId="7" borderId="85" xfId="15" applyFont="1" applyFill="1" applyBorder="1" applyAlignment="1">
      <alignment horizontal="left" vertical="top" wrapText="1"/>
    </xf>
    <xf numFmtId="0" fontId="46" fillId="7" borderId="87" xfId="15" quotePrefix="1" applyFont="1" applyFill="1" applyBorder="1" applyAlignment="1">
      <alignment horizontal="left" vertical="top" wrapText="1"/>
    </xf>
    <xf numFmtId="0" fontId="46" fillId="7" borderId="88" xfId="15" quotePrefix="1" applyFont="1" applyFill="1" applyBorder="1" applyAlignment="1">
      <alignment horizontal="left" vertical="top" wrapText="1"/>
    </xf>
    <xf numFmtId="0" fontId="46" fillId="7" borderId="89" xfId="15" quotePrefix="1" applyFont="1" applyFill="1" applyBorder="1" applyAlignment="1">
      <alignment horizontal="left" vertical="top" wrapText="1"/>
    </xf>
    <xf numFmtId="0" fontId="47" fillId="7" borderId="87" xfId="15" quotePrefix="1" applyFont="1" applyFill="1" applyBorder="1" applyAlignment="1">
      <alignment horizontal="left" vertical="top" wrapText="1"/>
    </xf>
    <xf numFmtId="0" fontId="47" fillId="7" borderId="88" xfId="15" quotePrefix="1" applyFont="1" applyFill="1" applyBorder="1" applyAlignment="1">
      <alignment horizontal="left" vertical="top" wrapText="1"/>
    </xf>
    <xf numFmtId="0" fontId="47" fillId="7" borderId="89" xfId="15" quotePrefix="1" applyFont="1" applyFill="1" applyBorder="1" applyAlignment="1">
      <alignment horizontal="left" vertical="top" wrapText="1"/>
    </xf>
    <xf numFmtId="0" fontId="68" fillId="7" borderId="87" xfId="15" quotePrefix="1" applyFont="1" applyFill="1" applyBorder="1" applyAlignment="1">
      <alignment horizontal="left" vertical="top" wrapText="1"/>
    </xf>
    <xf numFmtId="0" fontId="68" fillId="7" borderId="88" xfId="15" quotePrefix="1" applyFont="1" applyFill="1" applyBorder="1" applyAlignment="1">
      <alignment horizontal="left" vertical="top" wrapText="1"/>
    </xf>
    <xf numFmtId="0" fontId="68" fillId="7" borderId="89" xfId="15" quotePrefix="1" applyFont="1" applyFill="1" applyBorder="1" applyAlignment="1">
      <alignment horizontal="left" vertical="top" wrapText="1"/>
    </xf>
    <xf numFmtId="0" fontId="68" fillId="7" borderId="87" xfId="15" applyFont="1" applyFill="1" applyBorder="1" applyAlignment="1">
      <alignment horizontal="left" vertical="top" wrapText="1"/>
    </xf>
    <xf numFmtId="0" fontId="68" fillId="7" borderId="88" xfId="15" applyFont="1" applyFill="1" applyBorder="1" applyAlignment="1">
      <alignment horizontal="left" vertical="top" wrapText="1"/>
    </xf>
    <xf numFmtId="0" fontId="68" fillId="7" borderId="89" xfId="15" applyFont="1" applyFill="1" applyBorder="1" applyAlignment="1">
      <alignment horizontal="left" vertical="top" wrapText="1"/>
    </xf>
  </cellXfs>
  <cellStyles count="25">
    <cellStyle name="%" xfId="14"/>
    <cellStyle name="Comma 2" xfId="10"/>
    <cellStyle name="Comma 3" xfId="20"/>
    <cellStyle name="Comma 4" xfId="24"/>
    <cellStyle name="Hyperlink 2" xfId="8"/>
    <cellStyle name="Hyperlink 3" xfId="19"/>
    <cellStyle name="Hypertextové prepojenie" xfId="12" builtinId="8"/>
    <cellStyle name="Normal 2" xfId="2"/>
    <cellStyle name="Normal 3" xfId="5"/>
    <cellStyle name="Normal 3 2" xfId="15"/>
    <cellStyle name="Normal 4" xfId="4"/>
    <cellStyle name="Normal 4 2" xfId="23"/>
    <cellStyle name="Normal 5" xfId="9"/>
    <cellStyle name="Normal 5 2" xfId="13"/>
    <cellStyle name="Normal 6" xfId="21"/>
    <cellStyle name="Normal_Coffee Exporter FR1" xfId="6"/>
    <cellStyle name="Normal_TSS report template v4" xfId="7"/>
    <cellStyle name="Normálna" xfId="0" builtinId="0"/>
    <cellStyle name="normální_cashflow96" xfId="11"/>
    <cellStyle name="Percent 2" xfId="3"/>
    <cellStyle name="Percentá" xfId="1" builtinId="5"/>
    <cellStyle name="S6" xfId="16"/>
    <cellStyle name="S8" xfId="17"/>
    <cellStyle name="Style 1" xfId="18"/>
    <cellStyle name="Vstup" xfId="22" builtinId="20"/>
  </cellStyles>
  <dxfs count="315">
    <dxf>
      <font>
        <color rgb="FFFF0000"/>
      </font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3" formatCode="_-* #,##0\ _€_-;\-* #,##0\ _€_-;_-* &quot;-&quot;\ _€_-;_-@_-"/>
      <fill>
        <patternFill patternType="solid">
          <fgColor indexed="64"/>
          <bgColor indexed="42"/>
        </patternFill>
      </fill>
      <alignment horizontal="center" vertical="center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30" formatCode="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font>
        <b/>
        <color auto="1"/>
      </font>
      <numFmt numFmtId="0" formatCode="General"/>
      <protection locked="1" hidden="0"/>
    </dxf>
    <dxf>
      <protection locked="1" hidden="0"/>
    </dxf>
    <dxf>
      <font>
        <b/>
        <color auto="1"/>
      </font>
      <alignment horizontal="general" vertical="top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30" formatCode="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font>
        <b/>
        <color auto="1"/>
      </font>
      <numFmt numFmtId="0" formatCode="General"/>
      <protection locked="1" hidden="0"/>
    </dxf>
    <dxf>
      <protection locked="1" hidden="0"/>
    </dxf>
    <dxf>
      <font>
        <b/>
        <color auto="1"/>
      </font>
      <alignment horizontal="general" vertical="top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9" defaultPivotStyle="PivotStyleLight16">
    <tableStyle name="TB_data_source" pivot="0" count="1">
      <tableStyleElement type="wholeTable" dxfId="314"/>
    </tableStyle>
  </tableStyles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41</xdr:row>
      <xdr:rowOff>180974</xdr:rowOff>
    </xdr:from>
    <xdr:to>
      <xdr:col>1</xdr:col>
      <xdr:colOff>333375</xdr:colOff>
      <xdr:row>42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8108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42</xdr:row>
      <xdr:rowOff>0</xdr:rowOff>
    </xdr:from>
    <xdr:to>
      <xdr:col>3</xdr:col>
      <xdr:colOff>28575</xdr:colOff>
      <xdr:row>43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8204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72</xdr:row>
      <xdr:rowOff>51289</xdr:rowOff>
    </xdr:from>
    <xdr:to>
      <xdr:col>0</xdr:col>
      <xdr:colOff>264503</xdr:colOff>
      <xdr:row>72</xdr:row>
      <xdr:rowOff>241790</xdr:rowOff>
    </xdr:to>
    <xdr:sp macro="" textlink="">
      <xdr:nvSpPr>
        <xdr:cNvPr id="27" name="TextovéPole 50"/>
        <xdr:cNvSpPr txBox="1"/>
      </xdr:nvSpPr>
      <xdr:spPr>
        <a:xfrm>
          <a:off x="65943" y="170819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73</xdr:row>
      <xdr:rowOff>5868</xdr:rowOff>
    </xdr:from>
    <xdr:to>
      <xdr:col>0</xdr:col>
      <xdr:colOff>263038</xdr:colOff>
      <xdr:row>74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780809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79</xdr:row>
      <xdr:rowOff>33715</xdr:rowOff>
    </xdr:from>
    <xdr:to>
      <xdr:col>0</xdr:col>
      <xdr:colOff>261572</xdr:colOff>
      <xdr:row>79</xdr:row>
      <xdr:rowOff>224216</xdr:rowOff>
    </xdr:to>
    <xdr:sp macro="" textlink="">
      <xdr:nvSpPr>
        <xdr:cNvPr id="29" name="TextovéPole 52"/>
        <xdr:cNvSpPr txBox="1"/>
      </xdr:nvSpPr>
      <xdr:spPr>
        <a:xfrm>
          <a:off x="63012" y="19026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81</xdr:row>
      <xdr:rowOff>43962</xdr:rowOff>
    </xdr:from>
    <xdr:to>
      <xdr:col>0</xdr:col>
      <xdr:colOff>264503</xdr:colOff>
      <xdr:row>81</xdr:row>
      <xdr:rowOff>234463</xdr:rowOff>
    </xdr:to>
    <xdr:sp macro="" textlink="">
      <xdr:nvSpPr>
        <xdr:cNvPr id="30" name="TextovéPole 54"/>
        <xdr:cNvSpPr txBox="1"/>
      </xdr:nvSpPr>
      <xdr:spPr>
        <a:xfrm>
          <a:off x="65943" y="1993216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kumentacia\DOCUME~1\mrnkp\LOCALS~1\Temp\notes42C9D0\smigi\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id="1" name="TB_curr" displayName="TB_curr" ref="AD7:AO1600" totalsRowCount="1" headerRowDxfId="135" dataDxfId="134">
  <autoFilter ref="AD7:AO1599"/>
  <tableColumns count="12">
    <tableColumn id="1" name="Synt" totalsRowLabel="Total" dataDxfId="133" totalsRowDxfId="132">
      <calculatedColumnFormula>LEFT(B8,3)</calculatedColumnFormula>
    </tableColumn>
    <tableColumn id="2" name="Subtotal Y/N" dataDxfId="131" totalsRowDxfId="130">
      <calculatedColumnFormula>IF(ISNA(VLOOKUP(TB_curr[[#This Row],[Synt]],GL[[#Headers],[#Data],[subtotal label]],1,FALSE)),0,(VLOOKUP(TB_curr[[#This Row],[Synt]],GL[[#Headers],[#Data],[subtotal label]],1,FALSE)))</calculatedColumnFormula>
    </tableColumn>
    <tableColumn id="3" name="Line No." dataDxfId="129" totalsRowDxfId="128">
      <calculatedColumnFormula>IF((TB_curr[[#This Row],[Synt]]-TB_curr[[#This Row],[Subtotal Y/N]])=0,0,VLOOKUP(TB_curr[[#This Row],[Synt]],GL[[Account]:[Line]],3,FALSE))</calculatedColumnFormula>
    </tableColumn>
    <tableColumn id="12" name="BS/PL" dataDxfId="127" totalsRowDxfId="126">
      <calculatedColumnFormula>VLOOKUP(TB_curr[[#This Row],[Synt]],GL[[Account]:[B/P]],4,FALSE)</calculatedColumnFormula>
    </tableColumn>
    <tableColumn id="10" name="Line No. manual corr." dataDxfId="125" totalsRowDxfId="124"/>
    <tableColumn id="11" name="Lookup_line" dataDxfId="123" totalsRowDxfId="122">
      <calculatedColumnFormula>TB_curr[[#This Row],[Synt]]&amp;TB_curr[[#This Row],[Line No. manual corr.]]</calculatedColumnFormula>
    </tableColumn>
    <tableColumn id="4" name="Opening balance" totalsRowFunction="sum" dataDxfId="121" totalsRowDxfId="120">
      <calculatedColumnFormula>K8-N8</calculatedColumnFormula>
    </tableColumn>
    <tableColumn id="5" name="Turnover MD" totalsRowFunction="sum" dataDxfId="119" totalsRowDxfId="118">
      <calculatedColumnFormula>Q8</calculatedColumnFormula>
    </tableColumn>
    <tableColumn id="6" name="Turnover D" totalsRowFunction="sum" dataDxfId="117" totalsRowDxfId="116">
      <calculatedColumnFormula>U8</calculatedColumnFormula>
    </tableColumn>
    <tableColumn id="7" name="Closing balance" totalsRowFunction="sum" dataDxfId="115" totalsRowDxfId="114">
      <calculatedColumnFormula>X8-AB8</calculatedColumnFormula>
    </tableColumn>
    <tableColumn id="8" name="Rounding" totalsRowFunction="sum" dataDxfId="113" totalsRowDxfId="112"/>
    <tableColumn id="9" name="Final balance" totalsRowFunction="sum" dataDxfId="111" totalsRowDxfId="110">
      <calculatedColumnFormula>TB_curr[[#This Row],[Closing balance]]+TB_curr[[#This Row],[Rounding]]</calculatedColumnFormula>
    </tableColumn>
  </tableColumns>
  <tableStyleInfo name="TB_data_source" showFirstColumn="0" showLastColumn="0" showRowStripes="1" showColumnStripes="0"/>
</table>
</file>

<file path=xl/tables/table2.xml><?xml version="1.0" encoding="utf-8"?>
<table xmlns="http://schemas.openxmlformats.org/spreadsheetml/2006/main" id="2" name="TB_prev" displayName="TB_prev" ref="AD7:AO1600" totalsRowCount="1" headerRowDxfId="105" dataDxfId="104">
  <autoFilter ref="AD7:AO1599"/>
  <tableColumns count="12">
    <tableColumn id="1" name="Synt" totalsRowLabel="Total" dataDxfId="103" totalsRowDxfId="102">
      <calculatedColumnFormula>LEFT(B8,3)</calculatedColumnFormula>
    </tableColumn>
    <tableColumn id="2" name="Subtotal Y/N" dataDxfId="101" totalsRowDxfId="100">
      <calculatedColumnFormula>IF(ISNA(VLOOKUP(TB_prev[[#This Row],[Synt]],GL[[#Headers],[#Data],[subtotal label]],1,FALSE)),0,(VLOOKUP(TB_prev[[#This Row],[Synt]],GL[[#Headers],[#Data],[subtotal label]],1,FALSE)))</calculatedColumnFormula>
    </tableColumn>
    <tableColumn id="3" name="Line No." dataDxfId="99" totalsRowDxfId="98">
      <calculatedColumnFormula>IF((TB_prev[[#This Row],[Synt]]-TB_prev[[#This Row],[Subtotal Y/N]])=0,0,VLOOKUP(TB_prev[[#This Row],[Synt]],GL[[Account]:[Line]],3,FALSE))</calculatedColumnFormula>
    </tableColumn>
    <tableColumn id="12" name="BS/PL" dataDxfId="97" totalsRowDxfId="96">
      <calculatedColumnFormula>VLOOKUP(TB_prev[[#This Row],[Synt]],GL[[Account]:[B/P]],4,FALSE)</calculatedColumnFormula>
    </tableColumn>
    <tableColumn id="10" name="Line No. manual corr." dataDxfId="95" totalsRowDxfId="94"/>
    <tableColumn id="11" name="Lookup_line" dataDxfId="93" totalsRowDxfId="92">
      <calculatedColumnFormula>TB_prev[[#This Row],[Synt]]&amp;TB_prev[[#This Row],[Line No. manual corr.]]</calculatedColumnFormula>
    </tableColumn>
    <tableColumn id="4" name="Opening balance" totalsRowFunction="sum" dataDxfId="91" totalsRowDxfId="90">
      <calculatedColumnFormula>K8-N8</calculatedColumnFormula>
    </tableColumn>
    <tableColumn id="5" name="Turnover MD" totalsRowFunction="sum" dataDxfId="89" totalsRowDxfId="88">
      <calculatedColumnFormula>Q8</calculatedColumnFormula>
    </tableColumn>
    <tableColumn id="6" name="Turnover D" totalsRowFunction="sum" dataDxfId="87" totalsRowDxfId="86">
      <calculatedColumnFormula>U8</calculatedColumnFormula>
    </tableColumn>
    <tableColumn id="7" name="Closing balance" totalsRowFunction="sum" dataDxfId="85" totalsRowDxfId="84">
      <calculatedColumnFormula>X8-AB8</calculatedColumnFormula>
    </tableColumn>
    <tableColumn id="8" name="Rounding" totalsRowFunction="sum" dataDxfId="83" totalsRowDxfId="82"/>
    <tableColumn id="9" name="Final balance" totalsRowFunction="sum" dataDxfId="81" totalsRowDxfId="80">
      <calculatedColumnFormula>TB_prev[[#This Row],[Closing balance]]+TB_prev[[#This Row],[Rounding]]</calculatedColumnFormula>
    </tableColumn>
  </tableColumns>
  <tableStyleInfo name="TB_data_source" showFirstColumn="0" showLastColumn="0" showRowStripes="1" showColumnStripes="0"/>
</table>
</file>

<file path=xl/tables/table3.xml><?xml version="1.0" encoding="utf-8"?>
<table xmlns="http://schemas.openxmlformats.org/spreadsheetml/2006/main" id="6" name="GL" displayName="GL" ref="A4:I352" totalsRowCount="1" headerRowDxfId="20" dataDxfId="19" headerRowCellStyle="Comma 3" dataCellStyle="Normal 2">
  <autoFilter ref="A4:I351"/>
  <sortState ref="A4:H379">
    <sortCondition ref="B4:B379"/>
    <sortCondition ref="D4:D379"/>
  </sortState>
  <tableColumns count="9">
    <tableColumn id="1" name="Description" totalsRowLabel="Total" dataDxfId="18" totalsRowDxfId="17" dataCellStyle="Normal 2"/>
    <tableColumn id="3" name="Account" dataDxfId="16" totalsRowDxfId="15" dataCellStyle="Normal 2"/>
    <tableColumn id="9" name="subtotal label" dataDxfId="14" totalsRowDxfId="13" dataCellStyle="Normal 2">
      <calculatedColumnFormula>IF(B5="subtotal",B6,"")</calculatedColumnFormula>
    </tableColumn>
    <tableColumn id="2" name="Line" dataDxfId="12" totalsRowDxfId="11" dataCellStyle="Normal 2"/>
    <tableColumn id="10" name="B/P" dataDxfId="10" totalsRowDxfId="9" dataCellStyle="Normal 2">
      <calculatedColumnFormula>IF(LEFT(GL[[#This Row],[Account]],1)&lt;4,"B","P")</calculatedColumnFormula>
    </tableColumn>
    <tableColumn id="14" name="Line_statement" dataDxfId="8" totalsRowDxfId="7" dataCellStyle="Normal 2">
      <calculatedColumnFormula>GL[[#This Row],[Line]]&amp;GL[[#This Row],[B/P]]</calculatedColumnFormula>
    </tableColumn>
    <tableColumn id="12" name="Lookup line" dataDxfId="6" totalsRowDxfId="5" dataCellStyle="Normal 2">
      <calculatedColumnFormula>GL[[#This Row],[Account]]&amp;GL[[#This Row],[Line]]</calculatedColumnFormula>
    </tableColumn>
    <tableColumn id="5" name="Total current year" totalsRowFunction="sum" dataDxfId="4" totalsRowDxfId="3" dataCellStyle="Normal 2">
      <calculatedColumnFormula>ROUND(SUMIF(TB_curr[[#Headers],[#Data],[Lookup_line]],GL[[#This Row],[Lookup line]],TB_curr[[#Headers],[#Data],[Final balance]]),0)</calculatedColumnFormula>
    </tableColumn>
    <tableColumn id="7" name="Total previous year" totalsRowFunction="sum" dataDxfId="2" totalsRowDxfId="1" dataCellStyle="Normal 2">
      <calculatedColumnFormula>ROUND(SUMIF(TB_prev[[#Headers],[#Data],[Lookup_line]],GL[[#This Row],[Lookup line]],TB_prev[[#Headers],[#Data],[Final balance]]),0)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99"/>
  </sheetPr>
  <dimension ref="A1:R42"/>
  <sheetViews>
    <sheetView showGridLines="0" workbookViewId="0">
      <selection activeCell="C33" sqref="C33"/>
    </sheetView>
  </sheetViews>
  <sheetFormatPr defaultColWidth="9.140625" defaultRowHeight="11.25" x14ac:dyDescent="0.2"/>
  <cols>
    <col min="1" max="1" width="19.85546875" style="539" customWidth="1"/>
    <col min="2" max="2" width="10.140625" style="539" bestFit="1" customWidth="1"/>
    <col min="3" max="3" width="14.140625" style="539" customWidth="1"/>
    <col min="4" max="4" width="2.85546875" style="539" customWidth="1"/>
    <col min="5" max="5" width="25.140625" style="539" customWidth="1"/>
    <col min="6" max="6" width="27.7109375" style="539" customWidth="1"/>
    <col min="7" max="7" width="2.28515625" style="539" bestFit="1" customWidth="1"/>
    <col min="8" max="8" width="5" style="539" customWidth="1"/>
    <col min="9" max="18" width="2.5703125" style="539" bestFit="1" customWidth="1"/>
    <col min="19" max="16384" width="9.140625" style="539"/>
  </cols>
  <sheetData>
    <row r="1" spans="1:13" ht="12" thickBot="1" x14ac:dyDescent="0.25">
      <c r="A1" s="535" t="s">
        <v>1221</v>
      </c>
      <c r="B1" s="536"/>
      <c r="C1" s="537"/>
      <c r="D1" s="537"/>
      <c r="E1" s="537"/>
      <c r="F1" s="537"/>
      <c r="G1" s="538"/>
    </row>
    <row r="2" spans="1:13" ht="12" thickBot="1" x14ac:dyDescent="0.25">
      <c r="A2" s="540" t="s">
        <v>1224</v>
      </c>
      <c r="B2" s="541"/>
      <c r="C2" s="541"/>
      <c r="D2" s="541"/>
      <c r="E2" s="541"/>
      <c r="F2" s="541"/>
      <c r="G2" s="542"/>
      <c r="H2" s="543"/>
    </row>
    <row r="3" spans="1:13" ht="25.5" customHeight="1" thickBot="1" x14ac:dyDescent="0.25">
      <c r="A3" s="1163" t="s">
        <v>1225</v>
      </c>
      <c r="B3" s="1164"/>
      <c r="C3" s="1164"/>
      <c r="D3" s="544"/>
      <c r="E3" s="545" t="s">
        <v>1220</v>
      </c>
      <c r="F3" s="546" t="s">
        <v>2229</v>
      </c>
      <c r="G3" s="547"/>
    </row>
    <row r="4" spans="1:13" x14ac:dyDescent="0.2">
      <c r="A4" s="548"/>
      <c r="B4" s="549"/>
      <c r="C4" s="549"/>
      <c r="D4" s="549"/>
      <c r="E4" s="549"/>
      <c r="F4" s="549"/>
      <c r="G4" s="550"/>
    </row>
    <row r="5" spans="1:13" ht="12" thickBot="1" x14ac:dyDescent="0.25">
      <c r="A5" s="548"/>
      <c r="B5" s="549"/>
      <c r="C5" s="549"/>
      <c r="D5" s="549"/>
      <c r="E5" s="549"/>
      <c r="F5" s="549"/>
      <c r="G5" s="550"/>
      <c r="L5" s="1162"/>
      <c r="M5" s="1162"/>
    </row>
    <row r="6" spans="1:13" ht="12" thickBot="1" x14ac:dyDescent="0.25">
      <c r="A6" s="551" t="s">
        <v>1219</v>
      </c>
      <c r="B6" s="552">
        <v>2014</v>
      </c>
      <c r="C6" s="549"/>
      <c r="D6" s="553" t="s">
        <v>1213</v>
      </c>
      <c r="E6" s="795"/>
      <c r="F6" s="793" t="s">
        <v>973</v>
      </c>
      <c r="G6" s="550"/>
      <c r="L6" s="1162"/>
      <c r="M6" s="1162"/>
    </row>
    <row r="7" spans="1:13" x14ac:dyDescent="0.2">
      <c r="A7" s="555" t="s">
        <v>1210</v>
      </c>
      <c r="B7" s="625">
        <v>41640</v>
      </c>
      <c r="C7" s="549"/>
      <c r="D7" s="556"/>
      <c r="E7" s="796" t="s">
        <v>1218</v>
      </c>
      <c r="F7" s="794">
        <v>59120</v>
      </c>
      <c r="G7" s="550"/>
      <c r="L7" s="557"/>
      <c r="M7" s="558"/>
    </row>
    <row r="8" spans="1:13" x14ac:dyDescent="0.2">
      <c r="A8" s="559" t="s">
        <v>1206</v>
      </c>
      <c r="B8" s="560" t="str">
        <f>CHOOSE(LEN(MONTH(B7)),"0"&amp;MONTH(B7),MONTH(B7))</f>
        <v>01</v>
      </c>
      <c r="C8" s="549"/>
      <c r="D8" s="561"/>
      <c r="E8" s="797" t="s">
        <v>1217</v>
      </c>
      <c r="F8" s="791"/>
      <c r="G8" s="550"/>
    </row>
    <row r="9" spans="1:13" ht="12" thickBot="1" x14ac:dyDescent="0.25">
      <c r="A9" s="559" t="s">
        <v>1216</v>
      </c>
      <c r="B9" s="562">
        <f>YEAR(B7)</f>
        <v>2014</v>
      </c>
      <c r="C9" s="549"/>
      <c r="D9" s="563"/>
      <c r="E9" s="798" t="s">
        <v>1550</v>
      </c>
      <c r="F9" s="792"/>
      <c r="G9" s="550"/>
    </row>
    <row r="10" spans="1:13" ht="12" thickBot="1" x14ac:dyDescent="0.25">
      <c r="A10" s="564" t="s">
        <v>1208</v>
      </c>
      <c r="B10" s="625">
        <v>42004</v>
      </c>
      <c r="C10" s="549"/>
      <c r="D10" s="565"/>
      <c r="E10" s="565"/>
      <c r="F10" s="549"/>
      <c r="G10" s="550"/>
    </row>
    <row r="11" spans="1:13" ht="12" thickBot="1" x14ac:dyDescent="0.25">
      <c r="A11" s="566" t="s">
        <v>1215</v>
      </c>
      <c r="B11" s="567" t="str">
        <f>DAY(B10)&amp;"."&amp;MONTH(B10)&amp;"."</f>
        <v>31.12.</v>
      </c>
      <c r="C11" s="549"/>
      <c r="D11" s="553" t="s">
        <v>1569</v>
      </c>
      <c r="E11" s="795"/>
      <c r="F11" s="549"/>
      <c r="G11" s="550"/>
    </row>
    <row r="12" spans="1:13" x14ac:dyDescent="0.2">
      <c r="A12" s="566" t="s">
        <v>1214</v>
      </c>
      <c r="B12" s="568" t="str">
        <f>RIGHT(YEAR(B10),2)</f>
        <v>14</v>
      </c>
      <c r="C12" s="549"/>
      <c r="D12" s="556" t="s">
        <v>6</v>
      </c>
      <c r="E12" s="796" t="s">
        <v>467</v>
      </c>
      <c r="F12" s="549"/>
      <c r="G12" s="550"/>
      <c r="K12" s="569"/>
    </row>
    <row r="13" spans="1:13" x14ac:dyDescent="0.2">
      <c r="A13" s="559" t="s">
        <v>1206</v>
      </c>
      <c r="B13" s="560">
        <f>CHOOSE(LEN(MONTH(B10)),"0"&amp;MONTH(B10),MONTH(B10))</f>
        <v>12</v>
      </c>
      <c r="C13" s="570"/>
      <c r="D13" s="561" t="s">
        <v>6</v>
      </c>
      <c r="E13" s="797" t="s">
        <v>1570</v>
      </c>
      <c r="F13" s="549"/>
      <c r="G13" s="550"/>
      <c r="H13" s="543"/>
    </row>
    <row r="14" spans="1:13" ht="12" thickBot="1" x14ac:dyDescent="0.25">
      <c r="A14" s="571" t="s">
        <v>1205</v>
      </c>
      <c r="B14" s="562">
        <f>YEAR(B10)</f>
        <v>2014</v>
      </c>
      <c r="C14" s="572"/>
      <c r="D14" s="563" t="s">
        <v>6</v>
      </c>
      <c r="E14" s="798" t="s">
        <v>1571</v>
      </c>
      <c r="F14" s="549"/>
      <c r="G14" s="550"/>
      <c r="H14" s="543"/>
    </row>
    <row r="15" spans="1:13" ht="12" thickBot="1" x14ac:dyDescent="0.25">
      <c r="A15" s="548"/>
      <c r="B15" s="573"/>
      <c r="C15" s="549"/>
      <c r="F15" s="549"/>
      <c r="G15" s="550"/>
    </row>
    <row r="16" spans="1:13" ht="12" thickBot="1" x14ac:dyDescent="0.25">
      <c r="A16" s="574" t="s">
        <v>1212</v>
      </c>
      <c r="B16" s="575">
        <f>YEAR(B17)</f>
        <v>1900</v>
      </c>
      <c r="C16" s="549"/>
      <c r="D16" s="553" t="s">
        <v>1566</v>
      </c>
      <c r="E16" s="554"/>
      <c r="F16" s="549"/>
      <c r="G16" s="550"/>
    </row>
    <row r="17" spans="1:18" x14ac:dyDescent="0.2">
      <c r="A17" s="555" t="s">
        <v>1210</v>
      </c>
      <c r="B17" s="625"/>
      <c r="C17" s="549"/>
      <c r="D17" s="576"/>
      <c r="E17" s="577" t="s">
        <v>1567</v>
      </c>
      <c r="F17" s="549"/>
      <c r="G17" s="550"/>
    </row>
    <row r="18" spans="1:18" ht="12" thickBot="1" x14ac:dyDescent="0.25">
      <c r="A18" s="559" t="s">
        <v>1206</v>
      </c>
      <c r="B18" s="580" t="str">
        <f>CHOOSE(LEN(MONTH(B17)),"0"&amp;MONTH(B17),MONTH(B17))</f>
        <v>01</v>
      </c>
      <c r="C18" s="549"/>
      <c r="D18" s="578"/>
      <c r="E18" s="579" t="s">
        <v>1568</v>
      </c>
      <c r="F18" s="549"/>
      <c r="G18" s="550"/>
    </row>
    <row r="19" spans="1:18" ht="12" thickBot="1" x14ac:dyDescent="0.25">
      <c r="A19" s="571" t="s">
        <v>1205</v>
      </c>
      <c r="B19" s="562">
        <f>YEAR(B17)</f>
        <v>1900</v>
      </c>
      <c r="C19" s="549"/>
      <c r="D19" s="549"/>
      <c r="E19" s="549"/>
      <c r="F19" s="549"/>
      <c r="G19" s="550"/>
    </row>
    <row r="20" spans="1:18" ht="12" thickBot="1" x14ac:dyDescent="0.25">
      <c r="A20" s="564" t="s">
        <v>1208</v>
      </c>
      <c r="B20" s="625"/>
      <c r="C20" s="549"/>
      <c r="D20" s="549"/>
      <c r="E20" s="535" t="s">
        <v>1207</v>
      </c>
      <c r="F20" s="581"/>
      <c r="G20" s="550"/>
    </row>
    <row r="21" spans="1:18" ht="12" thickBot="1" x14ac:dyDescent="0.25">
      <c r="A21" s="559" t="s">
        <v>1206</v>
      </c>
      <c r="B21" s="560" t="str">
        <f>CHOOSE(LEN(MONTH(B20)),"0"&amp;MONTH(B20),MONTH(B20))</f>
        <v>01</v>
      </c>
      <c r="C21" s="549"/>
      <c r="D21" s="549"/>
      <c r="E21" s="549"/>
      <c r="F21" s="549"/>
      <c r="G21" s="550"/>
    </row>
    <row r="22" spans="1:18" ht="12" thickBot="1" x14ac:dyDescent="0.25">
      <c r="A22" s="571" t="s">
        <v>1205</v>
      </c>
      <c r="B22" s="562">
        <f>YEAR(B20)</f>
        <v>1900</v>
      </c>
      <c r="C22" s="549"/>
      <c r="D22" s="549"/>
      <c r="E22" s="574" t="s">
        <v>1574</v>
      </c>
      <c r="F22" s="1165"/>
      <c r="G22" s="550"/>
    </row>
    <row r="23" spans="1:18" ht="12" thickBot="1" x14ac:dyDescent="0.25">
      <c r="A23" s="582"/>
      <c r="B23" s="572"/>
      <c r="C23" s="549"/>
      <c r="D23" s="549"/>
      <c r="E23" s="805" t="s">
        <v>1575</v>
      </c>
      <c r="F23" s="1166"/>
      <c r="G23" s="550"/>
      <c r="I23" s="624"/>
    </row>
    <row r="24" spans="1:18" ht="13.5" thickBot="1" x14ac:dyDescent="0.25">
      <c r="A24" s="535" t="s">
        <v>1204</v>
      </c>
      <c r="B24" s="537"/>
      <c r="C24" s="583">
        <v>2021833418</v>
      </c>
      <c r="D24" s="549"/>
      <c r="E24" s="806" t="s">
        <v>1576</v>
      </c>
      <c r="F24" s="1167"/>
      <c r="G24" s="550"/>
      <c r="I24" s="1142" t="str">
        <f>LEFT('Input data'!C24,1)</f>
        <v>2</v>
      </c>
      <c r="J24" s="384" t="str">
        <f>MID('Input data'!$C$24,2,1)</f>
        <v>0</v>
      </c>
      <c r="K24" s="384" t="str">
        <f>MID('Input data'!$C$24,3,1)</f>
        <v>2</v>
      </c>
      <c r="L24" s="384" t="str">
        <f>MID('Input data'!$C$24,4,1)</f>
        <v>1</v>
      </c>
      <c r="M24" s="384" t="str">
        <f>MID('Input data'!$C$24,5,1)</f>
        <v>8</v>
      </c>
      <c r="N24" s="384" t="str">
        <f>MID('Input data'!$C$24,6,1)</f>
        <v>3</v>
      </c>
      <c r="O24" s="384" t="str">
        <f>MID('Input data'!$C$24,7,1)</f>
        <v>3</v>
      </c>
      <c r="P24" s="384" t="str">
        <f>MID('Input data'!$C$24,8,1)</f>
        <v>4</v>
      </c>
      <c r="Q24" s="384" t="str">
        <f>MID('Input data'!$C$24,9,1)</f>
        <v>1</v>
      </c>
      <c r="R24" s="384" t="str">
        <f>MID('Input data'!$C$24,10,1)</f>
        <v>8</v>
      </c>
    </row>
    <row r="25" spans="1:18" ht="12" thickBot="1" x14ac:dyDescent="0.25">
      <c r="A25" s="548"/>
      <c r="B25" s="549"/>
      <c r="C25" s="549"/>
      <c r="D25" s="549"/>
      <c r="G25" s="550"/>
    </row>
    <row r="26" spans="1:18" ht="13.5" thickBot="1" x14ac:dyDescent="0.25">
      <c r="A26" s="535" t="s">
        <v>1202</v>
      </c>
      <c r="B26" s="537"/>
      <c r="C26" s="623" t="s">
        <v>2230</v>
      </c>
      <c r="D26" s="549"/>
      <c r="G26" s="550"/>
      <c r="I26" s="1142" t="str">
        <f>LEFT('Input data'!C26,1)</f>
        <v>3</v>
      </c>
      <c r="J26" s="384" t="str">
        <f>MID('Input data'!$C$26,2,1)</f>
        <v>5</v>
      </c>
      <c r="K26" s="384" t="str">
        <f>MID('Input data'!$C$26,3,1)</f>
        <v>8</v>
      </c>
      <c r="L26" s="384" t="str">
        <f>MID('Input data'!$C$26,4,1)</f>
        <v>8</v>
      </c>
      <c r="M26" s="384" t="str">
        <f>MID('Input data'!$C$26,5,1)</f>
        <v>2</v>
      </c>
      <c r="N26" s="384" t="str">
        <f>MID('Input data'!$C$26,6,1)</f>
        <v>7</v>
      </c>
      <c r="O26" s="384" t="str">
        <f>MID('Input data'!$C$26,7,1)</f>
        <v>0</v>
      </c>
      <c r="P26" s="384" t="str">
        <f>MID('Input data'!$C$26,8,1)</f>
        <v>1</v>
      </c>
    </row>
    <row r="27" spans="1:18" ht="12" thickBot="1" x14ac:dyDescent="0.25">
      <c r="A27" s="548"/>
      <c r="B27" s="549"/>
      <c r="C27" s="549"/>
      <c r="D27" s="586"/>
      <c r="G27" s="550"/>
    </row>
    <row r="28" spans="1:18" x14ac:dyDescent="0.2">
      <c r="A28" s="589" t="s">
        <v>1200</v>
      </c>
      <c r="B28" s="590"/>
      <c r="C28" s="1011" t="s">
        <v>2231</v>
      </c>
      <c r="D28" s="591"/>
      <c r="G28" s="550"/>
    </row>
    <row r="29" spans="1:18" x14ac:dyDescent="0.2">
      <c r="A29" s="592"/>
      <c r="B29" s="593"/>
      <c r="C29" s="594"/>
      <c r="D29" s="591"/>
      <c r="G29" s="550"/>
    </row>
    <row r="30" spans="1:18" x14ac:dyDescent="0.2">
      <c r="A30" s="596" t="s">
        <v>1199</v>
      </c>
      <c r="B30" s="597"/>
      <c r="C30" s="1151" t="s">
        <v>2232</v>
      </c>
      <c r="D30" s="549"/>
      <c r="G30" s="550"/>
    </row>
    <row r="31" spans="1:18" x14ac:dyDescent="0.2">
      <c r="A31" s="548"/>
      <c r="B31" s="549"/>
      <c r="C31" s="550"/>
      <c r="D31" s="549"/>
      <c r="G31" s="550"/>
    </row>
    <row r="32" spans="1:18" x14ac:dyDescent="0.2">
      <c r="A32" s="596" t="s">
        <v>1198</v>
      </c>
      <c r="B32" s="602"/>
      <c r="C32" s="1152" t="s">
        <v>2233</v>
      </c>
      <c r="D32" s="549"/>
      <c r="E32" s="549"/>
      <c r="F32" s="603"/>
      <c r="G32" s="550"/>
    </row>
    <row r="33" spans="1:7" ht="12" thickBot="1" x14ac:dyDescent="0.25">
      <c r="A33" s="548"/>
      <c r="B33" s="604"/>
      <c r="C33" s="550"/>
      <c r="D33" s="549"/>
      <c r="E33" s="804"/>
      <c r="F33" s="558"/>
      <c r="G33" s="550"/>
    </row>
    <row r="34" spans="1:7" ht="12" thickBot="1" x14ac:dyDescent="0.25">
      <c r="A34" s="605" t="s">
        <v>1197</v>
      </c>
      <c r="B34" s="606"/>
      <c r="C34" s="607" t="s">
        <v>2219</v>
      </c>
      <c r="D34" s="549"/>
      <c r="E34" s="584" t="s">
        <v>1203</v>
      </c>
      <c r="F34" s="585"/>
      <c r="G34" s="550"/>
    </row>
    <row r="35" spans="1:7" ht="12" thickBot="1" x14ac:dyDescent="0.25">
      <c r="A35" s="548"/>
      <c r="B35" s="603"/>
      <c r="C35" s="549"/>
      <c r="D35" s="549"/>
      <c r="E35" s="582"/>
      <c r="F35" s="550"/>
      <c r="G35" s="550"/>
    </row>
    <row r="36" spans="1:7" ht="12" thickBot="1" x14ac:dyDescent="0.25">
      <c r="A36" s="608" t="s">
        <v>1196</v>
      </c>
      <c r="B36" s="609"/>
      <c r="C36" s="610"/>
      <c r="D36" s="611"/>
      <c r="E36" s="587" t="s">
        <v>1201</v>
      </c>
      <c r="F36" s="588"/>
      <c r="G36" s="550"/>
    </row>
    <row r="37" spans="1:7" ht="12" thickBot="1" x14ac:dyDescent="0.25">
      <c r="A37" s="582"/>
      <c r="B37" s="604"/>
      <c r="C37" s="550"/>
      <c r="D37" s="549"/>
      <c r="E37" s="549"/>
      <c r="F37" s="549"/>
      <c r="G37" s="550"/>
    </row>
    <row r="38" spans="1:7" x14ac:dyDescent="0.2">
      <c r="A38" s="612" t="s">
        <v>1195</v>
      </c>
      <c r="B38" s="602"/>
      <c r="C38" s="613"/>
      <c r="D38" s="549"/>
      <c r="E38" s="595" t="s">
        <v>1572</v>
      </c>
      <c r="F38" s="554"/>
      <c r="G38" s="550"/>
    </row>
    <row r="39" spans="1:7" ht="12" thickBot="1" x14ac:dyDescent="0.25">
      <c r="A39" s="614"/>
      <c r="B39" s="615"/>
      <c r="C39" s="616"/>
      <c r="D39" s="549"/>
      <c r="E39" s="598" t="s">
        <v>1573</v>
      </c>
      <c r="F39" s="599"/>
      <c r="G39" s="550"/>
    </row>
    <row r="40" spans="1:7" ht="12" thickBot="1" x14ac:dyDescent="0.25">
      <c r="A40" s="617" t="s">
        <v>1193</v>
      </c>
      <c r="B40" s="618"/>
      <c r="C40" s="619"/>
      <c r="D40" s="549"/>
      <c r="E40" s="600" t="s">
        <v>1194</v>
      </c>
      <c r="F40" s="601"/>
      <c r="G40" s="550"/>
    </row>
    <row r="41" spans="1:7" ht="12" thickBot="1" x14ac:dyDescent="0.25">
      <c r="A41" s="548"/>
      <c r="B41" s="620"/>
      <c r="C41" s="549"/>
      <c r="D41" s="549"/>
      <c r="E41" s="549"/>
      <c r="F41" s="549"/>
      <c r="G41" s="550"/>
    </row>
    <row r="42" spans="1:7" ht="15.75" thickBot="1" x14ac:dyDescent="0.3">
      <c r="A42" s="621" t="s">
        <v>1192</v>
      </c>
      <c r="B42" s="1160"/>
      <c r="C42" s="1161"/>
      <c r="D42" s="622"/>
      <c r="E42" s="622"/>
      <c r="F42" s="622"/>
      <c r="G42" s="616"/>
    </row>
  </sheetData>
  <mergeCells count="4">
    <mergeCell ref="B42:C42"/>
    <mergeCell ref="L5:M6"/>
    <mergeCell ref="A3:C3"/>
    <mergeCell ref="F22:F24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7"/>
  <sheetViews>
    <sheetView showGridLines="0" zoomScaleNormal="100" workbookViewId="0">
      <selection activeCell="B21" sqref="B21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57</v>
      </c>
    </row>
    <row r="2" spans="1:2" ht="16.5" x14ac:dyDescent="0.3">
      <c r="A2" s="2"/>
    </row>
    <row r="3" spans="1:2" ht="17.25" thickBot="1" x14ac:dyDescent="0.35">
      <c r="A3" s="2" t="s">
        <v>5</v>
      </c>
    </row>
    <row r="4" spans="1:2" ht="24" customHeight="1" thickTop="1" thickBot="1" x14ac:dyDescent="0.3">
      <c r="A4" s="10" t="s">
        <v>66</v>
      </c>
      <c r="B4" s="11" t="s">
        <v>35</v>
      </c>
    </row>
    <row r="5" spans="1:2" ht="24" thickTop="1" thickBot="1" x14ac:dyDescent="0.3">
      <c r="A5" s="12" t="s">
        <v>68</v>
      </c>
      <c r="B5" s="13"/>
    </row>
    <row r="6" spans="1:2" ht="24.75" customHeight="1" thickBot="1" x14ac:dyDescent="0.3">
      <c r="A6" s="16" t="s">
        <v>69</v>
      </c>
      <c r="B6" s="17"/>
    </row>
    <row r="7" spans="1:2" ht="15.75" thickTop="1" x14ac:dyDescent="0.25">
      <c r="A7" s="52"/>
      <c r="B7" s="18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5"/>
  <sheetViews>
    <sheetView showGridLines="0" zoomScaleNormal="100" workbookViewId="0">
      <selection activeCell="B3" sqref="B3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71</v>
      </c>
    </row>
    <row r="2" spans="1:2" ht="16.5" thickTop="1" thickBot="1" x14ac:dyDescent="0.3">
      <c r="A2" s="526" t="s">
        <v>58</v>
      </c>
      <c r="B2" s="529" t="s">
        <v>17</v>
      </c>
    </row>
    <row r="3" spans="1:2" ht="24" customHeight="1" thickTop="1" thickBot="1" x14ac:dyDescent="0.3">
      <c r="A3" s="12" t="s">
        <v>72</v>
      </c>
      <c r="B3" s="13"/>
    </row>
    <row r="4" spans="1:2" ht="24" customHeight="1" thickBot="1" x14ac:dyDescent="0.3">
      <c r="A4" s="16" t="s">
        <v>73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14"/>
  <sheetViews>
    <sheetView showGridLines="0" zoomScaleNormal="100" workbookViewId="0">
      <selection activeCell="H13" sqref="H13:J13"/>
    </sheetView>
  </sheetViews>
  <sheetFormatPr defaultRowHeight="15" x14ac:dyDescent="0.25"/>
  <cols>
    <col min="1" max="1" width="22.140625" customWidth="1"/>
    <col min="2" max="4" width="21.42578125" customWidth="1"/>
    <col min="8" max="8" width="20" style="280" customWidth="1"/>
    <col min="9" max="9" width="15.28515625" style="281" customWidth="1"/>
    <col min="10" max="10" width="20.85546875" style="285" customWidth="1"/>
  </cols>
  <sheetData>
    <row r="1" spans="1:13" ht="16.5" x14ac:dyDescent="0.3">
      <c r="A1" s="1" t="s">
        <v>74</v>
      </c>
      <c r="H1" s="1168" t="s">
        <v>948</v>
      </c>
      <c r="I1" s="1169"/>
      <c r="J1" s="1170"/>
      <c r="K1" s="290"/>
      <c r="L1" s="290"/>
      <c r="M1" s="281"/>
    </row>
    <row r="2" spans="1:13" ht="17.25" thickBot="1" x14ac:dyDescent="0.35">
      <c r="A2" s="2" t="s">
        <v>3</v>
      </c>
    </row>
    <row r="3" spans="1:13" ht="45" customHeight="1" thickTop="1" thickBot="1" x14ac:dyDescent="0.3">
      <c r="A3" s="48" t="s">
        <v>0</v>
      </c>
      <c r="B3" s="59" t="s">
        <v>455</v>
      </c>
      <c r="C3" s="59" t="s">
        <v>76</v>
      </c>
      <c r="D3" s="59" t="s">
        <v>457</v>
      </c>
      <c r="H3" s="48" t="s">
        <v>455</v>
      </c>
      <c r="I3" s="331" t="s">
        <v>76</v>
      </c>
      <c r="J3" s="331" t="s">
        <v>457</v>
      </c>
    </row>
    <row r="4" spans="1:13" ht="20.25" customHeight="1" thickTop="1" thickBot="1" x14ac:dyDescent="0.3">
      <c r="A4" s="14" t="s">
        <v>78</v>
      </c>
      <c r="B4" s="15"/>
      <c r="C4" s="15"/>
      <c r="D4" s="15"/>
    </row>
    <row r="5" spans="1:13" ht="20.25" customHeight="1" thickBot="1" x14ac:dyDescent="0.3">
      <c r="A5" s="14" t="s">
        <v>79</v>
      </c>
      <c r="B5" s="15"/>
      <c r="C5" s="15"/>
      <c r="D5" s="15"/>
    </row>
    <row r="6" spans="1:13" ht="20.25" customHeight="1" thickBot="1" x14ac:dyDescent="0.3">
      <c r="A6" s="16" t="s">
        <v>80</v>
      </c>
      <c r="B6" s="17">
        <f>B4+B5</f>
        <v>0</v>
      </c>
      <c r="C6" s="17">
        <f>C4+C5</f>
        <v>0</v>
      </c>
      <c r="D6" s="17">
        <f>D4+D5</f>
        <v>0</v>
      </c>
      <c r="H6" s="283">
        <f>SUM(B4:B5)-B6</f>
        <v>0</v>
      </c>
      <c r="I6" s="282">
        <f>SUM(C4:C5)-C6</f>
        <v>0</v>
      </c>
      <c r="J6" s="286">
        <f>SUM(D4:D5)-D6</f>
        <v>0</v>
      </c>
    </row>
    <row r="7" spans="1:13" ht="15.75" thickTop="1" x14ac:dyDescent="0.25">
      <c r="A7" s="37"/>
      <c r="B7" s="20"/>
      <c r="C7" s="20"/>
      <c r="D7" s="20"/>
    </row>
    <row r="8" spans="1:13" x14ac:dyDescent="0.25">
      <c r="A8" s="37"/>
      <c r="B8" s="20"/>
      <c r="C8" s="20"/>
      <c r="D8" s="20"/>
    </row>
    <row r="9" spans="1:13" ht="15.75" thickBot="1" x14ac:dyDescent="0.3">
      <c r="A9" s="37" t="s">
        <v>86</v>
      </c>
      <c r="B9" s="20"/>
      <c r="C9" s="20"/>
      <c r="D9" s="20"/>
    </row>
    <row r="10" spans="1:13" ht="45" customHeight="1" thickTop="1" thickBot="1" x14ac:dyDescent="0.3">
      <c r="A10" s="48" t="s">
        <v>0</v>
      </c>
      <c r="B10" s="59" t="s">
        <v>455</v>
      </c>
      <c r="C10" s="59" t="s">
        <v>76</v>
      </c>
      <c r="D10" s="528" t="s">
        <v>456</v>
      </c>
    </row>
    <row r="11" spans="1:13" ht="20.25" customHeight="1" thickTop="1" thickBot="1" x14ac:dyDescent="0.3">
      <c r="A11" s="14" t="s">
        <v>87</v>
      </c>
      <c r="B11" s="15"/>
      <c r="C11" s="15"/>
      <c r="D11" s="15"/>
    </row>
    <row r="12" spans="1:13" ht="20.25" customHeight="1" thickBot="1" x14ac:dyDescent="0.3">
      <c r="A12" s="14" t="s">
        <v>88</v>
      </c>
      <c r="B12" s="15"/>
      <c r="C12" s="15"/>
      <c r="D12" s="15"/>
    </row>
    <row r="13" spans="1:13" ht="20.25" customHeight="1" thickBot="1" x14ac:dyDescent="0.3">
      <c r="A13" s="16" t="s">
        <v>80</v>
      </c>
      <c r="B13" s="17">
        <f>B11+B12</f>
        <v>0</v>
      </c>
      <c r="C13" s="17">
        <f>C11+C12</f>
        <v>0</v>
      </c>
      <c r="D13" s="17">
        <f>D11+D12</f>
        <v>0</v>
      </c>
      <c r="H13" s="283">
        <f>SUM(B11:B12)-B13</f>
        <v>0</v>
      </c>
      <c r="I13" s="282">
        <f>SUM(C11:C12)-C13</f>
        <v>0</v>
      </c>
      <c r="J13" s="286">
        <f>SUM(D11:D12)-D13</f>
        <v>0</v>
      </c>
    </row>
    <row r="14" spans="1:13" ht="17.25" thickTop="1" x14ac:dyDescent="0.3">
      <c r="A14" s="5"/>
    </row>
  </sheetData>
  <mergeCells count="1">
    <mergeCell ref="H1:J1"/>
  </mergeCells>
  <conditionalFormatting sqref="H4:J13">
    <cfRule type="cellIs" dxfId="233" priority="1" operator="lessThan">
      <formula>0</formula>
    </cfRule>
    <cfRule type="cellIs" dxfId="23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7"/>
  <sheetViews>
    <sheetView showGridLines="0" zoomScaleNormal="100" workbookViewId="0">
      <selection activeCell="D10" sqref="D10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74</v>
      </c>
    </row>
    <row r="2" spans="1:3" ht="16.5" x14ac:dyDescent="0.3">
      <c r="A2" s="2"/>
    </row>
    <row r="3" spans="1:3" ht="15.75" thickBot="1" x14ac:dyDescent="0.3">
      <c r="A3" s="20" t="s">
        <v>5</v>
      </c>
      <c r="B3" s="20"/>
      <c r="C3" s="20"/>
    </row>
    <row r="4" spans="1:3" ht="45" customHeight="1" thickTop="1" thickBot="1" x14ac:dyDescent="0.3">
      <c r="A4" s="48" t="s">
        <v>81</v>
      </c>
      <c r="B4" s="59" t="s">
        <v>75</v>
      </c>
      <c r="C4" s="59" t="s">
        <v>77</v>
      </c>
    </row>
    <row r="5" spans="1:3" ht="20.25" customHeight="1" thickTop="1" thickBot="1" x14ac:dyDescent="0.3">
      <c r="A5" s="14" t="s">
        <v>82</v>
      </c>
      <c r="B5" s="15"/>
      <c r="C5" s="15"/>
    </row>
    <row r="6" spans="1:3" ht="20.25" customHeight="1" thickBot="1" x14ac:dyDescent="0.3">
      <c r="A6" s="14" t="s">
        <v>83</v>
      </c>
      <c r="B6" s="15"/>
      <c r="C6" s="15"/>
    </row>
    <row r="7" spans="1:3" ht="20.25" customHeight="1" thickBot="1" x14ac:dyDescent="0.3">
      <c r="A7" s="14" t="s">
        <v>84</v>
      </c>
      <c r="B7" s="15"/>
      <c r="C7" s="15"/>
    </row>
    <row r="8" spans="1:3" ht="20.25" customHeight="1" thickBot="1" x14ac:dyDescent="0.3">
      <c r="A8" s="16" t="s">
        <v>85</v>
      </c>
      <c r="B8" s="17"/>
      <c r="C8" s="17"/>
    </row>
    <row r="9" spans="1:3" ht="15.75" thickTop="1" x14ac:dyDescent="0.25">
      <c r="A9" s="20"/>
      <c r="B9" s="20"/>
      <c r="C9" s="20"/>
    </row>
    <row r="10" spans="1:3" x14ac:dyDescent="0.25">
      <c r="A10" s="38"/>
      <c r="B10" s="20"/>
      <c r="C10" s="20"/>
    </row>
    <row r="11" spans="1:3" ht="15.75" thickBot="1" x14ac:dyDescent="0.3">
      <c r="A11" s="38" t="s">
        <v>89</v>
      </c>
      <c r="B11" s="20"/>
      <c r="C11" s="20"/>
    </row>
    <row r="12" spans="1:3" ht="45" customHeight="1" thickTop="1" thickBot="1" x14ac:dyDescent="0.3">
      <c r="A12" s="48" t="s">
        <v>90</v>
      </c>
      <c r="B12" s="59" t="s">
        <v>75</v>
      </c>
      <c r="C12" s="528" t="s">
        <v>456</v>
      </c>
    </row>
    <row r="13" spans="1:3" ht="20.25" customHeight="1" thickTop="1" thickBot="1" x14ac:dyDescent="0.3">
      <c r="A13" s="14" t="s">
        <v>91</v>
      </c>
      <c r="B13" s="15"/>
      <c r="C13" s="15"/>
    </row>
    <row r="14" spans="1:3" ht="20.25" customHeight="1" thickBot="1" x14ac:dyDescent="0.3">
      <c r="A14" s="14" t="s">
        <v>83</v>
      </c>
      <c r="B14" s="15"/>
      <c r="C14" s="15"/>
    </row>
    <row r="15" spans="1:3" ht="20.25" customHeight="1" thickBot="1" x14ac:dyDescent="0.3">
      <c r="A15" s="14" t="s">
        <v>92</v>
      </c>
      <c r="B15" s="15"/>
      <c r="C15" s="15"/>
    </row>
    <row r="16" spans="1:3" ht="20.25" customHeight="1" thickBot="1" x14ac:dyDescent="0.3">
      <c r="A16" s="16" t="s">
        <v>85</v>
      </c>
      <c r="B16" s="17"/>
      <c r="C16" s="17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11"/>
  <sheetViews>
    <sheetView showGridLines="0" zoomScaleNormal="100" workbookViewId="0">
      <selection activeCell="H3" sqref="H3:K3"/>
    </sheetView>
  </sheetViews>
  <sheetFormatPr defaultRowHeight="15" outlineLevelCol="1" x14ac:dyDescent="0.25"/>
  <cols>
    <col min="1" max="1" width="25.28515625" customWidth="1"/>
    <col min="2" max="6" width="12.140625" customWidth="1"/>
    <col min="8" max="8" width="18.85546875" style="280" hidden="1" customWidth="1" outlineLevel="1"/>
    <col min="9" max="11" width="18.85546875" hidden="1" customWidth="1" outlineLevel="1"/>
    <col min="12" max="12" width="24.7109375" style="285" customWidth="1" collapsed="1"/>
    <col min="14" max="14" width="22" style="287" customWidth="1"/>
  </cols>
  <sheetData>
    <row r="1" spans="1:15" ht="17.25" thickBot="1" x14ac:dyDescent="0.35">
      <c r="A1" s="1" t="s">
        <v>93</v>
      </c>
      <c r="H1" s="1168" t="s">
        <v>948</v>
      </c>
      <c r="I1" s="1169"/>
      <c r="J1" s="1169"/>
      <c r="K1" s="1169"/>
      <c r="L1" s="1170"/>
      <c r="N1" s="295" t="s">
        <v>950</v>
      </c>
    </row>
    <row r="2" spans="1:15" ht="16.5" thickTop="1" thickBot="1" x14ac:dyDescent="0.3">
      <c r="A2" s="1171" t="s">
        <v>94</v>
      </c>
      <c r="B2" s="1173" t="s">
        <v>1</v>
      </c>
      <c r="C2" s="1174"/>
      <c r="D2" s="1174"/>
      <c r="E2" s="1174"/>
      <c r="F2" s="1175"/>
    </row>
    <row r="3" spans="1:15" ht="62.25" customHeight="1" thickTop="1" thickBot="1" x14ac:dyDescent="0.3">
      <c r="A3" s="1182"/>
      <c r="B3" s="25" t="s">
        <v>95</v>
      </c>
      <c r="C3" s="21" t="s">
        <v>421</v>
      </c>
      <c r="D3" s="25" t="s">
        <v>425</v>
      </c>
      <c r="E3" s="21" t="s">
        <v>423</v>
      </c>
      <c r="F3" s="25" t="s">
        <v>61</v>
      </c>
      <c r="H3" s="48" t="s">
        <v>95</v>
      </c>
      <c r="I3" s="166" t="s">
        <v>421</v>
      </c>
      <c r="J3" s="48" t="s">
        <v>425</v>
      </c>
      <c r="K3" s="166" t="s">
        <v>423</v>
      </c>
      <c r="L3" s="48" t="s">
        <v>61</v>
      </c>
      <c r="N3" s="48" t="s">
        <v>61</v>
      </c>
    </row>
    <row r="4" spans="1:15" s="4" customFormat="1" ht="33" customHeight="1" thickTop="1" thickBot="1" x14ac:dyDescent="0.3">
      <c r="A4" s="14" t="s">
        <v>97</v>
      </c>
      <c r="B4" s="22"/>
      <c r="C4" s="22"/>
      <c r="D4" s="22"/>
      <c r="E4" s="22"/>
      <c r="F4" s="15">
        <f>SUM(B4:E4)</f>
        <v>0</v>
      </c>
      <c r="H4" s="280"/>
      <c r="I4" s="281"/>
      <c r="J4" s="281"/>
      <c r="K4" s="281"/>
      <c r="L4" s="286">
        <f>SUM(B4:E4)-F4</f>
        <v>0</v>
      </c>
      <c r="N4" s="294">
        <f>F4-'BS old'!$E$56-'BS old'!$E$48</f>
        <v>0</v>
      </c>
      <c r="O4" s="28"/>
    </row>
    <row r="5" spans="1:15" s="4" customFormat="1" ht="33" customHeight="1" thickBot="1" x14ac:dyDescent="0.3">
      <c r="A5" s="14" t="s">
        <v>98</v>
      </c>
      <c r="B5" s="22"/>
      <c r="C5" s="22"/>
      <c r="D5" s="22"/>
      <c r="E5" s="22"/>
      <c r="F5" s="15">
        <f>SUM(B5:E5)</f>
        <v>0</v>
      </c>
      <c r="H5" s="280"/>
      <c r="I5" s="281"/>
      <c r="J5" s="281"/>
      <c r="K5" s="281"/>
      <c r="L5" s="286">
        <f>SUM(B5:E5)-F5</f>
        <v>0</v>
      </c>
      <c r="N5" s="294">
        <f>F5-'BS old'!$E$58-'BS old'!$E$50</f>
        <v>0</v>
      </c>
      <c r="O5" s="28"/>
    </row>
    <row r="6" spans="1:15" s="4" customFormat="1" ht="33" customHeight="1" thickBot="1" x14ac:dyDescent="0.3">
      <c r="A6" s="14" t="s">
        <v>108</v>
      </c>
      <c r="B6" s="22"/>
      <c r="C6" s="22"/>
      <c r="D6" s="22"/>
      <c r="E6" s="22"/>
      <c r="F6" s="15">
        <f>SUM(B6:E6)</f>
        <v>0</v>
      </c>
      <c r="H6" s="280"/>
      <c r="I6" s="281"/>
      <c r="J6" s="281"/>
      <c r="K6" s="281"/>
      <c r="L6" s="286">
        <f>SUM(B6:E6)-F6</f>
        <v>0</v>
      </c>
      <c r="N6" s="294">
        <f>F6-'BS old'!$E$59-'BS old'!$E$51</f>
        <v>0</v>
      </c>
      <c r="O6" s="28"/>
    </row>
    <row r="7" spans="1:15" s="4" customFormat="1" ht="33" customHeight="1" thickBot="1" x14ac:dyDescent="0.3">
      <c r="A7" s="14" t="s">
        <v>99</v>
      </c>
      <c r="B7" s="22"/>
      <c r="C7" s="22"/>
      <c r="D7" s="22"/>
      <c r="E7" s="22"/>
      <c r="F7" s="15">
        <f>SUM(B7:E7)</f>
        <v>0</v>
      </c>
      <c r="H7" s="280"/>
      <c r="I7" s="281"/>
      <c r="J7" s="281"/>
      <c r="K7" s="281"/>
      <c r="L7" s="286">
        <f>SUM(B7:E7)-F7</f>
        <v>0</v>
      </c>
      <c r="N7" s="294">
        <f>F7-'BS old'!$E$60-'BS old'!$E$52</f>
        <v>0</v>
      </c>
      <c r="O7" s="28"/>
    </row>
    <row r="8" spans="1:15" s="4" customFormat="1" ht="33" customHeight="1" thickBot="1" x14ac:dyDescent="0.3">
      <c r="A8" s="14" t="s">
        <v>100</v>
      </c>
      <c r="B8" s="22"/>
      <c r="C8" s="22"/>
      <c r="D8" s="22"/>
      <c r="E8" s="22"/>
      <c r="F8" s="15">
        <f>SUM(B8:E8)</f>
        <v>0</v>
      </c>
      <c r="H8" s="280"/>
      <c r="I8"/>
      <c r="J8"/>
      <c r="K8"/>
      <c r="L8" s="286">
        <f>SUM(B8:E8)-F8</f>
        <v>0</v>
      </c>
      <c r="N8" s="294">
        <f>F8-SUM('BS old'!$E$61:$E$63,'BS old'!$E$53,'BS old'!$E$54)</f>
        <v>0</v>
      </c>
      <c r="O8" s="28"/>
    </row>
    <row r="9" spans="1:15" s="4" customFormat="1" ht="33" customHeight="1" thickBot="1" x14ac:dyDescent="0.3">
      <c r="A9" s="23" t="s">
        <v>101</v>
      </c>
      <c r="B9" s="47">
        <f>SUM(B4:B8)</f>
        <v>0</v>
      </c>
      <c r="C9" s="47">
        <f>SUM(C4:C8)</f>
        <v>0</v>
      </c>
      <c r="D9" s="47">
        <f>SUM(D4:D8)</f>
        <v>0</v>
      </c>
      <c r="E9" s="47">
        <f>SUM(E4:E8)</f>
        <v>0</v>
      </c>
      <c r="F9" s="49">
        <f>SUM(F4:F8)</f>
        <v>0</v>
      </c>
      <c r="H9" s="280"/>
      <c r="I9"/>
      <c r="J9"/>
      <c r="K9"/>
      <c r="L9" s="286">
        <f>SUM(F4:F8)-F9</f>
        <v>0</v>
      </c>
      <c r="N9" s="294">
        <f>F9-'BS old'!$E$47-'BS old'!$E$55</f>
        <v>0</v>
      </c>
      <c r="O9" s="28"/>
    </row>
    <row r="10" spans="1:15" ht="15.75" thickTop="1" x14ac:dyDescent="0.25">
      <c r="L10" s="286"/>
      <c r="N10" s="294"/>
      <c r="O10" s="28"/>
    </row>
    <row r="11" spans="1:15" x14ac:dyDescent="0.25">
      <c r="H11" s="283"/>
      <c r="I11" s="282"/>
      <c r="J11" s="282"/>
      <c r="K11" s="282"/>
      <c r="L11" s="286"/>
      <c r="N11" s="294"/>
      <c r="O11" s="28"/>
    </row>
  </sheetData>
  <mergeCells count="3">
    <mergeCell ref="B2:F2"/>
    <mergeCell ref="A2:A3"/>
    <mergeCell ref="H1:L1"/>
  </mergeCells>
  <conditionalFormatting sqref="H4:L7 H11:L11 L5:L10">
    <cfRule type="cellIs" dxfId="231" priority="7" operator="lessThan">
      <formula>0</formula>
    </cfRule>
    <cfRule type="cellIs" dxfId="230" priority="8" operator="greaterThan">
      <formula>0</formula>
    </cfRule>
    <cfRule type="cellIs" dxfId="229" priority="9" operator="lessThan">
      <formula>0</formula>
    </cfRule>
    <cfRule type="cellIs" dxfId="228" priority="10" operator="greaterThan">
      <formula>0</formula>
    </cfRule>
  </conditionalFormatting>
  <conditionalFormatting sqref="N4:N11">
    <cfRule type="cellIs" dxfId="227" priority="5" operator="lessThan">
      <formula>0</formula>
    </cfRule>
    <cfRule type="cellIs" dxfId="226" priority="6" operator="greaterThan">
      <formula>0</formula>
    </cfRule>
  </conditionalFormatting>
  <conditionalFormatting sqref="L9">
    <cfRule type="cellIs" dxfId="225" priority="1" operator="lessThan">
      <formula>0</formula>
    </cfRule>
    <cfRule type="cellIs" dxfId="224" priority="2" operator="greaterThan">
      <formula>0</formula>
    </cfRule>
    <cfRule type="cellIs" dxfId="223" priority="3" operator="lessThan">
      <formula>0</formula>
    </cfRule>
    <cfRule type="cellIs" dxfId="222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20"/>
  <sheetViews>
    <sheetView showGridLines="0" zoomScaleNormal="100" workbookViewId="0">
      <selection activeCell="J12" sqref="J12:J19"/>
    </sheetView>
  </sheetViews>
  <sheetFormatPr defaultRowHeight="15" outlineLevelCol="1" x14ac:dyDescent="0.25"/>
  <cols>
    <col min="1" max="1" width="25.85546875" customWidth="1"/>
    <col min="2" max="4" width="20.140625" customWidth="1"/>
    <col min="5" max="5" width="20.42578125" customWidth="1"/>
    <col min="6" max="6" width="20.42578125" style="280" customWidth="1" outlineLevel="1"/>
    <col min="7" max="7" width="18.85546875" style="281" customWidth="1" outlineLevel="1"/>
    <col min="8" max="8" width="20.85546875" style="285" customWidth="1"/>
    <col min="10" max="10" width="22" style="287" customWidth="1"/>
  </cols>
  <sheetData>
    <row r="1" spans="1:10" ht="16.5" x14ac:dyDescent="0.3">
      <c r="A1" s="1" t="s">
        <v>102</v>
      </c>
      <c r="F1" s="1168" t="s">
        <v>948</v>
      </c>
      <c r="G1" s="1169"/>
      <c r="H1" s="1170"/>
      <c r="J1" s="293" t="s">
        <v>950</v>
      </c>
    </row>
    <row r="2" spans="1:10" ht="17.25" thickBot="1" x14ac:dyDescent="0.35">
      <c r="A2" s="2" t="s">
        <v>3</v>
      </c>
    </row>
    <row r="3" spans="1:10" ht="22.5" customHeight="1" thickTop="1" thickBot="1" x14ac:dyDescent="0.3">
      <c r="A3" s="10" t="s">
        <v>103</v>
      </c>
      <c r="B3" s="11" t="s">
        <v>104</v>
      </c>
      <c r="C3" s="11" t="s">
        <v>105</v>
      </c>
      <c r="D3" s="11" t="s">
        <v>101</v>
      </c>
      <c r="F3" s="48" t="s">
        <v>104</v>
      </c>
      <c r="G3" s="330" t="s">
        <v>105</v>
      </c>
      <c r="H3" s="330" t="s">
        <v>101</v>
      </c>
      <c r="J3" s="48" t="s">
        <v>101</v>
      </c>
    </row>
    <row r="4" spans="1:10" ht="22.5" customHeight="1" thickTop="1" thickBot="1" x14ac:dyDescent="0.3">
      <c r="A4" s="53" t="s">
        <v>106</v>
      </c>
      <c r="B4" s="42"/>
      <c r="C4" s="42"/>
      <c r="D4" s="43"/>
      <c r="J4" s="294"/>
    </row>
    <row r="5" spans="1:10" ht="22.5" customHeight="1" thickTop="1" thickBot="1" x14ac:dyDescent="0.3">
      <c r="A5" s="14" t="s">
        <v>107</v>
      </c>
      <c r="B5" s="22"/>
      <c r="C5" s="22"/>
      <c r="D5" s="15">
        <f>B5+C5</f>
        <v>0</v>
      </c>
      <c r="H5" s="286">
        <f>SUM(B5:C5)-D5</f>
        <v>0</v>
      </c>
      <c r="J5" s="294">
        <f>D5-'BS old'!$D$48</f>
        <v>0</v>
      </c>
    </row>
    <row r="6" spans="1:10" ht="22.5" customHeight="1" thickBot="1" x14ac:dyDescent="0.3">
      <c r="A6" s="14" t="s">
        <v>98</v>
      </c>
      <c r="B6" s="22"/>
      <c r="C6" s="22"/>
      <c r="D6" s="15">
        <f>B6+C6</f>
        <v>0</v>
      </c>
      <c r="H6" s="286">
        <f>SUM(B6:C6)-D6</f>
        <v>0</v>
      </c>
      <c r="J6" s="294">
        <f>D6-'BS old'!$D$50</f>
        <v>0</v>
      </c>
    </row>
    <row r="7" spans="1:10" ht="22.5" customHeight="1" thickBot="1" x14ac:dyDescent="0.3">
      <c r="A7" s="14" t="s">
        <v>108</v>
      </c>
      <c r="B7" s="22"/>
      <c r="C7" s="22"/>
      <c r="D7" s="15">
        <f>B7+C7</f>
        <v>0</v>
      </c>
      <c r="H7" s="286">
        <f>SUM(B7:C7)-D7</f>
        <v>0</v>
      </c>
      <c r="J7" s="294">
        <f>D7-'BS old'!$D$51</f>
        <v>0</v>
      </c>
    </row>
    <row r="8" spans="1:10" ht="22.5" customHeight="1" thickBot="1" x14ac:dyDescent="0.3">
      <c r="A8" s="14" t="s">
        <v>99</v>
      </c>
      <c r="B8" s="22"/>
      <c r="C8" s="22"/>
      <c r="D8" s="15">
        <f>B8+C8</f>
        <v>0</v>
      </c>
      <c r="H8" s="286">
        <f>SUM(B8:C8)-D8</f>
        <v>0</v>
      </c>
      <c r="J8" s="294">
        <f>D8-'BS old'!$D$52</f>
        <v>0</v>
      </c>
    </row>
    <row r="9" spans="1:10" ht="22.5" customHeight="1" thickBot="1" x14ac:dyDescent="0.3">
      <c r="A9" s="14" t="s">
        <v>100</v>
      </c>
      <c r="B9" s="22"/>
      <c r="C9" s="22"/>
      <c r="D9" s="15">
        <f>B9+C9</f>
        <v>0</v>
      </c>
      <c r="H9" s="286">
        <f>SUM(B9:C9)-D9</f>
        <v>0</v>
      </c>
      <c r="J9" s="294">
        <f>D9-'BS old'!$D$53-'BS old'!$D$54</f>
        <v>0</v>
      </c>
    </row>
    <row r="10" spans="1:10" ht="22.5" customHeight="1" thickBot="1" x14ac:dyDescent="0.3">
      <c r="A10" s="23" t="s">
        <v>109</v>
      </c>
      <c r="B10" s="47">
        <f>SUM(B5:B9)</f>
        <v>0</v>
      </c>
      <c r="C10" s="47">
        <f>SUM(C5:C9)</f>
        <v>0</v>
      </c>
      <c r="D10" s="49">
        <f>SUM(D5:D9)</f>
        <v>0</v>
      </c>
      <c r="F10" s="283">
        <f>SUM(B5:B9)-B10</f>
        <v>0</v>
      </c>
      <c r="G10" s="282">
        <f>SUM(C5:C9)-C10</f>
        <v>0</v>
      </c>
      <c r="H10" s="286">
        <f>SUM(D5:D9)-D10</f>
        <v>0</v>
      </c>
      <c r="J10" s="294">
        <f>D10-'BS old'!$D$47</f>
        <v>0</v>
      </c>
    </row>
    <row r="11" spans="1:10" ht="22.5" customHeight="1" thickTop="1" thickBot="1" x14ac:dyDescent="0.3">
      <c r="A11" s="53" t="s">
        <v>110</v>
      </c>
      <c r="B11" s="42"/>
      <c r="C11" s="42"/>
      <c r="D11" s="43"/>
      <c r="J11" s="294"/>
    </row>
    <row r="12" spans="1:10" ht="22.5" customHeight="1" thickTop="1" thickBot="1" x14ac:dyDescent="0.3">
      <c r="A12" s="14" t="s">
        <v>111</v>
      </c>
      <c r="B12" s="22"/>
      <c r="C12" s="22"/>
      <c r="D12" s="15">
        <f>B12+C12</f>
        <v>0</v>
      </c>
      <c r="H12" s="286">
        <f>SUM(B12:C12)-D12</f>
        <v>0</v>
      </c>
      <c r="J12" s="294">
        <f>D12-'BS old'!$D$56</f>
        <v>0</v>
      </c>
    </row>
    <row r="13" spans="1:10" ht="22.5" customHeight="1" thickBot="1" x14ac:dyDescent="0.3">
      <c r="A13" s="14" t="s">
        <v>98</v>
      </c>
      <c r="B13" s="22"/>
      <c r="C13" s="22"/>
      <c r="D13" s="15">
        <f t="shared" ref="D13:D18" si="0">B13+C13</f>
        <v>0</v>
      </c>
      <c r="H13" s="286">
        <f t="shared" ref="H13:H18" si="1">SUM(B13:C13)-D13</f>
        <v>0</v>
      </c>
      <c r="J13" s="294">
        <f>D13-'BS old'!$D$58</f>
        <v>0</v>
      </c>
    </row>
    <row r="14" spans="1:10" ht="22.5" customHeight="1" thickBot="1" x14ac:dyDescent="0.3">
      <c r="A14" s="14" t="s">
        <v>108</v>
      </c>
      <c r="B14" s="22"/>
      <c r="C14" s="22"/>
      <c r="D14" s="15">
        <f t="shared" si="0"/>
        <v>0</v>
      </c>
      <c r="H14" s="286">
        <f t="shared" si="1"/>
        <v>0</v>
      </c>
      <c r="J14" s="294">
        <f>D14-'BS old'!$D$59</f>
        <v>0</v>
      </c>
    </row>
    <row r="15" spans="1:10" ht="22.5" customHeight="1" thickBot="1" x14ac:dyDescent="0.3">
      <c r="A15" s="14" t="s">
        <v>99</v>
      </c>
      <c r="B15" s="22"/>
      <c r="C15" s="22"/>
      <c r="D15" s="15">
        <f t="shared" si="0"/>
        <v>0</v>
      </c>
      <c r="H15" s="286">
        <f t="shared" si="1"/>
        <v>0</v>
      </c>
      <c r="J15" s="294">
        <f>D15-'BS old'!$D$60</f>
        <v>0</v>
      </c>
    </row>
    <row r="16" spans="1:10" ht="22.5" customHeight="1" thickBot="1" x14ac:dyDescent="0.3">
      <c r="A16" s="14" t="s">
        <v>112</v>
      </c>
      <c r="B16" s="22"/>
      <c r="C16" s="22"/>
      <c r="D16" s="15">
        <f t="shared" si="0"/>
        <v>0</v>
      </c>
      <c r="H16" s="286">
        <f t="shared" si="1"/>
        <v>0</v>
      </c>
      <c r="J16" s="294">
        <f>D16-'BS old'!$D$61</f>
        <v>0</v>
      </c>
    </row>
    <row r="17" spans="1:10" ht="22.5" customHeight="1" thickBot="1" x14ac:dyDescent="0.3">
      <c r="A17" s="14" t="s">
        <v>113</v>
      </c>
      <c r="B17" s="22"/>
      <c r="C17" s="22"/>
      <c r="D17" s="15">
        <f t="shared" si="0"/>
        <v>0</v>
      </c>
      <c r="H17" s="286">
        <f t="shared" si="1"/>
        <v>0</v>
      </c>
      <c r="J17" s="294">
        <f>D17-'BS old'!$D$62</f>
        <v>0</v>
      </c>
    </row>
    <row r="18" spans="1:10" ht="22.5" customHeight="1" thickBot="1" x14ac:dyDescent="0.3">
      <c r="A18" s="14" t="s">
        <v>100</v>
      </c>
      <c r="B18" s="22"/>
      <c r="C18" s="22"/>
      <c r="D18" s="15">
        <f t="shared" si="0"/>
        <v>0</v>
      </c>
      <c r="H18" s="286">
        <f t="shared" si="1"/>
        <v>0</v>
      </c>
      <c r="J18" s="294">
        <f>D18-'BS old'!$D$63</f>
        <v>0</v>
      </c>
    </row>
    <row r="19" spans="1:10" ht="22.5" customHeight="1" thickBot="1" x14ac:dyDescent="0.3">
      <c r="A19" s="23" t="s">
        <v>114</v>
      </c>
      <c r="B19" s="47">
        <f>SUM(B12:B18)</f>
        <v>0</v>
      </c>
      <c r="C19" s="47">
        <f>SUM(C12:C18)</f>
        <v>0</v>
      </c>
      <c r="D19" s="49">
        <f>SUM(D12:D18)</f>
        <v>0</v>
      </c>
      <c r="F19" s="283">
        <f>SUM(B12:B18)-B19</f>
        <v>0</v>
      </c>
      <c r="G19" s="282">
        <f>SUM(C12:C18)-C19</f>
        <v>0</v>
      </c>
      <c r="H19" s="286">
        <f>SUM(D12:D18)-D19</f>
        <v>0</v>
      </c>
      <c r="J19" s="294">
        <f>D19-'BS old'!$D$55</f>
        <v>0</v>
      </c>
    </row>
    <row r="20" spans="1:10" ht="17.25" thickTop="1" x14ac:dyDescent="0.3">
      <c r="A20" s="6"/>
    </row>
  </sheetData>
  <mergeCells count="1">
    <mergeCell ref="F1:H1"/>
  </mergeCells>
  <conditionalFormatting sqref="F5:H19">
    <cfRule type="cellIs" dxfId="221" priority="9" operator="lessThan">
      <formula>0</formula>
    </cfRule>
    <cfRule type="cellIs" dxfId="220" priority="10" operator="greaterThan">
      <formula>0</formula>
    </cfRule>
  </conditionalFormatting>
  <conditionalFormatting sqref="J4:J11">
    <cfRule type="cellIs" dxfId="219" priority="7" operator="lessThan">
      <formula>0</formula>
    </cfRule>
    <cfRule type="cellIs" dxfId="218" priority="8" operator="greaterThan">
      <formula>0</formula>
    </cfRule>
  </conditionalFormatting>
  <conditionalFormatting sqref="J12:J19">
    <cfRule type="cellIs" dxfId="217" priority="5" operator="lessThan">
      <formula>0</formula>
    </cfRule>
    <cfRule type="cellIs" dxfId="216" priority="6" operator="greaterThan">
      <formula>0</formula>
    </cfRule>
  </conditionalFormatting>
  <conditionalFormatting sqref="F5:H19">
    <cfRule type="cellIs" dxfId="215" priority="3" operator="lessThan">
      <formula>0</formula>
    </cfRule>
    <cfRule type="cellIs" dxfId="214" priority="4" operator="greaterThan">
      <formula>0</formula>
    </cfRule>
  </conditionalFormatting>
  <conditionalFormatting sqref="J5">
    <cfRule type="cellIs" dxfId="213" priority="1" operator="lessThan">
      <formula>0</formula>
    </cfRule>
    <cfRule type="cellIs" dxfId="21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11"/>
  <sheetViews>
    <sheetView showGridLines="0" zoomScaleNormal="100" workbookViewId="0">
      <selection activeCell="H7" sqref="H7:I10"/>
    </sheetView>
  </sheetViews>
  <sheetFormatPr defaultRowHeight="15" x14ac:dyDescent="0.25"/>
  <cols>
    <col min="1" max="1" width="33.5703125" customWidth="1"/>
    <col min="2" max="3" width="26.42578125" customWidth="1"/>
    <col min="4" max="4" width="20.42578125" customWidth="1"/>
    <col min="5" max="5" width="25.7109375" style="280" customWidth="1"/>
    <col min="6" max="6" width="25.7109375" style="285" customWidth="1"/>
    <col min="7" max="7" width="3.85546875" customWidth="1"/>
    <col min="8" max="8" width="26" style="280" customWidth="1"/>
    <col min="9" max="9" width="26" style="285" customWidth="1"/>
  </cols>
  <sheetData>
    <row r="1" spans="1:9" ht="16.5" x14ac:dyDescent="0.3">
      <c r="A1" s="1" t="s">
        <v>102</v>
      </c>
      <c r="E1" s="1168" t="s">
        <v>948</v>
      </c>
      <c r="F1" s="1170"/>
      <c r="G1" s="290"/>
      <c r="H1" s="1168" t="s">
        <v>950</v>
      </c>
      <c r="I1" s="1170"/>
    </row>
    <row r="2" spans="1:9" ht="17.25" thickBot="1" x14ac:dyDescent="0.35">
      <c r="A2" s="5" t="s">
        <v>5</v>
      </c>
    </row>
    <row r="3" spans="1:9" ht="33" customHeight="1" thickTop="1" x14ac:dyDescent="0.25">
      <c r="A3" s="1171" t="s">
        <v>426</v>
      </c>
      <c r="B3" s="1171" t="s">
        <v>1</v>
      </c>
      <c r="C3" s="1171" t="s">
        <v>2</v>
      </c>
      <c r="E3" s="1171" t="s">
        <v>1</v>
      </c>
      <c r="F3" s="1171" t="s">
        <v>2</v>
      </c>
      <c r="H3" s="1171" t="s">
        <v>1</v>
      </c>
      <c r="I3" s="1171" t="s">
        <v>2</v>
      </c>
    </row>
    <row r="4" spans="1:9" ht="15.75" customHeight="1" thickBot="1" x14ac:dyDescent="0.3">
      <c r="A4" s="1182"/>
      <c r="B4" s="1182"/>
      <c r="C4" s="1182"/>
      <c r="E4" s="1182"/>
      <c r="F4" s="1182"/>
      <c r="H4" s="1182"/>
      <c r="I4" s="1182"/>
    </row>
    <row r="5" spans="1:9" ht="23.25" customHeight="1" thickTop="1" thickBot="1" x14ac:dyDescent="0.3">
      <c r="A5" s="14" t="s">
        <v>115</v>
      </c>
      <c r="B5" s="54"/>
      <c r="C5" s="55"/>
    </row>
    <row r="6" spans="1:9" ht="23.25" customHeight="1" thickBot="1" x14ac:dyDescent="0.3">
      <c r="A6" s="14" t="s">
        <v>427</v>
      </c>
      <c r="B6" s="54"/>
      <c r="C6" s="55"/>
    </row>
    <row r="7" spans="1:9" ht="23.25" customHeight="1" thickBot="1" x14ac:dyDescent="0.3">
      <c r="A7" s="33" t="s">
        <v>114</v>
      </c>
      <c r="B7" s="54">
        <f>B5+B6</f>
        <v>0</v>
      </c>
      <c r="C7" s="55">
        <f>C5+C6</f>
        <v>0</v>
      </c>
      <c r="E7" s="283">
        <f>SUM(B5:B6)-B7</f>
        <v>0</v>
      </c>
      <c r="F7" s="286">
        <f>SUM(C5:C6)-C7</f>
        <v>0</v>
      </c>
      <c r="H7" s="283">
        <f>B7-'BS old'!$D$55</f>
        <v>0</v>
      </c>
      <c r="I7" s="286">
        <f>C7-'BS old'!$G$55</f>
        <v>0</v>
      </c>
    </row>
    <row r="8" spans="1:9" ht="23.25" customHeight="1" thickBot="1" x14ac:dyDescent="0.3">
      <c r="A8" s="14" t="s">
        <v>116</v>
      </c>
      <c r="B8" s="54"/>
      <c r="C8" s="55"/>
    </row>
    <row r="9" spans="1:9" ht="23.25" customHeight="1" thickBot="1" x14ac:dyDescent="0.3">
      <c r="A9" s="14" t="s">
        <v>117</v>
      </c>
      <c r="B9" s="54"/>
      <c r="C9" s="55"/>
    </row>
    <row r="10" spans="1:9" ht="23.25" customHeight="1" thickBot="1" x14ac:dyDescent="0.3">
      <c r="A10" s="23" t="s">
        <v>109</v>
      </c>
      <c r="B10" s="56">
        <f>B8+B9</f>
        <v>0</v>
      </c>
      <c r="C10" s="57">
        <f>C8+C9</f>
        <v>0</v>
      </c>
      <c r="E10" s="283">
        <f>SUM(B8:B9)-B10</f>
        <v>0</v>
      </c>
      <c r="F10" s="286">
        <f>SUM(C8:C9)-C10</f>
        <v>0</v>
      </c>
      <c r="H10" s="283">
        <f>B10-'BS old'!$D$47</f>
        <v>0</v>
      </c>
      <c r="I10" s="286">
        <f>C10-'BS old'!$G$47</f>
        <v>0</v>
      </c>
    </row>
    <row r="11" spans="1:9" ht="17.25" thickTop="1" x14ac:dyDescent="0.3">
      <c r="A11" s="3"/>
    </row>
  </sheetData>
  <mergeCells count="9">
    <mergeCell ref="I3:I4"/>
    <mergeCell ref="H1:I1"/>
    <mergeCell ref="B3:B4"/>
    <mergeCell ref="C3:C4"/>
    <mergeCell ref="A3:A4"/>
    <mergeCell ref="E1:F1"/>
    <mergeCell ref="E3:E4"/>
    <mergeCell ref="F3:F4"/>
    <mergeCell ref="H3:H4"/>
  </mergeCells>
  <conditionalFormatting sqref="E7:F10">
    <cfRule type="cellIs" dxfId="211" priority="6" operator="lessThan">
      <formula>0</formula>
    </cfRule>
    <cfRule type="cellIs" dxfId="210" priority="7" operator="greaterThan">
      <formula>0</formula>
    </cfRule>
  </conditionalFormatting>
  <conditionalFormatting sqref="H7:I10">
    <cfRule type="cellIs" dxfId="209" priority="1" operator="lessThan">
      <formula>0</formula>
    </cfRule>
    <cfRule type="cellIs" dxfId="208" priority="2" operator="greaterThan">
      <formula>0</formula>
    </cfRule>
    <cfRule type="cellIs" dxfId="207" priority="4" operator="lessThan">
      <formula>0</formula>
    </cfRule>
    <cfRule type="cellIs" dxfId="206" priority="5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7"/>
  <sheetViews>
    <sheetView showGridLines="0" zoomScaleNormal="100" workbookViewId="0">
      <selection activeCell="A7" sqref="A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7.25" thickBot="1" x14ac:dyDescent="0.35">
      <c r="A1" s="1" t="s">
        <v>118</v>
      </c>
    </row>
    <row r="2" spans="1:3" ht="16.5" thickTop="1" thickBot="1" x14ac:dyDescent="0.3">
      <c r="A2" s="1171" t="s">
        <v>119</v>
      </c>
      <c r="B2" s="1183" t="s">
        <v>1</v>
      </c>
      <c r="C2" s="1184"/>
    </row>
    <row r="3" spans="1:3" ht="16.5" thickTop="1" thickBot="1" x14ac:dyDescent="0.3">
      <c r="A3" s="1182"/>
      <c r="B3" s="11" t="s">
        <v>120</v>
      </c>
      <c r="C3" s="48" t="s">
        <v>121</v>
      </c>
    </row>
    <row r="4" spans="1:3" ht="23.25" customHeight="1" thickTop="1" thickBot="1" x14ac:dyDescent="0.3">
      <c r="A4" s="12" t="s">
        <v>122</v>
      </c>
      <c r="B4" s="34"/>
      <c r="C4" s="13"/>
    </row>
    <row r="5" spans="1:3" ht="23.25" customHeight="1" thickBot="1" x14ac:dyDescent="0.3">
      <c r="A5" s="14" t="s">
        <v>123</v>
      </c>
      <c r="B5" s="51" t="s">
        <v>6</v>
      </c>
      <c r="C5" s="15"/>
    </row>
    <row r="6" spans="1:3" ht="23.25" customHeight="1" thickBot="1" x14ac:dyDescent="0.3">
      <c r="A6" s="16" t="s">
        <v>124</v>
      </c>
      <c r="B6" s="26" t="s">
        <v>6</v>
      </c>
      <c r="C6" s="17"/>
    </row>
    <row r="7" spans="1:3" ht="17.25" thickTop="1" x14ac:dyDescent="0.3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9"/>
  <sheetViews>
    <sheetView showGridLines="0" topLeftCell="C1" zoomScaleNormal="100" workbookViewId="0">
      <selection activeCell="H3" sqref="H3:I8"/>
    </sheetView>
  </sheetViews>
  <sheetFormatPr defaultRowHeight="15" x14ac:dyDescent="0.25"/>
  <cols>
    <col min="1" max="1" width="33" customWidth="1"/>
    <col min="2" max="3" width="26.7109375" customWidth="1"/>
    <col min="4" max="4" width="20.42578125" customWidth="1"/>
    <col min="5" max="5" width="21.85546875" style="280" customWidth="1"/>
    <col min="6" max="6" width="36" style="285" customWidth="1"/>
    <col min="7" max="7" width="3.85546875" customWidth="1"/>
    <col min="8" max="8" width="18.5703125" style="280" customWidth="1"/>
    <col min="9" max="9" width="37" style="285" customWidth="1"/>
  </cols>
  <sheetData>
    <row r="1" spans="1:9" ht="16.5" x14ac:dyDescent="0.3">
      <c r="A1" s="1" t="s">
        <v>125</v>
      </c>
      <c r="E1" s="1168" t="s">
        <v>948</v>
      </c>
      <c r="F1" s="1170"/>
      <c r="H1" s="1168" t="s">
        <v>950</v>
      </c>
      <c r="I1" s="1170"/>
    </row>
    <row r="2" spans="1:9" ht="17.25" thickBot="1" x14ac:dyDescent="0.35">
      <c r="A2" s="5" t="s">
        <v>126</v>
      </c>
    </row>
    <row r="3" spans="1:9" ht="30" customHeight="1" thickTop="1" thickBot="1" x14ac:dyDescent="0.3">
      <c r="A3" s="10" t="s">
        <v>103</v>
      </c>
      <c r="B3" s="11" t="s">
        <v>1</v>
      </c>
      <c r="C3" s="11" t="s">
        <v>2</v>
      </c>
      <c r="E3" s="48" t="s">
        <v>1</v>
      </c>
      <c r="F3" s="48" t="s">
        <v>2</v>
      </c>
      <c r="H3" s="48" t="s">
        <v>1</v>
      </c>
      <c r="I3" s="48" t="s">
        <v>2</v>
      </c>
    </row>
    <row r="4" spans="1:9" ht="18.75" customHeight="1" thickTop="1" thickBot="1" x14ac:dyDescent="0.3">
      <c r="A4" s="12" t="s">
        <v>127</v>
      </c>
      <c r="B4" s="34"/>
      <c r="C4" s="13"/>
      <c r="H4" s="283">
        <f>B4+B7-'BS old'!$D$65</f>
        <v>0</v>
      </c>
      <c r="I4" s="286">
        <f>C4+C7-'BS old'!$G$65</f>
        <v>0</v>
      </c>
    </row>
    <row r="5" spans="1:9" ht="18.75" customHeight="1" thickBot="1" x14ac:dyDescent="0.3">
      <c r="A5" s="14" t="s">
        <v>128</v>
      </c>
      <c r="B5" s="22"/>
      <c r="C5" s="15"/>
      <c r="H5" s="283">
        <f>B5-'BS old'!$D$66</f>
        <v>0</v>
      </c>
      <c r="I5" s="286">
        <f>C5-'BS old'!$G$66</f>
        <v>0</v>
      </c>
    </row>
    <row r="6" spans="1:9" ht="18.75" customHeight="1" thickBot="1" x14ac:dyDescent="0.3">
      <c r="A6" s="14" t="s">
        <v>129</v>
      </c>
      <c r="B6" s="22"/>
      <c r="C6" s="15"/>
      <c r="E6" s="283"/>
      <c r="F6" s="286"/>
      <c r="H6" s="283">
        <f>B6-'BS old'!$D$67</f>
        <v>0</v>
      </c>
      <c r="I6" s="286">
        <f>C6-'BS old'!$G$67</f>
        <v>0</v>
      </c>
    </row>
    <row r="7" spans="1:9" ht="18.75" customHeight="1" thickBot="1" x14ac:dyDescent="0.3">
      <c r="A7" s="14" t="s">
        <v>130</v>
      </c>
      <c r="B7" s="22"/>
      <c r="C7" s="15"/>
      <c r="H7" s="283">
        <f>H4</f>
        <v>0</v>
      </c>
      <c r="I7" s="286">
        <f>I4</f>
        <v>0</v>
      </c>
    </row>
    <row r="8" spans="1:9" ht="18.75" customHeight="1" thickBot="1" x14ac:dyDescent="0.3">
      <c r="A8" s="23" t="s">
        <v>4</v>
      </c>
      <c r="B8" s="47">
        <f>SUM(B4:B7)</f>
        <v>0</v>
      </c>
      <c r="C8" s="49">
        <f>SUM(C4:C7)</f>
        <v>0</v>
      </c>
      <c r="E8" s="283">
        <f>SUM(B4:B7)-B8</f>
        <v>0</v>
      </c>
      <c r="F8" s="286">
        <f>SUM(C4:C7)-C8</f>
        <v>0</v>
      </c>
      <c r="H8" s="283">
        <f>B8-SUM('BS old'!$D$65:$D$67)</f>
        <v>0</v>
      </c>
      <c r="I8" s="286">
        <f>C8-SUM('BS old'!$G$65:$G$67)</f>
        <v>0</v>
      </c>
    </row>
    <row r="9" spans="1:9" ht="15.75" thickTop="1" x14ac:dyDescent="0.25">
      <c r="E9" s="283"/>
      <c r="F9" s="286"/>
    </row>
  </sheetData>
  <mergeCells count="2">
    <mergeCell ref="E1:F1"/>
    <mergeCell ref="H1:I1"/>
  </mergeCells>
  <conditionalFormatting sqref="E6:F9">
    <cfRule type="cellIs" dxfId="205" priority="9" operator="lessThan">
      <formula>0</formula>
    </cfRule>
    <cfRule type="cellIs" dxfId="204" priority="10" operator="greaterThan">
      <formula>0</formula>
    </cfRule>
  </conditionalFormatting>
  <conditionalFormatting sqref="H8:I8">
    <cfRule type="cellIs" dxfId="203" priority="6" operator="lessThan">
      <formula>0</formula>
    </cfRule>
    <cfRule type="cellIs" dxfId="202" priority="7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4"/>
  <sheetViews>
    <sheetView showGridLines="0" zoomScaleNormal="100" workbookViewId="0">
      <selection activeCell="C19" sqref="C19"/>
    </sheetView>
  </sheetViews>
  <sheetFormatPr defaultRowHeight="15" outlineLevelCol="1" x14ac:dyDescent="0.25"/>
  <cols>
    <col min="1" max="1" width="24.5703125" customWidth="1"/>
    <col min="2" max="5" width="15.42578125" customWidth="1"/>
    <col min="6" max="6" width="20.42578125" customWidth="1"/>
    <col min="7" max="7" width="20.42578125" style="280" customWidth="1" outlineLevel="1"/>
    <col min="8" max="9" width="20.42578125" style="281" customWidth="1" outlineLevel="1"/>
    <col min="10" max="10" width="20.42578125" style="285" customWidth="1"/>
    <col min="12" max="12" width="20.42578125" style="287" customWidth="1"/>
  </cols>
  <sheetData>
    <row r="1" spans="1:13" ht="16.5" x14ac:dyDescent="0.3">
      <c r="A1" s="1" t="s">
        <v>125</v>
      </c>
      <c r="G1" s="1168" t="s">
        <v>948</v>
      </c>
      <c r="H1" s="1169"/>
      <c r="I1" s="1169"/>
      <c r="J1" s="1170"/>
      <c r="L1" s="293" t="s">
        <v>950</v>
      </c>
      <c r="M1" s="290"/>
    </row>
    <row r="3" spans="1:13" ht="17.25" thickBot="1" x14ac:dyDescent="0.35">
      <c r="A3" s="5" t="s">
        <v>5</v>
      </c>
    </row>
    <row r="4" spans="1:13" ht="16.5" thickTop="1" thickBot="1" x14ac:dyDescent="0.3">
      <c r="A4" s="1171" t="s">
        <v>131</v>
      </c>
      <c r="B4" s="1173" t="s">
        <v>1</v>
      </c>
      <c r="C4" s="1174"/>
      <c r="D4" s="1174"/>
      <c r="E4" s="1175"/>
    </row>
    <row r="5" spans="1:13" ht="18" customHeight="1" thickTop="1" x14ac:dyDescent="0.25">
      <c r="A5" s="1172"/>
      <c r="B5" s="1172" t="s">
        <v>14</v>
      </c>
      <c r="C5" s="1172" t="s">
        <v>9</v>
      </c>
      <c r="D5" s="1172" t="s">
        <v>10</v>
      </c>
      <c r="E5" s="1172" t="s">
        <v>12</v>
      </c>
      <c r="G5" s="1171" t="s">
        <v>14</v>
      </c>
      <c r="H5" s="1171" t="s">
        <v>9</v>
      </c>
      <c r="I5" s="1171" t="s">
        <v>10</v>
      </c>
      <c r="J5" s="1171" t="s">
        <v>12</v>
      </c>
      <c r="L5" s="1171" t="s">
        <v>12</v>
      </c>
    </row>
    <row r="6" spans="1:13" ht="17.25" customHeight="1" thickBot="1" x14ac:dyDescent="0.3">
      <c r="A6" s="1182"/>
      <c r="B6" s="1182"/>
      <c r="C6" s="1182"/>
      <c r="D6" s="1182"/>
      <c r="E6" s="1182"/>
      <c r="G6" s="1182"/>
      <c r="H6" s="1182"/>
      <c r="I6" s="1182"/>
      <c r="J6" s="1182"/>
      <c r="L6" s="1182"/>
    </row>
    <row r="7" spans="1:13" ht="21.75" customHeight="1" thickTop="1" thickBot="1" x14ac:dyDescent="0.3">
      <c r="A7" s="14" t="s">
        <v>132</v>
      </c>
      <c r="B7" s="22"/>
      <c r="C7" s="22"/>
      <c r="D7" s="22"/>
      <c r="E7" s="15">
        <f t="shared" ref="E7:E12" si="0">SUM(B7:D7)</f>
        <v>0</v>
      </c>
      <c r="J7" s="286">
        <f t="shared" ref="J7:J12" si="1">SUM(B7:D7)-E7</f>
        <v>0</v>
      </c>
    </row>
    <row r="8" spans="1:13" ht="21.75" customHeight="1" thickBot="1" x14ac:dyDescent="0.3">
      <c r="A8" s="14" t="s">
        <v>133</v>
      </c>
      <c r="B8" s="22"/>
      <c r="C8" s="22"/>
      <c r="D8" s="22"/>
      <c r="E8" s="15">
        <f t="shared" si="0"/>
        <v>0</v>
      </c>
      <c r="J8" s="286">
        <f t="shared" si="1"/>
        <v>0</v>
      </c>
    </row>
    <row r="9" spans="1:13" ht="21.75" customHeight="1" thickBot="1" x14ac:dyDescent="0.3">
      <c r="A9" s="14" t="s">
        <v>134</v>
      </c>
      <c r="B9" s="22"/>
      <c r="C9" s="22"/>
      <c r="D9" s="22"/>
      <c r="E9" s="15">
        <f t="shared" si="0"/>
        <v>0</v>
      </c>
      <c r="J9" s="286">
        <f t="shared" si="1"/>
        <v>0</v>
      </c>
    </row>
    <row r="10" spans="1:13" ht="21.75" customHeight="1" thickBot="1" x14ac:dyDescent="0.3">
      <c r="A10" s="14" t="s">
        <v>135</v>
      </c>
      <c r="B10" s="22"/>
      <c r="C10" s="22"/>
      <c r="D10" s="22"/>
      <c r="E10" s="15">
        <f t="shared" si="0"/>
        <v>0</v>
      </c>
      <c r="J10" s="286">
        <f t="shared" si="1"/>
        <v>0</v>
      </c>
    </row>
    <row r="11" spans="1:13" ht="21.75" customHeight="1" thickBot="1" x14ac:dyDescent="0.3">
      <c r="A11" s="14" t="s">
        <v>136</v>
      </c>
      <c r="B11" s="22"/>
      <c r="C11" s="22"/>
      <c r="D11" s="22"/>
      <c r="E11" s="15">
        <f t="shared" si="0"/>
        <v>0</v>
      </c>
      <c r="J11" s="286">
        <f t="shared" si="1"/>
        <v>0</v>
      </c>
    </row>
    <row r="12" spans="1:13" ht="21.75" customHeight="1" thickBot="1" x14ac:dyDescent="0.3">
      <c r="A12" s="14" t="s">
        <v>137</v>
      </c>
      <c r="B12" s="22"/>
      <c r="C12" s="22"/>
      <c r="D12" s="22"/>
      <c r="E12" s="15">
        <f t="shared" si="0"/>
        <v>0</v>
      </c>
      <c r="J12" s="286">
        <f t="shared" si="1"/>
        <v>0</v>
      </c>
    </row>
    <row r="13" spans="1:13" ht="21.75" customHeight="1" thickBot="1" x14ac:dyDescent="0.3">
      <c r="A13" s="23" t="s">
        <v>138</v>
      </c>
      <c r="B13" s="47">
        <f>SUM(B7:B12)</f>
        <v>0</v>
      </c>
      <c r="C13" s="47">
        <f>SUM(C7:C12)</f>
        <v>0</v>
      </c>
      <c r="D13" s="47">
        <f>SUM(D7:D12)</f>
        <v>0</v>
      </c>
      <c r="E13" s="49">
        <f>SUM(E7:E12)</f>
        <v>0</v>
      </c>
      <c r="G13" s="283">
        <f>SUM(B7:B12)-B13</f>
        <v>0</v>
      </c>
      <c r="H13" s="282">
        <f>SUM(C7:C12)-C13</f>
        <v>0</v>
      </c>
      <c r="I13" s="282">
        <f>SUM(D7:D12)-D13</f>
        <v>0</v>
      </c>
      <c r="J13" s="286">
        <f>SUM(E7:E12)-E13</f>
        <v>0</v>
      </c>
      <c r="L13" s="294">
        <f>E13-SUM('BS old'!$D$68:$D$69)</f>
        <v>0</v>
      </c>
    </row>
    <row r="14" spans="1:13" ht="15.75" thickTop="1" x14ac:dyDescent="0.25"/>
  </sheetData>
  <mergeCells count="12">
    <mergeCell ref="G1:J1"/>
    <mergeCell ref="L5:L6"/>
    <mergeCell ref="A4:A6"/>
    <mergeCell ref="B4:E4"/>
    <mergeCell ref="B5:B6"/>
    <mergeCell ref="C5:C6"/>
    <mergeCell ref="D5:D6"/>
    <mergeCell ref="E5:E6"/>
    <mergeCell ref="G5:G6"/>
    <mergeCell ref="H5:H6"/>
    <mergeCell ref="I5:I6"/>
    <mergeCell ref="J5:J6"/>
  </mergeCells>
  <conditionalFormatting sqref="L1:M1">
    <cfRule type="cellIs" priority="5" stopIfTrue="1" operator="greaterThan">
      <formula>0</formula>
    </cfRule>
  </conditionalFormatting>
  <conditionalFormatting sqref="G7:L13">
    <cfRule type="cellIs" dxfId="201" priority="3" operator="lessThan">
      <formula>0</formula>
    </cfRule>
    <cfRule type="cellIs" dxfId="200" priority="4" operator="greaterThan">
      <formula>0</formula>
    </cfRule>
  </conditionalFormatting>
  <conditionalFormatting sqref="J13">
    <cfRule type="cellIs" dxfId="199" priority="1" operator="lessThan">
      <formula>0</formula>
    </cfRule>
    <cfRule type="cellIs" dxfId="19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99"/>
  </sheetPr>
  <dimension ref="A1:B48"/>
  <sheetViews>
    <sheetView showGridLines="0" workbookViewId="0">
      <selection activeCell="A8" sqref="A8"/>
    </sheetView>
  </sheetViews>
  <sheetFormatPr defaultRowHeight="15" x14ac:dyDescent="0.25"/>
  <cols>
    <col min="1" max="1" width="22" customWidth="1"/>
    <col min="2" max="2" width="21.5703125" customWidth="1"/>
  </cols>
  <sheetData>
    <row r="1" spans="1:1" x14ac:dyDescent="0.25">
      <c r="A1" s="1060" t="s">
        <v>1815</v>
      </c>
    </row>
    <row r="2" spans="1:1" x14ac:dyDescent="0.25">
      <c r="A2" s="1060" t="s">
        <v>1816</v>
      </c>
    </row>
    <row r="3" spans="1:1" ht="15.75" x14ac:dyDescent="0.25">
      <c r="A3" s="1061"/>
    </row>
    <row r="4" spans="1:1" x14ac:dyDescent="0.25">
      <c r="A4" s="1062" t="s">
        <v>1817</v>
      </c>
    </row>
    <row r="5" spans="1:1" x14ac:dyDescent="0.25">
      <c r="A5" s="1062" t="s">
        <v>1818</v>
      </c>
    </row>
    <row r="6" spans="1:1" x14ac:dyDescent="0.25">
      <c r="A6" s="1062" t="s">
        <v>1819</v>
      </c>
    </row>
    <row r="7" spans="1:1" x14ac:dyDescent="0.25">
      <c r="A7" s="1062" t="s">
        <v>1820</v>
      </c>
    </row>
    <row r="8" spans="1:1" x14ac:dyDescent="0.25">
      <c r="A8" s="1062" t="s">
        <v>1821</v>
      </c>
    </row>
    <row r="9" spans="1:1" x14ac:dyDescent="0.25">
      <c r="A9" s="1062" t="s">
        <v>1822</v>
      </c>
    </row>
    <row r="10" spans="1:1" x14ac:dyDescent="0.25">
      <c r="A10" s="1060" t="s">
        <v>1823</v>
      </c>
    </row>
    <row r="11" spans="1:1" x14ac:dyDescent="0.25">
      <c r="A11" s="1062"/>
    </row>
    <row r="12" spans="1:1" x14ac:dyDescent="0.25">
      <c r="A12" t="s">
        <v>377</v>
      </c>
    </row>
    <row r="13" spans="1:1" x14ac:dyDescent="0.25">
      <c r="A13" t="s">
        <v>378</v>
      </c>
    </row>
    <row r="14" spans="1:1" x14ac:dyDescent="0.25">
      <c r="A14" t="s">
        <v>379</v>
      </c>
    </row>
    <row r="15" spans="1:1" x14ac:dyDescent="0.25">
      <c r="A15" t="s">
        <v>380</v>
      </c>
    </row>
    <row r="16" spans="1:1" x14ac:dyDescent="0.25">
      <c r="A16" t="s">
        <v>381</v>
      </c>
    </row>
    <row r="17" spans="1:2" x14ac:dyDescent="0.25">
      <c r="A17" t="s">
        <v>382</v>
      </c>
    </row>
    <row r="18" spans="1:2" x14ac:dyDescent="0.25">
      <c r="A18" t="s">
        <v>383</v>
      </c>
    </row>
    <row r="19" spans="1:2" x14ac:dyDescent="0.25">
      <c r="A19" t="s">
        <v>384</v>
      </c>
    </row>
    <row r="20" spans="1:2" x14ac:dyDescent="0.25">
      <c r="A20" t="s">
        <v>385</v>
      </c>
    </row>
    <row r="21" spans="1:2" x14ac:dyDescent="0.25">
      <c r="A21" t="s">
        <v>386</v>
      </c>
    </row>
    <row r="22" spans="1:2" x14ac:dyDescent="0.25">
      <c r="A22" s="9" t="s">
        <v>360</v>
      </c>
      <c r="B22" s="9" t="s">
        <v>387</v>
      </c>
    </row>
    <row r="23" spans="1:2" x14ac:dyDescent="0.25">
      <c r="A23" s="7">
        <v>1</v>
      </c>
      <c r="B23" s="8" t="s">
        <v>388</v>
      </c>
    </row>
    <row r="24" spans="1:2" x14ac:dyDescent="0.25">
      <c r="A24" s="7">
        <v>2</v>
      </c>
      <c r="B24" s="8" t="s">
        <v>389</v>
      </c>
    </row>
    <row r="25" spans="1:2" x14ac:dyDescent="0.25">
      <c r="A25" s="7">
        <v>3</v>
      </c>
      <c r="B25" s="8" t="s">
        <v>390</v>
      </c>
    </row>
    <row r="26" spans="1:2" x14ac:dyDescent="0.25">
      <c r="A26" s="7">
        <v>4</v>
      </c>
      <c r="B26" s="8" t="s">
        <v>391</v>
      </c>
    </row>
    <row r="27" spans="1:2" x14ac:dyDescent="0.25">
      <c r="A27" s="7">
        <v>5</v>
      </c>
      <c r="B27" s="8" t="s">
        <v>392</v>
      </c>
    </row>
    <row r="28" spans="1:2" x14ac:dyDescent="0.25">
      <c r="A28" s="7">
        <v>6</v>
      </c>
      <c r="B28" s="8" t="s">
        <v>393</v>
      </c>
    </row>
    <row r="29" spans="1:2" x14ac:dyDescent="0.25">
      <c r="A29" s="7">
        <v>7</v>
      </c>
      <c r="B29" s="8" t="s">
        <v>394</v>
      </c>
    </row>
    <row r="30" spans="1:2" x14ac:dyDescent="0.25">
      <c r="A30" s="7">
        <v>8</v>
      </c>
      <c r="B30" s="8" t="s">
        <v>395</v>
      </c>
    </row>
    <row r="31" spans="1:2" x14ac:dyDescent="0.25">
      <c r="A31" s="7">
        <v>9</v>
      </c>
      <c r="B31" s="8" t="s">
        <v>396</v>
      </c>
    </row>
    <row r="32" spans="1:2" x14ac:dyDescent="0.25">
      <c r="A32" s="7">
        <v>10</v>
      </c>
      <c r="B32" s="8" t="s">
        <v>397</v>
      </c>
    </row>
    <row r="33" spans="1:2" x14ac:dyDescent="0.25">
      <c r="A33" s="7">
        <v>11</v>
      </c>
      <c r="B33" s="8" t="s">
        <v>398</v>
      </c>
    </row>
    <row r="35" spans="1:2" x14ac:dyDescent="0.25">
      <c r="A35" t="s">
        <v>399</v>
      </c>
    </row>
    <row r="36" spans="1:2" x14ac:dyDescent="0.25">
      <c r="A36" t="s">
        <v>400</v>
      </c>
    </row>
    <row r="37" spans="1:2" x14ac:dyDescent="0.25">
      <c r="A37" t="s">
        <v>401</v>
      </c>
    </row>
    <row r="38" spans="1:2" x14ac:dyDescent="0.25">
      <c r="A38" t="s">
        <v>402</v>
      </c>
    </row>
    <row r="39" spans="1:2" x14ac:dyDescent="0.25">
      <c r="A39" t="s">
        <v>403</v>
      </c>
    </row>
    <row r="40" spans="1:2" x14ac:dyDescent="0.25">
      <c r="A40" t="s">
        <v>404</v>
      </c>
    </row>
    <row r="41" spans="1:2" x14ac:dyDescent="0.25">
      <c r="A41" t="s">
        <v>405</v>
      </c>
    </row>
    <row r="42" spans="1:2" x14ac:dyDescent="0.25">
      <c r="A42" t="s">
        <v>406</v>
      </c>
    </row>
    <row r="43" spans="1:2" x14ac:dyDescent="0.25">
      <c r="A43" t="s">
        <v>407</v>
      </c>
    </row>
    <row r="44" spans="1:2" x14ac:dyDescent="0.25">
      <c r="A44" t="s">
        <v>408</v>
      </c>
    </row>
    <row r="45" spans="1:2" x14ac:dyDescent="0.25">
      <c r="A45" t="s">
        <v>409</v>
      </c>
    </row>
    <row r="46" spans="1:2" x14ac:dyDescent="0.25">
      <c r="A46" t="s">
        <v>410</v>
      </c>
    </row>
    <row r="47" spans="1:2" x14ac:dyDescent="0.25">
      <c r="A47" t="s">
        <v>411</v>
      </c>
    </row>
    <row r="48" spans="1:2" x14ac:dyDescent="0.25">
      <c r="A48" t="s">
        <v>412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0"/>
  <sheetViews>
    <sheetView showGridLines="0" topLeftCell="C1" zoomScaleNormal="100" workbookViewId="0">
      <selection activeCell="O6" sqref="O6"/>
    </sheetView>
  </sheetViews>
  <sheetFormatPr defaultRowHeight="15" outlineLevelCol="1" x14ac:dyDescent="0.25"/>
  <cols>
    <col min="1" max="1" width="21.42578125" customWidth="1"/>
    <col min="2" max="6" width="13" customWidth="1"/>
    <col min="9" max="9" width="23.140625" style="280" hidden="1" customWidth="1" outlineLevel="1"/>
    <col min="10" max="11" width="23.140625" style="281" hidden="1" customWidth="1" outlineLevel="1"/>
    <col min="12" max="12" width="20.140625" style="281" hidden="1" customWidth="1" outlineLevel="1"/>
    <col min="13" max="13" width="24.85546875" style="285" customWidth="1" collapsed="1"/>
    <col min="14" max="14" width="9.140625" style="281"/>
    <col min="15" max="15" width="20.42578125" style="287" customWidth="1"/>
  </cols>
  <sheetData>
    <row r="1" spans="1:15" ht="17.25" thickBot="1" x14ac:dyDescent="0.35">
      <c r="A1" s="1" t="s">
        <v>139</v>
      </c>
      <c r="I1" s="1179" t="s">
        <v>948</v>
      </c>
      <c r="J1" s="1180"/>
      <c r="K1" s="1180"/>
      <c r="L1" s="1180"/>
      <c r="M1" s="1181"/>
      <c r="N1" s="285"/>
      <c r="O1" s="293" t="s">
        <v>950</v>
      </c>
    </row>
    <row r="2" spans="1:15" ht="55.5" customHeight="1" thickTop="1" thickBot="1" x14ac:dyDescent="0.3">
      <c r="A2" s="48" t="s">
        <v>140</v>
      </c>
      <c r="B2" s="48" t="s">
        <v>141</v>
      </c>
      <c r="C2" s="48" t="s">
        <v>142</v>
      </c>
      <c r="D2" s="48" t="s">
        <v>60</v>
      </c>
      <c r="E2" s="48" t="s">
        <v>423</v>
      </c>
      <c r="F2" s="48" t="s">
        <v>143</v>
      </c>
      <c r="I2" s="48" t="s">
        <v>141</v>
      </c>
      <c r="J2" s="48" t="s">
        <v>142</v>
      </c>
      <c r="K2" s="48" t="s">
        <v>60</v>
      </c>
      <c r="L2" s="165" t="s">
        <v>423</v>
      </c>
      <c r="M2" s="48" t="s">
        <v>143</v>
      </c>
      <c r="N2" s="296"/>
      <c r="O2" s="48" t="s">
        <v>143</v>
      </c>
    </row>
    <row r="3" spans="1:15" ht="23.25" customHeight="1" thickTop="1" thickBot="1" x14ac:dyDescent="0.3">
      <c r="A3" s="60" t="s">
        <v>136</v>
      </c>
      <c r="B3" s="68"/>
      <c r="C3" s="68"/>
      <c r="D3" s="68"/>
      <c r="E3" s="68"/>
      <c r="F3" s="69">
        <f>SUM(B3:E3)</f>
        <v>0</v>
      </c>
      <c r="M3" s="286">
        <f>SUM(B3:E3)-F3</f>
        <v>0</v>
      </c>
      <c r="N3" s="286"/>
    </row>
    <row r="4" spans="1:15" ht="23.25" customHeight="1" thickBot="1" x14ac:dyDescent="0.3">
      <c r="A4" s="14" t="s">
        <v>137</v>
      </c>
      <c r="B4" s="68"/>
      <c r="C4" s="68"/>
      <c r="D4" s="68"/>
      <c r="E4" s="68"/>
      <c r="F4" s="69">
        <f>SUM(B4:E4)</f>
        <v>0</v>
      </c>
      <c r="M4" s="286">
        <f>SUM(B4:E4)-F4</f>
        <v>0</v>
      </c>
      <c r="N4" s="286"/>
    </row>
    <row r="5" spans="1:15" ht="23.25" customHeight="1" thickBot="1" x14ac:dyDescent="0.3">
      <c r="A5" s="23" t="s">
        <v>138</v>
      </c>
      <c r="B5" s="70">
        <f>SUM(B3:B4)</f>
        <v>0</v>
      </c>
      <c r="C5" s="70">
        <f>SUM(C3:C4)</f>
        <v>0</v>
      </c>
      <c r="D5" s="70">
        <f>SUM(D3:D4)</f>
        <v>0</v>
      </c>
      <c r="E5" s="70">
        <f>SUM(E3:E4)</f>
        <v>0</v>
      </c>
      <c r="F5" s="71">
        <f>SUM(B5:E5)</f>
        <v>0</v>
      </c>
      <c r="I5" s="283">
        <f>SUM(B3:B4)-B5</f>
        <v>0</v>
      </c>
      <c r="J5" s="282">
        <f>SUM(C3:C4)-C5</f>
        <v>0</v>
      </c>
      <c r="K5" s="282">
        <f>SUM(D3:D4)-D5</f>
        <v>0</v>
      </c>
      <c r="L5" s="282">
        <f>SUM(E3:E4)-E5</f>
        <v>0</v>
      </c>
      <c r="M5" s="286">
        <f>SUM(F3:F4)-F5</f>
        <v>0</v>
      </c>
      <c r="N5" s="286"/>
      <c r="O5" s="294">
        <f>F5-SUM('BS old'!E68:E69)</f>
        <v>0</v>
      </c>
    </row>
    <row r="6" spans="1:15" ht="15.75" thickTop="1" x14ac:dyDescent="0.25">
      <c r="M6" s="286"/>
      <c r="N6" s="286"/>
    </row>
    <row r="7" spans="1:15" x14ac:dyDescent="0.25">
      <c r="M7" s="286"/>
      <c r="N7" s="286"/>
    </row>
    <row r="8" spans="1:15" x14ac:dyDescent="0.25">
      <c r="M8" s="286"/>
      <c r="N8" s="286"/>
    </row>
    <row r="10" spans="1:15" x14ac:dyDescent="0.25">
      <c r="B10" s="20"/>
    </row>
  </sheetData>
  <mergeCells count="1">
    <mergeCell ref="I1:M1"/>
  </mergeCells>
  <conditionalFormatting sqref="O1">
    <cfRule type="cellIs" priority="3" stopIfTrue="1" operator="greaterThan">
      <formula>0</formula>
    </cfRule>
  </conditionalFormatting>
  <conditionalFormatting sqref="I3:K8 L5 O3:O8 M3:N9">
    <cfRule type="cellIs" dxfId="197" priority="1" operator="lessThan">
      <formula>0</formula>
    </cfRule>
    <cfRule type="cellIs" dxfId="19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5"/>
  <sheetViews>
    <sheetView showGridLines="0" zoomScaleNormal="100" workbookViewId="0">
      <selection activeCell="C11" sqref="C1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146</v>
      </c>
    </row>
    <row r="2" spans="1:2" ht="16.5" thickTop="1" thickBot="1" x14ac:dyDescent="0.3">
      <c r="A2" s="64" t="s">
        <v>103</v>
      </c>
      <c r="B2" s="65" t="s">
        <v>17</v>
      </c>
    </row>
    <row r="3" spans="1:2" ht="24" thickTop="1" thickBot="1" x14ac:dyDescent="0.3">
      <c r="A3" s="12" t="s">
        <v>144</v>
      </c>
      <c r="B3" s="66"/>
    </row>
    <row r="4" spans="1:2" ht="23.25" thickBot="1" x14ac:dyDescent="0.3">
      <c r="A4" s="16" t="s">
        <v>145</v>
      </c>
      <c r="B4" s="6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8"/>
  <sheetViews>
    <sheetView showGridLines="0" zoomScaleNormal="100" workbookViewId="0">
      <selection activeCell="A3" sqref="A3:A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ht="17.25" thickBot="1" x14ac:dyDescent="0.35">
      <c r="A1" s="1" t="s">
        <v>147</v>
      </c>
    </row>
    <row r="2" spans="1:4" ht="44.25" customHeight="1" thickTop="1" thickBot="1" x14ac:dyDescent="0.3">
      <c r="A2" s="73" t="s">
        <v>140</v>
      </c>
      <c r="B2" s="528" t="s">
        <v>428</v>
      </c>
      <c r="C2" s="528" t="s">
        <v>429</v>
      </c>
      <c r="D2" s="528" t="s">
        <v>430</v>
      </c>
    </row>
    <row r="3" spans="1:4" ht="16.5" thickTop="1" thickBot="1" x14ac:dyDescent="0.3">
      <c r="A3" s="60" t="s">
        <v>132</v>
      </c>
      <c r="B3" s="68"/>
      <c r="C3" s="68"/>
      <c r="D3" s="69"/>
    </row>
    <row r="4" spans="1:4" ht="15.75" thickBot="1" x14ac:dyDescent="0.3">
      <c r="A4" s="60" t="s">
        <v>133</v>
      </c>
      <c r="B4" s="68"/>
      <c r="C4" s="68"/>
      <c r="D4" s="69"/>
    </row>
    <row r="5" spans="1:4" ht="15.75" thickBot="1" x14ac:dyDescent="0.3">
      <c r="A5" s="60" t="s">
        <v>148</v>
      </c>
      <c r="B5" s="68"/>
      <c r="C5" s="68"/>
      <c r="D5" s="69"/>
    </row>
    <row r="6" spans="1:4" ht="15.75" thickBot="1" x14ac:dyDescent="0.3">
      <c r="A6" s="60" t="s">
        <v>136</v>
      </c>
      <c r="B6" s="68"/>
      <c r="C6" s="68"/>
      <c r="D6" s="69"/>
    </row>
    <row r="7" spans="1:4" ht="26.25" customHeight="1" thickBot="1" x14ac:dyDescent="0.3">
      <c r="A7" s="75" t="s">
        <v>138</v>
      </c>
      <c r="B7" s="74"/>
      <c r="C7" s="74"/>
      <c r="D7" s="67"/>
    </row>
    <row r="8" spans="1:4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15"/>
  <sheetViews>
    <sheetView showGridLines="0" topLeftCell="C1" zoomScaleNormal="100" workbookViewId="0">
      <selection activeCell="H3" sqref="H3:I12"/>
    </sheetView>
  </sheetViews>
  <sheetFormatPr defaultRowHeight="15" x14ac:dyDescent="0.25"/>
  <cols>
    <col min="1" max="1" width="35.42578125" customWidth="1"/>
    <col min="2" max="3" width="25.5703125" customWidth="1"/>
    <col min="4" max="4" width="22.28515625" customWidth="1"/>
    <col min="5" max="5" width="34.7109375" style="280" customWidth="1"/>
    <col min="6" max="6" width="41.28515625" style="285" customWidth="1"/>
    <col min="8" max="8" width="26.7109375" style="280" customWidth="1"/>
    <col min="9" max="9" width="26.7109375" style="285" customWidth="1"/>
  </cols>
  <sheetData>
    <row r="1" spans="1:9" ht="17.25" thickBot="1" x14ac:dyDescent="0.35">
      <c r="A1" s="1" t="s">
        <v>149</v>
      </c>
      <c r="E1" s="1179" t="s">
        <v>948</v>
      </c>
      <c r="F1" s="1181"/>
      <c r="G1" s="290"/>
      <c r="H1" s="1168" t="s">
        <v>950</v>
      </c>
      <c r="I1" s="1170"/>
    </row>
    <row r="2" spans="1:9" ht="35.25" thickTop="1" thickBot="1" x14ac:dyDescent="0.3">
      <c r="A2" s="73" t="s">
        <v>150</v>
      </c>
      <c r="B2" s="528" t="s">
        <v>1</v>
      </c>
      <c r="C2" s="528" t="s">
        <v>2</v>
      </c>
      <c r="E2" s="48" t="s">
        <v>1</v>
      </c>
      <c r="F2" s="48" t="s">
        <v>2</v>
      </c>
      <c r="H2" s="48" t="s">
        <v>1</v>
      </c>
      <c r="I2" s="48" t="s">
        <v>2</v>
      </c>
    </row>
    <row r="3" spans="1:9" ht="24" thickTop="1" thickBot="1" x14ac:dyDescent="0.3">
      <c r="A3" s="23" t="s">
        <v>151</v>
      </c>
      <c r="B3" s="297">
        <f>SUM(B4:B5)</f>
        <v>0</v>
      </c>
      <c r="C3" s="132">
        <f>SUM(C4:C5)</f>
        <v>0</v>
      </c>
      <c r="E3" s="283">
        <f>SUM(B4:B5)-B3</f>
        <v>0</v>
      </c>
      <c r="F3" s="286">
        <f>SUM(C4:C5)-C3</f>
        <v>0</v>
      </c>
      <c r="H3" s="283">
        <f>B3-'BS old'!$D$71</f>
        <v>0</v>
      </c>
      <c r="I3" s="300">
        <f>C3-'BS old'!$G$71</f>
        <v>0</v>
      </c>
    </row>
    <row r="4" spans="1:9" ht="16.5" thickTop="1" thickBot="1" x14ac:dyDescent="0.3">
      <c r="A4" s="14"/>
      <c r="B4" s="298"/>
      <c r="C4" s="69"/>
    </row>
    <row r="5" spans="1:9" ht="15.75" thickBot="1" x14ac:dyDescent="0.3">
      <c r="A5" s="16"/>
      <c r="B5" s="299"/>
      <c r="C5" s="67"/>
    </row>
    <row r="6" spans="1:9" ht="24" thickTop="1" thickBot="1" x14ac:dyDescent="0.3">
      <c r="A6" s="23" t="s">
        <v>152</v>
      </c>
      <c r="B6" s="299">
        <f>SUM(B7:B8)</f>
        <v>0</v>
      </c>
      <c r="C6" s="132">
        <f>SUM(C7:C8)</f>
        <v>0</v>
      </c>
      <c r="E6" s="283">
        <f>SUM(B7:B8)-B6</f>
        <v>0</v>
      </c>
      <c r="F6" s="286">
        <f>SUM(C7:C8)-C6</f>
        <v>0</v>
      </c>
      <c r="H6" s="283">
        <f>B6-'BS old'!$D$72</f>
        <v>0</v>
      </c>
      <c r="I6" s="286">
        <f>C6-'BS old'!$G$72</f>
        <v>0</v>
      </c>
    </row>
    <row r="7" spans="1:9" ht="16.5" thickTop="1" thickBot="1" x14ac:dyDescent="0.3">
      <c r="A7" s="14"/>
      <c r="B7" s="298"/>
      <c r="C7" s="69"/>
    </row>
    <row r="8" spans="1:9" ht="15.75" thickBot="1" x14ac:dyDescent="0.3">
      <c r="A8" s="16"/>
      <c r="B8" s="299"/>
      <c r="C8" s="67"/>
    </row>
    <row r="9" spans="1:9" ht="24" customHeight="1" thickTop="1" thickBot="1" x14ac:dyDescent="0.3">
      <c r="A9" s="23" t="s">
        <v>153</v>
      </c>
      <c r="B9" s="299">
        <f>SUM(B10:B11)</f>
        <v>0</v>
      </c>
      <c r="C9" s="132">
        <f>SUM(C10:C11)</f>
        <v>0</v>
      </c>
      <c r="E9" s="283">
        <f>SUM(B10:B11)-B9</f>
        <v>0</v>
      </c>
      <c r="F9" s="286">
        <f>SUM(C10:C11)-C9</f>
        <v>0</v>
      </c>
      <c r="H9" s="283">
        <f>B9-'BS old'!$D$73</f>
        <v>0</v>
      </c>
      <c r="I9" s="286">
        <f>C9-'BS old'!$G$73</f>
        <v>0</v>
      </c>
    </row>
    <row r="10" spans="1:9" ht="16.5" thickTop="1" thickBot="1" x14ac:dyDescent="0.3">
      <c r="A10" s="14"/>
      <c r="B10" s="298"/>
      <c r="C10" s="69"/>
    </row>
    <row r="11" spans="1:9" ht="15.75" thickBot="1" x14ac:dyDescent="0.3">
      <c r="A11" s="16"/>
      <c r="B11" s="299"/>
      <c r="C11" s="67"/>
    </row>
    <row r="12" spans="1:9" ht="24" thickTop="1" thickBot="1" x14ac:dyDescent="0.3">
      <c r="A12" s="23" t="s">
        <v>154</v>
      </c>
      <c r="B12" s="299">
        <f>SUM(B13:B14)</f>
        <v>0</v>
      </c>
      <c r="C12" s="132">
        <f>SUM(C13:C14)</f>
        <v>0</v>
      </c>
      <c r="E12" s="283">
        <f>SUM(B13:B14)-B12</f>
        <v>0</v>
      </c>
      <c r="F12" s="286">
        <f>SUM(C13:C14)-C12</f>
        <v>0</v>
      </c>
      <c r="H12" s="283">
        <f>B12-'BS old'!$D$74</f>
        <v>0</v>
      </c>
      <c r="I12" s="286">
        <f>C12-'BS old'!$G$74</f>
        <v>0</v>
      </c>
    </row>
    <row r="13" spans="1:9" ht="16.5" thickTop="1" thickBot="1" x14ac:dyDescent="0.3">
      <c r="A13" s="14"/>
      <c r="B13" s="298"/>
      <c r="C13" s="69"/>
    </row>
    <row r="14" spans="1:9" ht="15.75" thickBot="1" x14ac:dyDescent="0.3">
      <c r="A14" s="16"/>
      <c r="B14" s="299"/>
      <c r="C14" s="67"/>
    </row>
    <row r="15" spans="1:9" ht="15.75" thickTop="1" x14ac:dyDescent="0.25"/>
  </sheetData>
  <mergeCells count="2">
    <mergeCell ref="E1:F1"/>
    <mergeCell ref="H1:I1"/>
  </mergeCells>
  <conditionalFormatting sqref="H1">
    <cfRule type="cellIs" priority="5" stopIfTrue="1" operator="greaterThan">
      <formula>0</formula>
    </cfRule>
  </conditionalFormatting>
  <conditionalFormatting sqref="E3:F12">
    <cfRule type="cellIs" dxfId="195" priority="3" operator="lessThan">
      <formula>0</formula>
    </cfRule>
    <cfRule type="cellIs" dxfId="194" priority="4" operator="greaterThan">
      <formula>0</formula>
    </cfRule>
  </conditionalFormatting>
  <conditionalFormatting sqref="H3:I12">
    <cfRule type="cellIs" dxfId="193" priority="1" operator="lessThan">
      <formula>0</formula>
    </cfRule>
    <cfRule type="cellIs" dxfId="19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8"/>
  <sheetViews>
    <sheetView showGridLines="0" zoomScaleNormal="100" workbookViewId="0">
      <selection activeCell="O7" sqref="J2:O7"/>
    </sheetView>
  </sheetViews>
  <sheetFormatPr defaultRowHeight="15" x14ac:dyDescent="0.25"/>
  <cols>
    <col min="1" max="1" width="14.42578125" customWidth="1"/>
    <col min="2" max="7" width="12" customWidth="1"/>
    <col min="10" max="10" width="9.140625" style="280"/>
    <col min="11" max="14" width="9.140625" style="281"/>
    <col min="15" max="15" width="9.140625" style="285"/>
  </cols>
  <sheetData>
    <row r="1" spans="1:15" ht="17.25" thickBot="1" x14ac:dyDescent="0.35">
      <c r="A1" s="1" t="s">
        <v>155</v>
      </c>
      <c r="J1" s="1179" t="s">
        <v>948</v>
      </c>
      <c r="K1" s="1180"/>
      <c r="L1" s="1180"/>
      <c r="M1" s="1180"/>
      <c r="N1" s="1180"/>
      <c r="O1" s="1181"/>
    </row>
    <row r="2" spans="1:15" ht="49.5" customHeight="1" thickTop="1" thickBot="1" x14ac:dyDescent="0.3">
      <c r="A2" s="1188" t="s">
        <v>0</v>
      </c>
      <c r="B2" s="1185" t="s">
        <v>1</v>
      </c>
      <c r="C2" s="1186"/>
      <c r="D2" s="1187"/>
      <c r="E2" s="1173" t="s">
        <v>458</v>
      </c>
      <c r="F2" s="1174"/>
      <c r="G2" s="1175"/>
      <c r="J2" s="1185" t="s">
        <v>1</v>
      </c>
      <c r="K2" s="1186"/>
      <c r="L2" s="1187"/>
      <c r="M2" s="1173" t="s">
        <v>458</v>
      </c>
      <c r="N2" s="1174"/>
      <c r="O2" s="1175"/>
    </row>
    <row r="3" spans="1:15" ht="16.5" thickTop="1" thickBot="1" x14ac:dyDescent="0.3">
      <c r="A3" s="1189"/>
      <c r="B3" s="1185" t="s">
        <v>156</v>
      </c>
      <c r="C3" s="1186"/>
      <c r="D3" s="1187"/>
      <c r="E3" s="1185" t="s">
        <v>156</v>
      </c>
      <c r="F3" s="1186"/>
      <c r="G3" s="1187"/>
      <c r="J3" s="1185" t="s">
        <v>156</v>
      </c>
      <c r="K3" s="1186"/>
      <c r="L3" s="1187"/>
      <c r="M3" s="1185" t="s">
        <v>156</v>
      </c>
      <c r="N3" s="1186"/>
      <c r="O3" s="1187"/>
    </row>
    <row r="4" spans="1:15" s="4" customFormat="1" ht="45" customHeight="1" thickTop="1" thickBot="1" x14ac:dyDescent="0.3">
      <c r="A4" s="1190"/>
      <c r="B4" s="21" t="s">
        <v>157</v>
      </c>
      <c r="C4" s="21" t="s">
        <v>158</v>
      </c>
      <c r="D4" s="21" t="s">
        <v>159</v>
      </c>
      <c r="E4" s="21" t="s">
        <v>157</v>
      </c>
      <c r="F4" s="21" t="s">
        <v>158</v>
      </c>
      <c r="G4" s="21" t="s">
        <v>159</v>
      </c>
      <c r="J4" s="48" t="s">
        <v>157</v>
      </c>
      <c r="K4" s="21" t="s">
        <v>158</v>
      </c>
      <c r="L4" s="21" t="s">
        <v>159</v>
      </c>
      <c r="M4" s="21" t="s">
        <v>157</v>
      </c>
      <c r="N4" s="21" t="s">
        <v>158</v>
      </c>
      <c r="O4" s="21" t="s">
        <v>159</v>
      </c>
    </row>
    <row r="5" spans="1:15" ht="16.5" thickTop="1" thickBot="1" x14ac:dyDescent="0.3">
      <c r="A5" s="60" t="s">
        <v>160</v>
      </c>
      <c r="B5" s="68"/>
      <c r="C5" s="68"/>
      <c r="D5" s="68"/>
      <c r="E5" s="68"/>
      <c r="F5" s="68"/>
      <c r="G5" s="69"/>
    </row>
    <row r="6" spans="1:15" ht="15.75" thickBot="1" x14ac:dyDescent="0.3">
      <c r="A6" s="60" t="s">
        <v>161</v>
      </c>
      <c r="B6" s="68"/>
      <c r="C6" s="68"/>
      <c r="D6" s="68"/>
      <c r="E6" s="68"/>
      <c r="F6" s="68"/>
      <c r="G6" s="69"/>
    </row>
    <row r="7" spans="1:15" ht="15.75" thickBot="1" x14ac:dyDescent="0.3">
      <c r="A7" s="61" t="s">
        <v>4</v>
      </c>
      <c r="B7" s="74">
        <f t="shared" ref="B7:G7" si="0">B5+B6</f>
        <v>0</v>
      </c>
      <c r="C7" s="74">
        <f t="shared" si="0"/>
        <v>0</v>
      </c>
      <c r="D7" s="74">
        <f t="shared" si="0"/>
        <v>0</v>
      </c>
      <c r="E7" s="74">
        <f t="shared" si="0"/>
        <v>0</v>
      </c>
      <c r="F7" s="74">
        <f t="shared" si="0"/>
        <v>0</v>
      </c>
      <c r="G7" s="67">
        <f t="shared" si="0"/>
        <v>0</v>
      </c>
      <c r="J7" s="283">
        <f t="shared" ref="J7:O7" si="1">SUM(B5:B6)-B7</f>
        <v>0</v>
      </c>
      <c r="K7" s="282">
        <f t="shared" si="1"/>
        <v>0</v>
      </c>
      <c r="L7" s="282">
        <f t="shared" si="1"/>
        <v>0</v>
      </c>
      <c r="M7" s="282">
        <f t="shared" si="1"/>
        <v>0</v>
      </c>
      <c r="N7" s="282">
        <f t="shared" si="1"/>
        <v>0</v>
      </c>
      <c r="O7" s="286">
        <f t="shared" si="1"/>
        <v>0</v>
      </c>
    </row>
    <row r="8" spans="1:15" ht="15.75" thickTop="1" x14ac:dyDescent="0.25"/>
  </sheetData>
  <mergeCells count="10">
    <mergeCell ref="B2:D2"/>
    <mergeCell ref="E2:G2"/>
    <mergeCell ref="B3:D3"/>
    <mergeCell ref="E3:G3"/>
    <mergeCell ref="A2:A4"/>
    <mergeCell ref="J2:L2"/>
    <mergeCell ref="M2:O2"/>
    <mergeCell ref="J3:L3"/>
    <mergeCell ref="M3:O3"/>
    <mergeCell ref="J1:O1"/>
  </mergeCells>
  <conditionalFormatting sqref="J5:O7">
    <cfRule type="cellIs" dxfId="191" priority="3" operator="lessThan">
      <formula>0</formula>
    </cfRule>
    <cfRule type="cellIs" dxfId="19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7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41" style="287" customWidth="1"/>
    <col min="5" max="5" width="14.42578125" customWidth="1"/>
    <col min="6" max="6" width="11.42578125" customWidth="1"/>
  </cols>
  <sheetData>
    <row r="1" spans="1:8" ht="49.5" x14ac:dyDescent="0.3">
      <c r="A1" s="3" t="s">
        <v>162</v>
      </c>
      <c r="D1" s="295" t="s">
        <v>948</v>
      </c>
      <c r="E1" s="290"/>
      <c r="F1" s="290"/>
      <c r="G1" s="290"/>
      <c r="H1" s="290"/>
    </row>
    <row r="2" spans="1:8" ht="15.75" thickBot="1" x14ac:dyDescent="0.3">
      <c r="A2" s="20" t="s">
        <v>3</v>
      </c>
      <c r="B2" s="20"/>
    </row>
    <row r="3" spans="1:8" ht="18.75" customHeight="1" thickTop="1" thickBot="1" x14ac:dyDescent="0.3">
      <c r="A3" s="73" t="s">
        <v>103</v>
      </c>
      <c r="B3" s="40" t="s">
        <v>2</v>
      </c>
      <c r="D3" s="73" t="s">
        <v>2</v>
      </c>
    </row>
    <row r="4" spans="1:8" ht="18.75" customHeight="1" thickTop="1" thickBot="1" x14ac:dyDescent="0.3">
      <c r="A4" s="61" t="s">
        <v>163</v>
      </c>
      <c r="B4" s="78"/>
    </row>
    <row r="5" spans="1:8" ht="18.75" customHeight="1" thickTop="1" thickBot="1" x14ac:dyDescent="0.3">
      <c r="A5" s="61" t="s">
        <v>164</v>
      </c>
      <c r="B5" s="77" t="s">
        <v>1</v>
      </c>
    </row>
    <row r="6" spans="1:8" ht="18.75" customHeight="1" thickTop="1" thickBot="1" x14ac:dyDescent="0.3">
      <c r="A6" s="60" t="s">
        <v>165</v>
      </c>
      <c r="B6" s="69"/>
    </row>
    <row r="7" spans="1:8" ht="18.75" customHeight="1" thickBot="1" x14ac:dyDescent="0.3">
      <c r="A7" s="60" t="s">
        <v>166</v>
      </c>
      <c r="B7" s="69"/>
    </row>
    <row r="8" spans="1:8" ht="18.75" customHeight="1" thickBot="1" x14ac:dyDescent="0.3">
      <c r="A8" s="60" t="s">
        <v>167</v>
      </c>
      <c r="B8" s="69"/>
    </row>
    <row r="9" spans="1:8" ht="18.75" customHeight="1" thickBot="1" x14ac:dyDescent="0.3">
      <c r="A9" s="60" t="s">
        <v>168</v>
      </c>
      <c r="B9" s="69"/>
    </row>
    <row r="10" spans="1:8" ht="18.75" customHeight="1" thickBot="1" x14ac:dyDescent="0.3">
      <c r="A10" s="60" t="s">
        <v>169</v>
      </c>
      <c r="B10" s="69"/>
    </row>
    <row r="11" spans="1:8" ht="18.75" customHeight="1" thickBot="1" x14ac:dyDescent="0.3">
      <c r="A11" s="60" t="s">
        <v>170</v>
      </c>
      <c r="B11" s="69"/>
    </row>
    <row r="12" spans="1:8" ht="18.75" customHeight="1" thickBot="1" x14ac:dyDescent="0.3">
      <c r="A12" s="60" t="s">
        <v>171</v>
      </c>
      <c r="B12" s="69"/>
    </row>
    <row r="13" spans="1:8" ht="18.75" customHeight="1" thickBot="1" x14ac:dyDescent="0.3">
      <c r="A13" s="60" t="s">
        <v>172</v>
      </c>
      <c r="B13" s="69"/>
    </row>
    <row r="14" spans="1:8" ht="18.75" customHeight="1" thickBot="1" x14ac:dyDescent="0.3">
      <c r="A14" s="61" t="s">
        <v>4</v>
      </c>
      <c r="B14" s="67">
        <f>SUM(B6:B13)</f>
        <v>0</v>
      </c>
      <c r="D14" s="294">
        <f>SUM(B6:B13)-B14</f>
        <v>0</v>
      </c>
    </row>
    <row r="15" spans="1:8" ht="18.75" customHeight="1" thickTop="1" x14ac:dyDescent="0.25">
      <c r="A15" s="20"/>
      <c r="B15" s="20"/>
    </row>
    <row r="16" spans="1:8" ht="18.75" customHeight="1" thickBot="1" x14ac:dyDescent="0.3">
      <c r="A16" s="20" t="s">
        <v>5</v>
      </c>
      <c r="B16" s="20"/>
    </row>
    <row r="17" spans="1:4" ht="18.75" customHeight="1" thickTop="1" thickBot="1" x14ac:dyDescent="0.3">
      <c r="A17" s="73" t="s">
        <v>103</v>
      </c>
      <c r="B17" s="40" t="s">
        <v>2</v>
      </c>
    </row>
    <row r="18" spans="1:4" ht="18.75" customHeight="1" thickTop="1" thickBot="1" x14ac:dyDescent="0.3">
      <c r="A18" s="61" t="s">
        <v>173</v>
      </c>
      <c r="B18" s="78"/>
    </row>
    <row r="19" spans="1:4" ht="18.75" customHeight="1" thickTop="1" thickBot="1" x14ac:dyDescent="0.3">
      <c r="A19" s="61" t="s">
        <v>174</v>
      </c>
      <c r="B19" s="77" t="s">
        <v>1</v>
      </c>
    </row>
    <row r="20" spans="1:4" ht="18.75" customHeight="1" thickTop="1" thickBot="1" x14ac:dyDescent="0.3">
      <c r="A20" s="60" t="s">
        <v>175</v>
      </c>
      <c r="B20" s="69"/>
    </row>
    <row r="21" spans="1:4" ht="18.75" customHeight="1" thickBot="1" x14ac:dyDescent="0.3">
      <c r="A21" s="60" t="s">
        <v>176</v>
      </c>
      <c r="B21" s="69"/>
    </row>
    <row r="22" spans="1:4" ht="18.75" customHeight="1" thickBot="1" x14ac:dyDescent="0.3">
      <c r="A22" s="60" t="s">
        <v>177</v>
      </c>
      <c r="B22" s="69"/>
    </row>
    <row r="23" spans="1:4" ht="18.75" customHeight="1" thickBot="1" x14ac:dyDescent="0.3">
      <c r="A23" s="60" t="s">
        <v>178</v>
      </c>
      <c r="B23" s="69"/>
    </row>
    <row r="24" spans="1:4" ht="18.75" customHeight="1" thickBot="1" x14ac:dyDescent="0.3">
      <c r="A24" s="60" t="s">
        <v>179</v>
      </c>
      <c r="B24" s="69"/>
    </row>
    <row r="25" spans="1:4" ht="18.75" customHeight="1" thickBot="1" x14ac:dyDescent="0.3">
      <c r="A25" s="60" t="s">
        <v>172</v>
      </c>
      <c r="B25" s="69"/>
    </row>
    <row r="26" spans="1:4" ht="18.75" customHeight="1" thickBot="1" x14ac:dyDescent="0.3">
      <c r="A26" s="61" t="s">
        <v>180</v>
      </c>
      <c r="B26" s="67">
        <f>SUM(B20:B25)</f>
        <v>0</v>
      </c>
      <c r="D26" s="294">
        <f>SUM(B20:B25)-B26</f>
        <v>0</v>
      </c>
    </row>
    <row r="27" spans="1:4" ht="17.25" thickTop="1" x14ac:dyDescent="0.3">
      <c r="A27" s="1"/>
    </row>
  </sheetData>
  <conditionalFormatting sqref="D14:D26">
    <cfRule type="cellIs" dxfId="189" priority="2" operator="lessThan">
      <formula>0</formula>
    </cfRule>
    <cfRule type="cellIs" dxfId="188" priority="3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45"/>
  <sheetViews>
    <sheetView showGridLines="0" workbookViewId="0">
      <selection activeCell="F12" sqref="F12"/>
    </sheetView>
  </sheetViews>
  <sheetFormatPr defaultColWidth="9.140625" defaultRowHeight="11.25" x14ac:dyDescent="0.25"/>
  <cols>
    <col min="1" max="1" width="28.42578125" style="20" customWidth="1"/>
    <col min="2" max="6" width="11.5703125" style="20" customWidth="1"/>
    <col min="7" max="8" width="9.140625" style="20"/>
    <col min="9" max="9" width="20.140625" style="303" customWidth="1"/>
    <col min="10" max="10" width="9.140625" style="20" customWidth="1"/>
    <col min="11" max="11" width="26.85546875" style="303" customWidth="1"/>
    <col min="12" max="12" width="9.140625" style="20"/>
    <col min="13" max="13" width="31.28515625" style="303" customWidth="1"/>
    <col min="14" max="16384" width="9.140625" style="20"/>
  </cols>
  <sheetData>
    <row r="1" spans="1:13" ht="15" x14ac:dyDescent="0.25">
      <c r="I1" s="293" t="s">
        <v>948</v>
      </c>
      <c r="K1" s="293" t="s">
        <v>952</v>
      </c>
      <c r="M1" s="295" t="s">
        <v>950</v>
      </c>
    </row>
    <row r="2" spans="1:13" ht="12" thickBot="1" x14ac:dyDescent="0.3"/>
    <row r="3" spans="1:13" ht="13.5" customHeight="1" thickTop="1" thickBot="1" x14ac:dyDescent="0.3">
      <c r="A3" s="1194" t="s">
        <v>431</v>
      </c>
      <c r="B3" s="1191" t="s">
        <v>1</v>
      </c>
      <c r="C3" s="1192"/>
      <c r="D3" s="1192"/>
      <c r="E3" s="1192"/>
      <c r="F3" s="1193"/>
    </row>
    <row r="4" spans="1:13" ht="46.5" thickTop="1" thickBot="1" x14ac:dyDescent="0.3">
      <c r="A4" s="1195"/>
      <c r="B4" s="81" t="s">
        <v>438</v>
      </c>
      <c r="C4" s="81" t="s">
        <v>9</v>
      </c>
      <c r="D4" s="81" t="s">
        <v>10</v>
      </c>
      <c r="E4" s="81" t="s">
        <v>11</v>
      </c>
      <c r="F4" s="21" t="s">
        <v>364</v>
      </c>
      <c r="I4" s="48" t="s">
        <v>364</v>
      </c>
      <c r="K4" s="48" t="s">
        <v>438</v>
      </c>
      <c r="M4" s="48" t="s">
        <v>364</v>
      </c>
    </row>
    <row r="5" spans="1:13" ht="22.5" customHeight="1" thickTop="1" thickBot="1" x14ac:dyDescent="0.3">
      <c r="A5" s="79" t="s">
        <v>365</v>
      </c>
      <c r="B5" s="82"/>
      <c r="C5" s="82"/>
      <c r="D5" s="82"/>
      <c r="E5" s="82"/>
      <c r="F5" s="83">
        <f>SUM(B5:E5)</f>
        <v>0</v>
      </c>
      <c r="I5" s="303">
        <f>SUM(B5:E5)-F5</f>
        <v>0</v>
      </c>
      <c r="K5" s="303">
        <f>B5-F27</f>
        <v>0</v>
      </c>
      <c r="M5" s="304">
        <f>F5-'BS old'!$D$84</f>
        <v>0</v>
      </c>
    </row>
    <row r="6" spans="1:13" ht="22.5" customHeight="1" thickBot="1" x14ac:dyDescent="0.3">
      <c r="A6" s="79" t="s">
        <v>366</v>
      </c>
      <c r="B6" s="82"/>
      <c r="C6" s="82"/>
      <c r="D6" s="82"/>
      <c r="E6" s="82"/>
      <c r="F6" s="83">
        <f t="shared" ref="F6:F21" si="0">SUM(B6:E6)</f>
        <v>0</v>
      </c>
      <c r="I6" s="303">
        <f>SUM(B6:E6)-F6</f>
        <v>0</v>
      </c>
      <c r="K6" s="303">
        <f>B6-F28</f>
        <v>0</v>
      </c>
      <c r="M6" s="304">
        <f>F6-'BS old'!$D$85</f>
        <v>0</v>
      </c>
    </row>
    <row r="7" spans="1:13" ht="22.5" customHeight="1" thickBot="1" x14ac:dyDescent="0.3">
      <c r="A7" s="79" t="s">
        <v>432</v>
      </c>
      <c r="B7" s="82"/>
      <c r="C7" s="82"/>
      <c r="D7" s="82"/>
      <c r="E7" s="82"/>
      <c r="F7" s="83">
        <f t="shared" si="0"/>
        <v>0</v>
      </c>
      <c r="I7" s="303">
        <f t="shared" ref="I7:I22" si="1">SUM(B7:E7)-F7</f>
        <v>0</v>
      </c>
      <c r="K7" s="303">
        <f t="shared" ref="K7:K22" si="2">B7-F29</f>
        <v>0</v>
      </c>
      <c r="M7" s="304">
        <f>F7-'BS old'!$D$86</f>
        <v>0</v>
      </c>
    </row>
    <row r="8" spans="1:13" ht="22.5" customHeight="1" thickBot="1" x14ac:dyDescent="0.3">
      <c r="A8" s="79" t="s">
        <v>433</v>
      </c>
      <c r="B8" s="82"/>
      <c r="C8" s="82"/>
      <c r="D8" s="82"/>
      <c r="E8" s="82"/>
      <c r="F8" s="83">
        <f t="shared" si="0"/>
        <v>0</v>
      </c>
      <c r="I8" s="303">
        <f t="shared" si="1"/>
        <v>0</v>
      </c>
      <c r="K8" s="303">
        <f t="shared" si="2"/>
        <v>0</v>
      </c>
      <c r="M8" s="303">
        <f>F8-'BS old'!$D$87</f>
        <v>0</v>
      </c>
    </row>
    <row r="9" spans="1:13" ht="22.5" customHeight="1" thickBot="1" x14ac:dyDescent="0.3">
      <c r="A9" s="79" t="s">
        <v>367</v>
      </c>
      <c r="B9" s="82"/>
      <c r="C9" s="82"/>
      <c r="D9" s="82"/>
      <c r="E9" s="82"/>
      <c r="F9" s="83">
        <f t="shared" si="0"/>
        <v>0</v>
      </c>
      <c r="I9" s="303">
        <f t="shared" si="1"/>
        <v>0</v>
      </c>
      <c r="K9" s="303">
        <f t="shared" si="2"/>
        <v>0</v>
      </c>
      <c r="M9" s="304">
        <f>F9-'BS old'!$D$89</f>
        <v>0</v>
      </c>
    </row>
    <row r="10" spans="1:13" ht="22.5" customHeight="1" thickBot="1" x14ac:dyDescent="0.3">
      <c r="A10" s="79" t="s">
        <v>368</v>
      </c>
      <c r="B10" s="82"/>
      <c r="C10" s="82"/>
      <c r="D10" s="82"/>
      <c r="E10" s="82"/>
      <c r="F10" s="83">
        <f t="shared" si="0"/>
        <v>0</v>
      </c>
      <c r="I10" s="303">
        <f t="shared" si="1"/>
        <v>0</v>
      </c>
      <c r="K10" s="303">
        <f t="shared" si="2"/>
        <v>0</v>
      </c>
      <c r="M10" s="304">
        <f>F10-'BS old'!$D$90</f>
        <v>0</v>
      </c>
    </row>
    <row r="11" spans="1:13" ht="22.5" customHeight="1" thickBot="1" x14ac:dyDescent="0.3">
      <c r="A11" s="79" t="s">
        <v>369</v>
      </c>
      <c r="B11" s="82"/>
      <c r="C11" s="82"/>
      <c r="D11" s="82"/>
      <c r="E11" s="82"/>
      <c r="F11" s="83">
        <f>SUM(B11:E11)</f>
        <v>0</v>
      </c>
      <c r="I11" s="303">
        <f t="shared" si="1"/>
        <v>0</v>
      </c>
      <c r="K11" s="303">
        <f t="shared" si="2"/>
        <v>0</v>
      </c>
      <c r="M11" s="304">
        <f>F11-'BS old'!$D$91</f>
        <v>0</v>
      </c>
    </row>
    <row r="12" spans="1:13" ht="22.5" customHeight="1" thickBot="1" x14ac:dyDescent="0.3">
      <c r="A12" s="79" t="s">
        <v>370</v>
      </c>
      <c r="B12" s="82"/>
      <c r="C12" s="82"/>
      <c r="D12" s="82"/>
      <c r="E12" s="82"/>
      <c r="F12" s="83">
        <f t="shared" si="0"/>
        <v>0</v>
      </c>
      <c r="I12" s="303">
        <f t="shared" si="1"/>
        <v>0</v>
      </c>
      <c r="K12" s="303">
        <f t="shared" si="2"/>
        <v>0</v>
      </c>
      <c r="M12" s="304">
        <f>F12-'BS old'!$D$92-'BS old'!$D$93</f>
        <v>0</v>
      </c>
    </row>
    <row r="13" spans="1:13" ht="22.5" customHeight="1" thickBot="1" x14ac:dyDescent="0.3">
      <c r="A13" s="79" t="s">
        <v>434</v>
      </c>
      <c r="B13" s="82"/>
      <c r="C13" s="82"/>
      <c r="D13" s="82"/>
      <c r="E13" s="82"/>
      <c r="F13" s="83">
        <f t="shared" si="0"/>
        <v>0</v>
      </c>
      <c r="I13" s="303">
        <f t="shared" si="1"/>
        <v>0</v>
      </c>
      <c r="K13" s="303">
        <f t="shared" si="2"/>
        <v>0</v>
      </c>
      <c r="M13" s="304">
        <f>F13-'BS old'!$D$94</f>
        <v>0</v>
      </c>
    </row>
    <row r="14" spans="1:13" ht="22.5" customHeight="1" thickBot="1" x14ac:dyDescent="0.3">
      <c r="A14" s="79" t="s">
        <v>371</v>
      </c>
      <c r="B14" s="82"/>
      <c r="C14" s="82"/>
      <c r="D14" s="82"/>
      <c r="E14" s="82"/>
      <c r="F14" s="83">
        <f t="shared" si="0"/>
        <v>0</v>
      </c>
      <c r="I14" s="303">
        <f t="shared" si="1"/>
        <v>0</v>
      </c>
      <c r="K14" s="303">
        <f t="shared" si="2"/>
        <v>0</v>
      </c>
      <c r="M14" s="304">
        <f>F14-'BS old'!$D$96</f>
        <v>0</v>
      </c>
    </row>
    <row r="15" spans="1:13" ht="22.5" customHeight="1" thickBot="1" x14ac:dyDescent="0.3">
      <c r="A15" s="79" t="s">
        <v>372</v>
      </c>
      <c r="B15" s="82"/>
      <c r="C15" s="82"/>
      <c r="D15" s="82"/>
      <c r="E15" s="82"/>
      <c r="F15" s="83">
        <f t="shared" si="0"/>
        <v>0</v>
      </c>
      <c r="I15" s="303">
        <f t="shared" si="1"/>
        <v>0</v>
      </c>
      <c r="K15" s="303">
        <f t="shared" si="2"/>
        <v>0</v>
      </c>
      <c r="M15" s="304">
        <f>F15-'BS old'!$D$97</f>
        <v>0</v>
      </c>
    </row>
    <row r="16" spans="1:13" ht="22.5" customHeight="1" thickBot="1" x14ac:dyDescent="0.3">
      <c r="A16" s="79" t="s">
        <v>373</v>
      </c>
      <c r="B16" s="82"/>
      <c r="C16" s="82"/>
      <c r="D16" s="82"/>
      <c r="E16" s="82"/>
      <c r="F16" s="83">
        <f t="shared" si="0"/>
        <v>0</v>
      </c>
      <c r="I16" s="303">
        <f t="shared" si="1"/>
        <v>0</v>
      </c>
      <c r="K16" s="303">
        <f t="shared" si="2"/>
        <v>0</v>
      </c>
      <c r="M16" s="304">
        <f>F16-'BS old'!$D$98</f>
        <v>0</v>
      </c>
    </row>
    <row r="17" spans="1:13" ht="22.5" customHeight="1" thickBot="1" x14ac:dyDescent="0.3">
      <c r="A17" s="79" t="s">
        <v>374</v>
      </c>
      <c r="B17" s="82"/>
      <c r="C17" s="82"/>
      <c r="D17" s="82"/>
      <c r="E17" s="82"/>
      <c r="F17" s="83">
        <f t="shared" si="0"/>
        <v>0</v>
      </c>
      <c r="I17" s="303">
        <f t="shared" si="1"/>
        <v>0</v>
      </c>
      <c r="K17" s="303">
        <f t="shared" si="2"/>
        <v>0</v>
      </c>
      <c r="M17" s="304">
        <f>F17-'BS old'!$D$100</f>
        <v>0</v>
      </c>
    </row>
    <row r="18" spans="1:13" ht="22.5" customHeight="1" thickBot="1" x14ac:dyDescent="0.3">
      <c r="A18" s="79" t="s">
        <v>435</v>
      </c>
      <c r="B18" s="82"/>
      <c r="C18" s="82"/>
      <c r="D18" s="82"/>
      <c r="E18" s="82"/>
      <c r="F18" s="83">
        <f t="shared" si="0"/>
        <v>0</v>
      </c>
      <c r="I18" s="303">
        <f t="shared" si="1"/>
        <v>0</v>
      </c>
      <c r="K18" s="303">
        <f t="shared" si="2"/>
        <v>0</v>
      </c>
      <c r="M18" s="304">
        <f>F18-'BS old'!$D$101</f>
        <v>0</v>
      </c>
    </row>
    <row r="19" spans="1:13" ht="22.5" customHeight="1" thickBot="1" x14ac:dyDescent="0.3">
      <c r="A19" s="79" t="s">
        <v>436</v>
      </c>
      <c r="B19" s="82"/>
      <c r="C19" s="82"/>
      <c r="D19" s="82"/>
      <c r="E19" s="82"/>
      <c r="F19" s="83">
        <f t="shared" si="0"/>
        <v>0</v>
      </c>
      <c r="I19" s="303">
        <f t="shared" si="1"/>
        <v>0</v>
      </c>
      <c r="K19" s="303">
        <f t="shared" si="2"/>
        <v>0</v>
      </c>
      <c r="M19" s="304">
        <f>F19-'BS old'!$D$102</f>
        <v>0</v>
      </c>
    </row>
    <row r="20" spans="1:13" ht="22.5" customHeight="1" thickBot="1" x14ac:dyDescent="0.3">
      <c r="A20" s="79" t="s">
        <v>375</v>
      </c>
      <c r="B20" s="82"/>
      <c r="C20" s="82"/>
      <c r="D20" s="82"/>
      <c r="E20" s="82"/>
      <c r="F20" s="83">
        <f t="shared" si="0"/>
        <v>0</v>
      </c>
      <c r="I20" s="303">
        <f t="shared" si="1"/>
        <v>0</v>
      </c>
      <c r="K20" s="303">
        <f t="shared" si="2"/>
        <v>0</v>
      </c>
      <c r="M20" s="305"/>
    </row>
    <row r="21" spans="1:13" ht="22.5" customHeight="1" thickBot="1" x14ac:dyDescent="0.3">
      <c r="A21" s="79" t="s">
        <v>376</v>
      </c>
      <c r="B21" s="82"/>
      <c r="C21" s="82"/>
      <c r="D21" s="82"/>
      <c r="E21" s="82"/>
      <c r="F21" s="83">
        <f t="shared" si="0"/>
        <v>0</v>
      </c>
      <c r="I21" s="303">
        <f t="shared" si="1"/>
        <v>0</v>
      </c>
      <c r="K21" s="303">
        <f t="shared" si="2"/>
        <v>0</v>
      </c>
      <c r="M21" s="305"/>
    </row>
    <row r="22" spans="1:13" ht="22.5" customHeight="1" thickBot="1" x14ac:dyDescent="0.3">
      <c r="A22" s="80" t="s">
        <v>437</v>
      </c>
      <c r="B22" s="84"/>
      <c r="C22" s="84"/>
      <c r="D22" s="84"/>
      <c r="E22" s="84"/>
      <c r="F22" s="87">
        <f>SUM(B22:E22)</f>
        <v>0</v>
      </c>
      <c r="I22" s="303">
        <f t="shared" si="1"/>
        <v>0</v>
      </c>
      <c r="K22" s="303">
        <f t="shared" si="2"/>
        <v>0</v>
      </c>
      <c r="M22" s="305"/>
    </row>
    <row r="23" spans="1:13" ht="22.5" customHeight="1" thickTop="1" x14ac:dyDescent="0.25">
      <c r="A23" s="85"/>
      <c r="B23" s="86"/>
      <c r="C23" s="86"/>
      <c r="D23" s="86"/>
      <c r="E23" s="86"/>
      <c r="F23" s="86"/>
    </row>
    <row r="24" spans="1:13" ht="12" thickBot="1" x14ac:dyDescent="0.3"/>
    <row r="25" spans="1:13" ht="13.5" customHeight="1" thickTop="1" thickBot="1" x14ac:dyDescent="0.3">
      <c r="A25" s="1194" t="s">
        <v>431</v>
      </c>
      <c r="B25" s="1191" t="s">
        <v>2</v>
      </c>
      <c r="C25" s="1192"/>
      <c r="D25" s="1192"/>
      <c r="E25" s="1192"/>
      <c r="F25" s="1193"/>
    </row>
    <row r="26" spans="1:13" ht="46.5" thickTop="1" thickBot="1" x14ac:dyDescent="0.3">
      <c r="A26" s="1195"/>
      <c r="B26" s="81" t="s">
        <v>438</v>
      </c>
      <c r="C26" s="81" t="s">
        <v>9</v>
      </c>
      <c r="D26" s="81" t="s">
        <v>10</v>
      </c>
      <c r="E26" s="81" t="s">
        <v>11</v>
      </c>
      <c r="F26" s="21" t="s">
        <v>364</v>
      </c>
      <c r="I26" s="48" t="s">
        <v>364</v>
      </c>
      <c r="M26" s="48" t="s">
        <v>364</v>
      </c>
    </row>
    <row r="27" spans="1:13" ht="22.5" customHeight="1" thickTop="1" thickBot="1" x14ac:dyDescent="0.3">
      <c r="A27" s="79" t="s">
        <v>365</v>
      </c>
      <c r="B27" s="82"/>
      <c r="C27" s="82"/>
      <c r="D27" s="82"/>
      <c r="E27" s="82"/>
      <c r="F27" s="83">
        <f>SUM(B27:E27)</f>
        <v>0</v>
      </c>
      <c r="I27" s="303">
        <f>SUM(B27:E27)-F27</f>
        <v>0</v>
      </c>
      <c r="M27" s="304">
        <f>F27-'BS old'!E84</f>
        <v>0</v>
      </c>
    </row>
    <row r="28" spans="1:13" ht="22.5" customHeight="1" thickBot="1" x14ac:dyDescent="0.3">
      <c r="A28" s="79" t="s">
        <v>366</v>
      </c>
      <c r="B28" s="82"/>
      <c r="C28" s="82"/>
      <c r="D28" s="82"/>
      <c r="E28" s="82"/>
      <c r="F28" s="83">
        <f t="shared" ref="F28:F42" si="3">SUM(B28:E28)</f>
        <v>0</v>
      </c>
      <c r="I28" s="303">
        <f>SUM(B28:E28)-F28</f>
        <v>0</v>
      </c>
      <c r="M28" s="304">
        <f>F28-'BS old'!E85</f>
        <v>0</v>
      </c>
    </row>
    <row r="29" spans="1:13" ht="22.5" customHeight="1" thickBot="1" x14ac:dyDescent="0.3">
      <c r="A29" s="79" t="s">
        <v>432</v>
      </c>
      <c r="B29" s="82"/>
      <c r="C29" s="82"/>
      <c r="D29" s="82"/>
      <c r="E29" s="82"/>
      <c r="F29" s="83">
        <f t="shared" si="3"/>
        <v>0</v>
      </c>
      <c r="I29" s="303">
        <f t="shared" ref="I29:I44" si="4">SUM(B29:E29)-F29</f>
        <v>0</v>
      </c>
      <c r="M29" s="304">
        <f>F29-'BS old'!E86</f>
        <v>0</v>
      </c>
    </row>
    <row r="30" spans="1:13" ht="22.5" customHeight="1" thickBot="1" x14ac:dyDescent="0.3">
      <c r="A30" s="79" t="s">
        <v>433</v>
      </c>
      <c r="B30" s="82"/>
      <c r="C30" s="82"/>
      <c r="D30" s="82"/>
      <c r="E30" s="82"/>
      <c r="F30" s="83">
        <f t="shared" si="3"/>
        <v>0</v>
      </c>
      <c r="I30" s="303">
        <f t="shared" si="4"/>
        <v>0</v>
      </c>
      <c r="M30" s="304">
        <f>F30-'BS old'!E87</f>
        <v>0</v>
      </c>
    </row>
    <row r="31" spans="1:13" ht="22.5" customHeight="1" thickBot="1" x14ac:dyDescent="0.3">
      <c r="A31" s="79" t="s">
        <v>367</v>
      </c>
      <c r="B31" s="82"/>
      <c r="C31" s="82"/>
      <c r="D31" s="82"/>
      <c r="E31" s="82"/>
      <c r="F31" s="83">
        <f t="shared" si="3"/>
        <v>0</v>
      </c>
      <c r="I31" s="303">
        <f t="shared" si="4"/>
        <v>0</v>
      </c>
      <c r="M31" s="304">
        <f>F31-'BS old'!E89</f>
        <v>0</v>
      </c>
    </row>
    <row r="32" spans="1:13" ht="22.5" customHeight="1" thickBot="1" x14ac:dyDescent="0.3">
      <c r="A32" s="79" t="s">
        <v>368</v>
      </c>
      <c r="B32" s="82"/>
      <c r="C32" s="82"/>
      <c r="D32" s="82"/>
      <c r="E32" s="82"/>
      <c r="F32" s="83">
        <f t="shared" si="3"/>
        <v>0</v>
      </c>
      <c r="I32" s="303">
        <f t="shared" si="4"/>
        <v>0</v>
      </c>
      <c r="M32" s="304">
        <f>F32-'BS old'!E90</f>
        <v>0</v>
      </c>
    </row>
    <row r="33" spans="1:13" ht="22.5" customHeight="1" thickBot="1" x14ac:dyDescent="0.3">
      <c r="A33" s="79" t="s">
        <v>369</v>
      </c>
      <c r="B33" s="82"/>
      <c r="C33" s="82"/>
      <c r="D33" s="82"/>
      <c r="E33" s="82"/>
      <c r="F33" s="83">
        <f t="shared" si="3"/>
        <v>0</v>
      </c>
      <c r="I33" s="303">
        <f t="shared" si="4"/>
        <v>0</v>
      </c>
      <c r="M33" s="304">
        <f>F33-'BS old'!E91</f>
        <v>0</v>
      </c>
    </row>
    <row r="34" spans="1:13" ht="22.5" customHeight="1" thickBot="1" x14ac:dyDescent="0.3">
      <c r="A34" s="79" t="s">
        <v>370</v>
      </c>
      <c r="B34" s="82"/>
      <c r="C34" s="82"/>
      <c r="D34" s="82"/>
      <c r="E34" s="82"/>
      <c r="F34" s="83">
        <f t="shared" si="3"/>
        <v>0</v>
      </c>
      <c r="I34" s="303">
        <f t="shared" si="4"/>
        <v>0</v>
      </c>
      <c r="M34" s="304">
        <f>F34-'BS old'!E92-'BS old'!E93</f>
        <v>0</v>
      </c>
    </row>
    <row r="35" spans="1:13" ht="22.5" customHeight="1" thickBot="1" x14ac:dyDescent="0.3">
      <c r="A35" s="79" t="s">
        <v>434</v>
      </c>
      <c r="B35" s="82"/>
      <c r="C35" s="82"/>
      <c r="D35" s="82"/>
      <c r="E35" s="82"/>
      <c r="F35" s="83">
        <f t="shared" si="3"/>
        <v>0</v>
      </c>
      <c r="I35" s="303">
        <f t="shared" si="4"/>
        <v>0</v>
      </c>
      <c r="M35" s="304">
        <f>F35-'BS old'!E94</f>
        <v>0</v>
      </c>
    </row>
    <row r="36" spans="1:13" ht="22.5" customHeight="1" thickBot="1" x14ac:dyDescent="0.3">
      <c r="A36" s="79" t="s">
        <v>371</v>
      </c>
      <c r="B36" s="82"/>
      <c r="C36" s="82"/>
      <c r="D36" s="82"/>
      <c r="E36" s="82"/>
      <c r="F36" s="83">
        <f t="shared" si="3"/>
        <v>0</v>
      </c>
      <c r="I36" s="303">
        <f t="shared" si="4"/>
        <v>0</v>
      </c>
      <c r="M36" s="304">
        <f>F36-'BS old'!E96</f>
        <v>0</v>
      </c>
    </row>
    <row r="37" spans="1:13" ht="22.5" customHeight="1" thickBot="1" x14ac:dyDescent="0.3">
      <c r="A37" s="79" t="s">
        <v>372</v>
      </c>
      <c r="B37" s="82"/>
      <c r="C37" s="82"/>
      <c r="D37" s="82"/>
      <c r="E37" s="82"/>
      <c r="F37" s="83">
        <f t="shared" si="3"/>
        <v>0</v>
      </c>
      <c r="I37" s="303">
        <f t="shared" si="4"/>
        <v>0</v>
      </c>
      <c r="M37" s="304">
        <f>F37-'BS old'!E97</f>
        <v>0</v>
      </c>
    </row>
    <row r="38" spans="1:13" ht="22.5" customHeight="1" thickBot="1" x14ac:dyDescent="0.3">
      <c r="A38" s="79" t="s">
        <v>373</v>
      </c>
      <c r="B38" s="82"/>
      <c r="C38" s="82"/>
      <c r="D38" s="82"/>
      <c r="E38" s="82"/>
      <c r="F38" s="83">
        <f t="shared" si="3"/>
        <v>0</v>
      </c>
      <c r="I38" s="303">
        <f t="shared" si="4"/>
        <v>0</v>
      </c>
      <c r="M38" s="304">
        <f>F38-'BS old'!E98</f>
        <v>0</v>
      </c>
    </row>
    <row r="39" spans="1:13" ht="22.5" customHeight="1" thickBot="1" x14ac:dyDescent="0.3">
      <c r="A39" s="79" t="s">
        <v>374</v>
      </c>
      <c r="B39" s="82"/>
      <c r="C39" s="82"/>
      <c r="D39" s="82"/>
      <c r="E39" s="82"/>
      <c r="F39" s="83">
        <f t="shared" si="3"/>
        <v>0</v>
      </c>
      <c r="I39" s="303">
        <f t="shared" si="4"/>
        <v>0</v>
      </c>
      <c r="M39" s="304">
        <f>F39-'BS old'!E100</f>
        <v>0</v>
      </c>
    </row>
    <row r="40" spans="1:13" ht="22.5" customHeight="1" thickBot="1" x14ac:dyDescent="0.3">
      <c r="A40" s="79" t="s">
        <v>435</v>
      </c>
      <c r="B40" s="82"/>
      <c r="C40" s="82"/>
      <c r="D40" s="82"/>
      <c r="E40" s="82"/>
      <c r="F40" s="83">
        <f t="shared" si="3"/>
        <v>0</v>
      </c>
      <c r="I40" s="303">
        <f t="shared" si="4"/>
        <v>0</v>
      </c>
      <c r="M40" s="304">
        <f>F40-'BS old'!E101</f>
        <v>0</v>
      </c>
    </row>
    <row r="41" spans="1:13" ht="22.5" customHeight="1" thickBot="1" x14ac:dyDescent="0.3">
      <c r="A41" s="79" t="s">
        <v>436</v>
      </c>
      <c r="B41" s="82"/>
      <c r="C41" s="82"/>
      <c r="D41" s="82"/>
      <c r="E41" s="82"/>
      <c r="F41" s="83">
        <f t="shared" si="3"/>
        <v>0</v>
      </c>
      <c r="I41" s="303">
        <f t="shared" si="4"/>
        <v>0</v>
      </c>
      <c r="M41" s="304">
        <f>F41-'BS old'!E102</f>
        <v>0</v>
      </c>
    </row>
    <row r="42" spans="1:13" ht="22.5" customHeight="1" thickBot="1" x14ac:dyDescent="0.3">
      <c r="A42" s="79" t="s">
        <v>375</v>
      </c>
      <c r="B42" s="82"/>
      <c r="C42" s="82"/>
      <c r="D42" s="82"/>
      <c r="E42" s="82"/>
      <c r="F42" s="83">
        <f t="shared" si="3"/>
        <v>0</v>
      </c>
      <c r="I42" s="303">
        <f t="shared" si="4"/>
        <v>0</v>
      </c>
      <c r="M42" s="305"/>
    </row>
    <row r="43" spans="1:13" ht="22.5" customHeight="1" thickBot="1" x14ac:dyDescent="0.3">
      <c r="A43" s="79" t="s">
        <v>376</v>
      </c>
      <c r="B43" s="82"/>
      <c r="C43" s="82"/>
      <c r="D43" s="82"/>
      <c r="E43" s="82"/>
      <c r="F43" s="83">
        <f>SUM(B43:E43)</f>
        <v>0</v>
      </c>
      <c r="I43" s="303">
        <f t="shared" si="4"/>
        <v>0</v>
      </c>
      <c r="M43" s="305"/>
    </row>
    <row r="44" spans="1:13" ht="22.5" customHeight="1" thickBot="1" x14ac:dyDescent="0.3">
      <c r="A44" s="80" t="s">
        <v>437</v>
      </c>
      <c r="B44" s="84"/>
      <c r="C44" s="84"/>
      <c r="D44" s="84"/>
      <c r="E44" s="84"/>
      <c r="F44" s="87">
        <f>SUM(B44:E44)</f>
        <v>0</v>
      </c>
      <c r="I44" s="303">
        <f t="shared" si="4"/>
        <v>0</v>
      </c>
      <c r="M44" s="305"/>
    </row>
    <row r="45" spans="1:13" ht="12" thickTop="1" x14ac:dyDescent="0.25"/>
  </sheetData>
  <mergeCells count="4">
    <mergeCell ref="B3:F3"/>
    <mergeCell ref="A25:A26"/>
    <mergeCell ref="B25:F25"/>
    <mergeCell ref="A3:A4"/>
  </mergeCells>
  <conditionalFormatting sqref="I5:I22 I27:I44 M5:M19 M27:M41 K5:K22">
    <cfRule type="cellIs" dxfId="187" priority="12" operator="lessThan">
      <formula>0</formula>
    </cfRule>
    <cfRule type="cellIs" dxfId="186" priority="13" operator="greaterThan">
      <formula>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36"/>
  <sheetViews>
    <sheetView showGridLines="0" topLeftCell="A25" zoomScaleNormal="100" workbookViewId="0">
      <selection activeCell="P29" sqref="P29"/>
    </sheetView>
  </sheetViews>
  <sheetFormatPr defaultRowHeight="15" outlineLevelCol="1" x14ac:dyDescent="0.25"/>
  <cols>
    <col min="1" max="1" width="20.7109375" customWidth="1"/>
    <col min="2" max="6" width="13.140625" customWidth="1"/>
    <col min="7" max="7" width="23.28515625" customWidth="1"/>
    <col min="8" max="8" width="14.28515625" style="280" hidden="1" customWidth="1" outlineLevel="1"/>
    <col min="9" max="11" width="12.7109375" style="281" hidden="1" customWidth="1" outlineLevel="1"/>
    <col min="12" max="12" width="18" style="285" customWidth="1" collapsed="1"/>
    <col min="14" max="14" width="27.42578125" style="287" customWidth="1"/>
    <col min="16" max="16" width="24.7109375" style="287" customWidth="1"/>
    <col min="17" max="17" width="27.7109375" customWidth="1"/>
  </cols>
  <sheetData>
    <row r="1" spans="1:16" x14ac:dyDescent="0.25">
      <c r="A1" s="88" t="s">
        <v>181</v>
      </c>
      <c r="B1" s="20"/>
      <c r="C1" s="20"/>
      <c r="D1" s="20"/>
      <c r="E1" s="20"/>
      <c r="F1" s="20"/>
      <c r="H1" s="1168" t="s">
        <v>948</v>
      </c>
      <c r="I1" s="1169"/>
      <c r="J1" s="1169"/>
      <c r="K1" s="1169"/>
      <c r="L1" s="1170"/>
      <c r="N1" s="293" t="s">
        <v>952</v>
      </c>
      <c r="P1" s="295" t="s">
        <v>950</v>
      </c>
    </row>
    <row r="2" spans="1:16" ht="15.75" thickBot="1" x14ac:dyDescent="0.3">
      <c r="A2" s="20" t="s">
        <v>3</v>
      </c>
      <c r="B2" s="20"/>
      <c r="C2" s="20"/>
      <c r="D2" s="20"/>
      <c r="E2" s="20"/>
      <c r="F2" s="20"/>
      <c r="N2" s="303"/>
    </row>
    <row r="3" spans="1:16" ht="16.5" thickTop="1" thickBot="1" x14ac:dyDescent="0.3">
      <c r="A3" s="1188" t="s">
        <v>103</v>
      </c>
      <c r="B3" s="1185" t="s">
        <v>1</v>
      </c>
      <c r="C3" s="1186"/>
      <c r="D3" s="1186"/>
      <c r="E3" s="1186"/>
      <c r="F3" s="1187"/>
      <c r="N3" s="303"/>
    </row>
    <row r="4" spans="1:16" s="4" customFormat="1" ht="33" customHeight="1" thickTop="1" thickBot="1" x14ac:dyDescent="0.3">
      <c r="A4" s="1190"/>
      <c r="B4" s="21" t="s">
        <v>14</v>
      </c>
      <c r="C4" s="21" t="s">
        <v>96</v>
      </c>
      <c r="D4" s="91" t="s">
        <v>182</v>
      </c>
      <c r="E4" s="527" t="s">
        <v>183</v>
      </c>
      <c r="F4" s="21" t="s">
        <v>12</v>
      </c>
      <c r="H4" s="48" t="s">
        <v>14</v>
      </c>
      <c r="I4" s="48" t="s">
        <v>96</v>
      </c>
      <c r="J4" s="48" t="s">
        <v>182</v>
      </c>
      <c r="K4" s="48" t="s">
        <v>183</v>
      </c>
      <c r="L4" s="48" t="s">
        <v>12</v>
      </c>
      <c r="N4" s="48" t="s">
        <v>438</v>
      </c>
      <c r="P4" s="48" t="s">
        <v>12</v>
      </c>
    </row>
    <row r="5" spans="1:16" ht="21" customHeight="1" thickTop="1" thickBot="1" x14ac:dyDescent="0.3">
      <c r="A5" s="75" t="s">
        <v>184</v>
      </c>
      <c r="B5" s="74">
        <f>SUM(B6:B10)</f>
        <v>0</v>
      </c>
      <c r="C5" s="74">
        <f>SUM(C6:C10)</f>
        <v>0</v>
      </c>
      <c r="D5" s="74">
        <f>SUM(D6:D10)</f>
        <v>0</v>
      </c>
      <c r="E5" s="74">
        <f>SUM(E6:E10)</f>
        <v>0</v>
      </c>
      <c r="F5" s="132">
        <f>SUM(B5:E5)</f>
        <v>0</v>
      </c>
      <c r="H5" s="283">
        <f>SUM(B6:B10)-B5</f>
        <v>0</v>
      </c>
      <c r="I5" s="282">
        <f>SUM(C6:C10)-C5</f>
        <v>0</v>
      </c>
      <c r="J5" s="282">
        <f>SUM(D6:D10)-D5</f>
        <v>0</v>
      </c>
      <c r="K5" s="282">
        <f>SUM(E6:E10)-E5</f>
        <v>0</v>
      </c>
      <c r="L5" s="286">
        <f t="shared" ref="L5:L17" si="0">SUM(B5:E5)-F5</f>
        <v>0</v>
      </c>
      <c r="N5" s="294">
        <f>B5-F23</f>
        <v>0</v>
      </c>
      <c r="P5" s="294">
        <f>F5-'BS old'!$D$105-'BS old'!$D$107</f>
        <v>0</v>
      </c>
    </row>
    <row r="6" spans="1:16" ht="21" customHeight="1" thickTop="1" thickBot="1" x14ac:dyDescent="0.3">
      <c r="A6" s="97"/>
      <c r="B6" s="68"/>
      <c r="C6" s="68"/>
      <c r="D6" s="133"/>
      <c r="E6" s="133"/>
      <c r="F6" s="134">
        <f t="shared" ref="F6:F17" si="1">SUM(B6:E6)</f>
        <v>0</v>
      </c>
      <c r="L6" s="286">
        <f t="shared" si="0"/>
        <v>0</v>
      </c>
      <c r="N6" s="294">
        <f>B6-F24</f>
        <v>0</v>
      </c>
    </row>
    <row r="7" spans="1:16" ht="21" customHeight="1" thickBot="1" x14ac:dyDescent="0.3">
      <c r="A7" s="97"/>
      <c r="B7" s="68"/>
      <c r="C7" s="68"/>
      <c r="D7" s="109"/>
      <c r="E7" s="109"/>
      <c r="F7" s="134">
        <f t="shared" si="1"/>
        <v>0</v>
      </c>
      <c r="L7" s="286">
        <f t="shared" si="0"/>
        <v>0</v>
      </c>
      <c r="N7" s="294">
        <f t="shared" ref="N7:N17" si="2">B7-F25</f>
        <v>0</v>
      </c>
    </row>
    <row r="8" spans="1:16" ht="21" customHeight="1" thickBot="1" x14ac:dyDescent="0.3">
      <c r="A8" s="97"/>
      <c r="B8" s="68"/>
      <c r="C8" s="68"/>
      <c r="D8" s="109"/>
      <c r="E8" s="109"/>
      <c r="F8" s="134">
        <f t="shared" si="1"/>
        <v>0</v>
      </c>
      <c r="L8" s="286">
        <f t="shared" si="0"/>
        <v>0</v>
      </c>
      <c r="N8" s="294">
        <f t="shared" si="2"/>
        <v>0</v>
      </c>
    </row>
    <row r="9" spans="1:16" ht="21" customHeight="1" thickBot="1" x14ac:dyDescent="0.3">
      <c r="A9" s="97"/>
      <c r="B9" s="68"/>
      <c r="C9" s="68"/>
      <c r="D9" s="109"/>
      <c r="E9" s="109"/>
      <c r="F9" s="134">
        <f t="shared" si="1"/>
        <v>0</v>
      </c>
      <c r="L9" s="286">
        <f t="shared" si="0"/>
        <v>0</v>
      </c>
      <c r="N9" s="294">
        <f t="shared" si="2"/>
        <v>0</v>
      </c>
    </row>
    <row r="10" spans="1:16" ht="21" customHeight="1" thickBot="1" x14ac:dyDescent="0.3">
      <c r="A10" s="139"/>
      <c r="B10" s="74"/>
      <c r="C10" s="74"/>
      <c r="D10" s="135"/>
      <c r="E10" s="135"/>
      <c r="F10" s="136">
        <f t="shared" si="1"/>
        <v>0</v>
      </c>
      <c r="L10" s="286">
        <f t="shared" si="0"/>
        <v>0</v>
      </c>
      <c r="N10" s="294">
        <f t="shared" si="2"/>
        <v>0</v>
      </c>
    </row>
    <row r="11" spans="1:16" ht="21" customHeight="1" thickTop="1" thickBot="1" x14ac:dyDescent="0.3">
      <c r="A11" s="75" t="s">
        <v>185</v>
      </c>
      <c r="B11" s="74">
        <f>SUM(B12:B17)</f>
        <v>0</v>
      </c>
      <c r="C11" s="74">
        <f>SUM(C12:C17)</f>
        <v>0</v>
      </c>
      <c r="D11" s="74">
        <f>SUM(D12:D17)</f>
        <v>0</v>
      </c>
      <c r="E11" s="74">
        <f>SUM(E12:E17)</f>
        <v>0</v>
      </c>
      <c r="F11" s="132">
        <f>SUM(B11:E11)</f>
        <v>0</v>
      </c>
      <c r="H11" s="283">
        <f>SUM(B12:B17)-B11</f>
        <v>0</v>
      </c>
      <c r="I11" s="282">
        <f>SUM(C12:C17)-C11</f>
        <v>0</v>
      </c>
      <c r="J11" s="282">
        <f>SUM(D12:D17)-D11</f>
        <v>0</v>
      </c>
      <c r="K11" s="282">
        <f>SUM(E12:E17)-E11</f>
        <v>0</v>
      </c>
      <c r="L11" s="286">
        <f t="shared" si="0"/>
        <v>0</v>
      </c>
      <c r="N11" s="294">
        <f t="shared" si="2"/>
        <v>0</v>
      </c>
      <c r="P11" s="294">
        <f>F11-'BS old'!$D$106-'BS old'!$D$108</f>
        <v>0</v>
      </c>
    </row>
    <row r="12" spans="1:16" ht="21" customHeight="1" thickTop="1" thickBot="1" x14ac:dyDescent="0.3">
      <c r="A12" s="97"/>
      <c r="B12" s="68"/>
      <c r="C12" s="68"/>
      <c r="D12" s="133"/>
      <c r="E12" s="133"/>
      <c r="F12" s="134">
        <f t="shared" si="1"/>
        <v>0</v>
      </c>
      <c r="L12" s="286">
        <f t="shared" si="0"/>
        <v>0</v>
      </c>
      <c r="N12" s="294">
        <f t="shared" si="2"/>
        <v>0</v>
      </c>
    </row>
    <row r="13" spans="1:16" ht="21" customHeight="1" thickBot="1" x14ac:dyDescent="0.3">
      <c r="A13" s="97"/>
      <c r="B13" s="68"/>
      <c r="C13" s="68"/>
      <c r="D13" s="109"/>
      <c r="E13" s="109"/>
      <c r="F13" s="134">
        <f t="shared" si="1"/>
        <v>0</v>
      </c>
      <c r="L13" s="286">
        <f t="shared" si="0"/>
        <v>0</v>
      </c>
      <c r="N13" s="294">
        <f>B13-F31</f>
        <v>0</v>
      </c>
    </row>
    <row r="14" spans="1:16" ht="21" customHeight="1" thickBot="1" x14ac:dyDescent="0.3">
      <c r="A14" s="97"/>
      <c r="B14" s="68"/>
      <c r="C14" s="68"/>
      <c r="D14" s="109"/>
      <c r="E14" s="109"/>
      <c r="F14" s="134">
        <f t="shared" si="1"/>
        <v>0</v>
      </c>
      <c r="L14" s="286">
        <f t="shared" si="0"/>
        <v>0</v>
      </c>
      <c r="N14" s="294">
        <f t="shared" si="2"/>
        <v>0</v>
      </c>
    </row>
    <row r="15" spans="1:16" ht="21" customHeight="1" thickBot="1" x14ac:dyDescent="0.3">
      <c r="A15" s="97"/>
      <c r="B15" s="68"/>
      <c r="C15" s="68"/>
      <c r="D15" s="109"/>
      <c r="E15" s="109"/>
      <c r="F15" s="134">
        <f t="shared" si="1"/>
        <v>0</v>
      </c>
      <c r="L15" s="286">
        <f t="shared" si="0"/>
        <v>0</v>
      </c>
      <c r="N15" s="294">
        <f t="shared" si="2"/>
        <v>0</v>
      </c>
    </row>
    <row r="16" spans="1:16" ht="21" customHeight="1" thickBot="1" x14ac:dyDescent="0.3">
      <c r="A16" s="97"/>
      <c r="B16" s="68"/>
      <c r="C16" s="68"/>
      <c r="D16" s="109"/>
      <c r="E16" s="109"/>
      <c r="F16" s="134">
        <f t="shared" si="1"/>
        <v>0</v>
      </c>
      <c r="L16" s="286">
        <f t="shared" si="0"/>
        <v>0</v>
      </c>
      <c r="N16" s="294">
        <f t="shared" si="2"/>
        <v>0</v>
      </c>
    </row>
    <row r="17" spans="1:16" ht="21" customHeight="1" thickBot="1" x14ac:dyDescent="0.3">
      <c r="A17" s="139"/>
      <c r="B17" s="70"/>
      <c r="C17" s="70"/>
      <c r="D17" s="137"/>
      <c r="E17" s="137"/>
      <c r="F17" s="138">
        <f t="shared" si="1"/>
        <v>0</v>
      </c>
      <c r="L17" s="286">
        <f t="shared" si="0"/>
        <v>0</v>
      </c>
      <c r="N17" s="294">
        <f t="shared" si="2"/>
        <v>0</v>
      </c>
    </row>
    <row r="18" spans="1:16" ht="15.75" thickTop="1" x14ac:dyDescent="0.25">
      <c r="A18" s="4"/>
      <c r="B18" s="4"/>
      <c r="C18" s="4"/>
      <c r="D18" s="4"/>
      <c r="E18" s="4"/>
      <c r="F18" s="4"/>
      <c r="N18" s="294"/>
    </row>
    <row r="19" spans="1:16" ht="16.5" x14ac:dyDescent="0.3">
      <c r="A19" s="2"/>
      <c r="N19" s="294"/>
    </row>
    <row r="20" spans="1:16" ht="15.75" thickBot="1" x14ac:dyDescent="0.3">
      <c r="A20" s="20" t="s">
        <v>5</v>
      </c>
      <c r="B20" s="20"/>
      <c r="C20" s="20"/>
      <c r="D20" s="20"/>
      <c r="E20" s="20"/>
      <c r="F20" s="20"/>
      <c r="N20" s="294"/>
    </row>
    <row r="21" spans="1:16" ht="16.5" thickTop="1" thickBot="1" x14ac:dyDescent="0.3">
      <c r="A21" s="1188" t="s">
        <v>103</v>
      </c>
      <c r="B21" s="1185" t="s">
        <v>2</v>
      </c>
      <c r="C21" s="1186"/>
      <c r="D21" s="1186"/>
      <c r="E21" s="1186"/>
      <c r="F21" s="1187"/>
      <c r="N21" s="294"/>
    </row>
    <row r="22" spans="1:16" s="4" customFormat="1" ht="35.25" thickTop="1" thickBot="1" x14ac:dyDescent="0.3">
      <c r="A22" s="1190"/>
      <c r="B22" s="21" t="s">
        <v>14</v>
      </c>
      <c r="C22" s="21" t="s">
        <v>96</v>
      </c>
      <c r="D22" s="91" t="s">
        <v>182</v>
      </c>
      <c r="E22" s="25" t="s">
        <v>183</v>
      </c>
      <c r="F22" s="21" t="s">
        <v>12</v>
      </c>
      <c r="H22" s="307"/>
      <c r="I22" s="306"/>
      <c r="J22" s="306"/>
      <c r="K22" s="306"/>
      <c r="L22" s="289"/>
      <c r="N22" s="294"/>
      <c r="P22" s="308"/>
    </row>
    <row r="23" spans="1:16" ht="21" customHeight="1" thickTop="1" thickBot="1" x14ac:dyDescent="0.3">
      <c r="A23" s="139" t="s">
        <v>184</v>
      </c>
      <c r="B23" s="74">
        <f>SUM(B24:B28)</f>
        <v>0</v>
      </c>
      <c r="C23" s="74">
        <f>SUM(C24:C28)</f>
        <v>0</v>
      </c>
      <c r="D23" s="74">
        <f>SUM(D24:D28)</f>
        <v>0</v>
      </c>
      <c r="E23" s="74">
        <f>SUM(E24:E28)</f>
        <v>0</v>
      </c>
      <c r="F23" s="132">
        <f>SUM(B23:E23)</f>
        <v>0</v>
      </c>
      <c r="H23" s="283">
        <f>SUM(B24:B28)-B23</f>
        <v>0</v>
      </c>
      <c r="I23" s="282">
        <f>SUM(C24:C28)-C23</f>
        <v>0</v>
      </c>
      <c r="J23" s="282">
        <f>SUM(D24:D28)-D23</f>
        <v>0</v>
      </c>
      <c r="K23" s="282">
        <f>SUM(E24:E28)-E23</f>
        <v>0</v>
      </c>
      <c r="L23" s="286">
        <f t="shared" ref="L23:L35" si="3">SUM(B23:E23)-F23</f>
        <v>0</v>
      </c>
      <c r="N23" s="294"/>
      <c r="P23" s="294">
        <f>F23-'BS old'!E105-'BS old'!E107</f>
        <v>0</v>
      </c>
    </row>
    <row r="24" spans="1:16" ht="21" customHeight="1" thickTop="1" thickBot="1" x14ac:dyDescent="0.3">
      <c r="A24" s="97"/>
      <c r="B24" s="68"/>
      <c r="C24" s="68"/>
      <c r="D24" s="133"/>
      <c r="E24" s="133"/>
      <c r="F24" s="134">
        <f t="shared" ref="F24:F35" si="4">SUM(B24:E24)</f>
        <v>0</v>
      </c>
      <c r="L24" s="286">
        <f t="shared" si="3"/>
        <v>0</v>
      </c>
      <c r="N24" s="294"/>
    </row>
    <row r="25" spans="1:16" ht="21" customHeight="1" thickBot="1" x14ac:dyDescent="0.3">
      <c r="A25" s="97"/>
      <c r="B25" s="68"/>
      <c r="C25" s="68"/>
      <c r="D25" s="109"/>
      <c r="E25" s="109"/>
      <c r="F25" s="134">
        <f t="shared" si="4"/>
        <v>0</v>
      </c>
      <c r="L25" s="286">
        <f t="shared" si="3"/>
        <v>0</v>
      </c>
      <c r="N25" s="294"/>
    </row>
    <row r="26" spans="1:16" ht="21" customHeight="1" thickBot="1" x14ac:dyDescent="0.3">
      <c r="A26" s="97"/>
      <c r="B26" s="68"/>
      <c r="C26" s="68"/>
      <c r="D26" s="109"/>
      <c r="E26" s="109"/>
      <c r="F26" s="134">
        <f t="shared" si="4"/>
        <v>0</v>
      </c>
      <c r="L26" s="286">
        <f t="shared" si="3"/>
        <v>0</v>
      </c>
      <c r="N26" s="294"/>
    </row>
    <row r="27" spans="1:16" ht="21" customHeight="1" thickBot="1" x14ac:dyDescent="0.3">
      <c r="A27" s="97"/>
      <c r="B27" s="68"/>
      <c r="C27" s="68"/>
      <c r="D27" s="109"/>
      <c r="E27" s="109"/>
      <c r="F27" s="134">
        <f t="shared" si="4"/>
        <v>0</v>
      </c>
      <c r="L27" s="286">
        <f t="shared" si="3"/>
        <v>0</v>
      </c>
      <c r="N27" s="294"/>
    </row>
    <row r="28" spans="1:16" ht="21" customHeight="1" thickBot="1" x14ac:dyDescent="0.3">
      <c r="A28" s="139"/>
      <c r="B28" s="74"/>
      <c r="C28" s="74"/>
      <c r="D28" s="135"/>
      <c r="E28" s="135"/>
      <c r="F28" s="136">
        <f t="shared" si="4"/>
        <v>0</v>
      </c>
      <c r="L28" s="286">
        <f t="shared" si="3"/>
        <v>0</v>
      </c>
      <c r="N28" s="294"/>
    </row>
    <row r="29" spans="1:16" ht="21" customHeight="1" thickTop="1" thickBot="1" x14ac:dyDescent="0.3">
      <c r="A29" s="139" t="s">
        <v>185</v>
      </c>
      <c r="B29" s="74">
        <f>SUM(B30:B34)</f>
        <v>0</v>
      </c>
      <c r="C29" s="74">
        <f>SUM(C30:C34)</f>
        <v>0</v>
      </c>
      <c r="D29" s="74">
        <f>SUM(D30:D34)</f>
        <v>0</v>
      </c>
      <c r="E29" s="74">
        <f>SUM(E30:E34)</f>
        <v>0</v>
      </c>
      <c r="F29" s="132">
        <f>SUM(B29:E29)</f>
        <v>0</v>
      </c>
      <c r="H29" s="283">
        <f>SUM(B30:B35)-B29</f>
        <v>0</v>
      </c>
      <c r="I29" s="282">
        <f>SUM(C30:C35)-C29</f>
        <v>0</v>
      </c>
      <c r="J29" s="282">
        <f>SUM(D30:D35)-D29</f>
        <v>0</v>
      </c>
      <c r="K29" s="282">
        <f>SUM(E30:E35)-E29</f>
        <v>0</v>
      </c>
      <c r="L29" s="286">
        <f t="shared" si="3"/>
        <v>0</v>
      </c>
      <c r="N29" s="294"/>
      <c r="P29" s="294">
        <f>F29-'BS old'!E106-'BS old'!E108</f>
        <v>0</v>
      </c>
    </row>
    <row r="30" spans="1:16" ht="21" customHeight="1" thickTop="1" thickBot="1" x14ac:dyDescent="0.3">
      <c r="A30" s="97"/>
      <c r="B30" s="68"/>
      <c r="C30" s="68"/>
      <c r="D30" s="133"/>
      <c r="E30" s="133"/>
      <c r="F30" s="134">
        <f t="shared" si="4"/>
        <v>0</v>
      </c>
      <c r="L30" s="286">
        <f t="shared" si="3"/>
        <v>0</v>
      </c>
      <c r="N30" s="294"/>
    </row>
    <row r="31" spans="1:16" ht="21" customHeight="1" thickBot="1" x14ac:dyDescent="0.3">
      <c r="A31" s="97"/>
      <c r="B31" s="68"/>
      <c r="C31" s="68"/>
      <c r="D31" s="109"/>
      <c r="E31" s="109"/>
      <c r="F31" s="134">
        <f t="shared" si="4"/>
        <v>0</v>
      </c>
      <c r="L31" s="286">
        <f t="shared" si="3"/>
        <v>0</v>
      </c>
      <c r="N31" s="294"/>
    </row>
    <row r="32" spans="1:16" ht="21" customHeight="1" thickBot="1" x14ac:dyDescent="0.3">
      <c r="A32" s="97"/>
      <c r="B32" s="68"/>
      <c r="C32" s="68"/>
      <c r="D32" s="109"/>
      <c r="E32" s="109"/>
      <c r="F32" s="134">
        <f t="shared" si="4"/>
        <v>0</v>
      </c>
      <c r="L32" s="286">
        <f t="shared" si="3"/>
        <v>0</v>
      </c>
      <c r="N32" s="294"/>
    </row>
    <row r="33" spans="1:14" ht="21" customHeight="1" thickBot="1" x14ac:dyDescent="0.3">
      <c r="A33" s="97"/>
      <c r="B33" s="68"/>
      <c r="C33" s="68"/>
      <c r="D33" s="109"/>
      <c r="E33" s="109"/>
      <c r="F33" s="134">
        <f t="shared" si="4"/>
        <v>0</v>
      </c>
      <c r="L33" s="286">
        <f t="shared" si="3"/>
        <v>0</v>
      </c>
      <c r="N33" s="294"/>
    </row>
    <row r="34" spans="1:14" ht="21" customHeight="1" thickBot="1" x14ac:dyDescent="0.3">
      <c r="A34" s="97"/>
      <c r="B34" s="68"/>
      <c r="C34" s="68"/>
      <c r="D34" s="109"/>
      <c r="E34" s="109"/>
      <c r="F34" s="134">
        <f t="shared" si="4"/>
        <v>0</v>
      </c>
      <c r="L34" s="286">
        <f t="shared" si="3"/>
        <v>0</v>
      </c>
      <c r="N34" s="294"/>
    </row>
    <row r="35" spans="1:14" ht="21" customHeight="1" thickBot="1" x14ac:dyDescent="0.3">
      <c r="A35" s="139"/>
      <c r="B35" s="70"/>
      <c r="C35" s="70"/>
      <c r="D35" s="137"/>
      <c r="E35" s="137"/>
      <c r="F35" s="138">
        <f t="shared" si="4"/>
        <v>0</v>
      </c>
      <c r="L35" s="286">
        <f t="shared" si="3"/>
        <v>0</v>
      </c>
      <c r="N35" s="294"/>
    </row>
    <row r="36" spans="1:14" ht="15.75" thickTop="1" x14ac:dyDescent="0.25"/>
  </sheetData>
  <mergeCells count="5">
    <mergeCell ref="B21:F21"/>
    <mergeCell ref="A21:A22"/>
    <mergeCell ref="A3:A4"/>
    <mergeCell ref="B3:F3"/>
    <mergeCell ref="H1:L1"/>
  </mergeCells>
  <conditionalFormatting sqref="H5:K35">
    <cfRule type="cellIs" dxfId="185" priority="31" operator="lessThan">
      <formula>0</formula>
    </cfRule>
    <cfRule type="cellIs" dxfId="184" priority="32" operator="greaterThan">
      <formula>0</formula>
    </cfRule>
  </conditionalFormatting>
  <conditionalFormatting sqref="N5:N17">
    <cfRule type="cellIs" dxfId="183" priority="23" operator="lessThan">
      <formula>0</formula>
    </cfRule>
    <cfRule type="cellIs" dxfId="182" priority="24" operator="greaterThan">
      <formula>0</formula>
    </cfRule>
  </conditionalFormatting>
  <conditionalFormatting sqref="P5:P29">
    <cfRule type="cellIs" dxfId="181" priority="21" operator="lessThan">
      <formula>0</formula>
    </cfRule>
    <cfRule type="cellIs" dxfId="180" priority="2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25.28515625" style="280" customWidth="1"/>
    <col min="6" max="6" width="25.28515625" style="285" customWidth="1"/>
    <col min="7" max="7" width="5.85546875" customWidth="1"/>
    <col min="8" max="8" width="29.42578125" style="280" customWidth="1"/>
    <col min="9" max="9" width="30.85546875" style="285" customWidth="1"/>
  </cols>
  <sheetData>
    <row r="1" spans="1:9" ht="17.25" thickBot="1" x14ac:dyDescent="0.35">
      <c r="A1" s="1" t="s">
        <v>186</v>
      </c>
      <c r="E1" s="1179" t="s">
        <v>948</v>
      </c>
      <c r="F1" s="1181"/>
      <c r="H1" s="1179" t="s">
        <v>950</v>
      </c>
      <c r="I1" s="1181"/>
    </row>
    <row r="2" spans="1:9" ht="26.25" customHeight="1" thickTop="1" thickBot="1" x14ac:dyDescent="0.3">
      <c r="A2" s="73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0.25" customHeight="1" thickTop="1" thickBot="1" x14ac:dyDescent="0.3">
      <c r="A3" s="14" t="s">
        <v>187</v>
      </c>
      <c r="B3" s="140"/>
      <c r="C3" s="141"/>
    </row>
    <row r="4" spans="1:9" ht="20.25" customHeight="1" thickBot="1" x14ac:dyDescent="0.3">
      <c r="A4" s="14" t="s">
        <v>439</v>
      </c>
      <c r="B4" s="140"/>
      <c r="C4" s="141"/>
    </row>
    <row r="5" spans="1:9" ht="20.25" customHeight="1" thickBot="1" x14ac:dyDescent="0.3">
      <c r="A5" s="33" t="s">
        <v>188</v>
      </c>
      <c r="B5" s="68">
        <f>B3+B4</f>
        <v>0</v>
      </c>
      <c r="C5" s="69">
        <f>C3+C4</f>
        <v>0</v>
      </c>
      <c r="E5" s="283">
        <f>SUM(B3:B4)-B5</f>
        <v>0</v>
      </c>
      <c r="F5" s="286">
        <f>SUM(C3:C4)-C5</f>
        <v>0</v>
      </c>
      <c r="H5" s="283">
        <f>B5-'BS old'!$D$121</f>
        <v>0</v>
      </c>
      <c r="I5" s="286">
        <f>C5-'BS old'!$E$121</f>
        <v>0</v>
      </c>
    </row>
    <row r="6" spans="1:9" ht="20.25" customHeight="1" thickBot="1" x14ac:dyDescent="0.3">
      <c r="A6" s="14" t="s">
        <v>189</v>
      </c>
      <c r="B6" s="68"/>
      <c r="C6" s="69"/>
    </row>
    <row r="7" spans="1:9" ht="20.25" customHeight="1" thickBot="1" x14ac:dyDescent="0.3">
      <c r="A7" s="14" t="s">
        <v>190</v>
      </c>
      <c r="B7" s="142"/>
      <c r="C7" s="115"/>
    </row>
    <row r="8" spans="1:9" ht="20.25" customHeight="1" thickBot="1" x14ac:dyDescent="0.3">
      <c r="A8" s="23" t="s">
        <v>191</v>
      </c>
      <c r="B8" s="135">
        <f>B6+B7</f>
        <v>0</v>
      </c>
      <c r="C8" s="116">
        <f>C6+C7</f>
        <v>0</v>
      </c>
      <c r="E8" s="283">
        <f>SUM(B6:B7)-B8</f>
        <v>0</v>
      </c>
      <c r="F8" s="286">
        <f>SUM(C6:C7)-C8</f>
        <v>0</v>
      </c>
      <c r="H8" s="283">
        <f>B8-'BS old'!$D$109</f>
        <v>0</v>
      </c>
      <c r="I8" s="286">
        <f>C8-'BS old'!$E$109</f>
        <v>0</v>
      </c>
    </row>
    <row r="9" spans="1:9" ht="15.75" thickTop="1" x14ac:dyDescent="0.25"/>
  </sheetData>
  <mergeCells count="2">
    <mergeCell ref="E1:F1"/>
    <mergeCell ref="H1:I1"/>
  </mergeCells>
  <conditionalFormatting sqref="H1">
    <cfRule type="cellIs" priority="3" stopIfTrue="1" operator="greaterThan">
      <formula>0</formula>
    </cfRule>
  </conditionalFormatting>
  <conditionalFormatting sqref="E3:I12">
    <cfRule type="cellIs" dxfId="179" priority="1" operator="lessThan">
      <formula>0</formula>
    </cfRule>
    <cfRule type="cellIs" dxfId="17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I10"/>
  <sheetViews>
    <sheetView showGridLines="0" zoomScaleNormal="100" workbookViewId="0">
      <selection activeCell="H9" sqref="H2:I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27.85546875" style="280" customWidth="1"/>
    <col min="6" max="6" width="27.85546875" style="285" customWidth="1"/>
    <col min="7" max="7" width="10.42578125" customWidth="1"/>
    <col min="8" max="8" width="23.140625" style="280" customWidth="1"/>
    <col min="9" max="9" width="23.140625" style="285" customWidth="1"/>
  </cols>
  <sheetData>
    <row r="1" spans="1:9" ht="17.25" thickBot="1" x14ac:dyDescent="0.35">
      <c r="A1" s="1" t="s">
        <v>444</v>
      </c>
      <c r="E1" s="1179" t="s">
        <v>948</v>
      </c>
      <c r="F1" s="1181"/>
      <c r="H1" s="1179" t="s">
        <v>950</v>
      </c>
      <c r="I1" s="1181"/>
    </row>
    <row r="2" spans="1:9" ht="21.7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1.75" customHeight="1" thickTop="1" thickBot="1" x14ac:dyDescent="0.3">
      <c r="A3" s="92" t="s">
        <v>206</v>
      </c>
      <c r="B3" s="68"/>
      <c r="C3" s="69"/>
    </row>
    <row r="4" spans="1:9" ht="21.75" customHeight="1" thickBot="1" x14ac:dyDescent="0.3">
      <c r="A4" s="60" t="s">
        <v>207</v>
      </c>
      <c r="B4" s="68"/>
      <c r="C4" s="69"/>
    </row>
    <row r="5" spans="1:9" ht="21.75" customHeight="1" thickBot="1" x14ac:dyDescent="0.3">
      <c r="A5" s="60" t="s">
        <v>208</v>
      </c>
      <c r="B5" s="68"/>
      <c r="C5" s="69"/>
    </row>
    <row r="6" spans="1:9" ht="21.75" customHeight="1" thickBot="1" x14ac:dyDescent="0.3">
      <c r="A6" s="60" t="s">
        <v>209</v>
      </c>
      <c r="B6" s="68"/>
      <c r="C6" s="69"/>
    </row>
    <row r="7" spans="1:9" ht="21.75" customHeight="1" thickBot="1" x14ac:dyDescent="0.3">
      <c r="A7" s="92" t="s">
        <v>210</v>
      </c>
      <c r="B7" s="68">
        <f>SUM(B4:B6)</f>
        <v>0</v>
      </c>
      <c r="C7" s="69">
        <f>SUM(C4:C6)</f>
        <v>0</v>
      </c>
      <c r="E7" s="283">
        <f>SUM(B4:B6)-B7</f>
        <v>0</v>
      </c>
      <c r="F7" s="286">
        <f>SUM(C4:C6)-C7</f>
        <v>0</v>
      </c>
    </row>
    <row r="8" spans="1:9" ht="21.75" customHeight="1" thickBot="1" x14ac:dyDescent="0.3">
      <c r="A8" s="92" t="s">
        <v>211</v>
      </c>
      <c r="B8" s="68"/>
      <c r="C8" s="69"/>
    </row>
    <row r="9" spans="1:9" ht="21.75" customHeight="1" thickBot="1" x14ac:dyDescent="0.3">
      <c r="A9" s="61" t="s">
        <v>212</v>
      </c>
      <c r="B9" s="74">
        <f>B3+B7+B8</f>
        <v>0</v>
      </c>
      <c r="C9" s="67">
        <f>C3+C7+C8</f>
        <v>0</v>
      </c>
      <c r="E9" s="283">
        <f>B3+B7+B8-B9</f>
        <v>0</v>
      </c>
      <c r="F9" s="286">
        <f>C3+C7+C8-C9</f>
        <v>0</v>
      </c>
      <c r="H9" s="283">
        <f>B9-'BS old'!$D$118</f>
        <v>0</v>
      </c>
      <c r="I9" s="286">
        <f>C9-'BS old'!$E$118</f>
        <v>0</v>
      </c>
    </row>
    <row r="10" spans="1:9" ht="17.25" thickTop="1" x14ac:dyDescent="0.3">
      <c r="A10" s="2"/>
    </row>
  </sheetData>
  <mergeCells count="2">
    <mergeCell ref="E1:F1"/>
    <mergeCell ref="H1:I1"/>
  </mergeCells>
  <conditionalFormatting sqref="E7:F9">
    <cfRule type="cellIs" dxfId="177" priority="4" operator="lessThan">
      <formula>0</formula>
    </cfRule>
    <cfRule type="cellIs" dxfId="176" priority="5" operator="greaterThan">
      <formula>0</formula>
    </cfRule>
  </conditionalFormatting>
  <conditionalFormatting sqref="H9:I9">
    <cfRule type="cellIs" dxfId="175" priority="1" operator="lessThan">
      <formula>0</formula>
    </cfRule>
    <cfRule type="cellIs" dxfId="17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5"/>
  <sheetViews>
    <sheetView showGridLines="0" zoomScaleNormal="100" workbookViewId="0">
      <selection activeCell="A20" sqref="A20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19</v>
      </c>
    </row>
    <row r="2" spans="1:2" ht="21" customHeight="1" thickTop="1" thickBot="1" x14ac:dyDescent="0.3">
      <c r="A2" s="10" t="s">
        <v>18</v>
      </c>
      <c r="B2" s="11" t="s">
        <v>17</v>
      </c>
    </row>
    <row r="3" spans="1:2" ht="23.25" customHeight="1" thickTop="1" thickBot="1" x14ac:dyDescent="0.3">
      <c r="A3" s="12" t="s">
        <v>20</v>
      </c>
      <c r="B3" s="13"/>
    </row>
    <row r="4" spans="1:2" ht="23.25" customHeight="1" thickBot="1" x14ac:dyDescent="0.3">
      <c r="A4" s="16" t="s">
        <v>21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F7"/>
  <sheetViews>
    <sheetView showGridLines="0" zoomScaleNormal="100" workbookViewId="0">
      <selection activeCell="B27" sqref="B27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17.25" thickBot="1" x14ac:dyDescent="0.35">
      <c r="A1" s="1" t="s">
        <v>445</v>
      </c>
    </row>
    <row r="2" spans="1:6" s="4" customFormat="1" ht="21.75" customHeight="1" thickTop="1" thickBot="1" x14ac:dyDescent="0.3">
      <c r="A2" s="48" t="s">
        <v>213</v>
      </c>
      <c r="B2" s="27" t="s">
        <v>214</v>
      </c>
      <c r="C2" s="27" t="s">
        <v>215</v>
      </c>
      <c r="D2" s="27" t="s">
        <v>216</v>
      </c>
      <c r="E2" s="27" t="s">
        <v>217</v>
      </c>
      <c r="F2" s="27" t="s">
        <v>156</v>
      </c>
    </row>
    <row r="3" spans="1:6" ht="21.75" customHeight="1" thickTop="1" thickBot="1" x14ac:dyDescent="0.3">
      <c r="A3" s="97"/>
      <c r="B3" s="95"/>
      <c r="C3" s="68"/>
      <c r="D3" s="68"/>
      <c r="E3" s="68"/>
      <c r="F3" s="69"/>
    </row>
    <row r="4" spans="1:6" ht="21.75" customHeight="1" thickBot="1" x14ac:dyDescent="0.3">
      <c r="A4" s="97"/>
      <c r="B4" s="95"/>
      <c r="C4" s="68"/>
      <c r="D4" s="68"/>
      <c r="E4" s="68"/>
      <c r="F4" s="69"/>
    </row>
    <row r="5" spans="1:6" ht="21.75" customHeight="1" thickBot="1" x14ac:dyDescent="0.3">
      <c r="A5" s="97"/>
      <c r="B5" s="95"/>
      <c r="C5" s="68"/>
      <c r="D5" s="68"/>
      <c r="E5" s="68"/>
      <c r="F5" s="69"/>
    </row>
    <row r="6" spans="1:6" ht="21.75" customHeight="1" thickBot="1" x14ac:dyDescent="0.3">
      <c r="A6" s="98"/>
      <c r="B6" s="96"/>
      <c r="C6" s="74"/>
      <c r="D6" s="74"/>
      <c r="E6" s="74"/>
      <c r="F6" s="67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FF00"/>
  </sheetPr>
  <dimension ref="A1:I26"/>
  <sheetViews>
    <sheetView showGridLines="0" topLeftCell="A10" zoomScaleNormal="100" workbookViewId="0">
      <selection activeCell="H19" sqref="H19:I19"/>
    </sheetView>
  </sheetViews>
  <sheetFormatPr defaultColWidth="9.140625" defaultRowHeight="11.25" x14ac:dyDescent="0.25"/>
  <cols>
    <col min="1" max="1" width="23" style="20" customWidth="1"/>
    <col min="2" max="2" width="8.28515625" style="20" customWidth="1"/>
    <col min="3" max="6" width="13.85546875" style="20" customWidth="1"/>
    <col min="7" max="7" width="23.28515625" style="20" customWidth="1"/>
    <col min="8" max="8" width="18.28515625" style="302" customWidth="1"/>
    <col min="9" max="9" width="18.28515625" style="301" customWidth="1"/>
    <col min="10" max="16384" width="9.140625" style="20"/>
  </cols>
  <sheetData>
    <row r="1" spans="1:9" ht="15" x14ac:dyDescent="0.25">
      <c r="A1" s="88" t="s">
        <v>446</v>
      </c>
      <c r="H1" s="1168" t="s">
        <v>950</v>
      </c>
      <c r="I1" s="1170"/>
    </row>
    <row r="2" spans="1:9" ht="12" thickBot="1" x14ac:dyDescent="0.3">
      <c r="A2" s="20" t="s">
        <v>3</v>
      </c>
    </row>
    <row r="3" spans="1:9" ht="66.75" customHeight="1" thickTop="1" thickBot="1" x14ac:dyDescent="0.3">
      <c r="A3" s="19" t="s">
        <v>103</v>
      </c>
      <c r="B3" s="19" t="s">
        <v>218</v>
      </c>
      <c r="C3" s="39" t="s">
        <v>443</v>
      </c>
      <c r="D3" s="19" t="s">
        <v>219</v>
      </c>
      <c r="E3" s="19" t="s">
        <v>220</v>
      </c>
      <c r="F3" s="19" t="s">
        <v>221</v>
      </c>
      <c r="H3" s="48" t="s">
        <v>220</v>
      </c>
      <c r="I3" s="48" t="s">
        <v>221</v>
      </c>
    </row>
    <row r="4" spans="1:9" ht="21.75" customHeight="1" thickTop="1" thickBot="1" x14ac:dyDescent="0.3">
      <c r="A4" s="41" t="s">
        <v>222</v>
      </c>
      <c r="B4" s="76"/>
      <c r="C4" s="76"/>
      <c r="D4" s="76"/>
      <c r="E4" s="76"/>
      <c r="F4" s="72"/>
      <c r="H4" s="312">
        <f>SUM(E5:E7)-'BS old'!$D$134</f>
        <v>0</v>
      </c>
      <c r="I4" s="310">
        <f>SUM(F5:F7)-'BS old'!$E$134</f>
        <v>0</v>
      </c>
    </row>
    <row r="5" spans="1:9" ht="21.75" customHeight="1" thickTop="1" thickBot="1" x14ac:dyDescent="0.3">
      <c r="A5" s="60"/>
      <c r="B5" s="99"/>
      <c r="C5" s="102"/>
      <c r="D5" s="106"/>
      <c r="E5" s="68"/>
      <c r="F5" s="69"/>
    </row>
    <row r="6" spans="1:9" ht="21.75" customHeight="1" thickBot="1" x14ac:dyDescent="0.3">
      <c r="A6" s="60"/>
      <c r="B6" s="99"/>
      <c r="C6" s="102"/>
      <c r="D6" s="82"/>
      <c r="E6" s="68"/>
      <c r="F6" s="69"/>
    </row>
    <row r="7" spans="1:9" ht="21.75" customHeight="1" thickBot="1" x14ac:dyDescent="0.3">
      <c r="A7" s="60"/>
      <c r="B7" s="99"/>
      <c r="C7" s="102"/>
      <c r="D7" s="82"/>
      <c r="E7" s="68"/>
      <c r="F7" s="69"/>
    </row>
    <row r="8" spans="1:9" ht="21.75" customHeight="1" thickBot="1" x14ac:dyDescent="0.3">
      <c r="A8" s="89" t="s">
        <v>223</v>
      </c>
      <c r="B8" s="100"/>
      <c r="C8" s="103"/>
      <c r="D8" s="103"/>
      <c r="E8" s="103"/>
      <c r="F8" s="104"/>
      <c r="H8" s="312">
        <f>SUM(E9:E11)-'BS old'!$D$135</f>
        <v>0</v>
      </c>
      <c r="I8" s="310">
        <f>SUM(F9:F11)-'BS old'!$E$135</f>
        <v>0</v>
      </c>
    </row>
    <row r="9" spans="1:9" ht="21.75" customHeight="1" thickTop="1" thickBot="1" x14ac:dyDescent="0.3">
      <c r="A9" s="60"/>
      <c r="B9" s="99"/>
      <c r="C9" s="102"/>
      <c r="D9" s="82"/>
      <c r="E9" s="68"/>
      <c r="F9" s="69"/>
    </row>
    <row r="10" spans="1:9" ht="21.75" customHeight="1" thickBot="1" x14ac:dyDescent="0.3">
      <c r="A10" s="60"/>
      <c r="B10" s="99"/>
      <c r="C10" s="102"/>
      <c r="D10" s="82"/>
      <c r="E10" s="68"/>
      <c r="F10" s="69"/>
    </row>
    <row r="11" spans="1:9" ht="21.75" customHeight="1" thickBot="1" x14ac:dyDescent="0.3">
      <c r="A11" s="61"/>
      <c r="B11" s="101"/>
      <c r="C11" s="105"/>
      <c r="D11" s="84"/>
      <c r="E11" s="74"/>
      <c r="F11" s="67"/>
    </row>
    <row r="12" spans="1:9" ht="12" thickTop="1" x14ac:dyDescent="0.25">
      <c r="A12" s="88"/>
    </row>
    <row r="13" spans="1:9" ht="12" thickBot="1" x14ac:dyDescent="0.3">
      <c r="A13" s="20" t="s">
        <v>5</v>
      </c>
    </row>
    <row r="14" spans="1:9" ht="66.75" customHeight="1" thickTop="1" thickBot="1" x14ac:dyDescent="0.3">
      <c r="A14" s="19" t="s">
        <v>103</v>
      </c>
      <c r="B14" s="19" t="s">
        <v>218</v>
      </c>
      <c r="C14" s="39" t="s">
        <v>443</v>
      </c>
      <c r="D14" s="19" t="s">
        <v>219</v>
      </c>
      <c r="E14" s="19" t="s">
        <v>220</v>
      </c>
      <c r="F14" s="19" t="s">
        <v>221</v>
      </c>
    </row>
    <row r="15" spans="1:9" ht="21.75" customHeight="1" thickTop="1" thickBot="1" x14ac:dyDescent="0.3">
      <c r="A15" s="41" t="s">
        <v>440</v>
      </c>
      <c r="B15" s="76"/>
      <c r="C15" s="76"/>
      <c r="D15" s="76"/>
      <c r="E15" s="76"/>
      <c r="F15" s="72"/>
      <c r="H15" s="313"/>
      <c r="I15" s="311"/>
    </row>
    <row r="16" spans="1:9" ht="21.75" customHeight="1" thickTop="1" thickBot="1" x14ac:dyDescent="0.3">
      <c r="A16" s="60"/>
      <c r="B16" s="99"/>
      <c r="C16" s="102"/>
      <c r="D16" s="82"/>
      <c r="E16" s="68"/>
      <c r="F16" s="69"/>
    </row>
    <row r="17" spans="1:9" ht="21.75" customHeight="1" thickBot="1" x14ac:dyDescent="0.3">
      <c r="A17" s="60"/>
      <c r="B17" s="99"/>
      <c r="C17" s="102"/>
      <c r="D17" s="82"/>
      <c r="E17" s="68"/>
      <c r="F17" s="69"/>
    </row>
    <row r="18" spans="1:9" ht="21.75" customHeight="1" thickBot="1" x14ac:dyDescent="0.3">
      <c r="A18" s="60"/>
      <c r="B18" s="99"/>
      <c r="C18" s="102"/>
      <c r="D18" s="82"/>
      <c r="E18" s="68"/>
      <c r="F18" s="69"/>
    </row>
    <row r="19" spans="1:9" ht="21.75" customHeight="1" thickBot="1" x14ac:dyDescent="0.3">
      <c r="A19" s="89" t="s">
        <v>441</v>
      </c>
      <c r="B19" s="100"/>
      <c r="C19" s="103"/>
      <c r="D19" s="103"/>
      <c r="E19" s="103"/>
      <c r="F19" s="104"/>
      <c r="H19" s="312">
        <f>SUM(E20:E22,E24:E25)-'BS old'!$D$132</f>
        <v>0</v>
      </c>
      <c r="I19" s="310">
        <f>SUM(F20:F22,F24:F25)-'BS old'!$E$132</f>
        <v>0</v>
      </c>
    </row>
    <row r="20" spans="1:9" ht="21.75" customHeight="1" thickTop="1" thickBot="1" x14ac:dyDescent="0.3">
      <c r="A20" s="60"/>
      <c r="B20" s="99"/>
      <c r="C20" s="102"/>
      <c r="D20" s="82"/>
      <c r="E20" s="68"/>
      <c r="F20" s="69"/>
    </row>
    <row r="21" spans="1:9" ht="21.75" customHeight="1" thickBot="1" x14ac:dyDescent="0.3">
      <c r="A21" s="60"/>
      <c r="B21" s="99"/>
      <c r="C21" s="102"/>
      <c r="D21" s="82"/>
      <c r="E21" s="68"/>
      <c r="F21" s="69"/>
    </row>
    <row r="22" spans="1:9" ht="21.75" customHeight="1" thickBot="1" x14ac:dyDescent="0.3">
      <c r="A22" s="60"/>
      <c r="B22" s="99"/>
      <c r="C22" s="102"/>
      <c r="D22" s="82"/>
      <c r="E22" s="68"/>
      <c r="F22" s="69"/>
    </row>
    <row r="23" spans="1:9" ht="21.75" customHeight="1" thickBot="1" x14ac:dyDescent="0.3">
      <c r="A23" s="89" t="s">
        <v>442</v>
      </c>
      <c r="B23" s="100"/>
      <c r="C23" s="103"/>
      <c r="D23" s="103"/>
      <c r="E23" s="103"/>
      <c r="F23" s="104"/>
    </row>
    <row r="24" spans="1:9" ht="21.75" customHeight="1" thickTop="1" thickBot="1" x14ac:dyDescent="0.3">
      <c r="A24" s="60"/>
      <c r="B24" s="99"/>
      <c r="C24" s="102"/>
      <c r="D24" s="82"/>
      <c r="E24" s="68"/>
      <c r="F24" s="69"/>
    </row>
    <row r="25" spans="1:9" ht="21.75" customHeight="1" thickBot="1" x14ac:dyDescent="0.3">
      <c r="A25" s="61"/>
      <c r="B25" s="101"/>
      <c r="C25" s="105"/>
      <c r="D25" s="84"/>
      <c r="E25" s="74"/>
      <c r="F25" s="67"/>
    </row>
    <row r="26" spans="1:9" ht="12" thickTop="1" x14ac:dyDescent="0.25"/>
  </sheetData>
  <mergeCells count="1">
    <mergeCell ref="H1:I1"/>
  </mergeCells>
  <conditionalFormatting sqref="H1">
    <cfRule type="cellIs" priority="5" stopIfTrue="1" operator="greaterThan">
      <formula>0</formula>
    </cfRule>
  </conditionalFormatting>
  <conditionalFormatting sqref="H19:I19">
    <cfRule type="cellIs" dxfId="173" priority="3" operator="lessThan">
      <formula>0</formula>
    </cfRule>
    <cfRule type="cellIs" dxfId="172" priority="4" operator="greaterThan">
      <formula>0</formula>
    </cfRule>
  </conditionalFormatting>
  <conditionalFormatting sqref="H4:I8">
    <cfRule type="cellIs" dxfId="171" priority="1" operator="lessThan">
      <formula>0</formula>
    </cfRule>
    <cfRule type="cellIs" dxfId="17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C20"/>
  <sheetViews>
    <sheetView showGridLines="0" zoomScaleNormal="100" workbookViewId="0">
      <selection activeCell="A3" sqref="A3:A19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447</v>
      </c>
    </row>
    <row r="2" spans="1:3" ht="24" thickTop="1" thickBot="1" x14ac:dyDescent="0.3">
      <c r="A2" s="73" t="s">
        <v>103</v>
      </c>
      <c r="B2" s="27" t="s">
        <v>1</v>
      </c>
      <c r="C2" s="27" t="s">
        <v>2</v>
      </c>
    </row>
    <row r="3" spans="1:3" ht="23.25" customHeight="1" thickTop="1" thickBot="1" x14ac:dyDescent="0.3">
      <c r="A3" s="33" t="s">
        <v>192</v>
      </c>
      <c r="B3" s="68"/>
      <c r="C3" s="69"/>
    </row>
    <row r="4" spans="1:3" ht="23.25" customHeight="1" thickBot="1" x14ac:dyDescent="0.3">
      <c r="A4" s="14" t="s">
        <v>193</v>
      </c>
      <c r="B4" s="68"/>
      <c r="C4" s="69"/>
    </row>
    <row r="5" spans="1:3" ht="23.25" customHeight="1" thickBot="1" x14ac:dyDescent="0.3">
      <c r="A5" s="14" t="s">
        <v>194</v>
      </c>
      <c r="B5" s="68"/>
      <c r="C5" s="69"/>
    </row>
    <row r="6" spans="1:3" ht="23.25" customHeight="1" thickBot="1" x14ac:dyDescent="0.3">
      <c r="A6" s="33" t="s">
        <v>195</v>
      </c>
      <c r="B6" s="68"/>
      <c r="C6" s="69"/>
    </row>
    <row r="7" spans="1:3" ht="23.25" customHeight="1" thickBot="1" x14ac:dyDescent="0.3">
      <c r="A7" s="14" t="s">
        <v>193</v>
      </c>
      <c r="B7" s="68"/>
      <c r="C7" s="69"/>
    </row>
    <row r="8" spans="1:3" ht="23.25" customHeight="1" thickBot="1" x14ac:dyDescent="0.3">
      <c r="A8" s="14" t="s">
        <v>194</v>
      </c>
      <c r="B8" s="68"/>
      <c r="C8" s="69"/>
    </row>
    <row r="9" spans="1:3" ht="23.25" customHeight="1" thickBot="1" x14ac:dyDescent="0.3">
      <c r="A9" s="33" t="s">
        <v>196</v>
      </c>
      <c r="B9" s="68"/>
      <c r="C9" s="69"/>
    </row>
    <row r="10" spans="1:3" ht="23.25" customHeight="1" thickBot="1" x14ac:dyDescent="0.3">
      <c r="A10" s="33" t="s">
        <v>197</v>
      </c>
      <c r="B10" s="68"/>
      <c r="C10" s="69"/>
    </row>
    <row r="11" spans="1:3" ht="23.25" customHeight="1" thickBot="1" x14ac:dyDescent="0.3">
      <c r="A11" s="33" t="s">
        <v>198</v>
      </c>
      <c r="B11" s="102">
        <v>0.19</v>
      </c>
      <c r="C11" s="107">
        <v>0.19</v>
      </c>
    </row>
    <row r="12" spans="1:3" ht="23.25" customHeight="1" thickBot="1" x14ac:dyDescent="0.3">
      <c r="A12" s="33" t="s">
        <v>199</v>
      </c>
      <c r="B12" s="68"/>
      <c r="C12" s="69"/>
    </row>
    <row r="13" spans="1:3" ht="23.25" customHeight="1" thickBot="1" x14ac:dyDescent="0.3">
      <c r="A13" s="33" t="s">
        <v>200</v>
      </c>
      <c r="B13" s="68"/>
      <c r="C13" s="69"/>
    </row>
    <row r="14" spans="1:3" ht="23.25" customHeight="1" thickBot="1" x14ac:dyDescent="0.3">
      <c r="A14" s="14" t="s">
        <v>201</v>
      </c>
      <c r="B14" s="68"/>
      <c r="C14" s="69"/>
    </row>
    <row r="15" spans="1:3" ht="23.25" customHeight="1" thickBot="1" x14ac:dyDescent="0.3">
      <c r="A15" s="14" t="s">
        <v>202</v>
      </c>
      <c r="B15" s="68"/>
      <c r="C15" s="69"/>
    </row>
    <row r="16" spans="1:3" ht="23.25" customHeight="1" thickBot="1" x14ac:dyDescent="0.3">
      <c r="A16" s="93" t="s">
        <v>203</v>
      </c>
      <c r="B16" s="68"/>
      <c r="C16" s="69"/>
    </row>
    <row r="17" spans="1:3" ht="23.25" customHeight="1" thickBot="1" x14ac:dyDescent="0.3">
      <c r="A17" s="94" t="s">
        <v>204</v>
      </c>
      <c r="B17" s="68"/>
      <c r="C17" s="69"/>
    </row>
    <row r="18" spans="1:3" ht="23.25" customHeight="1" thickBot="1" x14ac:dyDescent="0.3">
      <c r="A18" s="14" t="s">
        <v>205</v>
      </c>
      <c r="B18" s="68"/>
      <c r="C18" s="69"/>
    </row>
    <row r="19" spans="1:3" ht="23.25" customHeight="1" thickBot="1" x14ac:dyDescent="0.3">
      <c r="A19" s="16" t="s">
        <v>202</v>
      </c>
      <c r="B19" s="74"/>
      <c r="C19" s="67"/>
    </row>
    <row r="20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17"/>
  <sheetViews>
    <sheetView showGridLines="0" zoomScaleNormal="100" workbookViewId="0">
      <selection activeCell="H2" sqref="H2:I13"/>
    </sheetView>
  </sheetViews>
  <sheetFormatPr defaultRowHeight="15" x14ac:dyDescent="0.25"/>
  <cols>
    <col min="1" max="1" width="32.7109375" customWidth="1"/>
    <col min="2" max="3" width="26.85546875" customWidth="1"/>
    <col min="4" max="4" width="22.28515625" customWidth="1"/>
    <col min="5" max="5" width="26" style="280" customWidth="1"/>
    <col min="6" max="6" width="26" style="285" customWidth="1"/>
    <col min="7" max="7" width="5.140625" customWidth="1"/>
    <col min="8" max="8" width="22.5703125" style="316" customWidth="1"/>
    <col min="9" max="9" width="22.5703125" style="315" customWidth="1"/>
  </cols>
  <sheetData>
    <row r="1" spans="1:9" ht="17.25" thickBot="1" x14ac:dyDescent="0.3">
      <c r="A1" s="314" t="s">
        <v>224</v>
      </c>
      <c r="E1" s="1179" t="s">
        <v>948</v>
      </c>
      <c r="F1" s="1181"/>
      <c r="G1" s="290"/>
      <c r="H1" s="1196" t="s">
        <v>950</v>
      </c>
      <c r="I1" s="1197"/>
    </row>
    <row r="2" spans="1:9" ht="23.25" customHeight="1" thickTop="1" thickBot="1" x14ac:dyDescent="0.3">
      <c r="A2" s="73" t="s">
        <v>0</v>
      </c>
      <c r="B2" s="27" t="s">
        <v>1</v>
      </c>
      <c r="C2" s="27" t="s">
        <v>2</v>
      </c>
      <c r="E2" s="48" t="s">
        <v>1</v>
      </c>
      <c r="F2" s="48" t="s">
        <v>2</v>
      </c>
      <c r="H2" s="317" t="s">
        <v>1</v>
      </c>
      <c r="I2" s="317" t="s">
        <v>2</v>
      </c>
    </row>
    <row r="3" spans="1:9" ht="23.25" customHeight="1" thickTop="1" thickBot="1" x14ac:dyDescent="0.3">
      <c r="A3" s="62" t="s">
        <v>225</v>
      </c>
      <c r="B3" s="74">
        <f>SUM(B4:B5)</f>
        <v>0</v>
      </c>
      <c r="C3" s="67">
        <f>SUM(C4:C5)</f>
        <v>0</v>
      </c>
      <c r="E3" s="283">
        <f>SUM(B4:B5)-B3</f>
        <v>0</v>
      </c>
      <c r="F3" s="286">
        <f>SUM(C4:C5)-C3</f>
        <v>0</v>
      </c>
      <c r="H3" s="531">
        <f>B3-'BS old'!$D$137</f>
        <v>0</v>
      </c>
      <c r="I3" s="532">
        <f>C3-'BS old'!$E$137</f>
        <v>0</v>
      </c>
    </row>
    <row r="4" spans="1:9" ht="23.25" customHeight="1" thickTop="1" thickBot="1" x14ac:dyDescent="0.3">
      <c r="A4" s="14"/>
      <c r="B4" s="68"/>
      <c r="C4" s="69"/>
      <c r="H4" s="318"/>
      <c r="I4" s="319"/>
    </row>
    <row r="5" spans="1:9" ht="23.25" customHeight="1" thickBot="1" x14ac:dyDescent="0.3">
      <c r="A5" s="16"/>
      <c r="B5" s="74"/>
      <c r="C5" s="67"/>
      <c r="H5" s="318"/>
      <c r="I5" s="319"/>
    </row>
    <row r="6" spans="1:9" ht="23.25" customHeight="1" thickTop="1" thickBot="1" x14ac:dyDescent="0.3">
      <c r="A6" s="23" t="s">
        <v>226</v>
      </c>
      <c r="B6" s="74">
        <f>SUM(B7:B8)</f>
        <v>0</v>
      </c>
      <c r="C6" s="67">
        <f>SUM(C7:C8)</f>
        <v>0</v>
      </c>
      <c r="E6" s="283">
        <f>SUM(B7:B8)-B6</f>
        <v>0</v>
      </c>
      <c r="F6" s="286">
        <f>SUM(C7:C8)-C6</f>
        <v>0</v>
      </c>
      <c r="H6" s="531">
        <f>B6-'BS old'!$D$138</f>
        <v>0</v>
      </c>
      <c r="I6" s="532">
        <f>C6-'BS old'!$E$138</f>
        <v>0</v>
      </c>
    </row>
    <row r="7" spans="1:9" ht="23.25" customHeight="1" thickTop="1" thickBot="1" x14ac:dyDescent="0.3">
      <c r="A7" s="14"/>
      <c r="B7" s="68"/>
      <c r="C7" s="69"/>
      <c r="H7" s="318"/>
      <c r="I7" s="319"/>
    </row>
    <row r="8" spans="1:9" ht="23.25" customHeight="1" thickBot="1" x14ac:dyDescent="0.3">
      <c r="A8" s="16"/>
      <c r="B8" s="74"/>
      <c r="C8" s="67"/>
      <c r="H8" s="318"/>
      <c r="I8" s="319"/>
    </row>
    <row r="9" spans="1:9" ht="23.25" customHeight="1" thickTop="1" thickBot="1" x14ac:dyDescent="0.3">
      <c r="A9" s="23" t="s">
        <v>448</v>
      </c>
      <c r="B9" s="74">
        <f>SUM(B10:B12)</f>
        <v>0</v>
      </c>
      <c r="C9" s="67">
        <f>SUM(C10:C12)</f>
        <v>0</v>
      </c>
      <c r="E9" s="283">
        <f>SUM(B10:B12)-B9</f>
        <v>0</v>
      </c>
      <c r="F9" s="286">
        <f>SUM(C10:C12)-C9</f>
        <v>0</v>
      </c>
      <c r="H9" s="531">
        <f>B9-'BS old'!$D$139</f>
        <v>0</v>
      </c>
      <c r="I9" s="532">
        <f>C9-'BS old'!$E$139</f>
        <v>0</v>
      </c>
    </row>
    <row r="10" spans="1:9" ht="23.25" customHeight="1" thickTop="1" thickBot="1" x14ac:dyDescent="0.3">
      <c r="A10" s="14"/>
      <c r="B10" s="68"/>
      <c r="C10" s="69"/>
      <c r="H10" s="318"/>
      <c r="I10" s="319"/>
    </row>
    <row r="11" spans="1:9" ht="23.25" customHeight="1" thickBot="1" x14ac:dyDescent="0.3">
      <c r="A11" s="14"/>
      <c r="B11" s="68"/>
      <c r="C11" s="69"/>
      <c r="H11" s="318"/>
      <c r="I11" s="319"/>
    </row>
    <row r="12" spans="1:9" ht="23.25" customHeight="1" thickBot="1" x14ac:dyDescent="0.3">
      <c r="A12" s="16"/>
      <c r="B12" s="74"/>
      <c r="C12" s="67"/>
      <c r="H12" s="318"/>
      <c r="I12" s="319"/>
    </row>
    <row r="13" spans="1:9" ht="23.25" customHeight="1" thickTop="1" thickBot="1" x14ac:dyDescent="0.3">
      <c r="A13" s="23" t="s">
        <v>449</v>
      </c>
      <c r="B13" s="74">
        <f>SUM(B14:B16)</f>
        <v>0</v>
      </c>
      <c r="C13" s="67">
        <f>SUM(C14:C16)</f>
        <v>0</v>
      </c>
      <c r="E13" s="283">
        <f>SUM(B14:B16)-B13</f>
        <v>0</v>
      </c>
      <c r="F13" s="286">
        <f>SUM(C14:C16)-C13</f>
        <v>0</v>
      </c>
      <c r="H13" s="531">
        <f>B13-'BS old'!$D$140</f>
        <v>0</v>
      </c>
      <c r="I13" s="532">
        <f>C13-'BS old'!$E$140</f>
        <v>0</v>
      </c>
    </row>
    <row r="14" spans="1:9" ht="23.25" customHeight="1" thickTop="1" thickBot="1" x14ac:dyDescent="0.3">
      <c r="A14" s="14"/>
      <c r="B14" s="68"/>
      <c r="C14" s="69"/>
    </row>
    <row r="15" spans="1:9" ht="23.25" customHeight="1" thickBot="1" x14ac:dyDescent="0.3">
      <c r="A15" s="108"/>
      <c r="B15" s="109"/>
      <c r="C15" s="110"/>
    </row>
    <row r="16" spans="1:9" ht="23.25" customHeight="1" thickBot="1" x14ac:dyDescent="0.3">
      <c r="A16" s="16"/>
      <c r="B16" s="74"/>
      <c r="C16" s="67"/>
    </row>
    <row r="17" ht="15.75" thickTop="1" x14ac:dyDescent="0.25"/>
  </sheetData>
  <mergeCells count="2">
    <mergeCell ref="E1:F1"/>
    <mergeCell ref="H1:I1"/>
  </mergeCells>
  <conditionalFormatting sqref="E3:F13">
    <cfRule type="cellIs" dxfId="169" priority="4" operator="lessThan">
      <formula>0</formula>
    </cfRule>
    <cfRule type="cellIs" dxfId="168" priority="5" operator="greaterThan">
      <formula>0</formula>
    </cfRule>
  </conditionalFormatting>
  <conditionalFormatting sqref="H3:I13">
    <cfRule type="cellIs" dxfId="167" priority="1" operator="lessThan">
      <formula>0</formula>
    </cfRule>
    <cfRule type="cellIs" dxfId="16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15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27.5703125" customWidth="1"/>
    <col min="2" max="5" width="19.5703125" customWidth="1"/>
  </cols>
  <sheetData>
    <row r="1" spans="1:5" ht="16.5" x14ac:dyDescent="0.3">
      <c r="A1" s="1" t="s">
        <v>227</v>
      </c>
    </row>
    <row r="2" spans="1:5" ht="15.75" thickBot="1" x14ac:dyDescent="0.3">
      <c r="A2" s="20" t="s">
        <v>3</v>
      </c>
      <c r="B2" s="20"/>
      <c r="C2" s="20"/>
      <c r="D2" s="20"/>
      <c r="E2" s="20"/>
    </row>
    <row r="3" spans="1:5" ht="16.5" thickTop="1" thickBot="1" x14ac:dyDescent="0.3">
      <c r="A3" s="1188" t="s">
        <v>103</v>
      </c>
      <c r="B3" s="1173" t="s">
        <v>228</v>
      </c>
      <c r="C3" s="1174"/>
      <c r="D3" s="1171" t="s">
        <v>229</v>
      </c>
      <c r="E3" s="20"/>
    </row>
    <row r="4" spans="1:5" ht="16.5" thickTop="1" thickBot="1" x14ac:dyDescent="0.3">
      <c r="A4" s="1190"/>
      <c r="B4" s="21" t="s">
        <v>230</v>
      </c>
      <c r="C4" s="58" t="s">
        <v>231</v>
      </c>
      <c r="D4" s="1182"/>
      <c r="E4" s="20"/>
    </row>
    <row r="5" spans="1:5" ht="18.75" customHeight="1" thickTop="1" thickBot="1" x14ac:dyDescent="0.3">
      <c r="A5" s="23" t="s">
        <v>232</v>
      </c>
      <c r="B5" s="47"/>
      <c r="C5" s="47"/>
      <c r="D5" s="49"/>
      <c r="E5" s="20"/>
    </row>
    <row r="6" spans="1:5" ht="18.75" customHeight="1" thickTop="1" thickBot="1" x14ac:dyDescent="0.3">
      <c r="A6" s="14"/>
      <c r="B6" s="68"/>
      <c r="C6" s="68"/>
      <c r="D6" s="69"/>
      <c r="E6" s="20"/>
    </row>
    <row r="7" spans="1:5" ht="18.75" customHeight="1" thickBot="1" x14ac:dyDescent="0.3">
      <c r="A7" s="14"/>
      <c r="B7" s="68"/>
      <c r="C7" s="68"/>
      <c r="D7" s="69"/>
      <c r="E7" s="20"/>
    </row>
    <row r="8" spans="1:5" ht="18.75" customHeight="1" thickBot="1" x14ac:dyDescent="0.3">
      <c r="A8" s="14"/>
      <c r="B8" s="68"/>
      <c r="C8" s="68"/>
      <c r="D8" s="69"/>
      <c r="E8" s="20"/>
    </row>
    <row r="9" spans="1:5" ht="18.75" customHeight="1" thickBot="1" x14ac:dyDescent="0.3">
      <c r="A9" s="16"/>
      <c r="B9" s="74"/>
      <c r="C9" s="142"/>
      <c r="D9" s="67"/>
      <c r="E9" s="20"/>
    </row>
    <row r="10" spans="1:5" ht="18.75" customHeight="1" thickTop="1" thickBot="1" x14ac:dyDescent="0.3">
      <c r="A10" s="23" t="s">
        <v>233</v>
      </c>
      <c r="B10" s="74"/>
      <c r="C10" s="143"/>
      <c r="D10" s="67"/>
      <c r="E10" s="20"/>
    </row>
    <row r="11" spans="1:5" ht="18.75" customHeight="1" thickTop="1" thickBot="1" x14ac:dyDescent="0.3">
      <c r="A11" s="14"/>
      <c r="B11" s="68"/>
      <c r="C11" s="68"/>
      <c r="D11" s="69"/>
      <c r="E11" s="20"/>
    </row>
    <row r="12" spans="1:5" ht="18.75" customHeight="1" thickBot="1" x14ac:dyDescent="0.3">
      <c r="A12" s="14"/>
      <c r="B12" s="68"/>
      <c r="C12" s="68"/>
      <c r="D12" s="69"/>
      <c r="E12" s="20"/>
    </row>
    <row r="13" spans="1:5" ht="18.75" customHeight="1" thickBot="1" x14ac:dyDescent="0.3">
      <c r="A13" s="14"/>
      <c r="B13" s="68"/>
      <c r="C13" s="68"/>
      <c r="D13" s="69"/>
      <c r="E13" s="20"/>
    </row>
    <row r="14" spans="1:5" ht="18.75" customHeight="1" thickBot="1" x14ac:dyDescent="0.3">
      <c r="A14" s="23"/>
      <c r="B14" s="74"/>
      <c r="C14" s="74"/>
      <c r="D14" s="67"/>
      <c r="E14" s="20"/>
    </row>
    <row r="15" spans="1:5" ht="15.75" thickTop="1" x14ac:dyDescent="0.25">
      <c r="A15" s="20"/>
      <c r="B15" s="20"/>
      <c r="C15" s="20"/>
      <c r="D15" s="20"/>
      <c r="E15" s="20"/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17"/>
  <sheetViews>
    <sheetView showGridLines="0" zoomScaleNormal="100" workbookViewId="0">
      <selection activeCell="A13" sqref="A13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1" t="s">
        <v>227</v>
      </c>
    </row>
    <row r="2" spans="1:5" x14ac:dyDescent="0.25">
      <c r="A2" s="20"/>
      <c r="B2" s="20"/>
      <c r="C2" s="20"/>
      <c r="D2" s="20"/>
      <c r="E2" s="20"/>
    </row>
    <row r="3" spans="1:5" ht="15.75" thickBot="1" x14ac:dyDescent="0.3">
      <c r="A3" s="20" t="s">
        <v>5</v>
      </c>
      <c r="B3" s="20"/>
      <c r="C3" s="20"/>
      <c r="D3" s="20"/>
      <c r="E3" s="20"/>
    </row>
    <row r="4" spans="1:5" ht="28.5" customHeight="1" thickTop="1" thickBot="1" x14ac:dyDescent="0.3">
      <c r="A4" s="1188" t="s">
        <v>103</v>
      </c>
      <c r="B4" s="1173" t="s">
        <v>1</v>
      </c>
      <c r="C4" s="1175"/>
      <c r="D4" s="1173" t="s">
        <v>2</v>
      </c>
      <c r="E4" s="1175"/>
    </row>
    <row r="5" spans="1:5" ht="17.25" customHeight="1" thickTop="1" thickBot="1" x14ac:dyDescent="0.3">
      <c r="A5" s="1189"/>
      <c r="B5" s="1173" t="s">
        <v>234</v>
      </c>
      <c r="C5" s="1175"/>
      <c r="D5" s="1173" t="s">
        <v>234</v>
      </c>
      <c r="E5" s="1175"/>
    </row>
    <row r="6" spans="1:5" ht="24" thickTop="1" thickBot="1" x14ac:dyDescent="0.3">
      <c r="A6" s="1190"/>
      <c r="B6" s="21" t="s">
        <v>235</v>
      </c>
      <c r="C6" s="21" t="s">
        <v>236</v>
      </c>
      <c r="D6" s="21" t="s">
        <v>235</v>
      </c>
      <c r="E6" s="21" t="s">
        <v>236</v>
      </c>
    </row>
    <row r="7" spans="1:5" ht="35.25" thickTop="1" thickBot="1" x14ac:dyDescent="0.3">
      <c r="A7" s="23" t="s">
        <v>232</v>
      </c>
      <c r="B7" s="47"/>
      <c r="C7" s="47"/>
      <c r="D7" s="49"/>
      <c r="E7" s="49"/>
    </row>
    <row r="8" spans="1:5" ht="18.75" customHeight="1" thickTop="1" thickBot="1" x14ac:dyDescent="0.3">
      <c r="A8" s="14"/>
      <c r="B8" s="68"/>
      <c r="C8" s="68"/>
      <c r="D8" s="69"/>
      <c r="E8" s="69"/>
    </row>
    <row r="9" spans="1:5" ht="18.75" customHeight="1" thickBot="1" x14ac:dyDescent="0.3">
      <c r="A9" s="14"/>
      <c r="B9" s="68"/>
      <c r="C9" s="68"/>
      <c r="D9" s="69"/>
      <c r="E9" s="69"/>
    </row>
    <row r="10" spans="1:5" ht="18.75" customHeight="1" thickBot="1" x14ac:dyDescent="0.3">
      <c r="A10" s="14"/>
      <c r="B10" s="68"/>
      <c r="C10" s="68"/>
      <c r="D10" s="69"/>
      <c r="E10" s="69"/>
    </row>
    <row r="11" spans="1:5" ht="18.75" customHeight="1" thickBot="1" x14ac:dyDescent="0.3">
      <c r="A11" s="16"/>
      <c r="B11" s="74"/>
      <c r="C11" s="142"/>
      <c r="D11" s="67"/>
      <c r="E11" s="67"/>
    </row>
    <row r="12" spans="1:5" ht="24" thickTop="1" thickBot="1" x14ac:dyDescent="0.3">
      <c r="A12" s="23" t="s">
        <v>233</v>
      </c>
      <c r="B12" s="74"/>
      <c r="C12" s="143"/>
      <c r="D12" s="67"/>
      <c r="E12" s="67"/>
    </row>
    <row r="13" spans="1:5" ht="18.75" customHeight="1" thickTop="1" thickBot="1" x14ac:dyDescent="0.3">
      <c r="A13" s="14"/>
      <c r="B13" s="68"/>
      <c r="C13" s="68"/>
      <c r="D13" s="69"/>
      <c r="E13" s="69"/>
    </row>
    <row r="14" spans="1:5" ht="18.75" customHeight="1" thickBot="1" x14ac:dyDescent="0.3">
      <c r="A14" s="14"/>
      <c r="B14" s="68"/>
      <c r="C14" s="68"/>
      <c r="D14" s="69"/>
      <c r="E14" s="69"/>
    </row>
    <row r="15" spans="1:5" ht="18.75" customHeight="1" thickBot="1" x14ac:dyDescent="0.3">
      <c r="A15" s="14"/>
      <c r="B15" s="68"/>
      <c r="C15" s="68"/>
      <c r="D15" s="69"/>
      <c r="E15" s="69"/>
    </row>
    <row r="16" spans="1:5" ht="18.75" customHeight="1" thickBot="1" x14ac:dyDescent="0.3">
      <c r="A16" s="23"/>
      <c r="B16" s="74"/>
      <c r="C16" s="74"/>
      <c r="D16" s="67"/>
      <c r="E16" s="67"/>
    </row>
    <row r="17" spans="1:5" ht="15.75" thickTop="1" x14ac:dyDescent="0.25">
      <c r="A17" s="20"/>
      <c r="B17" s="20"/>
      <c r="C17" s="20"/>
      <c r="D17" s="20"/>
      <c r="E17" s="20"/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C9"/>
  <sheetViews>
    <sheetView showGridLines="0" zoomScaleNormal="100" workbookViewId="0">
      <selection activeCell="B2" sqref="B2:C2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237</v>
      </c>
    </row>
    <row r="2" spans="1:3" ht="16.5" thickTop="1" thickBot="1" x14ac:dyDescent="0.3">
      <c r="A2" s="1188" t="s">
        <v>238</v>
      </c>
      <c r="B2" s="1173" t="s">
        <v>239</v>
      </c>
      <c r="C2" s="1175"/>
    </row>
    <row r="3" spans="1:3" ht="24" thickTop="1" thickBot="1" x14ac:dyDescent="0.3">
      <c r="A3" s="1190"/>
      <c r="B3" s="59" t="s">
        <v>1</v>
      </c>
      <c r="C3" s="59" t="s">
        <v>2</v>
      </c>
    </row>
    <row r="4" spans="1:3" ht="20.25" customHeight="1" thickTop="1" thickBot="1" x14ac:dyDescent="0.3">
      <c r="A4" s="14" t="s">
        <v>240</v>
      </c>
      <c r="B4" s="68"/>
      <c r="C4" s="69"/>
    </row>
    <row r="5" spans="1:3" ht="20.25" customHeight="1" thickBot="1" x14ac:dyDescent="0.3">
      <c r="A5" s="14" t="s">
        <v>241</v>
      </c>
      <c r="B5" s="68"/>
      <c r="C5" s="69"/>
    </row>
    <row r="6" spans="1:3" ht="20.25" customHeight="1" thickBot="1" x14ac:dyDescent="0.3">
      <c r="A6" s="14" t="s">
        <v>242</v>
      </c>
      <c r="B6" s="68"/>
      <c r="C6" s="69"/>
    </row>
    <row r="7" spans="1:3" ht="20.25" customHeight="1" thickBot="1" x14ac:dyDescent="0.3">
      <c r="A7" s="14" t="s">
        <v>243</v>
      </c>
      <c r="B7" s="68"/>
      <c r="C7" s="69"/>
    </row>
    <row r="8" spans="1:3" ht="20.25" customHeight="1" thickBot="1" x14ac:dyDescent="0.3">
      <c r="A8" s="23" t="s">
        <v>4</v>
      </c>
      <c r="B8" s="74">
        <f>SUM(B4:B7)</f>
        <v>0</v>
      </c>
      <c r="C8" s="67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O8"/>
  <sheetViews>
    <sheetView showGridLines="0" zoomScaleNormal="100" workbookViewId="0">
      <selection activeCell="H11" sqref="H11"/>
    </sheetView>
  </sheetViews>
  <sheetFormatPr defaultRowHeight="15" x14ac:dyDescent="0.25"/>
  <cols>
    <col min="1" max="1" width="18.85546875" customWidth="1"/>
    <col min="2" max="7" width="11.28515625" customWidth="1"/>
    <col min="10" max="10" width="9.140625" style="280"/>
    <col min="11" max="14" width="9.140625" style="281"/>
    <col min="15" max="15" width="9.140625" style="285"/>
  </cols>
  <sheetData>
    <row r="1" spans="1:15" ht="17.25" thickBot="1" x14ac:dyDescent="0.35">
      <c r="A1" s="1" t="s">
        <v>244</v>
      </c>
      <c r="J1" s="1179" t="s">
        <v>948</v>
      </c>
      <c r="K1" s="1180"/>
      <c r="L1" s="1180"/>
      <c r="M1" s="1180"/>
      <c r="N1" s="1180"/>
      <c r="O1" s="1181"/>
    </row>
    <row r="2" spans="1:15" ht="24.75" customHeight="1" thickTop="1" thickBot="1" x14ac:dyDescent="0.3">
      <c r="A2" s="1188" t="s">
        <v>0</v>
      </c>
      <c r="B2" s="1185" t="s">
        <v>1</v>
      </c>
      <c r="C2" s="1186"/>
      <c r="D2" s="1187"/>
      <c r="E2" s="1173" t="s">
        <v>2</v>
      </c>
      <c r="F2" s="1174"/>
      <c r="G2" s="1175"/>
      <c r="J2" s="1185" t="s">
        <v>1</v>
      </c>
      <c r="K2" s="1186"/>
      <c r="L2" s="1187"/>
      <c r="M2" s="1173" t="s">
        <v>458</v>
      </c>
      <c r="N2" s="1174"/>
      <c r="O2" s="1175"/>
    </row>
    <row r="3" spans="1:15" ht="16.5" customHeight="1" thickTop="1" thickBot="1" x14ac:dyDescent="0.3">
      <c r="A3" s="1189"/>
      <c r="B3" s="1185" t="s">
        <v>156</v>
      </c>
      <c r="C3" s="1186"/>
      <c r="D3" s="1187"/>
      <c r="E3" s="1185" t="s">
        <v>156</v>
      </c>
      <c r="F3" s="1186"/>
      <c r="G3" s="1187"/>
      <c r="J3" s="1185" t="s">
        <v>156</v>
      </c>
      <c r="K3" s="1186"/>
      <c r="L3" s="1187"/>
      <c r="M3" s="1185" t="s">
        <v>156</v>
      </c>
      <c r="N3" s="1186"/>
      <c r="O3" s="1187"/>
    </row>
    <row r="4" spans="1:15" s="4" customFormat="1" ht="45" customHeight="1" thickTop="1" thickBot="1" x14ac:dyDescent="0.3">
      <c r="A4" s="1190"/>
      <c r="B4" s="21" t="s">
        <v>157</v>
      </c>
      <c r="C4" s="21" t="s">
        <v>158</v>
      </c>
      <c r="D4" s="21" t="s">
        <v>159</v>
      </c>
      <c r="E4" s="21" t="s">
        <v>157</v>
      </c>
      <c r="F4" s="21" t="s">
        <v>158</v>
      </c>
      <c r="G4" s="21" t="s">
        <v>159</v>
      </c>
      <c r="J4" s="48" t="s">
        <v>157</v>
      </c>
      <c r="K4" s="21" t="s">
        <v>158</v>
      </c>
      <c r="L4" s="21" t="s">
        <v>159</v>
      </c>
      <c r="M4" s="21" t="s">
        <v>157</v>
      </c>
      <c r="N4" s="21" t="s">
        <v>158</v>
      </c>
      <c r="O4" s="21" t="s">
        <v>159</v>
      </c>
    </row>
    <row r="5" spans="1:15" ht="18.75" customHeight="1" thickTop="1" thickBot="1" x14ac:dyDescent="0.3">
      <c r="A5" s="63" t="s">
        <v>160</v>
      </c>
      <c r="B5" s="133"/>
      <c r="C5" s="133"/>
      <c r="D5" s="133"/>
      <c r="E5" s="133"/>
      <c r="F5" s="133"/>
      <c r="G5" s="66"/>
    </row>
    <row r="6" spans="1:15" ht="18.75" customHeight="1" thickBot="1" x14ac:dyDescent="0.3">
      <c r="A6" s="60" t="s">
        <v>245</v>
      </c>
      <c r="B6" s="68"/>
      <c r="C6" s="68"/>
      <c r="D6" s="68"/>
      <c r="E6" s="68"/>
      <c r="F6" s="68"/>
      <c r="G6" s="69"/>
    </row>
    <row r="7" spans="1:15" ht="18.75" customHeight="1" thickBot="1" x14ac:dyDescent="0.3">
      <c r="A7" s="61" t="s">
        <v>4</v>
      </c>
      <c r="B7" s="74">
        <f t="shared" ref="B7:G7" si="0">B5+B6</f>
        <v>0</v>
      </c>
      <c r="C7" s="74">
        <f t="shared" si="0"/>
        <v>0</v>
      </c>
      <c r="D7" s="74">
        <f t="shared" si="0"/>
        <v>0</v>
      </c>
      <c r="E7" s="74">
        <f t="shared" si="0"/>
        <v>0</v>
      </c>
      <c r="F7" s="74">
        <f t="shared" si="0"/>
        <v>0</v>
      </c>
      <c r="G7" s="67">
        <f t="shared" si="0"/>
        <v>0</v>
      </c>
      <c r="J7" s="283">
        <f t="shared" ref="J7:O7" si="1">SUM(B5:B6)-B7</f>
        <v>0</v>
      </c>
      <c r="K7" s="282">
        <f t="shared" si="1"/>
        <v>0</v>
      </c>
      <c r="L7" s="282">
        <f t="shared" si="1"/>
        <v>0</v>
      </c>
      <c r="M7" s="282">
        <f t="shared" si="1"/>
        <v>0</v>
      </c>
      <c r="N7" s="282">
        <f t="shared" si="1"/>
        <v>0</v>
      </c>
      <c r="O7" s="286">
        <f t="shared" si="1"/>
        <v>0</v>
      </c>
    </row>
    <row r="8" spans="1:15" ht="15.75" thickTop="1" x14ac:dyDescent="0.25"/>
  </sheetData>
  <mergeCells count="10">
    <mergeCell ref="B2:D2"/>
    <mergeCell ref="E2:G2"/>
    <mergeCell ref="B3:D3"/>
    <mergeCell ref="E3:G3"/>
    <mergeCell ref="A2:A4"/>
    <mergeCell ref="J1:O1"/>
    <mergeCell ref="J2:L2"/>
    <mergeCell ref="M2:O2"/>
    <mergeCell ref="J3:L3"/>
    <mergeCell ref="M3:O3"/>
  </mergeCells>
  <conditionalFormatting sqref="J5:O7">
    <cfRule type="cellIs" dxfId="165" priority="3" operator="lessThan">
      <formula>0</formula>
    </cfRule>
    <cfRule type="cellIs" dxfId="164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C12"/>
  <sheetViews>
    <sheetView showGridLines="0" zoomScaleNormal="100" workbookViewId="0">
      <selection activeCell="B14" sqref="B14"/>
    </sheetView>
  </sheetViews>
  <sheetFormatPr defaultRowHeight="15" x14ac:dyDescent="0.2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310</v>
      </c>
    </row>
    <row r="2" spans="1:3" ht="33" customHeight="1" thickTop="1" thickBot="1" x14ac:dyDescent="0.3">
      <c r="A2" s="73" t="s">
        <v>103</v>
      </c>
      <c r="B2" s="59" t="s">
        <v>1</v>
      </c>
      <c r="C2" s="59" t="s">
        <v>2</v>
      </c>
    </row>
    <row r="3" spans="1:3" ht="18.75" customHeight="1" thickTop="1" thickBot="1" x14ac:dyDescent="0.3">
      <c r="A3" s="144" t="s">
        <v>311</v>
      </c>
      <c r="B3" s="69"/>
      <c r="C3" s="69"/>
    </row>
    <row r="4" spans="1:3" ht="18.75" customHeight="1" thickBot="1" x14ac:dyDescent="0.3">
      <c r="A4" s="145" t="s">
        <v>312</v>
      </c>
      <c r="B4" s="69"/>
      <c r="C4" s="69"/>
    </row>
    <row r="5" spans="1:3" ht="18.75" customHeight="1" thickBot="1" x14ac:dyDescent="0.3">
      <c r="A5" s="60" t="s">
        <v>313</v>
      </c>
      <c r="B5" s="69"/>
      <c r="C5" s="69"/>
    </row>
    <row r="6" spans="1:3" ht="18.75" customHeight="1" thickBot="1" x14ac:dyDescent="0.3">
      <c r="A6" s="144" t="s">
        <v>314</v>
      </c>
      <c r="B6" s="69"/>
      <c r="C6" s="69"/>
    </row>
    <row r="7" spans="1:3" ht="18.75" customHeight="1" thickBot="1" x14ac:dyDescent="0.3">
      <c r="A7" s="146" t="s">
        <v>315</v>
      </c>
      <c r="B7" s="69"/>
      <c r="C7" s="69"/>
    </row>
    <row r="8" spans="1:3" ht="18.75" customHeight="1" thickBot="1" x14ac:dyDescent="0.3">
      <c r="A8" s="118" t="s">
        <v>316</v>
      </c>
      <c r="B8" s="69"/>
      <c r="C8" s="69"/>
    </row>
    <row r="9" spans="1:3" ht="18.75" customHeight="1" thickBot="1" x14ac:dyDescent="0.3">
      <c r="A9" s="145" t="s">
        <v>317</v>
      </c>
      <c r="B9" s="69"/>
      <c r="C9" s="69"/>
    </row>
    <row r="10" spans="1:3" ht="18.75" customHeight="1" thickBot="1" x14ac:dyDescent="0.3">
      <c r="A10" s="144" t="s">
        <v>318</v>
      </c>
      <c r="B10" s="115"/>
      <c r="C10" s="115"/>
    </row>
    <row r="11" spans="1:3" ht="18.75" customHeight="1" thickBot="1" x14ac:dyDescent="0.3">
      <c r="A11" s="147" t="s">
        <v>319</v>
      </c>
      <c r="B11" s="116"/>
      <c r="C11" s="116"/>
    </row>
    <row r="12" spans="1:3" ht="17.25" thickTop="1" x14ac:dyDescent="0.3">
      <c r="A1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20"/>
  <sheetViews>
    <sheetView showGridLines="0" zoomScaleNormal="100" workbookViewId="0">
      <selection activeCell="A5" sqref="A5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 x14ac:dyDescent="0.3">
      <c r="A1" s="1" t="s">
        <v>320</v>
      </c>
    </row>
    <row r="2" spans="1:4" ht="15.75" thickBot="1" x14ac:dyDescent="0.3">
      <c r="A2" s="38" t="s">
        <v>3</v>
      </c>
      <c r="B2" s="20"/>
      <c r="C2" s="20"/>
      <c r="D2" s="20"/>
    </row>
    <row r="3" spans="1:4" ht="16.5" thickTop="1" thickBot="1" x14ac:dyDescent="0.3">
      <c r="A3" s="1188" t="s">
        <v>321</v>
      </c>
      <c r="B3" s="1173" t="s">
        <v>322</v>
      </c>
      <c r="C3" s="1175"/>
      <c r="D3" s="20"/>
    </row>
    <row r="4" spans="1:4" ht="16.5" thickTop="1" thickBot="1" x14ac:dyDescent="0.3">
      <c r="A4" s="1190"/>
      <c r="B4" s="21" t="s">
        <v>323</v>
      </c>
      <c r="C4" s="148" t="s">
        <v>324</v>
      </c>
      <c r="D4" s="20"/>
    </row>
    <row r="5" spans="1:4" ht="20.25" customHeight="1" thickTop="1" thickBot="1" x14ac:dyDescent="0.3">
      <c r="A5" s="14" t="s">
        <v>325</v>
      </c>
      <c r="B5" s="69"/>
      <c r="C5" s="69"/>
      <c r="D5" s="20"/>
    </row>
    <row r="6" spans="1:4" ht="20.25" customHeight="1" thickBot="1" x14ac:dyDescent="0.3">
      <c r="A6" s="14" t="s">
        <v>326</v>
      </c>
      <c r="B6" s="69"/>
      <c r="C6" s="69"/>
      <c r="D6" s="20"/>
    </row>
    <row r="7" spans="1:4" ht="20.25" customHeight="1" thickBot="1" x14ac:dyDescent="0.3">
      <c r="A7" s="14" t="s">
        <v>327</v>
      </c>
      <c r="B7" s="69"/>
      <c r="C7" s="69"/>
      <c r="D7" s="20"/>
    </row>
    <row r="8" spans="1:4" ht="20.25" customHeight="1" thickBot="1" x14ac:dyDescent="0.3">
      <c r="A8" s="14" t="s">
        <v>328</v>
      </c>
      <c r="B8" s="69"/>
      <c r="C8" s="69"/>
      <c r="D8" s="20"/>
    </row>
    <row r="9" spans="1:4" ht="20.25" customHeight="1" thickBot="1" x14ac:dyDescent="0.3">
      <c r="A9" s="14" t="s">
        <v>329</v>
      </c>
      <c r="B9" s="69"/>
      <c r="C9" s="69"/>
      <c r="D9" s="20"/>
    </row>
    <row r="10" spans="1:4" ht="20.25" customHeight="1" thickBot="1" x14ac:dyDescent="0.3">
      <c r="A10" s="16" t="s">
        <v>330</v>
      </c>
      <c r="B10" s="67"/>
      <c r="C10" s="67"/>
      <c r="D10" s="20"/>
    </row>
    <row r="11" spans="1:4" ht="16.5" thickTop="1" thickBot="1" x14ac:dyDescent="0.3">
      <c r="A11" s="149" t="s">
        <v>5</v>
      </c>
      <c r="B11" s="20"/>
      <c r="C11" s="20"/>
      <c r="D11" s="20"/>
    </row>
    <row r="12" spans="1:4" ht="16.5" thickTop="1" thickBot="1" x14ac:dyDescent="0.3">
      <c r="A12" s="1171" t="s">
        <v>321</v>
      </c>
      <c r="B12" s="1173" t="s">
        <v>331</v>
      </c>
      <c r="C12" s="1175"/>
      <c r="D12" s="20"/>
    </row>
    <row r="13" spans="1:4" ht="16.5" thickTop="1" thickBot="1" x14ac:dyDescent="0.3">
      <c r="A13" s="1182"/>
      <c r="B13" s="21" t="s">
        <v>323</v>
      </c>
      <c r="C13" s="148" t="s">
        <v>324</v>
      </c>
      <c r="D13" s="20"/>
    </row>
    <row r="14" spans="1:4" ht="20.25" customHeight="1" thickTop="1" thickBot="1" x14ac:dyDescent="0.3">
      <c r="A14" s="14" t="s">
        <v>325</v>
      </c>
      <c r="B14" s="69"/>
      <c r="C14" s="69"/>
      <c r="D14" s="20"/>
    </row>
    <row r="15" spans="1:4" ht="20.25" customHeight="1" thickBot="1" x14ac:dyDescent="0.3">
      <c r="A15" s="14" t="s">
        <v>326</v>
      </c>
      <c r="B15" s="69"/>
      <c r="C15" s="69"/>
      <c r="D15" s="20"/>
    </row>
    <row r="16" spans="1:4" ht="20.25" customHeight="1" thickBot="1" x14ac:dyDescent="0.3">
      <c r="A16" s="14" t="s">
        <v>327</v>
      </c>
      <c r="B16" s="69"/>
      <c r="C16" s="69"/>
      <c r="D16" s="20"/>
    </row>
    <row r="17" spans="1:4" ht="20.25" customHeight="1" thickBot="1" x14ac:dyDescent="0.3">
      <c r="A17" s="14" t="s">
        <v>328</v>
      </c>
      <c r="B17" s="69"/>
      <c r="C17" s="69"/>
      <c r="D17" s="20"/>
    </row>
    <row r="18" spans="1:4" ht="20.25" customHeight="1" thickBot="1" x14ac:dyDescent="0.3">
      <c r="A18" s="14" t="s">
        <v>329</v>
      </c>
      <c r="B18" s="69"/>
      <c r="C18" s="69"/>
      <c r="D18" s="20"/>
    </row>
    <row r="19" spans="1:4" ht="20.25" customHeight="1" thickBot="1" x14ac:dyDescent="0.3">
      <c r="A19" s="131" t="s">
        <v>330</v>
      </c>
      <c r="B19" s="67"/>
      <c r="C19" s="67"/>
      <c r="D19" s="20"/>
    </row>
    <row r="20" spans="1:4" ht="15.75" thickTop="1" x14ac:dyDescent="0.25">
      <c r="A20" s="20"/>
      <c r="B20" s="20"/>
      <c r="C20" s="20"/>
      <c r="D20" s="20"/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50"/>
  <sheetViews>
    <sheetView showGridLines="0" zoomScale="85" zoomScaleNormal="85" workbookViewId="0">
      <pane xSplit="1" ySplit="4" topLeftCell="V32" activePane="bottomRight" state="frozen"/>
      <selection pane="topRight" activeCell="B1" sqref="B1"/>
      <selection pane="bottomLeft" activeCell="A5" sqref="A5"/>
      <selection pane="bottomRight" activeCell="AG45" sqref="AG45"/>
    </sheetView>
  </sheetViews>
  <sheetFormatPr defaultRowHeight="15" outlineLevelCol="1" x14ac:dyDescent="0.25"/>
  <cols>
    <col min="1" max="1" width="29.140625" customWidth="1"/>
    <col min="2" max="10" width="11.28515625" customWidth="1"/>
    <col min="11" max="11" width="9.140625" style="285"/>
    <col min="12" max="19" width="9.140625" style="281" customWidth="1" outlineLevel="1"/>
    <col min="20" max="20" width="18.28515625" style="285" customWidth="1"/>
    <col min="21" max="21" width="9.140625" style="287"/>
    <col min="22" max="22" width="9.140625" style="281" customWidth="1" outlineLevel="1"/>
    <col min="23" max="29" width="9.140625" customWidth="1" outlineLevel="1"/>
    <col min="30" max="30" width="26.85546875" style="285" customWidth="1"/>
    <col min="31" max="31" width="9.140625" style="285"/>
    <col min="32" max="32" width="9.140625" style="280" customWidth="1" outlineLevel="1"/>
    <col min="33" max="39" width="9.140625" customWidth="1" outlineLevel="1"/>
    <col min="40" max="40" width="26.7109375" style="285" customWidth="1"/>
  </cols>
  <sheetData>
    <row r="1" spans="1:40" ht="16.5" x14ac:dyDescent="0.3">
      <c r="A1" s="1" t="s">
        <v>22</v>
      </c>
      <c r="L1" s="1168" t="s">
        <v>948</v>
      </c>
      <c r="M1" s="1169"/>
      <c r="N1" s="1169"/>
      <c r="O1" s="1169"/>
      <c r="P1" s="1169"/>
      <c r="Q1" s="1169"/>
      <c r="R1" s="1169"/>
      <c r="S1" s="1169"/>
      <c r="T1" s="1170"/>
      <c r="V1" s="1168" t="s">
        <v>949</v>
      </c>
      <c r="W1" s="1169"/>
      <c r="X1" s="1169"/>
      <c r="Y1" s="1169"/>
      <c r="Z1" s="1169"/>
      <c r="AA1" s="1169"/>
      <c r="AB1" s="1169"/>
      <c r="AC1" s="1169"/>
      <c r="AD1" s="1170"/>
      <c r="AF1" s="1168" t="s">
        <v>950</v>
      </c>
      <c r="AG1" s="1169"/>
      <c r="AH1" s="1169"/>
      <c r="AI1" s="1169"/>
      <c r="AJ1" s="1169"/>
      <c r="AK1" s="1169"/>
      <c r="AL1" s="1169"/>
      <c r="AM1" s="1169"/>
      <c r="AN1" s="1170"/>
    </row>
    <row r="2" spans="1:40" ht="17.25" thickBot="1" x14ac:dyDescent="0.35">
      <c r="A2" s="2" t="s">
        <v>3</v>
      </c>
    </row>
    <row r="3" spans="1:40" ht="16.5" thickTop="1" thickBot="1" x14ac:dyDescent="0.3">
      <c r="A3" s="1171" t="s">
        <v>27</v>
      </c>
      <c r="B3" s="1173" t="s">
        <v>1</v>
      </c>
      <c r="C3" s="1174"/>
      <c r="D3" s="1174"/>
      <c r="E3" s="1174"/>
      <c r="F3" s="1174"/>
      <c r="G3" s="1174"/>
      <c r="H3" s="1174"/>
      <c r="I3" s="1174"/>
      <c r="J3" s="1175"/>
      <c r="K3" s="289"/>
    </row>
    <row r="4" spans="1:40" ht="60.75" customHeight="1" thickTop="1" thickBot="1" x14ac:dyDescent="0.3">
      <c r="A4" s="1172"/>
      <c r="B4" s="10" t="s">
        <v>23</v>
      </c>
      <c r="C4" s="126" t="s">
        <v>461</v>
      </c>
      <c r="D4" s="10" t="s">
        <v>24</v>
      </c>
      <c r="E4" s="126" t="s">
        <v>460</v>
      </c>
      <c r="F4" s="10" t="s">
        <v>25</v>
      </c>
      <c r="G4" s="10" t="s">
        <v>26</v>
      </c>
      <c r="H4" s="11" t="s">
        <v>413</v>
      </c>
      <c r="I4" s="10" t="s">
        <v>414</v>
      </c>
      <c r="J4" s="10" t="s">
        <v>4</v>
      </c>
      <c r="K4" s="281"/>
      <c r="L4" s="48" t="s">
        <v>23</v>
      </c>
      <c r="M4" s="331" t="s">
        <v>461</v>
      </c>
      <c r="N4" s="48" t="s">
        <v>24</v>
      </c>
      <c r="O4" s="331" t="s">
        <v>460</v>
      </c>
      <c r="P4" s="48" t="s">
        <v>25</v>
      </c>
      <c r="Q4" s="48" t="s">
        <v>26</v>
      </c>
      <c r="R4" s="331" t="s">
        <v>413</v>
      </c>
      <c r="S4" s="48" t="s">
        <v>414</v>
      </c>
      <c r="T4" s="48" t="s">
        <v>4</v>
      </c>
      <c r="U4" s="281"/>
      <c r="V4" s="48" t="s">
        <v>23</v>
      </c>
      <c r="W4" s="331" t="s">
        <v>461</v>
      </c>
      <c r="X4" s="48" t="s">
        <v>24</v>
      </c>
      <c r="Y4" s="331" t="s">
        <v>460</v>
      </c>
      <c r="Z4" s="48" t="s">
        <v>25</v>
      </c>
      <c r="AA4" s="48" t="s">
        <v>26</v>
      </c>
      <c r="AB4" s="331" t="s">
        <v>413</v>
      </c>
      <c r="AC4" s="48" t="s">
        <v>414</v>
      </c>
      <c r="AD4" s="48" t="s">
        <v>4</v>
      </c>
      <c r="AE4" s="281"/>
      <c r="AF4" s="48" t="s">
        <v>23</v>
      </c>
      <c r="AG4" s="331" t="s">
        <v>461</v>
      </c>
      <c r="AH4" s="48" t="s">
        <v>24</v>
      </c>
      <c r="AI4" s="331" t="s">
        <v>460</v>
      </c>
      <c r="AJ4" s="48" t="s">
        <v>25</v>
      </c>
      <c r="AK4" s="48" t="s">
        <v>26</v>
      </c>
      <c r="AL4" s="331" t="s">
        <v>413</v>
      </c>
      <c r="AM4" s="48" t="s">
        <v>414</v>
      </c>
      <c r="AN4" s="48" t="s">
        <v>4</v>
      </c>
    </row>
    <row r="5" spans="1:40" ht="15" customHeight="1" thickTop="1" thickBot="1" x14ac:dyDescent="0.3">
      <c r="A5" s="30" t="s">
        <v>7</v>
      </c>
      <c r="B5" s="31"/>
      <c r="C5" s="31"/>
      <c r="D5" s="31"/>
      <c r="E5" s="31"/>
      <c r="F5" s="31"/>
      <c r="G5" s="31"/>
      <c r="H5" s="31"/>
      <c r="I5" s="31"/>
      <c r="J5" s="32"/>
      <c r="K5" s="289"/>
    </row>
    <row r="6" spans="1:40" ht="15" customHeight="1" thickTop="1" thickBot="1" x14ac:dyDescent="0.3">
      <c r="A6" s="33" t="s">
        <v>8</v>
      </c>
      <c r="B6" s="22"/>
      <c r="C6" s="22"/>
      <c r="D6" s="22"/>
      <c r="E6" s="22"/>
      <c r="F6" s="34"/>
      <c r="G6" s="22"/>
      <c r="H6" s="22"/>
      <c r="I6" s="22"/>
      <c r="J6" s="15">
        <f>SUM(B6:H6)</f>
        <v>0</v>
      </c>
      <c r="T6" s="286">
        <f>SUM(B6:I6)-J6</f>
        <v>0</v>
      </c>
      <c r="V6" s="282">
        <f>B6-B34</f>
        <v>0</v>
      </c>
      <c r="W6" s="282">
        <f t="shared" ref="W6:AB6" si="0">C6-C34</f>
        <v>0</v>
      </c>
      <c r="X6" s="282">
        <f t="shared" si="0"/>
        <v>0</v>
      </c>
      <c r="Y6" s="282">
        <f t="shared" si="0"/>
        <v>0</v>
      </c>
      <c r="Z6" s="282">
        <f t="shared" si="0"/>
        <v>0</v>
      </c>
      <c r="AA6" s="282">
        <f t="shared" si="0"/>
        <v>0</v>
      </c>
      <c r="AB6" s="282">
        <f t="shared" si="0"/>
        <v>0</v>
      </c>
      <c r="AC6" s="282">
        <f>I6-I34</f>
        <v>0</v>
      </c>
      <c r="AD6" s="286">
        <f>J6-J34</f>
        <v>0</v>
      </c>
    </row>
    <row r="7" spans="1:40" ht="15" customHeight="1" thickBot="1" x14ac:dyDescent="0.3">
      <c r="A7" s="14" t="s">
        <v>9</v>
      </c>
      <c r="B7" s="22"/>
      <c r="C7" s="22"/>
      <c r="D7" s="22"/>
      <c r="E7" s="22"/>
      <c r="F7" s="35"/>
      <c r="G7" s="22"/>
      <c r="H7" s="22"/>
      <c r="I7" s="22"/>
      <c r="J7" s="15">
        <f>SUM(B7:H7)</f>
        <v>0</v>
      </c>
      <c r="T7" s="286">
        <f>SUM(B7:I7)-J7</f>
        <v>0</v>
      </c>
      <c r="W7" s="281"/>
      <c r="X7" s="281"/>
      <c r="Y7" s="281"/>
      <c r="Z7" s="281"/>
      <c r="AA7" s="281"/>
      <c r="AB7" s="281"/>
      <c r="AC7" s="281"/>
    </row>
    <row r="8" spans="1:40" ht="15" customHeight="1" thickBot="1" x14ac:dyDescent="0.3">
      <c r="A8" s="14" t="s">
        <v>10</v>
      </c>
      <c r="B8" s="22"/>
      <c r="C8" s="22"/>
      <c r="D8" s="22"/>
      <c r="E8" s="22"/>
      <c r="F8" s="35"/>
      <c r="G8" s="22"/>
      <c r="H8" s="22"/>
      <c r="I8" s="22"/>
      <c r="J8" s="15">
        <f>SUM(B8:H8)</f>
        <v>0</v>
      </c>
      <c r="T8" s="286">
        <f>SUM(B8:I8)-J8</f>
        <v>0</v>
      </c>
      <c r="W8" s="281"/>
      <c r="X8" s="281"/>
      <c r="Y8" s="281"/>
      <c r="Z8" s="281"/>
      <c r="AA8" s="281"/>
      <c r="AB8" s="281"/>
      <c r="AC8" s="281"/>
    </row>
    <row r="9" spans="1:40" ht="15" customHeight="1" thickBot="1" x14ac:dyDescent="0.3">
      <c r="A9" s="14" t="s">
        <v>11</v>
      </c>
      <c r="B9" s="22"/>
      <c r="C9" s="22"/>
      <c r="D9" s="22"/>
      <c r="E9" s="22"/>
      <c r="F9" s="35"/>
      <c r="G9" s="22"/>
      <c r="H9" s="22"/>
      <c r="I9" s="22"/>
      <c r="J9" s="15">
        <f>SUM(B9:H9)</f>
        <v>0</v>
      </c>
      <c r="T9" s="286">
        <f>SUM(B9:I9)-J9</f>
        <v>0</v>
      </c>
      <c r="W9" s="281"/>
      <c r="X9" s="281"/>
      <c r="Y9" s="281"/>
      <c r="Z9" s="281"/>
      <c r="AA9" s="281"/>
      <c r="AB9" s="281"/>
      <c r="AC9" s="281"/>
    </row>
    <row r="10" spans="1:40" ht="15" customHeight="1" thickBot="1" x14ac:dyDescent="0.3">
      <c r="A10" s="23" t="s">
        <v>12</v>
      </c>
      <c r="B10" s="24">
        <f t="shared" ref="B10:J10" si="1">B6+B7-B8+B9</f>
        <v>0</v>
      </c>
      <c r="C10" s="24">
        <f t="shared" si="1"/>
        <v>0</v>
      </c>
      <c r="D10" s="24">
        <f t="shared" si="1"/>
        <v>0</v>
      </c>
      <c r="E10" s="24">
        <f t="shared" si="1"/>
        <v>0</v>
      </c>
      <c r="F10" s="24">
        <f t="shared" si="1"/>
        <v>0</v>
      </c>
      <c r="G10" s="24">
        <f t="shared" si="1"/>
        <v>0</v>
      </c>
      <c r="H10" s="24">
        <f t="shared" si="1"/>
        <v>0</v>
      </c>
      <c r="I10" s="24">
        <f t="shared" si="1"/>
        <v>0</v>
      </c>
      <c r="J10" s="17">
        <f t="shared" si="1"/>
        <v>0</v>
      </c>
      <c r="L10" s="283">
        <f>B6+B7-B8+B9-B10</f>
        <v>0</v>
      </c>
      <c r="M10" s="282">
        <f t="shared" ref="M10:T10" si="2">C6+C7-C8+C9-C10</f>
        <v>0</v>
      </c>
      <c r="N10" s="282">
        <f t="shared" si="2"/>
        <v>0</v>
      </c>
      <c r="O10" s="282">
        <f t="shared" si="2"/>
        <v>0</v>
      </c>
      <c r="P10" s="282">
        <f t="shared" si="2"/>
        <v>0</v>
      </c>
      <c r="Q10" s="282">
        <f t="shared" si="2"/>
        <v>0</v>
      </c>
      <c r="R10" s="282">
        <f t="shared" si="2"/>
        <v>0</v>
      </c>
      <c r="S10" s="282">
        <f t="shared" si="2"/>
        <v>0</v>
      </c>
      <c r="T10" s="282">
        <f t="shared" si="2"/>
        <v>0</v>
      </c>
      <c r="W10" s="281"/>
      <c r="X10" s="281"/>
      <c r="Y10" s="281"/>
      <c r="Z10" s="281"/>
      <c r="AA10" s="281"/>
      <c r="AB10" s="281"/>
      <c r="AC10" s="281"/>
      <c r="AF10" s="283">
        <f>B10-'BS old'!$D$31</f>
        <v>0</v>
      </c>
      <c r="AG10" s="282">
        <f>C10-'BS old'!$D$32</f>
        <v>0</v>
      </c>
      <c r="AH10" s="282">
        <f>D10-'BS old'!$D$33</f>
        <v>0</v>
      </c>
      <c r="AI10" s="282">
        <f>E10-'BS old'!$D$34</f>
        <v>0</v>
      </c>
      <c r="AJ10" s="282">
        <f>F10-'BS old'!$D$35</f>
        <v>0</v>
      </c>
      <c r="AK10" s="282">
        <f>G10-'BS old'!$D$36</f>
        <v>0</v>
      </c>
      <c r="AL10" s="282">
        <f>H10-'BS old'!$D$37</f>
        <v>0</v>
      </c>
      <c r="AM10" s="282">
        <f>I10-'BS old'!$D$38</f>
        <v>0</v>
      </c>
      <c r="AN10" s="286">
        <f>J10-'BS old'!$D$30</f>
        <v>0</v>
      </c>
    </row>
    <row r="11" spans="1:40" ht="15" customHeight="1" thickTop="1" thickBot="1" x14ac:dyDescent="0.3">
      <c r="A11" s="30" t="s">
        <v>13</v>
      </c>
      <c r="B11" s="31"/>
      <c r="C11" s="31"/>
      <c r="D11" s="31"/>
      <c r="E11" s="31"/>
      <c r="F11" s="31"/>
      <c r="G11" s="31"/>
      <c r="H11" s="31"/>
      <c r="I11" s="31"/>
      <c r="J11" s="32"/>
      <c r="L11" s="280"/>
      <c r="T11" s="286"/>
      <c r="W11" s="281"/>
      <c r="X11" s="281"/>
      <c r="Y11" s="281"/>
      <c r="Z11" s="281"/>
      <c r="AA11" s="281"/>
      <c r="AB11" s="281"/>
      <c r="AC11" s="281"/>
    </row>
    <row r="12" spans="1:40" ht="15" customHeight="1" thickTop="1" thickBot="1" x14ac:dyDescent="0.3">
      <c r="A12" s="33" t="s">
        <v>14</v>
      </c>
      <c r="B12" s="22"/>
      <c r="C12" s="22"/>
      <c r="D12" s="22"/>
      <c r="E12" s="22"/>
      <c r="F12" s="22"/>
      <c r="G12" s="22"/>
      <c r="H12" s="22"/>
      <c r="I12" s="22"/>
      <c r="J12" s="15">
        <f>SUM(B12:H12)</f>
        <v>0</v>
      </c>
      <c r="L12" s="280"/>
      <c r="T12" s="286">
        <f>SUM(B12:I12)-J12</f>
        <v>0</v>
      </c>
      <c r="V12" s="282">
        <f>B12-B39</f>
        <v>0</v>
      </c>
      <c r="W12" s="282">
        <f t="shared" ref="W12:AB12" si="3">C12-C39</f>
        <v>0</v>
      </c>
      <c r="X12" s="282">
        <f t="shared" si="3"/>
        <v>0</v>
      </c>
      <c r="Y12" s="282">
        <f t="shared" si="3"/>
        <v>0</v>
      </c>
      <c r="Z12" s="282">
        <f>F12-F39</f>
        <v>0</v>
      </c>
      <c r="AA12" s="282">
        <f t="shared" si="3"/>
        <v>0</v>
      </c>
      <c r="AB12" s="282">
        <f t="shared" si="3"/>
        <v>0</v>
      </c>
      <c r="AC12" s="282">
        <f>I12-I39</f>
        <v>0</v>
      </c>
      <c r="AD12" s="286">
        <f>J12-J39</f>
        <v>0</v>
      </c>
    </row>
    <row r="13" spans="1:40" ht="15" customHeight="1" thickBot="1" x14ac:dyDescent="0.3">
      <c r="A13" s="14" t="s">
        <v>9</v>
      </c>
      <c r="B13" s="22"/>
      <c r="C13" s="22"/>
      <c r="D13" s="22"/>
      <c r="E13" s="22"/>
      <c r="F13" s="22"/>
      <c r="G13" s="22"/>
      <c r="H13" s="22"/>
      <c r="I13" s="22"/>
      <c r="J13" s="15">
        <f>SUM(B13:H13)</f>
        <v>0</v>
      </c>
      <c r="L13" s="280"/>
      <c r="T13" s="286">
        <f>SUM(B13:I13)-J13</f>
        <v>0</v>
      </c>
      <c r="W13" s="281"/>
      <c r="X13" s="281"/>
      <c r="Y13" s="281"/>
      <c r="Z13" s="281"/>
      <c r="AA13" s="281"/>
      <c r="AB13" s="281"/>
      <c r="AC13" s="281"/>
    </row>
    <row r="14" spans="1:40" ht="15" customHeight="1" thickBot="1" x14ac:dyDescent="0.3">
      <c r="A14" s="14" t="s">
        <v>10</v>
      </c>
      <c r="B14" s="22"/>
      <c r="C14" s="22"/>
      <c r="D14" s="22"/>
      <c r="E14" s="22"/>
      <c r="F14" s="22"/>
      <c r="G14" s="22"/>
      <c r="H14" s="22"/>
      <c r="I14" s="22"/>
      <c r="J14" s="15">
        <f>SUM(B14:H14)</f>
        <v>0</v>
      </c>
      <c r="L14" s="280"/>
      <c r="T14" s="286">
        <f>SUM(B14:I14)-J14</f>
        <v>0</v>
      </c>
      <c r="W14" s="281"/>
      <c r="X14" s="281"/>
      <c r="Y14" s="281"/>
      <c r="Z14" s="281"/>
      <c r="AA14" s="281"/>
      <c r="AB14" s="281"/>
      <c r="AC14" s="281"/>
      <c r="AF14" s="288" t="s">
        <v>951</v>
      </c>
    </row>
    <row r="15" spans="1:40" ht="15" customHeight="1" thickBot="1" x14ac:dyDescent="0.3">
      <c r="A15" s="23" t="s">
        <v>12</v>
      </c>
      <c r="B15" s="24">
        <f>B12+B13-B14</f>
        <v>0</v>
      </c>
      <c r="C15" s="24">
        <f>C12+C13-C14</f>
        <v>0</v>
      </c>
      <c r="D15" s="24">
        <f t="shared" ref="D15:I15" si="4">D12+D13-D14</f>
        <v>0</v>
      </c>
      <c r="E15" s="24">
        <f t="shared" si="4"/>
        <v>0</v>
      </c>
      <c r="F15" s="24">
        <f t="shared" si="4"/>
        <v>0</v>
      </c>
      <c r="G15" s="24">
        <f>G12+G13-G14</f>
        <v>0</v>
      </c>
      <c r="H15" s="24">
        <f t="shared" si="4"/>
        <v>0</v>
      </c>
      <c r="I15" s="24">
        <f t="shared" si="4"/>
        <v>0</v>
      </c>
      <c r="J15" s="17">
        <f>J12+J13-J14</f>
        <v>0</v>
      </c>
      <c r="L15" s="283">
        <f>B12+B13-B14-B15</f>
        <v>0</v>
      </c>
      <c r="M15" s="282">
        <f t="shared" ref="M15:T15" si="5">C12+C13-C14-C15</f>
        <v>0</v>
      </c>
      <c r="N15" s="282">
        <f t="shared" si="5"/>
        <v>0</v>
      </c>
      <c r="O15" s="282">
        <f t="shared" si="5"/>
        <v>0</v>
      </c>
      <c r="P15" s="282">
        <f t="shared" si="5"/>
        <v>0</v>
      </c>
      <c r="Q15" s="282">
        <f t="shared" si="5"/>
        <v>0</v>
      </c>
      <c r="R15" s="282">
        <f t="shared" si="5"/>
        <v>0</v>
      </c>
      <c r="S15" s="282">
        <f t="shared" si="5"/>
        <v>0</v>
      </c>
      <c r="T15" s="282">
        <f t="shared" si="5"/>
        <v>0</v>
      </c>
      <c r="W15" s="281"/>
      <c r="X15" s="281"/>
      <c r="Y15" s="281"/>
      <c r="Z15" s="281"/>
      <c r="AA15" s="281"/>
      <c r="AB15" s="281"/>
      <c r="AC15" s="281"/>
      <c r="AF15" s="283">
        <f>B15+B20-'BS old'!$E$31</f>
        <v>0</v>
      </c>
      <c r="AG15" s="282">
        <f>C15+C20-'BS old'!$E$32</f>
        <v>0</v>
      </c>
      <c r="AH15" s="282">
        <f>D15+D20-'BS old'!$E$33</f>
        <v>0</v>
      </c>
      <c r="AI15" s="282">
        <f>E15+E20-'BS old'!$E$34</f>
        <v>0</v>
      </c>
      <c r="AJ15" s="282">
        <f>F15+F20-'BS old'!$E$35</f>
        <v>0</v>
      </c>
      <c r="AK15" s="282">
        <f>G15+G20-'BS old'!$E$36</f>
        <v>0</v>
      </c>
      <c r="AL15" s="282">
        <f>H15+H20-'BS old'!$E$37</f>
        <v>0</v>
      </c>
      <c r="AM15" s="282">
        <f>I15+I20-'BS old'!$E$38</f>
        <v>0</v>
      </c>
      <c r="AN15" s="286">
        <f>J15+J20-'BS old'!$E$30</f>
        <v>0</v>
      </c>
    </row>
    <row r="16" spans="1:40" ht="15" customHeight="1" thickTop="1" thickBot="1" x14ac:dyDescent="0.3">
      <c r="A16" s="30" t="s">
        <v>15</v>
      </c>
      <c r="B16" s="31"/>
      <c r="C16" s="31"/>
      <c r="D16" s="31"/>
      <c r="E16" s="31"/>
      <c r="F16" s="31"/>
      <c r="G16" s="31"/>
      <c r="H16" s="31"/>
      <c r="I16" s="31"/>
      <c r="J16" s="32"/>
      <c r="L16" s="280"/>
      <c r="T16" s="286"/>
      <c r="W16" s="281"/>
      <c r="X16" s="281"/>
      <c r="Y16" s="281"/>
      <c r="Z16" s="281"/>
      <c r="AA16" s="281"/>
      <c r="AB16" s="281"/>
      <c r="AC16" s="281"/>
      <c r="AG16" s="281"/>
      <c r="AH16" s="281"/>
      <c r="AI16" s="281"/>
      <c r="AJ16" s="281"/>
      <c r="AK16" s="281"/>
      <c r="AL16" s="281"/>
    </row>
    <row r="17" spans="1:40" ht="15" customHeight="1" thickTop="1" thickBot="1" x14ac:dyDescent="0.3">
      <c r="A17" s="33" t="s">
        <v>14</v>
      </c>
      <c r="B17" s="22"/>
      <c r="C17" s="22"/>
      <c r="D17" s="22"/>
      <c r="E17" s="22"/>
      <c r="F17" s="22"/>
      <c r="G17" s="22"/>
      <c r="H17" s="22"/>
      <c r="I17" s="22"/>
      <c r="J17" s="15">
        <f>SUM(B17:H17)</f>
        <v>0</v>
      </c>
      <c r="L17" s="280"/>
      <c r="T17" s="286">
        <f>SUM(B17:I17)-J17</f>
        <v>0</v>
      </c>
      <c r="V17" s="282">
        <f>B17-B44</f>
        <v>0</v>
      </c>
      <c r="W17" s="282">
        <f t="shared" ref="W17:AB17" si="6">C17-C44</f>
        <v>0</v>
      </c>
      <c r="X17" s="282">
        <f t="shared" si="6"/>
        <v>0</v>
      </c>
      <c r="Y17" s="282">
        <f t="shared" si="6"/>
        <v>0</v>
      </c>
      <c r="Z17" s="282">
        <f t="shared" si="6"/>
        <v>0</v>
      </c>
      <c r="AA17" s="282">
        <f t="shared" si="6"/>
        <v>0</v>
      </c>
      <c r="AB17" s="282">
        <f t="shared" si="6"/>
        <v>0</v>
      </c>
      <c r="AC17" s="282">
        <f>I17-I44</f>
        <v>0</v>
      </c>
      <c r="AD17" s="286">
        <f>J17-J44</f>
        <v>0</v>
      </c>
      <c r="AG17" s="281"/>
      <c r="AH17" s="281"/>
      <c r="AI17" s="281"/>
      <c r="AJ17" s="281"/>
      <c r="AK17" s="281"/>
      <c r="AL17" s="281"/>
    </row>
    <row r="18" spans="1:40" ht="15" customHeight="1" thickBot="1" x14ac:dyDescent="0.3">
      <c r="A18" s="14" t="s">
        <v>9</v>
      </c>
      <c r="B18" s="22"/>
      <c r="C18" s="22"/>
      <c r="D18" s="22"/>
      <c r="E18" s="22"/>
      <c r="F18" s="22"/>
      <c r="G18" s="22"/>
      <c r="H18" s="22"/>
      <c r="I18" s="22"/>
      <c r="J18" s="15">
        <f>SUM(B18:H18)</f>
        <v>0</v>
      </c>
      <c r="L18" s="280"/>
      <c r="T18" s="286">
        <f>SUM(B18:I18)-J18</f>
        <v>0</v>
      </c>
      <c r="W18" s="281"/>
      <c r="X18" s="281"/>
      <c r="Y18" s="281"/>
      <c r="Z18" s="281"/>
      <c r="AA18" s="281"/>
      <c r="AB18" s="281"/>
      <c r="AC18" s="281"/>
      <c r="AG18" s="281"/>
      <c r="AH18" s="281"/>
      <c r="AI18" s="281"/>
      <c r="AJ18" s="281"/>
      <c r="AK18" s="281"/>
      <c r="AL18" s="281"/>
    </row>
    <row r="19" spans="1:40" ht="15" customHeight="1" thickBot="1" x14ac:dyDescent="0.3">
      <c r="A19" s="14" t="s">
        <v>10</v>
      </c>
      <c r="B19" s="22"/>
      <c r="C19" s="22"/>
      <c r="D19" s="22"/>
      <c r="E19" s="22"/>
      <c r="F19" s="22"/>
      <c r="G19" s="22"/>
      <c r="H19" s="22"/>
      <c r="I19" s="22"/>
      <c r="J19" s="15">
        <f>SUM(B19:H19)</f>
        <v>0</v>
      </c>
      <c r="L19" s="280"/>
      <c r="T19" s="286">
        <f>SUM(B19:I19)-J19</f>
        <v>0</v>
      </c>
      <c r="W19" s="281"/>
      <c r="X19" s="281"/>
      <c r="Y19" s="281"/>
      <c r="Z19" s="281"/>
      <c r="AA19" s="281"/>
      <c r="AB19" s="281"/>
      <c r="AC19" s="281"/>
      <c r="AG19" s="281"/>
      <c r="AH19" s="281"/>
      <c r="AI19" s="281"/>
      <c r="AJ19" s="281"/>
      <c r="AK19" s="281"/>
      <c r="AL19" s="281"/>
    </row>
    <row r="20" spans="1:40" ht="15" customHeight="1" thickBot="1" x14ac:dyDescent="0.3">
      <c r="A20" s="23" t="s">
        <v>12</v>
      </c>
      <c r="B20" s="24">
        <f t="shared" ref="B20:J20" si="7">B17+B18-B19</f>
        <v>0</v>
      </c>
      <c r="C20" s="24">
        <f t="shared" si="7"/>
        <v>0</v>
      </c>
      <c r="D20" s="24">
        <f t="shared" si="7"/>
        <v>0</v>
      </c>
      <c r="E20" s="24">
        <f t="shared" si="7"/>
        <v>0</v>
      </c>
      <c r="F20" s="24">
        <f t="shared" si="7"/>
        <v>0</v>
      </c>
      <c r="G20" s="24">
        <f t="shared" si="7"/>
        <v>0</v>
      </c>
      <c r="H20" s="24">
        <f t="shared" si="7"/>
        <v>0</v>
      </c>
      <c r="I20" s="24">
        <f t="shared" si="7"/>
        <v>0</v>
      </c>
      <c r="J20" s="17">
        <f t="shared" si="7"/>
        <v>0</v>
      </c>
      <c r="L20" s="283">
        <f>B17+B18-B19-B20</f>
        <v>0</v>
      </c>
      <c r="M20" s="282">
        <f t="shared" ref="M20:T20" si="8">C17+C18-C19-C20</f>
        <v>0</v>
      </c>
      <c r="N20" s="282">
        <f t="shared" si="8"/>
        <v>0</v>
      </c>
      <c r="O20" s="282">
        <f t="shared" si="8"/>
        <v>0</v>
      </c>
      <c r="P20" s="282">
        <f t="shared" si="8"/>
        <v>0</v>
      </c>
      <c r="Q20" s="282">
        <f t="shared" si="8"/>
        <v>0</v>
      </c>
      <c r="R20" s="282">
        <f t="shared" si="8"/>
        <v>0</v>
      </c>
      <c r="S20" s="282">
        <f t="shared" si="8"/>
        <v>0</v>
      </c>
      <c r="T20" s="282">
        <f t="shared" si="8"/>
        <v>0</v>
      </c>
      <c r="W20" s="281"/>
      <c r="X20" s="281"/>
      <c r="Y20" s="281"/>
      <c r="Z20" s="281"/>
      <c r="AA20" s="281"/>
      <c r="AB20" s="281"/>
      <c r="AC20" s="281"/>
      <c r="AG20" s="281"/>
      <c r="AH20" s="281"/>
      <c r="AI20" s="281"/>
      <c r="AJ20" s="281"/>
      <c r="AK20" s="281"/>
      <c r="AL20" s="281"/>
    </row>
    <row r="21" spans="1:40" ht="15" customHeight="1" thickTop="1" thickBot="1" x14ac:dyDescent="0.3">
      <c r="A21" s="30" t="s">
        <v>16</v>
      </c>
      <c r="B21" s="31"/>
      <c r="C21" s="31"/>
      <c r="D21" s="31"/>
      <c r="E21" s="31"/>
      <c r="F21" s="31"/>
      <c r="G21" s="31"/>
      <c r="H21" s="31"/>
      <c r="I21" s="31"/>
      <c r="J21" s="32"/>
      <c r="L21" s="280"/>
      <c r="T21" s="286"/>
      <c r="W21" s="281"/>
      <c r="X21" s="281"/>
      <c r="Y21" s="281"/>
      <c r="Z21" s="281"/>
      <c r="AA21" s="281"/>
      <c r="AB21" s="281"/>
      <c r="AC21" s="281"/>
      <c r="AG21" s="281"/>
      <c r="AH21" s="281"/>
      <c r="AI21" s="281"/>
      <c r="AJ21" s="281"/>
      <c r="AK21" s="281"/>
      <c r="AL21" s="281"/>
    </row>
    <row r="22" spans="1:40" ht="15" customHeight="1" thickTop="1" thickBot="1" x14ac:dyDescent="0.3">
      <c r="A22" s="33" t="s">
        <v>14</v>
      </c>
      <c r="B22" s="22">
        <f>B6-B12-B17</f>
        <v>0</v>
      </c>
      <c r="C22" s="22">
        <f t="shared" ref="C22:J22" si="9">C6-C12-C17</f>
        <v>0</v>
      </c>
      <c r="D22" s="22">
        <f t="shared" si="9"/>
        <v>0</v>
      </c>
      <c r="E22" s="22">
        <f t="shared" si="9"/>
        <v>0</v>
      </c>
      <c r="F22" s="22">
        <f t="shared" si="9"/>
        <v>0</v>
      </c>
      <c r="G22" s="22">
        <f t="shared" si="9"/>
        <v>0</v>
      </c>
      <c r="H22" s="22">
        <f t="shared" si="9"/>
        <v>0</v>
      </c>
      <c r="I22" s="22">
        <f t="shared" si="9"/>
        <v>0</v>
      </c>
      <c r="J22" s="15">
        <f t="shared" si="9"/>
        <v>0</v>
      </c>
      <c r="L22" s="283">
        <f>B6-B12-B17-B22</f>
        <v>0</v>
      </c>
      <c r="M22" s="282">
        <f t="shared" ref="M22:S22" si="10">C6-C12-C17-C22</f>
        <v>0</v>
      </c>
      <c r="N22" s="282">
        <f t="shared" si="10"/>
        <v>0</v>
      </c>
      <c r="O22" s="282">
        <f t="shared" si="10"/>
        <v>0</v>
      </c>
      <c r="P22" s="282">
        <f t="shared" si="10"/>
        <v>0</v>
      </c>
      <c r="Q22" s="282">
        <f t="shared" si="10"/>
        <v>0</v>
      </c>
      <c r="R22" s="282">
        <f t="shared" si="10"/>
        <v>0</v>
      </c>
      <c r="S22" s="282">
        <f t="shared" si="10"/>
        <v>0</v>
      </c>
      <c r="T22" s="286">
        <f>SUM(B22:I22)-J22</f>
        <v>0</v>
      </c>
      <c r="V22" s="282">
        <f>B22-B47</f>
        <v>0</v>
      </c>
      <c r="W22" s="282">
        <f t="shared" ref="W22:AB22" si="11">C22-C47</f>
        <v>0</v>
      </c>
      <c r="X22" s="282">
        <f t="shared" si="11"/>
        <v>0</v>
      </c>
      <c r="Y22" s="282">
        <f t="shared" si="11"/>
        <v>0</v>
      </c>
      <c r="Z22" s="282">
        <f t="shared" si="11"/>
        <v>0</v>
      </c>
      <c r="AA22" s="282">
        <f t="shared" si="11"/>
        <v>0</v>
      </c>
      <c r="AB22" s="282">
        <f t="shared" si="11"/>
        <v>0</v>
      </c>
      <c r="AC22" s="282">
        <f>I22-I47</f>
        <v>0</v>
      </c>
      <c r="AD22" s="286">
        <f>J22-J47</f>
        <v>0</v>
      </c>
      <c r="AG22" s="281"/>
      <c r="AH22" s="281"/>
      <c r="AI22" s="281"/>
      <c r="AJ22" s="281"/>
      <c r="AK22" s="281"/>
      <c r="AL22" s="281"/>
    </row>
    <row r="23" spans="1:40" ht="15" customHeight="1" thickBot="1" x14ac:dyDescent="0.3">
      <c r="A23" s="23" t="s">
        <v>12</v>
      </c>
      <c r="B23" s="24">
        <f>B10-B15-B20</f>
        <v>0</v>
      </c>
      <c r="C23" s="24">
        <f t="shared" ref="C23:J23" si="12">C10-C15-C20</f>
        <v>0</v>
      </c>
      <c r="D23" s="24">
        <f t="shared" si="12"/>
        <v>0</v>
      </c>
      <c r="E23" s="24">
        <f t="shared" si="12"/>
        <v>0</v>
      </c>
      <c r="F23" s="24">
        <f t="shared" si="12"/>
        <v>0</v>
      </c>
      <c r="G23" s="24">
        <f t="shared" si="12"/>
        <v>0</v>
      </c>
      <c r="H23" s="24">
        <f t="shared" si="12"/>
        <v>0</v>
      </c>
      <c r="I23" s="24">
        <f t="shared" si="12"/>
        <v>0</v>
      </c>
      <c r="J23" s="17">
        <f t="shared" si="12"/>
        <v>0</v>
      </c>
      <c r="L23" s="283">
        <f>B10-B15-B20-B23</f>
        <v>0</v>
      </c>
      <c r="M23" s="282">
        <f t="shared" ref="M23:S23" si="13">C10-C15-C20-C23</f>
        <v>0</v>
      </c>
      <c r="N23" s="282">
        <f t="shared" si="13"/>
        <v>0</v>
      </c>
      <c r="O23" s="282">
        <f t="shared" si="13"/>
        <v>0</v>
      </c>
      <c r="P23" s="282">
        <f t="shared" si="13"/>
        <v>0</v>
      </c>
      <c r="Q23" s="282">
        <f t="shared" si="13"/>
        <v>0</v>
      </c>
      <c r="R23" s="282">
        <f t="shared" si="13"/>
        <v>0</v>
      </c>
      <c r="S23" s="282">
        <f t="shared" si="13"/>
        <v>0</v>
      </c>
      <c r="T23" s="286">
        <f>SUM(B23:I23)-J23</f>
        <v>0</v>
      </c>
      <c r="AF23" s="283">
        <f>B23-'BS old'!$F$31</f>
        <v>0</v>
      </c>
      <c r="AG23" s="282">
        <f>C23-'BS old'!$F$32</f>
        <v>0</v>
      </c>
      <c r="AH23" s="282">
        <f>D23-'BS old'!$F$33</f>
        <v>0</v>
      </c>
      <c r="AI23" s="282">
        <f>E23-'BS old'!$F$34</f>
        <v>0</v>
      </c>
      <c r="AJ23" s="282">
        <f>F23-'BS old'!$F$35</f>
        <v>0</v>
      </c>
      <c r="AK23" s="282">
        <f>G23-'BS old'!$F$36</f>
        <v>0</v>
      </c>
      <c r="AL23" s="282">
        <f>H23-'BS old'!$F$37</f>
        <v>0</v>
      </c>
      <c r="AM23" s="282">
        <f>I23-'BS old'!$F$38</f>
        <v>0</v>
      </c>
      <c r="AN23" s="286">
        <f>J23-'BS old'!$F$30</f>
        <v>0</v>
      </c>
    </row>
    <row r="24" spans="1:40" ht="15.75" thickTop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4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40" ht="15.75" thickBot="1" x14ac:dyDescent="0.3">
      <c r="A26" s="20" t="s">
        <v>5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40" ht="16.5" thickTop="1" thickBot="1" x14ac:dyDescent="0.3">
      <c r="A27" s="1171" t="s">
        <v>27</v>
      </c>
      <c r="B27" s="1173" t="s">
        <v>2</v>
      </c>
      <c r="C27" s="1174"/>
      <c r="D27" s="1174"/>
      <c r="E27" s="1174"/>
      <c r="F27" s="1174"/>
      <c r="G27" s="1174"/>
      <c r="H27" s="1174"/>
      <c r="I27" s="1174"/>
      <c r="J27" s="1175"/>
      <c r="K27" s="289"/>
    </row>
    <row r="28" spans="1:40" ht="60.75" customHeight="1" thickTop="1" thickBot="1" x14ac:dyDescent="0.3">
      <c r="A28" s="1172"/>
      <c r="B28" s="125" t="s">
        <v>23</v>
      </c>
      <c r="C28" s="126" t="s">
        <v>461</v>
      </c>
      <c r="D28" s="125" t="s">
        <v>24</v>
      </c>
      <c r="E28" s="126" t="s">
        <v>460</v>
      </c>
      <c r="F28" s="125" t="s">
        <v>25</v>
      </c>
      <c r="G28" s="125" t="s">
        <v>26</v>
      </c>
      <c r="H28" s="126" t="s">
        <v>413</v>
      </c>
      <c r="I28" s="125" t="s">
        <v>414</v>
      </c>
      <c r="J28" s="125" t="s">
        <v>4</v>
      </c>
    </row>
    <row r="29" spans="1:40" ht="15" customHeight="1" thickTop="1" thickBot="1" x14ac:dyDescent="0.3">
      <c r="A29" s="30" t="s">
        <v>7</v>
      </c>
      <c r="B29" s="31"/>
      <c r="C29" s="31"/>
      <c r="D29" s="31"/>
      <c r="E29" s="31"/>
      <c r="F29" s="31"/>
      <c r="G29" s="31"/>
      <c r="H29" s="31"/>
      <c r="I29" s="31"/>
      <c r="J29" s="32"/>
      <c r="K29" s="289"/>
    </row>
    <row r="30" spans="1:40" ht="15" customHeight="1" thickTop="1" thickBot="1" x14ac:dyDescent="0.3">
      <c r="A30" s="33" t="s">
        <v>8</v>
      </c>
      <c r="B30" s="22"/>
      <c r="C30" s="22"/>
      <c r="D30" s="22"/>
      <c r="E30" s="22"/>
      <c r="F30" s="34"/>
      <c r="G30" s="22"/>
      <c r="H30" s="22"/>
      <c r="I30" s="22"/>
      <c r="J30" s="15">
        <f>SUM(B30:H30)</f>
        <v>0</v>
      </c>
      <c r="T30" s="286">
        <f>SUM(B30:I30)-J30</f>
        <v>0</v>
      </c>
    </row>
    <row r="31" spans="1:40" ht="15" customHeight="1" thickBot="1" x14ac:dyDescent="0.3">
      <c r="A31" s="14" t="s">
        <v>9</v>
      </c>
      <c r="B31" s="22"/>
      <c r="C31" s="22"/>
      <c r="D31" s="22"/>
      <c r="E31" s="22"/>
      <c r="F31" s="35"/>
      <c r="G31" s="22"/>
      <c r="H31" s="22"/>
      <c r="I31" s="22"/>
      <c r="J31" s="15">
        <f>SUM(B31:H31)</f>
        <v>0</v>
      </c>
      <c r="T31" s="286">
        <f>SUM(B31:I31)-J31</f>
        <v>0</v>
      </c>
    </row>
    <row r="32" spans="1:40" ht="15" customHeight="1" thickBot="1" x14ac:dyDescent="0.3">
      <c r="A32" s="14" t="s">
        <v>10</v>
      </c>
      <c r="B32" s="22"/>
      <c r="C32" s="22"/>
      <c r="D32" s="22"/>
      <c r="E32" s="22"/>
      <c r="F32" s="35"/>
      <c r="G32" s="22"/>
      <c r="H32" s="22"/>
      <c r="I32" s="22"/>
      <c r="J32" s="15">
        <f>SUM(B32:H32)</f>
        <v>0</v>
      </c>
      <c r="T32" s="286">
        <f>SUM(B32:I32)-J32</f>
        <v>0</v>
      </c>
    </row>
    <row r="33" spans="1:40" ht="15" customHeight="1" thickBot="1" x14ac:dyDescent="0.3">
      <c r="A33" s="14" t="s">
        <v>11</v>
      </c>
      <c r="B33" s="22"/>
      <c r="C33" s="22"/>
      <c r="D33" s="22"/>
      <c r="E33" s="22"/>
      <c r="F33" s="35"/>
      <c r="G33" s="22"/>
      <c r="H33" s="22"/>
      <c r="I33" s="22"/>
      <c r="J33" s="15">
        <f>SUM(B33:H33)</f>
        <v>0</v>
      </c>
      <c r="T33" s="286">
        <f>SUM(B33:I33)-J33</f>
        <v>0</v>
      </c>
    </row>
    <row r="34" spans="1:40" ht="15" customHeight="1" thickBot="1" x14ac:dyDescent="0.3">
      <c r="A34" s="23" t="s">
        <v>12</v>
      </c>
      <c r="B34" s="24">
        <f t="shared" ref="B34:J34" si="14">B30+B31-B32+B33</f>
        <v>0</v>
      </c>
      <c r="C34" s="24">
        <f t="shared" si="14"/>
        <v>0</v>
      </c>
      <c r="D34" s="24">
        <f t="shared" si="14"/>
        <v>0</v>
      </c>
      <c r="E34" s="24">
        <f t="shared" si="14"/>
        <v>0</v>
      </c>
      <c r="F34" s="24">
        <f t="shared" si="14"/>
        <v>0</v>
      </c>
      <c r="G34" s="24">
        <f t="shared" si="14"/>
        <v>0</v>
      </c>
      <c r="H34" s="24">
        <f t="shared" si="14"/>
        <v>0</v>
      </c>
      <c r="I34" s="24">
        <f t="shared" si="14"/>
        <v>0</v>
      </c>
      <c r="J34" s="17">
        <f t="shared" si="14"/>
        <v>0</v>
      </c>
      <c r="L34" s="283">
        <f>B30+B31-B32+B33-B34</f>
        <v>0</v>
      </c>
      <c r="M34" s="282">
        <f t="shared" ref="M34:T34" si="15">C30+C31-C32+C33-C34</f>
        <v>0</v>
      </c>
      <c r="N34" s="282">
        <f t="shared" si="15"/>
        <v>0</v>
      </c>
      <c r="O34" s="282">
        <f t="shared" si="15"/>
        <v>0</v>
      </c>
      <c r="P34" s="282">
        <f t="shared" si="15"/>
        <v>0</v>
      </c>
      <c r="Q34" s="282">
        <f t="shared" si="15"/>
        <v>0</v>
      </c>
      <c r="R34" s="282">
        <f t="shared" si="15"/>
        <v>0</v>
      </c>
      <c r="S34" s="282">
        <f t="shared" si="15"/>
        <v>0</v>
      </c>
      <c r="T34" s="282">
        <f t="shared" si="15"/>
        <v>0</v>
      </c>
    </row>
    <row r="35" spans="1:40" ht="15" customHeight="1" thickTop="1" thickBot="1" x14ac:dyDescent="0.3">
      <c r="A35" s="30" t="s">
        <v>13</v>
      </c>
      <c r="B35" s="31"/>
      <c r="C35" s="31"/>
      <c r="D35" s="31"/>
      <c r="E35" s="31"/>
      <c r="F35" s="31"/>
      <c r="G35" s="31"/>
      <c r="H35" s="31"/>
      <c r="I35" s="31"/>
      <c r="J35" s="32"/>
      <c r="L35" s="280"/>
      <c r="T35" s="286"/>
    </row>
    <row r="36" spans="1:40" ht="15" customHeight="1" thickTop="1" thickBot="1" x14ac:dyDescent="0.3">
      <c r="A36" s="33" t="s">
        <v>14</v>
      </c>
      <c r="B36" s="22"/>
      <c r="C36" s="22"/>
      <c r="D36" s="22"/>
      <c r="E36" s="22"/>
      <c r="F36" s="22"/>
      <c r="G36" s="22"/>
      <c r="H36" s="22"/>
      <c r="I36" s="22"/>
      <c r="J36" s="15">
        <f>SUM(B36:H36)</f>
        <v>0</v>
      </c>
      <c r="L36" s="280"/>
      <c r="T36" s="286">
        <f>SUM(B36:I36)-J36</f>
        <v>0</v>
      </c>
    </row>
    <row r="37" spans="1:40" ht="15" customHeight="1" thickBot="1" x14ac:dyDescent="0.3">
      <c r="A37" s="14" t="s">
        <v>9</v>
      </c>
      <c r="B37" s="22"/>
      <c r="C37" s="22"/>
      <c r="D37" s="22"/>
      <c r="E37" s="22"/>
      <c r="F37" s="22"/>
      <c r="G37" s="22"/>
      <c r="H37" s="22"/>
      <c r="I37" s="22"/>
      <c r="J37" s="15">
        <f>SUM(B37:H37)</f>
        <v>0</v>
      </c>
      <c r="L37" s="280"/>
      <c r="T37" s="286">
        <f>SUM(B37:I37)-J37</f>
        <v>0</v>
      </c>
    </row>
    <row r="38" spans="1:40" ht="15" customHeight="1" thickBot="1" x14ac:dyDescent="0.3">
      <c r="A38" s="14" t="s">
        <v>10</v>
      </c>
      <c r="B38" s="22"/>
      <c r="C38" s="22"/>
      <c r="D38" s="22"/>
      <c r="E38" s="22"/>
      <c r="F38" s="22"/>
      <c r="G38" s="22"/>
      <c r="H38" s="22"/>
      <c r="I38" s="22"/>
      <c r="J38" s="15">
        <f>SUM(B38:H38)</f>
        <v>0</v>
      </c>
      <c r="L38" s="280"/>
      <c r="T38" s="286">
        <f>SUM(B38:I38)-J38</f>
        <v>0</v>
      </c>
    </row>
    <row r="39" spans="1:40" ht="15" customHeight="1" thickBot="1" x14ac:dyDescent="0.3">
      <c r="A39" s="23" t="s">
        <v>12</v>
      </c>
      <c r="B39" s="24">
        <f>B36+B37-B38</f>
        <v>0</v>
      </c>
      <c r="C39" s="24">
        <f>C36+C37-C38</f>
        <v>0</v>
      </c>
      <c r="D39" s="24">
        <f t="shared" ref="D39:I39" si="16">D36+D37-D38</f>
        <v>0</v>
      </c>
      <c r="E39" s="24">
        <f t="shared" si="16"/>
        <v>0</v>
      </c>
      <c r="F39" s="24">
        <f t="shared" si="16"/>
        <v>0</v>
      </c>
      <c r="G39" s="24">
        <f t="shared" si="16"/>
        <v>0</v>
      </c>
      <c r="H39" s="24">
        <f t="shared" si="16"/>
        <v>0</v>
      </c>
      <c r="I39" s="24">
        <f t="shared" si="16"/>
        <v>0</v>
      </c>
      <c r="J39" s="17">
        <f>J36+J37-J38</f>
        <v>0</v>
      </c>
      <c r="L39" s="283">
        <f>B36+B37-B38-B39</f>
        <v>0</v>
      </c>
      <c r="M39" s="282">
        <f t="shared" ref="M39:T39" si="17">C36+C37-C38-C39</f>
        <v>0</v>
      </c>
      <c r="N39" s="282">
        <f t="shared" si="17"/>
        <v>0</v>
      </c>
      <c r="O39" s="282">
        <f t="shared" si="17"/>
        <v>0</v>
      </c>
      <c r="P39" s="282">
        <f t="shared" si="17"/>
        <v>0</v>
      </c>
      <c r="Q39" s="282">
        <f t="shared" si="17"/>
        <v>0</v>
      </c>
      <c r="R39" s="282">
        <f t="shared" si="17"/>
        <v>0</v>
      </c>
      <c r="S39" s="282">
        <f t="shared" si="17"/>
        <v>0</v>
      </c>
      <c r="T39" s="282">
        <f t="shared" si="17"/>
        <v>0</v>
      </c>
    </row>
    <row r="40" spans="1:40" ht="15" customHeight="1" thickTop="1" thickBot="1" x14ac:dyDescent="0.3">
      <c r="A40" s="30" t="s">
        <v>15</v>
      </c>
      <c r="B40" s="31"/>
      <c r="C40" s="31"/>
      <c r="D40" s="31"/>
      <c r="E40" s="31"/>
      <c r="F40" s="31"/>
      <c r="G40" s="31"/>
      <c r="H40" s="31"/>
      <c r="I40" s="31"/>
      <c r="J40" s="32"/>
      <c r="L40" s="280"/>
      <c r="T40" s="286"/>
    </row>
    <row r="41" spans="1:40" ht="15" customHeight="1" thickTop="1" thickBot="1" x14ac:dyDescent="0.3">
      <c r="A41" s="33" t="s">
        <v>14</v>
      </c>
      <c r="B41" s="22"/>
      <c r="C41" s="22"/>
      <c r="D41" s="22"/>
      <c r="E41" s="22"/>
      <c r="F41" s="22"/>
      <c r="G41" s="22"/>
      <c r="H41" s="22"/>
      <c r="I41" s="22"/>
      <c r="J41" s="15">
        <f>SUM(B41:H41)</f>
        <v>0</v>
      </c>
      <c r="L41" s="280"/>
      <c r="T41" s="286">
        <f>SUM(B41:I41)-J41</f>
        <v>0</v>
      </c>
    </row>
    <row r="42" spans="1:40" ht="15" customHeight="1" thickBot="1" x14ac:dyDescent="0.3">
      <c r="A42" s="14" t="s">
        <v>9</v>
      </c>
      <c r="B42" s="22"/>
      <c r="C42" s="22"/>
      <c r="D42" s="22"/>
      <c r="E42" s="22"/>
      <c r="F42" s="22"/>
      <c r="G42" s="22"/>
      <c r="H42" s="22"/>
      <c r="I42" s="22"/>
      <c r="J42" s="15">
        <f>SUM(B42:H42)</f>
        <v>0</v>
      </c>
      <c r="L42" s="280"/>
      <c r="T42" s="286">
        <f>SUM(B42:I42)-J42</f>
        <v>0</v>
      </c>
    </row>
    <row r="43" spans="1:40" ht="15" customHeight="1" thickBot="1" x14ac:dyDescent="0.3">
      <c r="A43" s="14" t="s">
        <v>10</v>
      </c>
      <c r="B43" s="22"/>
      <c r="C43" s="22"/>
      <c r="D43" s="22"/>
      <c r="E43" s="22"/>
      <c r="F43" s="22"/>
      <c r="G43" s="22"/>
      <c r="H43" s="22"/>
      <c r="I43" s="22"/>
      <c r="J43" s="15">
        <f>SUM(B43:H43)</f>
        <v>0</v>
      </c>
      <c r="L43" s="280"/>
      <c r="T43" s="286">
        <f>SUM(B43:I43)-J43</f>
        <v>0</v>
      </c>
    </row>
    <row r="44" spans="1:40" ht="15" customHeight="1" thickBot="1" x14ac:dyDescent="0.3">
      <c r="A44" s="23" t="s">
        <v>12</v>
      </c>
      <c r="B44" s="24">
        <f>B41+B42-B43</f>
        <v>0</v>
      </c>
      <c r="C44" s="24">
        <f>C41+C42-C43</f>
        <v>0</v>
      </c>
      <c r="D44" s="24">
        <f t="shared" ref="D44:I44" si="18">D41+D42-D43</f>
        <v>0</v>
      </c>
      <c r="E44" s="24">
        <f t="shared" si="18"/>
        <v>0</v>
      </c>
      <c r="F44" s="24">
        <f t="shared" si="18"/>
        <v>0</v>
      </c>
      <c r="G44" s="24">
        <f t="shared" si="18"/>
        <v>0</v>
      </c>
      <c r="H44" s="24">
        <f t="shared" si="18"/>
        <v>0</v>
      </c>
      <c r="I44" s="24">
        <f t="shared" si="18"/>
        <v>0</v>
      </c>
      <c r="J44" s="17">
        <f>J41+J42-J43</f>
        <v>0</v>
      </c>
      <c r="L44" s="283">
        <f>B41+B42-B43-B44</f>
        <v>0</v>
      </c>
      <c r="M44" s="282">
        <f t="shared" ref="M44:T44" si="19">C41+C42-C43-C44</f>
        <v>0</v>
      </c>
      <c r="N44" s="282">
        <f t="shared" si="19"/>
        <v>0</v>
      </c>
      <c r="O44" s="282">
        <f t="shared" si="19"/>
        <v>0</v>
      </c>
      <c r="P44" s="282">
        <f t="shared" si="19"/>
        <v>0</v>
      </c>
      <c r="Q44" s="282">
        <f t="shared" si="19"/>
        <v>0</v>
      </c>
      <c r="R44" s="282">
        <f t="shared" si="19"/>
        <v>0</v>
      </c>
      <c r="S44" s="282">
        <f t="shared" si="19"/>
        <v>0</v>
      </c>
      <c r="T44" s="282">
        <f t="shared" si="19"/>
        <v>0</v>
      </c>
    </row>
    <row r="45" spans="1:40" ht="15" customHeight="1" thickTop="1" thickBot="1" x14ac:dyDescent="0.3">
      <c r="A45" s="30" t="s">
        <v>16</v>
      </c>
      <c r="B45" s="31"/>
      <c r="C45" s="31"/>
      <c r="D45" s="31"/>
      <c r="E45" s="31"/>
      <c r="F45" s="31"/>
      <c r="G45" s="31"/>
      <c r="H45" s="31"/>
      <c r="I45" s="31"/>
      <c r="J45" s="32"/>
      <c r="L45" s="280"/>
      <c r="T45" s="286"/>
    </row>
    <row r="46" spans="1:40" ht="15" customHeight="1" thickTop="1" thickBot="1" x14ac:dyDescent="0.3">
      <c r="A46" s="33" t="s">
        <v>14</v>
      </c>
      <c r="B46" s="22">
        <f>B30-B36-B41</f>
        <v>0</v>
      </c>
      <c r="C46" s="22">
        <f t="shared" ref="C46:J46" si="20">C30-C36-C41</f>
        <v>0</v>
      </c>
      <c r="D46" s="22">
        <f t="shared" si="20"/>
        <v>0</v>
      </c>
      <c r="E46" s="22">
        <f t="shared" si="20"/>
        <v>0</v>
      </c>
      <c r="F46" s="22">
        <f t="shared" si="20"/>
        <v>0</v>
      </c>
      <c r="G46" s="22">
        <f t="shared" si="20"/>
        <v>0</v>
      </c>
      <c r="H46" s="22">
        <f t="shared" si="20"/>
        <v>0</v>
      </c>
      <c r="I46" s="22">
        <f t="shared" si="20"/>
        <v>0</v>
      </c>
      <c r="J46" s="15">
        <f t="shared" si="20"/>
        <v>0</v>
      </c>
      <c r="L46" s="283">
        <f>B30-B36-B41-B46</f>
        <v>0</v>
      </c>
      <c r="M46" s="282">
        <f t="shared" ref="M46:S46" si="21">C30-C36-C41-C46</f>
        <v>0</v>
      </c>
      <c r="N46" s="282">
        <f t="shared" si="21"/>
        <v>0</v>
      </c>
      <c r="O46" s="282">
        <f t="shared" si="21"/>
        <v>0</v>
      </c>
      <c r="P46" s="282">
        <f t="shared" si="21"/>
        <v>0</v>
      </c>
      <c r="Q46" s="282">
        <f t="shared" si="21"/>
        <v>0</v>
      </c>
      <c r="R46" s="282">
        <f t="shared" si="21"/>
        <v>0</v>
      </c>
      <c r="S46" s="282">
        <f t="shared" si="21"/>
        <v>0</v>
      </c>
      <c r="T46" s="286">
        <f>SUM(B46:I46)-J46</f>
        <v>0</v>
      </c>
    </row>
    <row r="47" spans="1:40" ht="15" customHeight="1" thickBot="1" x14ac:dyDescent="0.3">
      <c r="A47" s="23" t="s">
        <v>12</v>
      </c>
      <c r="B47" s="24">
        <f>B34-B39-B44</f>
        <v>0</v>
      </c>
      <c r="C47" s="24">
        <f t="shared" ref="C47:J47" si="22">C34-C39-C44</f>
        <v>0</v>
      </c>
      <c r="D47" s="24">
        <f t="shared" si="22"/>
        <v>0</v>
      </c>
      <c r="E47" s="24">
        <f t="shared" si="22"/>
        <v>0</v>
      </c>
      <c r="F47" s="24">
        <f t="shared" si="22"/>
        <v>0</v>
      </c>
      <c r="G47" s="24">
        <f t="shared" si="22"/>
        <v>0</v>
      </c>
      <c r="H47" s="24">
        <f t="shared" si="22"/>
        <v>0</v>
      </c>
      <c r="I47" s="24">
        <f t="shared" si="22"/>
        <v>0</v>
      </c>
      <c r="J47" s="17">
        <f t="shared" si="22"/>
        <v>0</v>
      </c>
      <c r="L47" s="283">
        <f>B34-B39-B44-B47</f>
        <v>0</v>
      </c>
      <c r="M47" s="282">
        <f t="shared" ref="M47:S47" si="23">C34-C39-C44-C47</f>
        <v>0</v>
      </c>
      <c r="N47" s="282">
        <f t="shared" si="23"/>
        <v>0</v>
      </c>
      <c r="O47" s="282">
        <f t="shared" si="23"/>
        <v>0</v>
      </c>
      <c r="P47" s="282">
        <f t="shared" si="23"/>
        <v>0</v>
      </c>
      <c r="Q47" s="282">
        <f t="shared" si="23"/>
        <v>0</v>
      </c>
      <c r="R47" s="282">
        <f t="shared" si="23"/>
        <v>0</v>
      </c>
      <c r="S47" s="282">
        <f t="shared" si="23"/>
        <v>0</v>
      </c>
      <c r="T47" s="286">
        <f>SUM(B47:I47)-J47</f>
        <v>0</v>
      </c>
      <c r="AF47" s="283">
        <f>B47-'BS old'!$G$31</f>
        <v>0</v>
      </c>
      <c r="AG47" s="282">
        <f>C47-'BS old'!$G$32</f>
        <v>0</v>
      </c>
      <c r="AH47" s="282">
        <f>D47-'BS old'!$G$33</f>
        <v>0</v>
      </c>
      <c r="AI47" s="282">
        <f>E47-'BS old'!$G$34</f>
        <v>0</v>
      </c>
      <c r="AJ47" s="282">
        <f>F47-'BS old'!$G$35</f>
        <v>0</v>
      </c>
      <c r="AK47" s="282">
        <f>G47-'BS old'!$G$36</f>
        <v>0</v>
      </c>
      <c r="AL47" s="282">
        <f>H47-'BS old'!$G$37</f>
        <v>0</v>
      </c>
      <c r="AM47" s="282">
        <f>I47-'BS old'!$G$38</f>
        <v>0</v>
      </c>
      <c r="AN47" s="286">
        <f>J47-'BS old'!$G$30</f>
        <v>0</v>
      </c>
    </row>
    <row r="48" spans="1:40" ht="15.75" thickTop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</sheetData>
  <mergeCells count="7">
    <mergeCell ref="V1:AD1"/>
    <mergeCell ref="AF1:AN1"/>
    <mergeCell ref="A27:A28"/>
    <mergeCell ref="B27:J27"/>
    <mergeCell ref="A3:A4"/>
    <mergeCell ref="B3:J3"/>
    <mergeCell ref="L1:T1"/>
  </mergeCells>
  <conditionalFormatting sqref="L6:T23 V6:AD22 AF10:AN29">
    <cfRule type="cellIs" dxfId="313" priority="61" operator="lessThan">
      <formula>0</formula>
    </cfRule>
    <cfRule type="cellIs" dxfId="312" priority="62" operator="greaterThan">
      <formula>0</formula>
    </cfRule>
  </conditionalFormatting>
  <conditionalFormatting sqref="L30:T47">
    <cfRule type="cellIs" dxfId="311" priority="59" operator="lessThan">
      <formula>0</formula>
    </cfRule>
    <cfRule type="cellIs" dxfId="310" priority="60" operator="greaterThan">
      <formula>0</formula>
    </cfRule>
  </conditionalFormatting>
  <conditionalFormatting sqref="AF30:AN47">
    <cfRule type="cellIs" dxfId="309" priority="57" operator="lessThan">
      <formula>0</formula>
    </cfRule>
    <cfRule type="cellIs" dxfId="308" priority="58" operator="greaterThan">
      <formula>0</formula>
    </cfRule>
  </conditionalFormatting>
  <conditionalFormatting sqref="L30:T47">
    <cfRule type="cellIs" dxfId="307" priority="55" operator="lessThan">
      <formula>0</formula>
    </cfRule>
    <cfRule type="cellIs" dxfId="306" priority="56" operator="greaterThan">
      <formula>0</formula>
    </cfRule>
  </conditionalFormatting>
  <conditionalFormatting sqref="L6:T23">
    <cfRule type="cellIs" dxfId="305" priority="53" operator="lessThan">
      <formula>0</formula>
    </cfRule>
    <cfRule type="cellIs" dxfId="304" priority="54" operator="greaterThan">
      <formula>0</formula>
    </cfRule>
  </conditionalFormatting>
  <conditionalFormatting sqref="L30:T47">
    <cfRule type="cellIs" dxfId="303" priority="51" operator="lessThan">
      <formula>0</formula>
    </cfRule>
    <cfRule type="cellIs" dxfId="302" priority="52" operator="greaterThan">
      <formula>0</formula>
    </cfRule>
  </conditionalFormatting>
  <conditionalFormatting sqref="L30:T47">
    <cfRule type="cellIs" dxfId="301" priority="49" operator="lessThan">
      <formula>0</formula>
    </cfRule>
    <cfRule type="cellIs" dxfId="300" priority="50" operator="greaterThan">
      <formula>0</formula>
    </cfRule>
  </conditionalFormatting>
  <conditionalFormatting sqref="L6:T23">
    <cfRule type="cellIs" dxfId="299" priority="47" operator="lessThan">
      <formula>0</formula>
    </cfRule>
    <cfRule type="cellIs" dxfId="298" priority="48" operator="greaterThan">
      <formula>0</formula>
    </cfRule>
  </conditionalFormatting>
  <conditionalFormatting sqref="L30:T47">
    <cfRule type="cellIs" dxfId="297" priority="45" operator="lessThan">
      <formula>0</formula>
    </cfRule>
    <cfRule type="cellIs" dxfId="296" priority="46" operator="greaterThan">
      <formula>0</formula>
    </cfRule>
  </conditionalFormatting>
  <conditionalFormatting sqref="L30:T47">
    <cfRule type="cellIs" dxfId="295" priority="43" operator="lessThan">
      <formula>0</formula>
    </cfRule>
    <cfRule type="cellIs" dxfId="294" priority="44" operator="greaterThan">
      <formula>0</formula>
    </cfRule>
  </conditionalFormatting>
  <conditionalFormatting sqref="M10:T10 L15:T15 L20:T20 M11:S14 L10:L14 L16:S19 L21:S23">
    <cfRule type="cellIs" dxfId="293" priority="41" operator="lessThan">
      <formula>0</formula>
    </cfRule>
    <cfRule type="cellIs" dxfId="292" priority="42" operator="greaterThan">
      <formula>0</formula>
    </cfRule>
  </conditionalFormatting>
  <conditionalFormatting sqref="T10">
    <cfRule type="cellIs" dxfId="291" priority="39" operator="lessThan">
      <formula>0</formula>
    </cfRule>
    <cfRule type="cellIs" dxfId="290" priority="40" operator="greaterThan">
      <formula>0</formula>
    </cfRule>
  </conditionalFormatting>
  <conditionalFormatting sqref="T15">
    <cfRule type="cellIs" dxfId="289" priority="37" operator="lessThan">
      <formula>0</formula>
    </cfRule>
    <cfRule type="cellIs" dxfId="288" priority="38" operator="greaterThan">
      <formula>0</formula>
    </cfRule>
  </conditionalFormatting>
  <conditionalFormatting sqref="T20">
    <cfRule type="cellIs" dxfId="287" priority="35" operator="lessThan">
      <formula>0</formula>
    </cfRule>
    <cfRule type="cellIs" dxfId="286" priority="36" operator="greaterThan">
      <formula>0</formula>
    </cfRule>
  </conditionalFormatting>
  <conditionalFormatting sqref="T10">
    <cfRule type="cellIs" dxfId="285" priority="33" operator="lessThan">
      <formula>0</formula>
    </cfRule>
    <cfRule type="cellIs" dxfId="284" priority="34" operator="greaterThan">
      <formula>0</formula>
    </cfRule>
  </conditionalFormatting>
  <conditionalFormatting sqref="T15">
    <cfRule type="cellIs" dxfId="283" priority="31" operator="lessThan">
      <formula>0</formula>
    </cfRule>
    <cfRule type="cellIs" dxfId="282" priority="32" operator="greaterThan">
      <formula>0</formula>
    </cfRule>
  </conditionalFormatting>
  <conditionalFormatting sqref="T15">
    <cfRule type="cellIs" dxfId="281" priority="29" operator="lessThan">
      <formula>0</formula>
    </cfRule>
    <cfRule type="cellIs" dxfId="280" priority="30" operator="greaterThan">
      <formula>0</formula>
    </cfRule>
  </conditionalFormatting>
  <conditionalFormatting sqref="T20">
    <cfRule type="cellIs" dxfId="279" priority="27" operator="lessThan">
      <formula>0</formula>
    </cfRule>
    <cfRule type="cellIs" dxfId="278" priority="28" operator="greaterThan">
      <formula>0</formula>
    </cfRule>
  </conditionalFormatting>
  <conditionalFormatting sqref="T20">
    <cfRule type="cellIs" dxfId="277" priority="25" operator="lessThan">
      <formula>0</formula>
    </cfRule>
    <cfRule type="cellIs" dxfId="276" priority="26" operator="greaterThan">
      <formula>0</formula>
    </cfRule>
  </conditionalFormatting>
  <conditionalFormatting sqref="T20">
    <cfRule type="cellIs" dxfId="275" priority="23" operator="lessThan">
      <formula>0</formula>
    </cfRule>
    <cfRule type="cellIs" dxfId="274" priority="24" operator="greaterThan">
      <formula>0</formula>
    </cfRule>
  </conditionalFormatting>
  <conditionalFormatting sqref="L30:T47">
    <cfRule type="cellIs" dxfId="273" priority="21" operator="lessThan">
      <formula>0</formula>
    </cfRule>
    <cfRule type="cellIs" dxfId="272" priority="22" operator="greaterThan">
      <formula>0</formula>
    </cfRule>
  </conditionalFormatting>
  <conditionalFormatting sqref="M34:T34 L39:T39 L44:T44 M35:S38 L34:L38 L40:S43 L45:S47">
    <cfRule type="cellIs" dxfId="271" priority="19" operator="lessThan">
      <formula>0</formula>
    </cfRule>
    <cfRule type="cellIs" dxfId="270" priority="20" operator="greaterThan">
      <formula>0</formula>
    </cfRule>
  </conditionalFormatting>
  <conditionalFormatting sqref="T34">
    <cfRule type="cellIs" dxfId="269" priority="17" operator="lessThan">
      <formula>0</formula>
    </cfRule>
    <cfRule type="cellIs" dxfId="268" priority="18" operator="greaterThan">
      <formula>0</formula>
    </cfRule>
  </conditionalFormatting>
  <conditionalFormatting sqref="T39">
    <cfRule type="cellIs" dxfId="267" priority="15" operator="lessThan">
      <formula>0</formula>
    </cfRule>
    <cfRule type="cellIs" dxfId="266" priority="16" operator="greaterThan">
      <formula>0</formula>
    </cfRule>
  </conditionalFormatting>
  <conditionalFormatting sqref="T44">
    <cfRule type="cellIs" dxfId="265" priority="13" operator="lessThan">
      <formula>0</formula>
    </cfRule>
    <cfRule type="cellIs" dxfId="264" priority="14" operator="greaterThan">
      <formula>0</formula>
    </cfRule>
  </conditionalFormatting>
  <conditionalFormatting sqref="T34">
    <cfRule type="cellIs" dxfId="263" priority="11" operator="lessThan">
      <formula>0</formula>
    </cfRule>
    <cfRule type="cellIs" dxfId="262" priority="12" operator="greaterThan">
      <formula>0</formula>
    </cfRule>
  </conditionalFormatting>
  <conditionalFormatting sqref="T39">
    <cfRule type="cellIs" dxfId="261" priority="9" operator="lessThan">
      <formula>0</formula>
    </cfRule>
    <cfRule type="cellIs" dxfId="260" priority="10" operator="greaterThan">
      <formula>0</formula>
    </cfRule>
  </conditionalFormatting>
  <conditionalFormatting sqref="T39">
    <cfRule type="cellIs" dxfId="259" priority="7" operator="lessThan">
      <formula>0</formula>
    </cfRule>
    <cfRule type="cellIs" dxfId="258" priority="8" operator="greaterThan">
      <formula>0</formula>
    </cfRule>
  </conditionalFormatting>
  <conditionalFormatting sqref="T44">
    <cfRule type="cellIs" dxfId="257" priority="5" operator="lessThan">
      <formula>0</formula>
    </cfRule>
    <cfRule type="cellIs" dxfId="256" priority="6" operator="greaterThan">
      <formula>0</formula>
    </cfRule>
  </conditionalFormatting>
  <conditionalFormatting sqref="T44">
    <cfRule type="cellIs" dxfId="255" priority="3" operator="lessThan">
      <formula>0</formula>
    </cfRule>
    <cfRule type="cellIs" dxfId="254" priority="4" operator="greaterThan">
      <formula>0</formula>
    </cfRule>
  </conditionalFormatting>
  <conditionalFormatting sqref="T44">
    <cfRule type="cellIs" dxfId="253" priority="1" operator="lessThan">
      <formula>0</formula>
    </cfRule>
    <cfRule type="cellIs" dxfId="25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C11"/>
  <sheetViews>
    <sheetView showGridLines="0" zoomScaleNormal="100" workbookViewId="0">
      <selection activeCell="A2" sqref="A2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332</v>
      </c>
    </row>
    <row r="2" spans="1:3" ht="24" thickTop="1" thickBot="1" x14ac:dyDescent="0.3">
      <c r="A2" s="73" t="s">
        <v>333</v>
      </c>
      <c r="B2" s="59" t="s">
        <v>334</v>
      </c>
      <c r="C2" s="59" t="s">
        <v>335</v>
      </c>
    </row>
    <row r="3" spans="1:3" ht="20.25" customHeight="1" thickTop="1" thickBot="1" x14ac:dyDescent="0.3">
      <c r="A3" s="111" t="s">
        <v>336</v>
      </c>
      <c r="B3" s="69"/>
      <c r="C3" s="69"/>
    </row>
    <row r="4" spans="1:3" ht="20.25" customHeight="1" thickBot="1" x14ac:dyDescent="0.3">
      <c r="A4" s="118" t="s">
        <v>337</v>
      </c>
      <c r="B4" s="69"/>
      <c r="C4" s="69"/>
    </row>
    <row r="5" spans="1:3" ht="20.25" customHeight="1" thickBot="1" x14ac:dyDescent="0.3">
      <c r="A5" s="118" t="s">
        <v>338</v>
      </c>
      <c r="B5" s="69"/>
      <c r="C5" s="69"/>
    </row>
    <row r="6" spans="1:3" ht="20.25" customHeight="1" thickBot="1" x14ac:dyDescent="0.3">
      <c r="A6" s="118" t="s">
        <v>339</v>
      </c>
      <c r="B6" s="69"/>
      <c r="C6" s="69"/>
    </row>
    <row r="7" spans="1:3" ht="21" customHeight="1" thickBot="1" x14ac:dyDescent="0.3">
      <c r="A7" s="118" t="s">
        <v>459</v>
      </c>
      <c r="B7" s="69"/>
      <c r="C7" s="69"/>
    </row>
    <row r="8" spans="1:3" ht="20.25" customHeight="1" thickBot="1" x14ac:dyDescent="0.3">
      <c r="A8" s="108" t="s">
        <v>340</v>
      </c>
      <c r="B8" s="69"/>
      <c r="C8" s="69"/>
    </row>
    <row r="9" spans="1:3" ht="20.25" customHeight="1" thickBot="1" x14ac:dyDescent="0.3">
      <c r="A9" s="111" t="s">
        <v>341</v>
      </c>
      <c r="B9" s="69"/>
      <c r="C9" s="115"/>
    </row>
    <row r="10" spans="1:3" ht="20.25" customHeight="1" thickBot="1" x14ac:dyDescent="0.3">
      <c r="A10" s="119" t="s">
        <v>342</v>
      </c>
      <c r="B10" s="67"/>
      <c r="C10" s="116"/>
    </row>
    <row r="11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9"/>
  <sheetViews>
    <sheetView showGridLines="0" zoomScaleNormal="100" workbookViewId="0">
      <selection activeCell="D14" sqref="D14"/>
    </sheetView>
  </sheetViews>
  <sheetFormatPr defaultRowHeight="15" x14ac:dyDescent="0.25"/>
  <cols>
    <col min="1" max="1" width="16.7109375" customWidth="1"/>
    <col min="2" max="7" width="11.5703125" customWidth="1"/>
  </cols>
  <sheetData>
    <row r="1" spans="1:7" ht="17.25" thickBot="1" x14ac:dyDescent="0.35">
      <c r="A1" s="1" t="s">
        <v>246</v>
      </c>
    </row>
    <row r="2" spans="1:7" ht="44.25" customHeight="1" thickTop="1" thickBot="1" x14ac:dyDescent="0.3">
      <c r="A2" s="1188" t="s">
        <v>247</v>
      </c>
      <c r="B2" s="1173" t="s">
        <v>248</v>
      </c>
      <c r="C2" s="1175"/>
      <c r="D2" s="1173" t="s">
        <v>249</v>
      </c>
      <c r="E2" s="1175"/>
      <c r="F2" s="1173" t="s">
        <v>250</v>
      </c>
      <c r="G2" s="1175"/>
    </row>
    <row r="3" spans="1:7" s="281" customFormat="1" ht="57.75" thickTop="1" thickBot="1" x14ac:dyDescent="0.3">
      <c r="A3" s="1190"/>
      <c r="B3" s="48" t="s">
        <v>1</v>
      </c>
      <c r="C3" s="166" t="s">
        <v>450</v>
      </c>
      <c r="D3" s="166" t="s">
        <v>1</v>
      </c>
      <c r="E3" s="166" t="s">
        <v>450</v>
      </c>
      <c r="F3" s="166" t="s">
        <v>1</v>
      </c>
      <c r="G3" s="166" t="s">
        <v>450</v>
      </c>
    </row>
    <row r="4" spans="1:7" ht="18.75" customHeight="1" thickTop="1" thickBot="1" x14ac:dyDescent="0.3">
      <c r="A4" s="97"/>
      <c r="B4" s="69"/>
      <c r="C4" s="69"/>
      <c r="D4" s="69"/>
      <c r="E4" s="69"/>
      <c r="F4" s="69"/>
      <c r="G4" s="69"/>
    </row>
    <row r="5" spans="1:7" ht="18.75" customHeight="1" thickBot="1" x14ac:dyDescent="0.3">
      <c r="A5" s="97"/>
      <c r="B5" s="69"/>
      <c r="C5" s="69"/>
      <c r="D5" s="69"/>
      <c r="E5" s="69"/>
      <c r="F5" s="69"/>
      <c r="G5" s="69"/>
    </row>
    <row r="6" spans="1:7" ht="18.75" customHeight="1" thickBot="1" x14ac:dyDescent="0.3">
      <c r="A6" s="97"/>
      <c r="B6" s="69"/>
      <c r="C6" s="69"/>
      <c r="D6" s="69"/>
      <c r="E6" s="69"/>
      <c r="F6" s="69"/>
      <c r="G6" s="69"/>
    </row>
    <row r="7" spans="1:7" ht="18.75" customHeight="1" thickBot="1" x14ac:dyDescent="0.3">
      <c r="A7" s="97"/>
      <c r="B7" s="69"/>
      <c r="C7" s="69"/>
      <c r="D7" s="69"/>
      <c r="E7" s="69"/>
      <c r="F7" s="69"/>
      <c r="G7" s="69"/>
    </row>
    <row r="8" spans="1:7" ht="18.75" customHeight="1" thickBot="1" x14ac:dyDescent="0.3">
      <c r="A8" s="61" t="s">
        <v>4</v>
      </c>
      <c r="B8" s="67">
        <f t="shared" ref="B8:G8" si="0">SUM(B4:B7)</f>
        <v>0</v>
      </c>
      <c r="C8" s="67">
        <f t="shared" si="0"/>
        <v>0</v>
      </c>
      <c r="D8" s="67">
        <f t="shared" si="0"/>
        <v>0</v>
      </c>
      <c r="E8" s="67">
        <f t="shared" si="0"/>
        <v>0</v>
      </c>
      <c r="F8" s="67">
        <f t="shared" si="0"/>
        <v>0</v>
      </c>
      <c r="G8" s="67">
        <f t="shared" si="0"/>
        <v>0</v>
      </c>
    </row>
    <row r="9" spans="1:7" ht="15.75" thickTop="1" x14ac:dyDescent="0.25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/>
  <dimension ref="A1:R13"/>
  <sheetViews>
    <sheetView showGridLines="0" zoomScaleNormal="100" workbookViewId="0">
      <selection activeCell="N4" sqref="N4:R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  <col min="8" max="8" width="15.7109375" style="280" customWidth="1"/>
    <col min="9" max="10" width="15.7109375" style="281" customWidth="1"/>
    <col min="11" max="11" width="14.85546875" style="281" customWidth="1"/>
    <col min="12" max="12" width="14.85546875" style="285" customWidth="1"/>
    <col min="13" max="13" width="6.5703125" customWidth="1"/>
    <col min="14" max="14" width="15.5703125" style="280" customWidth="1"/>
    <col min="15" max="17" width="15.5703125" style="281" customWidth="1"/>
    <col min="18" max="18" width="15.5703125" style="285" customWidth="1"/>
    <col min="19" max="19" width="19.85546875" customWidth="1"/>
  </cols>
  <sheetData>
    <row r="1" spans="1:18" ht="17.25" thickBot="1" x14ac:dyDescent="0.35">
      <c r="A1" s="1" t="s">
        <v>251</v>
      </c>
      <c r="H1" s="1179" t="s">
        <v>948</v>
      </c>
      <c r="I1" s="1180"/>
      <c r="J1" s="1180"/>
      <c r="K1" s="1180"/>
      <c r="L1" s="1181"/>
      <c r="N1" s="1179" t="s">
        <v>950</v>
      </c>
      <c r="O1" s="1180"/>
      <c r="P1" s="1180"/>
      <c r="Q1" s="1180"/>
      <c r="R1" s="1181"/>
    </row>
    <row r="2" spans="1:18" ht="33" customHeight="1" thickTop="1" thickBot="1" x14ac:dyDescent="0.3">
      <c r="A2" s="1188" t="s">
        <v>103</v>
      </c>
      <c r="B2" s="27" t="s">
        <v>1</v>
      </c>
      <c r="C2" s="1173" t="s">
        <v>2</v>
      </c>
      <c r="D2" s="1175"/>
      <c r="E2" s="1173" t="s">
        <v>252</v>
      </c>
      <c r="F2" s="1175"/>
      <c r="H2" s="48" t="s">
        <v>1</v>
      </c>
      <c r="I2" s="1173" t="s">
        <v>2</v>
      </c>
      <c r="J2" s="1175"/>
      <c r="K2" s="1173" t="s">
        <v>252</v>
      </c>
      <c r="L2" s="1175"/>
      <c r="N2" s="48" t="s">
        <v>1</v>
      </c>
      <c r="O2" s="1173" t="s">
        <v>2</v>
      </c>
      <c r="P2" s="1175"/>
      <c r="Q2" s="1173" t="s">
        <v>252</v>
      </c>
      <c r="R2" s="1175"/>
    </row>
    <row r="3" spans="1:18" ht="45" customHeight="1" thickTop="1" thickBot="1" x14ac:dyDescent="0.3">
      <c r="A3" s="1190"/>
      <c r="B3" s="21" t="s">
        <v>253</v>
      </c>
      <c r="C3" s="21" t="s">
        <v>253</v>
      </c>
      <c r="D3" s="21" t="s">
        <v>254</v>
      </c>
      <c r="E3" s="21" t="s">
        <v>1</v>
      </c>
      <c r="F3" s="21" t="s">
        <v>452</v>
      </c>
      <c r="H3" s="164" t="s">
        <v>253</v>
      </c>
      <c r="I3" s="21" t="s">
        <v>253</v>
      </c>
      <c r="J3" s="21" t="s">
        <v>254</v>
      </c>
      <c r="K3" s="21" t="s">
        <v>1</v>
      </c>
      <c r="L3" s="21" t="s">
        <v>452</v>
      </c>
      <c r="N3" s="164" t="s">
        <v>253</v>
      </c>
      <c r="O3" s="21" t="s">
        <v>253</v>
      </c>
      <c r="P3" s="21" t="s">
        <v>254</v>
      </c>
      <c r="Q3" s="21" t="s">
        <v>1</v>
      </c>
      <c r="R3" s="21" t="s">
        <v>452</v>
      </c>
    </row>
    <row r="4" spans="1:18" ht="19.5" customHeight="1" thickTop="1" thickBot="1" x14ac:dyDescent="0.3">
      <c r="A4" s="111" t="s">
        <v>451</v>
      </c>
      <c r="B4" s="150"/>
      <c r="C4" s="151"/>
      <c r="D4" s="152"/>
      <c r="E4" s="153"/>
      <c r="F4" s="153"/>
      <c r="K4" s="282">
        <f t="shared" ref="K4:L7" si="0">B4-C4-E4</f>
        <v>0</v>
      </c>
      <c r="L4" s="286">
        <f t="shared" si="0"/>
        <v>0</v>
      </c>
      <c r="N4" s="283">
        <f>B4-'BS old'!$D$42</f>
        <v>0</v>
      </c>
      <c r="O4" s="282">
        <f>C4-'BS old'!$G$42</f>
        <v>0</v>
      </c>
    </row>
    <row r="5" spans="1:18" ht="19.5" customHeight="1" thickBot="1" x14ac:dyDescent="0.3">
      <c r="A5" s="108" t="s">
        <v>63</v>
      </c>
      <c r="B5" s="154"/>
      <c r="C5" s="154"/>
      <c r="D5" s="155"/>
      <c r="E5" s="110"/>
      <c r="F5" s="110"/>
      <c r="K5" s="282">
        <f t="shared" si="0"/>
        <v>0</v>
      </c>
      <c r="L5" s="286">
        <f t="shared" si="0"/>
        <v>0</v>
      </c>
      <c r="N5" s="283">
        <f>B5-'BS old'!$D$43</f>
        <v>0</v>
      </c>
      <c r="O5" s="282">
        <f>C5-'BS old'!$G$43</f>
        <v>0</v>
      </c>
    </row>
    <row r="6" spans="1:18" ht="19.5" customHeight="1" thickBot="1" x14ac:dyDescent="0.3">
      <c r="A6" s="14" t="s">
        <v>255</v>
      </c>
      <c r="B6" s="82"/>
      <c r="C6" s="82"/>
      <c r="D6" s="83"/>
      <c r="E6" s="69"/>
      <c r="F6" s="69"/>
      <c r="K6" s="282">
        <f t="shared" si="0"/>
        <v>0</v>
      </c>
      <c r="L6" s="286">
        <f t="shared" si="0"/>
        <v>0</v>
      </c>
      <c r="N6" s="283">
        <f>B6-'BS old'!$D$44</f>
        <v>0</v>
      </c>
      <c r="O6" s="282">
        <f>C6-'BS old'!$G$44</f>
        <v>0</v>
      </c>
    </row>
    <row r="7" spans="1:18" ht="19.5" customHeight="1" thickBot="1" x14ac:dyDescent="0.3">
      <c r="A7" s="14" t="s">
        <v>4</v>
      </c>
      <c r="B7" s="68">
        <f>SUM(B4:B6)</f>
        <v>0</v>
      </c>
      <c r="C7" s="82">
        <f>SUM(C4:C6)</f>
        <v>0</v>
      </c>
      <c r="D7" s="83">
        <f>SUM(D4:D6)</f>
        <v>0</v>
      </c>
      <c r="E7" s="69">
        <f>SUM(E4:E6)</f>
        <v>0</v>
      </c>
      <c r="F7" s="69">
        <f>SUM(F4:F6)</f>
        <v>0</v>
      </c>
      <c r="H7" s="283">
        <f>SUM(B4:B6)-B7</f>
        <v>0</v>
      </c>
      <c r="I7" s="282">
        <f>SUM(C4:C6)-C7</f>
        <v>0</v>
      </c>
      <c r="J7" s="282">
        <f>SUM(D4:D6)-D7</f>
        <v>0</v>
      </c>
      <c r="K7" s="282">
        <f t="shared" si="0"/>
        <v>0</v>
      </c>
      <c r="L7" s="286">
        <f t="shared" si="0"/>
        <v>0</v>
      </c>
    </row>
    <row r="8" spans="1:18" ht="19.5" customHeight="1" thickBot="1" x14ac:dyDescent="0.3">
      <c r="A8" s="14" t="s">
        <v>256</v>
      </c>
      <c r="B8" s="99" t="s">
        <v>6</v>
      </c>
      <c r="C8" s="99" t="s">
        <v>6</v>
      </c>
      <c r="D8" s="112" t="s">
        <v>6</v>
      </c>
      <c r="E8" s="69"/>
      <c r="F8" s="69"/>
    </row>
    <row r="9" spans="1:18" ht="19.5" customHeight="1" thickBot="1" x14ac:dyDescent="0.3">
      <c r="A9" s="14" t="s">
        <v>257</v>
      </c>
      <c r="B9" s="99" t="s">
        <v>6</v>
      </c>
      <c r="C9" s="99" t="s">
        <v>6</v>
      </c>
      <c r="D9" s="112" t="s">
        <v>6</v>
      </c>
      <c r="E9" s="69"/>
      <c r="F9" s="69"/>
    </row>
    <row r="10" spans="1:18" ht="19.5" customHeight="1" thickBot="1" x14ac:dyDescent="0.3">
      <c r="A10" s="14" t="s">
        <v>258</v>
      </c>
      <c r="B10" s="99" t="s">
        <v>6</v>
      </c>
      <c r="C10" s="99" t="s">
        <v>6</v>
      </c>
      <c r="D10" s="112" t="s">
        <v>6</v>
      </c>
      <c r="E10" s="69"/>
      <c r="F10" s="69"/>
    </row>
    <row r="11" spans="1:18" ht="19.5" customHeight="1" thickBot="1" x14ac:dyDescent="0.3">
      <c r="A11" s="16" t="s">
        <v>259</v>
      </c>
      <c r="B11" s="101" t="s">
        <v>6</v>
      </c>
      <c r="C11" s="101" t="s">
        <v>6</v>
      </c>
      <c r="D11" s="113" t="s">
        <v>6</v>
      </c>
      <c r="E11" s="67"/>
      <c r="F11" s="67"/>
    </row>
    <row r="12" spans="1:18" ht="19.5" customHeight="1" thickTop="1" thickBot="1" x14ac:dyDescent="0.3">
      <c r="A12" s="23" t="s">
        <v>260</v>
      </c>
      <c r="B12" s="101" t="s">
        <v>6</v>
      </c>
      <c r="C12" s="101" t="s">
        <v>6</v>
      </c>
      <c r="D12" s="113" t="s">
        <v>6</v>
      </c>
      <c r="E12" s="67"/>
      <c r="F12" s="67"/>
      <c r="K12" s="282">
        <f>SUM(E7:E11)-E12</f>
        <v>0</v>
      </c>
      <c r="L12" s="286">
        <f>SUM(F7:F11)-F12</f>
        <v>0</v>
      </c>
      <c r="Q12" s="282">
        <f>E12-'P&amp;L old'!$D$14</f>
        <v>0</v>
      </c>
      <c r="R12" s="286">
        <f>F12-'P&amp;L old'!$E$14</f>
        <v>0</v>
      </c>
    </row>
    <row r="13" spans="1:18" ht="15.75" thickTop="1" x14ac:dyDescent="0.25"/>
  </sheetData>
  <mergeCells count="9">
    <mergeCell ref="A2:A3"/>
    <mergeCell ref="C2:D2"/>
    <mergeCell ref="E2:F2"/>
    <mergeCell ref="Q2:R2"/>
    <mergeCell ref="N1:R1"/>
    <mergeCell ref="K2:L2"/>
    <mergeCell ref="I2:J2"/>
    <mergeCell ref="H1:L1"/>
    <mergeCell ref="O2:P2"/>
  </mergeCells>
  <conditionalFormatting sqref="H4:L12">
    <cfRule type="cellIs" dxfId="163" priority="4" operator="lessThan">
      <formula>0</formula>
    </cfRule>
    <cfRule type="cellIs" dxfId="162" priority="5" operator="greaterThan">
      <formula>0</formula>
    </cfRule>
  </conditionalFormatting>
  <conditionalFormatting sqref="N4:R12">
    <cfRule type="cellIs" dxfId="161" priority="1" operator="lessThan">
      <formula>0</formula>
    </cfRule>
    <cfRule type="cellIs" dxfId="16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F20"/>
  <sheetViews>
    <sheetView showGridLines="0" topLeftCell="A2" zoomScaleNormal="100" workbookViewId="0">
      <selection activeCell="E2" sqref="E2:F1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6.5703125" style="280" customWidth="1"/>
    <col min="6" max="6" width="30.28515625" style="285" customWidth="1"/>
  </cols>
  <sheetData>
    <row r="1" spans="1:6" ht="116.25" thickBot="1" x14ac:dyDescent="0.35">
      <c r="A1" s="322" t="s">
        <v>261</v>
      </c>
      <c r="E1" s="1179" t="s">
        <v>950</v>
      </c>
      <c r="F1" s="1181"/>
    </row>
    <row r="2" spans="1:6" ht="21" customHeight="1" thickTop="1" thickBot="1" x14ac:dyDescent="0.3">
      <c r="A2" s="48" t="s">
        <v>103</v>
      </c>
      <c r="B2" s="533" t="s">
        <v>1</v>
      </c>
      <c r="C2" s="533" t="s">
        <v>2</v>
      </c>
      <c r="E2" s="291" t="s">
        <v>1</v>
      </c>
      <c r="F2" s="292" t="s">
        <v>2</v>
      </c>
    </row>
    <row r="3" spans="1:6" ht="18.75" customHeight="1" thickTop="1" thickBot="1" x14ac:dyDescent="0.3">
      <c r="A3" s="33" t="s">
        <v>453</v>
      </c>
      <c r="B3" s="69"/>
      <c r="C3" s="69"/>
      <c r="E3" s="323"/>
      <c r="F3" s="324"/>
    </row>
    <row r="4" spans="1:6" ht="18.75" customHeight="1" thickBot="1" x14ac:dyDescent="0.3">
      <c r="A4" s="14"/>
      <c r="B4" s="69"/>
      <c r="C4" s="69"/>
      <c r="E4" s="323"/>
      <c r="F4" s="324"/>
    </row>
    <row r="5" spans="1:6" ht="18.75" customHeight="1" thickBot="1" x14ac:dyDescent="0.3">
      <c r="A5" s="14"/>
      <c r="B5" s="69"/>
      <c r="C5" s="69"/>
      <c r="E5" s="323"/>
      <c r="F5" s="324"/>
    </row>
    <row r="6" spans="1:6" ht="18.75" customHeight="1" thickBot="1" x14ac:dyDescent="0.3">
      <c r="A6" s="33" t="s">
        <v>262</v>
      </c>
      <c r="B6" s="69"/>
      <c r="C6" s="69"/>
      <c r="E6" s="323"/>
      <c r="F6" s="324"/>
    </row>
    <row r="7" spans="1:6" ht="18.75" customHeight="1" thickBot="1" x14ac:dyDescent="0.3">
      <c r="A7" s="14"/>
      <c r="B7" s="69"/>
      <c r="C7" s="69"/>
      <c r="E7" s="323"/>
      <c r="F7" s="324"/>
    </row>
    <row r="8" spans="1:6" ht="18.75" customHeight="1" thickBot="1" x14ac:dyDescent="0.3">
      <c r="A8" s="14"/>
      <c r="B8" s="69"/>
      <c r="C8" s="69"/>
      <c r="E8" s="323"/>
      <c r="F8" s="324"/>
    </row>
    <row r="9" spans="1:6" ht="18.75" customHeight="1" thickBot="1" x14ac:dyDescent="0.3">
      <c r="A9" s="14"/>
      <c r="B9" s="69"/>
      <c r="C9" s="69"/>
      <c r="E9" s="323"/>
      <c r="F9" s="324"/>
    </row>
    <row r="10" spans="1:6" ht="18.75" customHeight="1" thickBot="1" x14ac:dyDescent="0.3">
      <c r="A10" s="33" t="s">
        <v>263</v>
      </c>
      <c r="B10" s="69"/>
      <c r="C10" s="69"/>
      <c r="E10" s="283">
        <f>B10-SUM('P&amp;L old'!$D$35,'P&amp;L old'!$D$37,'P&amp;L old'!$D$41,'P&amp;L old'!$D$43,'P&amp;L old'!$D$46,'P&amp;L old'!$D$48,'P&amp;L old'!$D$50,'P&amp;L old'!$D$52)</f>
        <v>0</v>
      </c>
      <c r="F10" s="286">
        <f>C10-SUM('P&amp;L old'!$E$35,'P&amp;L old'!$E$37,'P&amp;L old'!$E$41,'P&amp;L old'!$E$43,'P&amp;L old'!$E$46,'P&amp;L old'!$E$48,'P&amp;L old'!$E$50,'P&amp;L old'!$E$52)</f>
        <v>0</v>
      </c>
    </row>
    <row r="11" spans="1:6" ht="18.75" customHeight="1" thickBot="1" x14ac:dyDescent="0.3">
      <c r="A11" s="117" t="s">
        <v>264</v>
      </c>
      <c r="B11" s="114"/>
      <c r="C11" s="114"/>
      <c r="E11" s="283">
        <f>B11-'P&amp;L old'!$D$48</f>
        <v>0</v>
      </c>
      <c r="F11" s="286">
        <f>C11-'P&amp;L old'!$E$48</f>
        <v>0</v>
      </c>
    </row>
    <row r="12" spans="1:6" ht="18.75" customHeight="1" thickBot="1" x14ac:dyDescent="0.3">
      <c r="A12" s="14" t="s">
        <v>265</v>
      </c>
      <c r="B12" s="69"/>
      <c r="C12" s="69"/>
    </row>
    <row r="13" spans="1:6" ht="18.75" customHeight="1" thickBot="1" x14ac:dyDescent="0.3">
      <c r="A13" s="117" t="s">
        <v>266</v>
      </c>
      <c r="B13" s="114"/>
      <c r="C13" s="114"/>
    </row>
    <row r="14" spans="1:6" ht="18.75" customHeight="1" thickBot="1" x14ac:dyDescent="0.3">
      <c r="A14" s="14"/>
      <c r="B14" s="69"/>
      <c r="C14" s="69"/>
    </row>
    <row r="15" spans="1:6" ht="18.75" customHeight="1" thickBot="1" x14ac:dyDescent="0.3">
      <c r="A15" s="14"/>
      <c r="B15" s="69"/>
      <c r="C15" s="69"/>
    </row>
    <row r="16" spans="1:6" ht="18.75" customHeight="1" thickBot="1" x14ac:dyDescent="0.3">
      <c r="A16" s="14"/>
      <c r="B16" s="69"/>
      <c r="C16" s="69"/>
    </row>
    <row r="17" spans="1:6" ht="18.75" customHeight="1" thickBot="1" x14ac:dyDescent="0.3">
      <c r="A17" s="33" t="s">
        <v>267</v>
      </c>
      <c r="B17" s="69"/>
      <c r="C17" s="69"/>
      <c r="E17" s="283">
        <f>B17-'P&amp;L old'!$D$60</f>
        <v>0</v>
      </c>
      <c r="F17" s="286">
        <f>C17-'P&amp;L old'!$E$60</f>
        <v>0</v>
      </c>
    </row>
    <row r="18" spans="1:6" ht="18.75" customHeight="1" thickBot="1" x14ac:dyDescent="0.3">
      <c r="A18" s="111"/>
      <c r="B18" s="115"/>
      <c r="C18" s="115"/>
    </row>
    <row r="19" spans="1:6" ht="18.75" customHeight="1" thickBot="1" x14ac:dyDescent="0.3">
      <c r="A19" s="90"/>
      <c r="B19" s="116"/>
      <c r="C19" s="116"/>
    </row>
    <row r="20" spans="1:6" ht="15.75" thickTop="1" x14ac:dyDescent="0.25">
      <c r="A20" s="88"/>
      <c r="B20" s="20"/>
      <c r="C20" s="20"/>
    </row>
  </sheetData>
  <mergeCells count="1">
    <mergeCell ref="E1:F1"/>
  </mergeCells>
  <conditionalFormatting sqref="E1">
    <cfRule type="cellIs" priority="3" stopIfTrue="1" operator="greaterThan">
      <formula>0</formula>
    </cfRule>
  </conditionalFormatting>
  <conditionalFormatting sqref="E10:F17">
    <cfRule type="cellIs" dxfId="159" priority="1" operator="lessThan">
      <formula>0</formula>
    </cfRule>
    <cfRule type="cellIs" dxfId="15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I10"/>
  <sheetViews>
    <sheetView showGridLines="0" topLeftCell="B1" zoomScaleNormal="100" workbookViewId="0">
      <selection activeCell="H2" sqref="H2:I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280" customWidth="1"/>
    <col min="6" max="6" width="29.7109375" style="285" customWidth="1"/>
    <col min="7" max="7" width="4.7109375" customWidth="1"/>
    <col min="8" max="8" width="26.5703125" style="280" customWidth="1"/>
    <col min="9" max="9" width="30.28515625" style="285" customWidth="1"/>
    <col min="10" max="10" width="13" customWidth="1"/>
  </cols>
  <sheetData>
    <row r="1" spans="1:9" ht="17.25" thickBot="1" x14ac:dyDescent="0.35">
      <c r="A1" s="1" t="s">
        <v>268</v>
      </c>
      <c r="E1" s="1198" t="s">
        <v>948</v>
      </c>
      <c r="F1" s="1199"/>
      <c r="G1" s="284"/>
      <c r="H1" s="1179" t="s">
        <v>950</v>
      </c>
      <c r="I1" s="1181"/>
    </row>
    <row r="2" spans="1:9" ht="26.2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18.75" customHeight="1" thickTop="1" thickBot="1" x14ac:dyDescent="0.3">
      <c r="A3" s="60" t="s">
        <v>269</v>
      </c>
      <c r="B3" s="69"/>
      <c r="C3" s="69"/>
      <c r="H3" s="283">
        <f>B3+B4-'P&amp;L old'!$D$13</f>
        <v>0</v>
      </c>
      <c r="I3" s="300">
        <f>C3+C4-'P&amp;L old'!$E$13</f>
        <v>0</v>
      </c>
    </row>
    <row r="4" spans="1:9" ht="18.75" customHeight="1" thickBot="1" x14ac:dyDescent="0.3">
      <c r="A4" s="60" t="s">
        <v>270</v>
      </c>
      <c r="B4" s="69"/>
      <c r="C4" s="69"/>
      <c r="H4" s="283">
        <f>H3</f>
        <v>0</v>
      </c>
      <c r="I4" s="286">
        <f>I3</f>
        <v>0</v>
      </c>
    </row>
    <row r="5" spans="1:9" ht="18.75" customHeight="1" thickBot="1" x14ac:dyDescent="0.3">
      <c r="A5" s="60" t="s">
        <v>271</v>
      </c>
      <c r="B5" s="69"/>
      <c r="C5" s="69"/>
      <c r="H5" s="283">
        <f>B5-'P&amp;L old'!$D$9</f>
        <v>0</v>
      </c>
      <c r="I5" s="286">
        <f>C5-'P&amp;L old'!$E$9</f>
        <v>0</v>
      </c>
    </row>
    <row r="6" spans="1:9" ht="18.75" customHeight="1" thickBot="1" x14ac:dyDescent="0.3">
      <c r="A6" s="60" t="s">
        <v>272</v>
      </c>
      <c r="B6" s="69"/>
      <c r="C6" s="69"/>
      <c r="H6" s="323"/>
      <c r="I6" s="324"/>
    </row>
    <row r="7" spans="1:9" ht="18.75" customHeight="1" thickBot="1" x14ac:dyDescent="0.3">
      <c r="A7" s="60" t="s">
        <v>273</v>
      </c>
      <c r="B7" s="69"/>
      <c r="C7" s="69"/>
      <c r="H7" s="283">
        <f>B7-'P&amp;L old'!$D$27</f>
        <v>0</v>
      </c>
      <c r="I7" s="286">
        <f>C7-'P&amp;L old'!$E$27</f>
        <v>0</v>
      </c>
    </row>
    <row r="8" spans="1:9" ht="18.75" customHeight="1" thickBot="1" x14ac:dyDescent="0.3">
      <c r="A8" s="14" t="s">
        <v>274</v>
      </c>
      <c r="B8" s="69"/>
      <c r="C8" s="69"/>
      <c r="H8" s="323"/>
      <c r="I8" s="324"/>
    </row>
    <row r="9" spans="1:9" ht="18.75" customHeight="1" thickBot="1" x14ac:dyDescent="0.3">
      <c r="A9" s="61" t="s">
        <v>275</v>
      </c>
      <c r="B9" s="67">
        <f>SUM(B3:B8)</f>
        <v>0</v>
      </c>
      <c r="C9" s="67">
        <f>SUM(C3:C8)</f>
        <v>0</v>
      </c>
      <c r="E9" s="283">
        <f>SUM(B3:B8)-B9</f>
        <v>0</v>
      </c>
      <c r="F9" s="285">
        <f>SUM(C3:C8)-C9</f>
        <v>0</v>
      </c>
      <c r="H9" s="323"/>
      <c r="I9" s="324"/>
    </row>
    <row r="10" spans="1:9" ht="15.75" thickTop="1" x14ac:dyDescent="0.25">
      <c r="H10" s="283"/>
      <c r="I10" s="286"/>
    </row>
  </sheetData>
  <mergeCells count="2">
    <mergeCell ref="H1:I1"/>
    <mergeCell ref="E1:F1"/>
  </mergeCells>
  <conditionalFormatting sqref="H1">
    <cfRule type="cellIs" priority="5" stopIfTrue="1" operator="greaterThan">
      <formula>0</formula>
    </cfRule>
  </conditionalFormatting>
  <conditionalFormatting sqref="H3:I10">
    <cfRule type="cellIs" dxfId="157" priority="3" operator="lessThan">
      <formula>0</formula>
    </cfRule>
    <cfRule type="cellIs" dxfId="156" priority="4" operator="greaterThan">
      <formula>0</formula>
    </cfRule>
  </conditionalFormatting>
  <conditionalFormatting sqref="E9:F9">
    <cfRule type="cellIs" dxfId="155" priority="1" operator="lessThan">
      <formula>0</formula>
    </cfRule>
    <cfRule type="cellIs" dxfId="15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I28"/>
  <sheetViews>
    <sheetView showGridLines="0" topLeftCell="B1" zoomScaleNormal="100" workbookViewId="0">
      <selection activeCell="E2" sqref="E2:F27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280" customWidth="1"/>
    <col min="6" max="6" width="29.7109375" style="285" customWidth="1"/>
    <col min="7" max="7" width="4.7109375" customWidth="1"/>
    <col min="8" max="8" width="26.5703125" style="280" customWidth="1"/>
    <col min="9" max="9" width="30.28515625" style="285" customWidth="1"/>
  </cols>
  <sheetData>
    <row r="1" spans="1:9" ht="17.25" thickBot="1" x14ac:dyDescent="0.35">
      <c r="A1" s="1" t="s">
        <v>276</v>
      </c>
      <c r="E1" s="1198" t="s">
        <v>948</v>
      </c>
      <c r="F1" s="1199"/>
      <c r="G1" s="284"/>
      <c r="H1" s="1179" t="s">
        <v>950</v>
      </c>
      <c r="I1" s="1181"/>
    </row>
    <row r="2" spans="1:9" ht="26.2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0.25" customHeight="1" thickTop="1" thickBot="1" x14ac:dyDescent="0.3">
      <c r="A3" s="33" t="s">
        <v>277</v>
      </c>
      <c r="B3" s="69"/>
      <c r="C3" s="69"/>
      <c r="E3" s="283">
        <f>SUM(B4,B10)-B3</f>
        <v>0</v>
      </c>
      <c r="F3" s="286">
        <f>SUM(C4,C10)-C3</f>
        <v>0</v>
      </c>
      <c r="H3" s="283">
        <f>B3-'P&amp;L old'!$D$18</f>
        <v>0</v>
      </c>
      <c r="I3" s="286">
        <f>C3-'P&amp;L old'!$E$18</f>
        <v>0</v>
      </c>
    </row>
    <row r="4" spans="1:9" ht="20.25" customHeight="1" thickBot="1" x14ac:dyDescent="0.3">
      <c r="A4" s="117" t="s">
        <v>278</v>
      </c>
      <c r="B4" s="114"/>
      <c r="C4" s="114"/>
      <c r="E4" s="283">
        <f>SUM(B5:B9)-B4</f>
        <v>0</v>
      </c>
      <c r="F4" s="286">
        <f>SUM(C5:C9)-C4</f>
        <v>0</v>
      </c>
      <c r="H4" s="283"/>
      <c r="I4" s="286"/>
    </row>
    <row r="5" spans="1:9" ht="20.25" customHeight="1" thickBot="1" x14ac:dyDescent="0.3">
      <c r="A5" s="14" t="s">
        <v>279</v>
      </c>
      <c r="B5" s="69"/>
      <c r="C5" s="69"/>
      <c r="F5" s="286"/>
      <c r="H5" s="325"/>
      <c r="I5" s="326"/>
    </row>
    <row r="6" spans="1:9" ht="20.25" customHeight="1" thickBot="1" x14ac:dyDescent="0.3">
      <c r="A6" s="14" t="s">
        <v>280</v>
      </c>
      <c r="B6" s="69"/>
      <c r="C6" s="69"/>
      <c r="F6" s="286"/>
      <c r="H6" s="327"/>
      <c r="I6" s="328"/>
    </row>
    <row r="7" spans="1:9" ht="20.25" customHeight="1" thickBot="1" x14ac:dyDescent="0.3">
      <c r="A7" s="14" t="s">
        <v>281</v>
      </c>
      <c r="B7" s="69"/>
      <c r="C7" s="69"/>
      <c r="F7" s="286"/>
      <c r="H7" s="325"/>
      <c r="I7" s="326"/>
    </row>
    <row r="8" spans="1:9" ht="20.25" customHeight="1" thickBot="1" x14ac:dyDescent="0.3">
      <c r="A8" s="14" t="s">
        <v>282</v>
      </c>
      <c r="B8" s="69"/>
      <c r="C8" s="69"/>
      <c r="F8" s="286"/>
      <c r="H8" s="327"/>
      <c r="I8" s="328"/>
    </row>
    <row r="9" spans="1:9" ht="20.25" customHeight="1" thickBot="1" x14ac:dyDescent="0.3">
      <c r="A9" s="14" t="s">
        <v>283</v>
      </c>
      <c r="B9" s="69"/>
      <c r="C9" s="69"/>
      <c r="E9" s="283"/>
      <c r="F9" s="286"/>
      <c r="H9" s="327"/>
      <c r="I9" s="328"/>
    </row>
    <row r="10" spans="1:9" ht="20.25" customHeight="1" thickBot="1" x14ac:dyDescent="0.3">
      <c r="A10" s="117" t="s">
        <v>284</v>
      </c>
      <c r="B10" s="114"/>
      <c r="C10" s="114"/>
      <c r="E10" s="283">
        <f>SUM(B11:B13)-B10</f>
        <v>0</v>
      </c>
      <c r="F10" s="286">
        <f>SUM(C11:C13)-C10</f>
        <v>0</v>
      </c>
      <c r="H10" s="325"/>
      <c r="I10" s="326"/>
    </row>
    <row r="11" spans="1:9" ht="20.25" customHeight="1" thickBot="1" x14ac:dyDescent="0.3">
      <c r="A11" s="14"/>
      <c r="B11" s="69"/>
      <c r="C11" s="69"/>
      <c r="F11" s="286"/>
    </row>
    <row r="12" spans="1:9" ht="20.25" customHeight="1" thickBot="1" x14ac:dyDescent="0.3">
      <c r="A12" s="14"/>
      <c r="B12" s="69"/>
      <c r="C12" s="69"/>
      <c r="F12" s="286"/>
    </row>
    <row r="13" spans="1:9" ht="20.25" customHeight="1" thickBot="1" x14ac:dyDescent="0.3">
      <c r="A13" s="14"/>
      <c r="B13" s="69"/>
      <c r="C13" s="69"/>
      <c r="F13" s="286"/>
    </row>
    <row r="14" spans="1:9" ht="20.25" customHeight="1" thickBot="1" x14ac:dyDescent="0.3">
      <c r="A14" s="33" t="s">
        <v>285</v>
      </c>
      <c r="B14" s="69"/>
      <c r="C14" s="69"/>
      <c r="E14" s="283">
        <f>SUM(B15:B18)-B14</f>
        <v>0</v>
      </c>
      <c r="F14" s="286">
        <f>SUM(C15:C18)-C14</f>
        <v>0</v>
      </c>
    </row>
    <row r="15" spans="1:9" ht="20.25" customHeight="1" thickBot="1" x14ac:dyDescent="0.3">
      <c r="A15" s="14"/>
      <c r="B15" s="69"/>
      <c r="C15" s="69"/>
      <c r="F15" s="286"/>
    </row>
    <row r="16" spans="1:9" ht="20.25" customHeight="1" thickBot="1" x14ac:dyDescent="0.3">
      <c r="A16" s="14"/>
      <c r="B16" s="69"/>
      <c r="C16" s="69"/>
      <c r="F16" s="286"/>
    </row>
    <row r="17" spans="1:9" ht="20.25" customHeight="1" thickBot="1" x14ac:dyDescent="0.3">
      <c r="A17" s="14"/>
      <c r="B17" s="69"/>
      <c r="C17" s="69"/>
      <c r="F17" s="286"/>
    </row>
    <row r="18" spans="1:9" ht="20.25" customHeight="1" thickBot="1" x14ac:dyDescent="0.3">
      <c r="A18" s="14"/>
      <c r="B18" s="69"/>
      <c r="C18" s="69"/>
      <c r="F18" s="286"/>
    </row>
    <row r="19" spans="1:9" ht="20.25" customHeight="1" thickBot="1" x14ac:dyDescent="0.3">
      <c r="A19" s="33" t="s">
        <v>286</v>
      </c>
      <c r="B19" s="69"/>
      <c r="C19" s="69"/>
      <c r="E19" s="283">
        <f>SUM(B20,B22)-B19</f>
        <v>0</v>
      </c>
      <c r="F19" s="286">
        <f>SUM(C20,C22)-C19</f>
        <v>0</v>
      </c>
      <c r="H19" s="283">
        <f>B19-SUM('P&amp;L old'!$D$36,'P&amp;L old'!$D$42,'P&amp;L old'!$D$44,'P&amp;L old'!$D$45,'P&amp;L old'!$D$47,'P&amp;L old'!$D$49,'P&amp;L old'!$D$51,'P&amp;L old'!$D$53)</f>
        <v>0</v>
      </c>
      <c r="I19" s="286">
        <f>C19-SUM('P&amp;L old'!$E$36,'P&amp;L old'!$E$42,'P&amp;L old'!$E$44,'P&amp;L old'!$E$45,'P&amp;L old'!$E$47,'P&amp;L old'!$E$49,'P&amp;L old'!$E$51,'P&amp;L old'!$E$53)</f>
        <v>0</v>
      </c>
    </row>
    <row r="20" spans="1:9" ht="20.25" customHeight="1" thickBot="1" x14ac:dyDescent="0.3">
      <c r="A20" s="117" t="s">
        <v>287</v>
      </c>
      <c r="B20" s="114"/>
      <c r="C20" s="114"/>
      <c r="E20" s="283"/>
      <c r="F20" s="286"/>
      <c r="H20" s="283">
        <f>B20-'P&amp;L old'!$D$49</f>
        <v>0</v>
      </c>
      <c r="I20" s="286">
        <f>C20-'P&amp;L old'!$E$49</f>
        <v>0</v>
      </c>
    </row>
    <row r="21" spans="1:9" ht="20.25" customHeight="1" thickBot="1" x14ac:dyDescent="0.3">
      <c r="A21" s="14" t="s">
        <v>288</v>
      </c>
      <c r="B21" s="69"/>
      <c r="C21" s="69"/>
      <c r="F21" s="286"/>
    </row>
    <row r="22" spans="1:9" ht="20.25" customHeight="1" thickBot="1" x14ac:dyDescent="0.3">
      <c r="A22" s="117" t="s">
        <v>289</v>
      </c>
      <c r="B22" s="114"/>
      <c r="C22" s="114"/>
      <c r="E22" s="283">
        <f>SUM(B23:B24)-B22</f>
        <v>0</v>
      </c>
      <c r="F22" s="286">
        <f>SUM(C23:C24)-C22</f>
        <v>0</v>
      </c>
    </row>
    <row r="23" spans="1:9" ht="20.25" customHeight="1" thickBot="1" x14ac:dyDescent="0.3">
      <c r="A23" s="14"/>
      <c r="B23" s="69"/>
      <c r="C23" s="69"/>
      <c r="F23" s="286"/>
    </row>
    <row r="24" spans="1:9" ht="20.25" customHeight="1" thickBot="1" x14ac:dyDescent="0.3">
      <c r="A24" s="14"/>
      <c r="B24" s="69"/>
      <c r="C24" s="69"/>
      <c r="F24" s="286"/>
    </row>
    <row r="25" spans="1:9" ht="20.25" customHeight="1" thickBot="1" x14ac:dyDescent="0.3">
      <c r="A25" s="93" t="s">
        <v>290</v>
      </c>
      <c r="B25" s="115"/>
      <c r="C25" s="115"/>
      <c r="E25" s="283">
        <f>SUM(B26:B27)-B25</f>
        <v>0</v>
      </c>
      <c r="F25" s="286">
        <f>SUM(C26:C27)-C25</f>
        <v>0</v>
      </c>
      <c r="H25" s="283">
        <f>B25-'P&amp;L old'!$D$61</f>
        <v>0</v>
      </c>
      <c r="I25" s="286">
        <f>C25-'P&amp;L old'!$E$61</f>
        <v>0</v>
      </c>
    </row>
    <row r="26" spans="1:9" ht="20.25" customHeight="1" thickBot="1" x14ac:dyDescent="0.3">
      <c r="A26" s="94"/>
      <c r="B26" s="110"/>
      <c r="C26" s="110"/>
      <c r="F26" s="286"/>
    </row>
    <row r="27" spans="1:9" ht="20.25" customHeight="1" thickBot="1" x14ac:dyDescent="0.3">
      <c r="A27" s="23"/>
      <c r="B27" s="67"/>
      <c r="C27" s="67"/>
      <c r="F27" s="286"/>
    </row>
    <row r="28" spans="1:9" ht="17.25" thickTop="1" x14ac:dyDescent="0.3">
      <c r="A28" s="1"/>
      <c r="F28" s="286"/>
    </row>
  </sheetData>
  <mergeCells count="2">
    <mergeCell ref="E1:F1"/>
    <mergeCell ref="H1:I1"/>
  </mergeCells>
  <conditionalFormatting sqref="H1">
    <cfRule type="cellIs" priority="17" stopIfTrue="1" operator="greaterThan">
      <formula>0</formula>
    </cfRule>
  </conditionalFormatting>
  <conditionalFormatting sqref="H3:I10">
    <cfRule type="cellIs" dxfId="153" priority="15" operator="lessThan">
      <formula>0</formula>
    </cfRule>
    <cfRule type="cellIs" dxfId="152" priority="16" operator="greaterThan">
      <formula>0</formula>
    </cfRule>
  </conditionalFormatting>
  <conditionalFormatting sqref="E9:F9">
    <cfRule type="cellIs" dxfId="151" priority="13" operator="lessThan">
      <formula>0</formula>
    </cfRule>
    <cfRule type="cellIs" dxfId="150" priority="14" operator="greaterThan">
      <formula>0</formula>
    </cfRule>
  </conditionalFormatting>
  <conditionalFormatting sqref="F3">
    <cfRule type="cellIs" dxfId="149" priority="11" operator="lessThan">
      <formula>0</formula>
    </cfRule>
    <cfRule type="cellIs" dxfId="148" priority="12" operator="greaterThan">
      <formula>0</formula>
    </cfRule>
  </conditionalFormatting>
  <conditionalFormatting sqref="F4:F28">
    <cfRule type="cellIs" dxfId="147" priority="9" operator="lessThan">
      <formula>0</formula>
    </cfRule>
    <cfRule type="cellIs" dxfId="146" priority="10" operator="greaterThan">
      <formula>0</formula>
    </cfRule>
  </conditionalFormatting>
  <conditionalFormatting sqref="E3:F29">
    <cfRule type="cellIs" dxfId="145" priority="6" operator="lessThan">
      <formula>0</formula>
    </cfRule>
    <cfRule type="cellIs" dxfId="144" priority="7" operator="greaterThan">
      <formula>0</formula>
    </cfRule>
  </conditionalFormatting>
  <conditionalFormatting sqref="F3">
    <cfRule type="cellIs" dxfId="143" priority="4" operator="lessThan">
      <formula>0</formula>
    </cfRule>
    <cfRule type="cellIs" dxfId="142" priority="5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C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291</v>
      </c>
    </row>
    <row r="2" spans="1:3" ht="35.25" thickTop="1" thickBot="1" x14ac:dyDescent="0.3">
      <c r="A2" s="48" t="s">
        <v>103</v>
      </c>
      <c r="B2" s="27" t="s">
        <v>1</v>
      </c>
      <c r="C2" s="27" t="s">
        <v>2</v>
      </c>
    </row>
    <row r="3" spans="1:3" ht="29.25" customHeight="1" thickTop="1" thickBot="1" x14ac:dyDescent="0.3">
      <c r="A3" s="111" t="s">
        <v>292</v>
      </c>
      <c r="B3" s="15"/>
      <c r="C3" s="15"/>
    </row>
    <row r="4" spans="1:3" ht="29.25" customHeight="1" thickBot="1" x14ac:dyDescent="0.3">
      <c r="A4" s="118" t="s">
        <v>293</v>
      </c>
      <c r="B4" s="15"/>
      <c r="C4" s="15"/>
    </row>
    <row r="5" spans="1:3" ht="52.5" customHeight="1" thickBot="1" x14ac:dyDescent="0.3">
      <c r="A5" s="108" t="s">
        <v>294</v>
      </c>
      <c r="B5" s="15"/>
      <c r="C5" s="15"/>
    </row>
    <row r="6" spans="1:3" ht="52.5" customHeight="1" thickBot="1" x14ac:dyDescent="0.3">
      <c r="A6" s="14" t="s">
        <v>295</v>
      </c>
      <c r="B6" s="15"/>
      <c r="C6" s="15"/>
    </row>
    <row r="7" spans="1:3" ht="51" customHeight="1" thickBot="1" x14ac:dyDescent="0.3">
      <c r="A7" s="111" t="s">
        <v>296</v>
      </c>
      <c r="B7" s="15"/>
      <c r="C7" s="15"/>
    </row>
    <row r="8" spans="1:3" ht="30.75" customHeight="1" thickBot="1" x14ac:dyDescent="0.3">
      <c r="A8" s="119" t="s">
        <v>297</v>
      </c>
      <c r="B8" s="17"/>
      <c r="C8" s="17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K13"/>
  <sheetViews>
    <sheetView showGridLines="0" zoomScaleNormal="100" workbookViewId="0">
      <selection activeCell="J13" sqref="J13"/>
    </sheetView>
  </sheetViews>
  <sheetFormatPr defaultRowHeight="15" x14ac:dyDescent="0.25"/>
  <cols>
    <col min="1" max="1" width="22.28515625" customWidth="1"/>
    <col min="2" max="7" width="10.7109375" customWidth="1"/>
    <col min="10" max="10" width="24.28515625" style="280" customWidth="1"/>
    <col min="11" max="11" width="31.140625" style="285" customWidth="1"/>
  </cols>
  <sheetData>
    <row r="1" spans="1:11" ht="17.25" thickBot="1" x14ac:dyDescent="0.35">
      <c r="A1" s="1" t="s">
        <v>298</v>
      </c>
      <c r="J1" s="1179" t="s">
        <v>950</v>
      </c>
      <c r="K1" s="1181"/>
    </row>
    <row r="2" spans="1:11" ht="35.25" customHeight="1" thickTop="1" thickBot="1" x14ac:dyDescent="0.3">
      <c r="A2" s="1171" t="s">
        <v>103</v>
      </c>
      <c r="B2" s="1173" t="s">
        <v>1</v>
      </c>
      <c r="C2" s="1174"/>
      <c r="D2" s="1175"/>
      <c r="E2" s="1173" t="s">
        <v>2</v>
      </c>
      <c r="F2" s="1174"/>
      <c r="G2" s="1175"/>
      <c r="J2" s="165" t="s">
        <v>1</v>
      </c>
      <c r="K2" s="48" t="s">
        <v>2</v>
      </c>
    </row>
    <row r="3" spans="1:11" s="120" customFormat="1" ht="16.5" thickTop="1" thickBot="1" x14ac:dyDescent="0.3">
      <c r="A3" s="1182"/>
      <c r="B3" s="21" t="s">
        <v>299</v>
      </c>
      <c r="C3" s="21" t="s">
        <v>300</v>
      </c>
      <c r="D3" s="21" t="s">
        <v>301</v>
      </c>
      <c r="E3" s="21" t="s">
        <v>299</v>
      </c>
      <c r="F3" s="21" t="s">
        <v>300</v>
      </c>
      <c r="G3" s="21" t="s">
        <v>301</v>
      </c>
      <c r="J3" s="329"/>
      <c r="K3" s="309"/>
    </row>
    <row r="4" spans="1:11" ht="20.25" customHeight="1" thickTop="1" thickBot="1" x14ac:dyDescent="0.3">
      <c r="A4" s="14" t="s">
        <v>302</v>
      </c>
      <c r="B4" s="68"/>
      <c r="C4" s="95" t="s">
        <v>6</v>
      </c>
      <c r="D4" s="157" t="s">
        <v>6</v>
      </c>
      <c r="E4" s="68"/>
      <c r="F4" s="95" t="s">
        <v>6</v>
      </c>
      <c r="G4" s="157" t="s">
        <v>6</v>
      </c>
      <c r="J4" s="283">
        <f>B4-'P&amp;L old'!$D$55</f>
        <v>0</v>
      </c>
      <c r="K4" s="286">
        <f>E4-'P&amp;L old'!$E$55</f>
        <v>0</v>
      </c>
    </row>
    <row r="5" spans="1:11" ht="20.25" customHeight="1" thickBot="1" x14ac:dyDescent="0.3">
      <c r="A5" s="14" t="s">
        <v>303</v>
      </c>
      <c r="B5" s="95" t="s">
        <v>6</v>
      </c>
      <c r="C5" s="68"/>
      <c r="D5" s="107"/>
      <c r="E5" s="95" t="s">
        <v>6</v>
      </c>
      <c r="F5" s="68"/>
      <c r="G5" s="107"/>
    </row>
    <row r="6" spans="1:11" ht="20.25" customHeight="1" thickBot="1" x14ac:dyDescent="0.3">
      <c r="A6" s="14" t="s">
        <v>304</v>
      </c>
      <c r="B6" s="68"/>
      <c r="C6" s="68"/>
      <c r="D6" s="107"/>
      <c r="E6" s="68"/>
      <c r="F6" s="68"/>
      <c r="G6" s="107"/>
    </row>
    <row r="7" spans="1:11" ht="20.25" customHeight="1" thickBot="1" x14ac:dyDescent="0.3">
      <c r="A7" s="14" t="s">
        <v>305</v>
      </c>
      <c r="B7" s="68"/>
      <c r="C7" s="68"/>
      <c r="D7" s="107"/>
      <c r="E7" s="68"/>
      <c r="F7" s="68"/>
      <c r="G7" s="107"/>
    </row>
    <row r="8" spans="1:11" ht="20.25" customHeight="1" thickBot="1" x14ac:dyDescent="0.3">
      <c r="A8" s="14" t="s">
        <v>306</v>
      </c>
      <c r="B8" s="68"/>
      <c r="C8" s="68"/>
      <c r="D8" s="107"/>
      <c r="E8" s="68"/>
      <c r="F8" s="68"/>
      <c r="G8" s="107"/>
    </row>
    <row r="9" spans="1:11" ht="20.25" customHeight="1" thickBot="1" x14ac:dyDescent="0.3">
      <c r="A9" s="14" t="s">
        <v>4</v>
      </c>
      <c r="B9" s="68"/>
      <c r="C9" s="68"/>
      <c r="D9" s="107"/>
      <c r="E9" s="68"/>
      <c r="F9" s="68"/>
      <c r="G9" s="107"/>
    </row>
    <row r="10" spans="1:11" ht="20.25" customHeight="1" thickBot="1" x14ac:dyDescent="0.3">
      <c r="A10" s="14" t="s">
        <v>307</v>
      </c>
      <c r="B10" s="95" t="s">
        <v>6</v>
      </c>
      <c r="C10" s="68"/>
      <c r="D10" s="107"/>
      <c r="E10" s="95" t="s">
        <v>6</v>
      </c>
      <c r="F10" s="68"/>
      <c r="G10" s="107"/>
      <c r="J10" s="283">
        <f>C10-'P&amp;L old'!$D$57-'P&amp;L old'!$D$64</f>
        <v>0</v>
      </c>
      <c r="K10" s="286">
        <f>F10-'P&amp;L old'!$E$57-'P&amp;L old'!$E$64</f>
        <v>0</v>
      </c>
    </row>
    <row r="11" spans="1:11" ht="20.25" customHeight="1" thickBot="1" x14ac:dyDescent="0.3">
      <c r="A11" s="14" t="s">
        <v>308</v>
      </c>
      <c r="B11" s="95" t="s">
        <v>6</v>
      </c>
      <c r="C11" s="68"/>
      <c r="D11" s="107"/>
      <c r="E11" s="95" t="s">
        <v>6</v>
      </c>
      <c r="F11" s="68"/>
      <c r="G11" s="107"/>
      <c r="J11" s="283">
        <f>C11-'P&amp;L old'!$D$58-'P&amp;L old'!$D$65</f>
        <v>0</v>
      </c>
      <c r="K11" s="286">
        <f>F11-'P&amp;L old'!$E$58-'P&amp;L old'!$E$65</f>
        <v>0</v>
      </c>
    </row>
    <row r="12" spans="1:11" ht="20.25" customHeight="1" thickBot="1" x14ac:dyDescent="0.3">
      <c r="A12" s="16" t="s">
        <v>309</v>
      </c>
      <c r="B12" s="96" t="s">
        <v>6</v>
      </c>
      <c r="C12" s="74">
        <f>C10+C11</f>
        <v>0</v>
      </c>
      <c r="D12" s="156"/>
      <c r="E12" s="96" t="s">
        <v>6</v>
      </c>
      <c r="F12" s="74">
        <f>F10+F11</f>
        <v>0</v>
      </c>
      <c r="G12" s="156"/>
      <c r="J12" s="283">
        <f>C12-'P&amp;L old'!$D$56-'P&amp;L old'!$D$63</f>
        <v>0</v>
      </c>
      <c r="K12" s="286">
        <f>F12-'P&amp;L old'!$E$56-'P&amp;L old'!$E$63</f>
        <v>0</v>
      </c>
    </row>
    <row r="13" spans="1:11" ht="15.75" thickTop="1" x14ac:dyDescent="0.25"/>
  </sheetData>
  <mergeCells count="4">
    <mergeCell ref="J1:K1"/>
    <mergeCell ref="A2:A3"/>
    <mergeCell ref="B2:D2"/>
    <mergeCell ref="E2:G2"/>
  </mergeCells>
  <conditionalFormatting sqref="J1">
    <cfRule type="cellIs" priority="3" stopIfTrue="1" operator="greaterThan">
      <formula>0</formula>
    </cfRule>
  </conditionalFormatting>
  <conditionalFormatting sqref="J4:K13">
    <cfRule type="cellIs" dxfId="141" priority="1" operator="lessThan">
      <formula>0</formula>
    </cfRule>
    <cfRule type="cellIs" dxfId="14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I21"/>
  <sheetViews>
    <sheetView showGridLines="0" zoomScaleNormal="100" workbookViewId="0">
      <selection activeCell="A6" sqref="A6:A19"/>
    </sheetView>
  </sheetViews>
  <sheetFormatPr defaultRowHeight="15" x14ac:dyDescent="0.25"/>
  <cols>
    <col min="1" max="1" width="17.7109375" customWidth="1"/>
    <col min="2" max="7" width="11.42578125" customWidth="1"/>
  </cols>
  <sheetData>
    <row r="1" spans="1:9" ht="17.25" thickBot="1" x14ac:dyDescent="0.35">
      <c r="A1" s="1" t="s">
        <v>343</v>
      </c>
    </row>
    <row r="2" spans="1:9" ht="25.5" customHeight="1" thickTop="1" thickBot="1" x14ac:dyDescent="0.3">
      <c r="A2" s="1188" t="s">
        <v>344</v>
      </c>
      <c r="B2" s="1183" t="s">
        <v>345</v>
      </c>
      <c r="C2" s="1200"/>
      <c r="D2" s="1200"/>
      <c r="E2" s="1183" t="s">
        <v>346</v>
      </c>
      <c r="F2" s="1200"/>
      <c r="G2" s="1184"/>
      <c r="H2" s="20"/>
      <c r="I2" s="20"/>
    </row>
    <row r="3" spans="1:9" ht="20.25" customHeight="1" thickTop="1" thickBot="1" x14ac:dyDescent="0.3">
      <c r="A3" s="1189"/>
      <c r="B3" s="48" t="s">
        <v>347</v>
      </c>
      <c r="C3" s="48" t="s">
        <v>348</v>
      </c>
      <c r="D3" s="534" t="s">
        <v>349</v>
      </c>
      <c r="E3" s="48" t="s">
        <v>347</v>
      </c>
      <c r="F3" s="48" t="s">
        <v>348</v>
      </c>
      <c r="G3" s="48" t="s">
        <v>349</v>
      </c>
      <c r="H3" s="20"/>
      <c r="I3" s="20"/>
    </row>
    <row r="4" spans="1:9" ht="20.25" customHeight="1" thickTop="1" thickBot="1" x14ac:dyDescent="0.3">
      <c r="A4" s="1189"/>
      <c r="B4" s="1201" t="s">
        <v>350</v>
      </c>
      <c r="C4" s="1202"/>
      <c r="D4" s="1202"/>
      <c r="E4" s="1201" t="s">
        <v>350</v>
      </c>
      <c r="F4" s="1202"/>
      <c r="G4" s="1205"/>
      <c r="H4" s="20"/>
      <c r="I4" s="20"/>
    </row>
    <row r="5" spans="1:9" ht="24.75" customHeight="1" thickBot="1" x14ac:dyDescent="0.3">
      <c r="A5" s="1190"/>
      <c r="B5" s="1206" t="s">
        <v>351</v>
      </c>
      <c r="C5" s="1207"/>
      <c r="D5" s="1207"/>
      <c r="E5" s="1206" t="s">
        <v>351</v>
      </c>
      <c r="F5" s="1207"/>
      <c r="G5" s="1208"/>
      <c r="H5" s="20"/>
      <c r="I5" s="20"/>
    </row>
    <row r="6" spans="1:9" ht="20.25" customHeight="1" thickTop="1" thickBot="1" x14ac:dyDescent="0.3">
      <c r="A6" s="1209" t="s">
        <v>352</v>
      </c>
      <c r="B6" s="68"/>
      <c r="C6" s="158"/>
      <c r="D6" s="133"/>
      <c r="E6" s="68"/>
      <c r="F6" s="133"/>
      <c r="G6" s="66"/>
      <c r="H6" s="20"/>
      <c r="I6" s="20"/>
    </row>
    <row r="7" spans="1:9" ht="20.25" customHeight="1" thickBot="1" x14ac:dyDescent="0.3">
      <c r="A7" s="1210"/>
      <c r="B7" s="68"/>
      <c r="C7" s="159"/>
      <c r="D7" s="109"/>
      <c r="E7" s="68"/>
      <c r="F7" s="109"/>
      <c r="G7" s="110"/>
      <c r="H7" s="20"/>
      <c r="I7" s="20"/>
    </row>
    <row r="8" spans="1:9" ht="20.25" customHeight="1" thickBot="1" x14ac:dyDescent="0.3">
      <c r="A8" s="1203" t="s">
        <v>353</v>
      </c>
      <c r="B8" s="68"/>
      <c r="C8" s="159"/>
      <c r="D8" s="109"/>
      <c r="E8" s="68"/>
      <c r="F8" s="109"/>
      <c r="G8" s="110"/>
      <c r="H8" s="20"/>
      <c r="I8" s="20"/>
    </row>
    <row r="9" spans="1:9" ht="20.25" customHeight="1" thickBot="1" x14ac:dyDescent="0.3">
      <c r="A9" s="1204"/>
      <c r="B9" s="68"/>
      <c r="C9" s="159"/>
      <c r="D9" s="109"/>
      <c r="E9" s="68"/>
      <c r="F9" s="109"/>
      <c r="G9" s="110"/>
      <c r="H9" s="20"/>
      <c r="I9" s="20"/>
    </row>
    <row r="10" spans="1:9" ht="20.25" customHeight="1" thickTop="1" thickBot="1" x14ac:dyDescent="0.3">
      <c r="A10" s="1209" t="s">
        <v>354</v>
      </c>
      <c r="B10" s="68"/>
      <c r="C10" s="159"/>
      <c r="D10" s="109"/>
      <c r="E10" s="68"/>
      <c r="F10" s="109"/>
      <c r="G10" s="110"/>
      <c r="H10" s="20"/>
      <c r="I10" s="20"/>
    </row>
    <row r="11" spans="1:9" ht="20.25" customHeight="1" thickBot="1" x14ac:dyDescent="0.3">
      <c r="A11" s="1210"/>
      <c r="B11" s="68"/>
      <c r="C11" s="159"/>
      <c r="D11" s="109"/>
      <c r="E11" s="68"/>
      <c r="F11" s="109"/>
      <c r="G11" s="110"/>
      <c r="H11" s="20"/>
      <c r="I11" s="20"/>
    </row>
    <row r="12" spans="1:9" ht="20.25" customHeight="1" thickBot="1" x14ac:dyDescent="0.3">
      <c r="A12" s="1203" t="s">
        <v>355</v>
      </c>
      <c r="B12" s="68"/>
      <c r="C12" s="159"/>
      <c r="D12" s="109"/>
      <c r="E12" s="68"/>
      <c r="F12" s="109"/>
      <c r="G12" s="110"/>
      <c r="H12" s="20"/>
      <c r="I12" s="20"/>
    </row>
    <row r="13" spans="1:9" ht="20.25" customHeight="1" thickBot="1" x14ac:dyDescent="0.3">
      <c r="A13" s="1210"/>
      <c r="B13" s="68"/>
      <c r="C13" s="159"/>
      <c r="D13" s="109"/>
      <c r="E13" s="68"/>
      <c r="F13" s="109"/>
      <c r="G13" s="110"/>
      <c r="H13" s="20"/>
      <c r="I13" s="20"/>
    </row>
    <row r="14" spans="1:9" ht="20.25" customHeight="1" thickBot="1" x14ac:dyDescent="0.3">
      <c r="A14" s="1203" t="s">
        <v>356</v>
      </c>
      <c r="B14" s="68"/>
      <c r="C14" s="159"/>
      <c r="D14" s="109"/>
      <c r="E14" s="68"/>
      <c r="F14" s="109"/>
      <c r="G14" s="110"/>
      <c r="H14" s="20"/>
      <c r="I14" s="20"/>
    </row>
    <row r="15" spans="1:9" ht="20.25" customHeight="1" thickBot="1" x14ac:dyDescent="0.3">
      <c r="A15" s="1204"/>
      <c r="B15" s="68"/>
      <c r="C15" s="159"/>
      <c r="D15" s="109"/>
      <c r="E15" s="68"/>
      <c r="F15" s="109"/>
      <c r="G15" s="110"/>
      <c r="H15" s="20"/>
      <c r="I15" s="20"/>
    </row>
    <row r="16" spans="1:9" ht="20.25" customHeight="1" thickTop="1" thickBot="1" x14ac:dyDescent="0.3">
      <c r="A16" s="1209" t="s">
        <v>357</v>
      </c>
      <c r="B16" s="68"/>
      <c r="C16" s="159"/>
      <c r="D16" s="109"/>
      <c r="E16" s="68"/>
      <c r="F16" s="109"/>
      <c r="G16" s="110"/>
      <c r="H16" s="20"/>
      <c r="I16" s="20"/>
    </row>
    <row r="17" spans="1:9" ht="20.25" customHeight="1" thickBot="1" x14ac:dyDescent="0.3">
      <c r="A17" s="1204"/>
      <c r="B17" s="68"/>
      <c r="C17" s="159"/>
      <c r="D17" s="109"/>
      <c r="E17" s="68"/>
      <c r="F17" s="109"/>
      <c r="G17" s="110"/>
      <c r="H17" s="20"/>
      <c r="I17" s="20"/>
    </row>
    <row r="18" spans="1:9" ht="20.25" customHeight="1" thickTop="1" thickBot="1" x14ac:dyDescent="0.3">
      <c r="A18" s="1209" t="s">
        <v>259</v>
      </c>
      <c r="B18" s="68"/>
      <c r="C18" s="159"/>
      <c r="D18" s="109"/>
      <c r="E18" s="68"/>
      <c r="F18" s="109"/>
      <c r="G18" s="110"/>
      <c r="H18" s="20"/>
      <c r="I18" s="20"/>
    </row>
    <row r="19" spans="1:9" ht="20.25" customHeight="1" thickBot="1" x14ac:dyDescent="0.3">
      <c r="A19" s="1204"/>
      <c r="B19" s="74"/>
      <c r="C19" s="160"/>
      <c r="D19" s="135"/>
      <c r="E19" s="74"/>
      <c r="F19" s="135"/>
      <c r="G19" s="116"/>
      <c r="H19" s="20"/>
      <c r="I19" s="20"/>
    </row>
    <row r="20" spans="1:9" ht="15.75" thickTop="1" x14ac:dyDescent="0.25">
      <c r="A20" s="37"/>
      <c r="B20" s="37"/>
      <c r="C20" s="37"/>
      <c r="D20" s="37"/>
      <c r="E20" s="37"/>
      <c r="F20" s="37"/>
      <c r="G20" s="37"/>
      <c r="H20" s="20"/>
      <c r="I20" s="20"/>
    </row>
    <row r="21" spans="1:9" x14ac:dyDescent="0.25">
      <c r="A21" s="161"/>
      <c r="B21" s="20"/>
      <c r="C21" s="20"/>
      <c r="D21" s="20"/>
      <c r="E21" s="20"/>
      <c r="F21" s="20"/>
      <c r="G21" s="20"/>
      <c r="H21" s="20"/>
      <c r="I21" s="20"/>
    </row>
  </sheetData>
  <mergeCells count="14">
    <mergeCell ref="A18:A19"/>
    <mergeCell ref="A16:A17"/>
    <mergeCell ref="A14:A15"/>
    <mergeCell ref="A12:A13"/>
    <mergeCell ref="A10:A11"/>
    <mergeCell ref="B2:D2"/>
    <mergeCell ref="E2:G2"/>
    <mergeCell ref="B4:D4"/>
    <mergeCell ref="A2:A5"/>
    <mergeCell ref="A8:A9"/>
    <mergeCell ref="E4:G4"/>
    <mergeCell ref="B5:D5"/>
    <mergeCell ref="E5:G5"/>
    <mergeCell ref="A6:A7"/>
  </mergeCells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29"/>
  <sheetViews>
    <sheetView showGridLines="0" zoomScaleNormal="100" workbookViewId="0">
      <selection activeCell="A19" sqref="A19"/>
    </sheetView>
  </sheetViews>
  <sheetFormatPr defaultRowHeight="15" x14ac:dyDescent="0.2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 x14ac:dyDescent="0.3">
      <c r="A1" s="1" t="s">
        <v>358</v>
      </c>
    </row>
    <row r="2" spans="1:4" ht="17.25" thickBot="1" x14ac:dyDescent="0.35">
      <c r="A2" s="5" t="s">
        <v>3</v>
      </c>
    </row>
    <row r="3" spans="1:4" ht="19.5" customHeight="1" thickTop="1" thickBot="1" x14ac:dyDescent="0.3">
      <c r="A3" s="1171" t="s">
        <v>359</v>
      </c>
      <c r="B3" s="1171" t="s">
        <v>360</v>
      </c>
      <c r="C3" s="1173" t="s">
        <v>361</v>
      </c>
      <c r="D3" s="1175"/>
    </row>
    <row r="4" spans="1:4" ht="33" customHeight="1" thickTop="1" thickBot="1" x14ac:dyDescent="0.3">
      <c r="A4" s="1182"/>
      <c r="B4" s="1182"/>
      <c r="C4" s="27" t="s">
        <v>1</v>
      </c>
      <c r="D4" s="27" t="s">
        <v>362</v>
      </c>
    </row>
    <row r="5" spans="1:4" ht="18.75" customHeight="1" thickTop="1" thickBot="1" x14ac:dyDescent="0.3">
      <c r="A5" s="121"/>
      <c r="B5" s="124"/>
      <c r="C5" s="69"/>
      <c r="D5" s="69"/>
    </row>
    <row r="6" spans="1:4" ht="18.75" customHeight="1" thickBot="1" x14ac:dyDescent="0.3">
      <c r="A6" s="121"/>
      <c r="B6" s="124"/>
      <c r="C6" s="69"/>
      <c r="D6" s="69"/>
    </row>
    <row r="7" spans="1:4" ht="18.75" customHeight="1" thickBot="1" x14ac:dyDescent="0.3">
      <c r="A7" s="122"/>
      <c r="B7" s="112"/>
      <c r="C7" s="69"/>
      <c r="D7" s="69"/>
    </row>
    <row r="8" spans="1:4" ht="18.75" customHeight="1" thickBot="1" x14ac:dyDescent="0.3">
      <c r="A8" s="122"/>
      <c r="B8" s="112"/>
      <c r="C8" s="69"/>
      <c r="D8" s="69"/>
    </row>
    <row r="9" spans="1:4" ht="18.75" customHeight="1" thickBot="1" x14ac:dyDescent="0.3">
      <c r="A9" s="122"/>
      <c r="B9" s="112"/>
      <c r="C9" s="69"/>
      <c r="D9" s="69"/>
    </row>
    <row r="10" spans="1:4" ht="18.75" customHeight="1" thickBot="1" x14ac:dyDescent="0.3">
      <c r="A10" s="122"/>
      <c r="B10" s="112"/>
      <c r="C10" s="69"/>
      <c r="D10" s="69"/>
    </row>
    <row r="11" spans="1:4" ht="18.75" customHeight="1" thickBot="1" x14ac:dyDescent="0.3">
      <c r="A11" s="122"/>
      <c r="B11" s="112"/>
      <c r="C11" s="69"/>
      <c r="D11" s="69"/>
    </row>
    <row r="12" spans="1:4" ht="18.75" customHeight="1" thickBot="1" x14ac:dyDescent="0.3">
      <c r="A12" s="122"/>
      <c r="B12" s="112"/>
      <c r="C12" s="69"/>
      <c r="D12" s="69"/>
    </row>
    <row r="13" spans="1:4" ht="18.75" customHeight="1" thickBot="1" x14ac:dyDescent="0.3">
      <c r="A13" s="121"/>
      <c r="B13" s="124"/>
      <c r="C13" s="69"/>
      <c r="D13" s="69"/>
    </row>
    <row r="14" spans="1:4" ht="18.75" customHeight="1" thickBot="1" x14ac:dyDescent="0.3">
      <c r="A14" s="123"/>
      <c r="B14" s="113"/>
      <c r="C14" s="67"/>
      <c r="D14" s="67"/>
    </row>
    <row r="15" spans="1:4" ht="15.75" thickTop="1" x14ac:dyDescent="0.25">
      <c r="A15" s="20"/>
      <c r="B15" s="20"/>
      <c r="C15" s="20"/>
      <c r="D15" s="20"/>
    </row>
    <row r="16" spans="1:4" ht="15.75" thickBot="1" x14ac:dyDescent="0.3">
      <c r="A16" s="20" t="s">
        <v>363</v>
      </c>
      <c r="B16" s="20"/>
      <c r="C16" s="20"/>
      <c r="D16" s="20"/>
    </row>
    <row r="17" spans="1:4" ht="19.5" customHeight="1" thickTop="1" thickBot="1" x14ac:dyDescent="0.3">
      <c r="A17" s="1171" t="s">
        <v>454</v>
      </c>
      <c r="B17" s="1171" t="s">
        <v>360</v>
      </c>
      <c r="C17" s="1173" t="s">
        <v>361</v>
      </c>
      <c r="D17" s="1175"/>
    </row>
    <row r="18" spans="1:4" ht="33" customHeight="1" thickTop="1" thickBot="1" x14ac:dyDescent="0.3">
      <c r="A18" s="1182"/>
      <c r="B18" s="1182"/>
      <c r="C18" s="27" t="s">
        <v>1</v>
      </c>
      <c r="D18" s="27" t="s">
        <v>362</v>
      </c>
    </row>
    <row r="19" spans="1:4" ht="18.75" customHeight="1" thickTop="1" thickBot="1" x14ac:dyDescent="0.3">
      <c r="A19" s="97"/>
      <c r="B19" s="112"/>
      <c r="C19" s="69"/>
      <c r="D19" s="69"/>
    </row>
    <row r="20" spans="1:4" ht="18.75" customHeight="1" thickBot="1" x14ac:dyDescent="0.3">
      <c r="A20" s="97"/>
      <c r="B20" s="112"/>
      <c r="C20" s="69"/>
      <c r="D20" s="69"/>
    </row>
    <row r="21" spans="1:4" ht="18.75" customHeight="1" thickBot="1" x14ac:dyDescent="0.3">
      <c r="A21" s="97"/>
      <c r="B21" s="112"/>
      <c r="C21" s="69"/>
      <c r="D21" s="69"/>
    </row>
    <row r="22" spans="1:4" ht="18.75" customHeight="1" thickBot="1" x14ac:dyDescent="0.3">
      <c r="A22" s="97"/>
      <c r="B22" s="112"/>
      <c r="C22" s="69"/>
      <c r="D22" s="69"/>
    </row>
    <row r="23" spans="1:4" ht="18.75" customHeight="1" thickBot="1" x14ac:dyDescent="0.3">
      <c r="A23" s="97"/>
      <c r="B23" s="112"/>
      <c r="C23" s="69"/>
      <c r="D23" s="69"/>
    </row>
    <row r="24" spans="1:4" ht="18.75" customHeight="1" thickBot="1" x14ac:dyDescent="0.3">
      <c r="A24" s="97"/>
      <c r="B24" s="112"/>
      <c r="C24" s="69"/>
      <c r="D24" s="69"/>
    </row>
    <row r="25" spans="1:4" ht="18.75" customHeight="1" thickBot="1" x14ac:dyDescent="0.3">
      <c r="A25" s="97"/>
      <c r="B25" s="112"/>
      <c r="C25" s="69"/>
      <c r="D25" s="69"/>
    </row>
    <row r="26" spans="1:4" ht="18.75" customHeight="1" thickBot="1" x14ac:dyDescent="0.3">
      <c r="A26" s="97"/>
      <c r="B26" s="112"/>
      <c r="C26" s="69"/>
      <c r="D26" s="69"/>
    </row>
    <row r="27" spans="1:4" ht="18.75" customHeight="1" thickBot="1" x14ac:dyDescent="0.3">
      <c r="A27" s="98"/>
      <c r="B27" s="113"/>
      <c r="C27" s="67"/>
      <c r="D27" s="67"/>
    </row>
    <row r="28" spans="1:4" ht="17.25" thickTop="1" x14ac:dyDescent="0.3">
      <c r="A28" s="2"/>
    </row>
    <row r="29" spans="1:4" ht="16.5" x14ac:dyDescent="0.3">
      <c r="A29" s="2"/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5"/>
  <sheetViews>
    <sheetView showGridLines="0" zoomScaleNormal="100" workbookViewId="0">
      <selection activeCell="A5" sqref="A5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28</v>
      </c>
    </row>
    <row r="2" spans="1:2" ht="21" customHeight="1" thickTop="1" thickBot="1" x14ac:dyDescent="0.3">
      <c r="A2" s="525" t="s">
        <v>27</v>
      </c>
      <c r="B2" s="11" t="s">
        <v>17</v>
      </c>
    </row>
    <row r="3" spans="1:2" ht="23.25" customHeight="1" thickTop="1" thickBot="1" x14ac:dyDescent="0.3">
      <c r="A3" s="12" t="s">
        <v>29</v>
      </c>
      <c r="B3" s="13"/>
    </row>
    <row r="4" spans="1:2" ht="23.25" customHeight="1" thickBot="1" x14ac:dyDescent="0.3">
      <c r="A4" s="16" t="s">
        <v>30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600"/>
  <sheetViews>
    <sheetView showGridLines="0" topLeftCell="B1" zoomScale="90" zoomScaleNormal="90" workbookViewId="0">
      <pane xSplit="3" ySplit="7" topLeftCell="E8" activePane="bottomRight" state="frozen"/>
      <selection activeCell="B1" sqref="B1"/>
      <selection pane="topRight" activeCell="E1" sqref="E1"/>
      <selection pane="bottomLeft" activeCell="B8" sqref="B8"/>
      <selection pane="bottomRight" activeCell="B1" sqref="B1:AC1048576"/>
    </sheetView>
  </sheetViews>
  <sheetFormatPr defaultColWidth="9.140625" defaultRowHeight="15" x14ac:dyDescent="0.25"/>
  <cols>
    <col min="1" max="1" width="0" style="1063" hidden="1" customWidth="1"/>
    <col min="2" max="2" width="6" style="1154" customWidth="1"/>
    <col min="3" max="3" width="4.28515625" style="1154" customWidth="1"/>
    <col min="4" max="4" width="1.42578125" style="1154" customWidth="1"/>
    <col min="5" max="5" width="6.7109375" style="1154" customWidth="1"/>
    <col min="6" max="6" width="12.28515625" style="1154" customWidth="1"/>
    <col min="7" max="7" width="3" style="1154" customWidth="1"/>
    <col min="8" max="8" width="20.5703125" style="1154" customWidth="1"/>
    <col min="9" max="9" width="11.7109375" style="1154" customWidth="1"/>
    <col min="10" max="10" width="1.42578125" style="1154" customWidth="1"/>
    <col min="11" max="11" width="4.42578125" style="1154" customWidth="1"/>
    <col min="12" max="12" width="10.28515625" style="1154" customWidth="1"/>
    <col min="13" max="13" width="1.42578125" style="1154" customWidth="1"/>
    <col min="14" max="14" width="4.42578125" style="1154" customWidth="1"/>
    <col min="15" max="15" width="10.28515625" style="1154" customWidth="1"/>
    <col min="16" max="16" width="1.42578125" style="1154" customWidth="1"/>
    <col min="17" max="17" width="4.42578125" style="1154" customWidth="1"/>
    <col min="18" max="18" width="7.28515625" style="1154" customWidth="1"/>
    <col min="19" max="19" width="3" style="1154" customWidth="1"/>
    <col min="20" max="20" width="1.42578125" style="1154" customWidth="1"/>
    <col min="21" max="21" width="4.42578125" style="1154" customWidth="1"/>
    <col min="22" max="22" width="10.28515625" style="1154" customWidth="1"/>
    <col min="23" max="23" width="1.42578125" style="1154" customWidth="1"/>
    <col min="24" max="24" width="1.140625" style="1154" customWidth="1"/>
    <col min="25" max="25" width="4.7109375" style="1154" customWidth="1"/>
    <col min="26" max="26" width="8.85546875" style="1154" customWidth="1"/>
    <col min="27" max="27" width="1.140625" style="1154" customWidth="1"/>
    <col min="28" max="28" width="5.85546875" style="1154" customWidth="1"/>
    <col min="29" max="29" width="8.85546875" style="1154" customWidth="1"/>
    <col min="30" max="30" width="9.140625" style="1063"/>
    <col min="31" max="31" width="8" style="1063" customWidth="1"/>
    <col min="32" max="32" width="9.7109375" style="1063" customWidth="1"/>
    <col min="33" max="33" width="9.7109375" style="1063" hidden="1" customWidth="1"/>
    <col min="34" max="34" width="11.140625" style="1063" customWidth="1"/>
    <col min="35" max="35" width="9.7109375" style="1063" hidden="1" customWidth="1"/>
    <col min="36" max="36" width="16.5703125" style="1063" customWidth="1"/>
    <col min="37" max="37" width="14.85546875" style="1063" bestFit="1" customWidth="1"/>
    <col min="38" max="38" width="14" style="1063" bestFit="1" customWidth="1"/>
    <col min="39" max="39" width="16" style="1063" customWidth="1"/>
    <col min="40" max="40" width="12.42578125" style="1063" bestFit="1" customWidth="1"/>
    <col min="41" max="41" width="15" style="1063" bestFit="1" customWidth="1"/>
    <col min="42" max="42" width="8.85546875" style="1063" customWidth="1"/>
    <col min="43" max="16384" width="9.140625" style="1063"/>
  </cols>
  <sheetData>
    <row r="1" spans="2:42" ht="18" x14ac:dyDescent="0.25">
      <c r="B1" s="1099"/>
      <c r="Y1" s="1213"/>
      <c r="Z1" s="1212"/>
      <c r="AA1" s="1212"/>
      <c r="AB1" s="1212"/>
      <c r="AC1" s="1212"/>
    </row>
    <row r="2" spans="2:42" x14ac:dyDescent="0.25">
      <c r="Y2" s="1213"/>
      <c r="Z2" s="1212"/>
      <c r="AA2" s="1212"/>
      <c r="AB2" s="1212"/>
      <c r="AC2" s="1212"/>
    </row>
    <row r="3" spans="2:42" ht="12.75" thickBot="1" x14ac:dyDescent="0.25">
      <c r="B3" s="1100"/>
      <c r="C3" s="1101"/>
      <c r="D3" s="1101"/>
      <c r="E3" s="1101"/>
      <c r="F3" s="1101"/>
      <c r="G3" s="1101"/>
      <c r="H3" s="1101"/>
      <c r="I3" s="1101"/>
      <c r="J3" s="1101"/>
      <c r="K3" s="1101"/>
      <c r="L3" s="1101"/>
      <c r="M3" s="1101"/>
      <c r="N3" s="1101"/>
      <c r="O3" s="1101"/>
      <c r="P3" s="1101"/>
      <c r="Q3" s="1101"/>
      <c r="R3" s="1101"/>
      <c r="S3" s="1101"/>
      <c r="T3" s="1101"/>
      <c r="U3" s="1101"/>
      <c r="V3" s="1101"/>
      <c r="W3" s="1101"/>
      <c r="X3" s="1101"/>
      <c r="Y3" s="1101"/>
      <c r="Z3" s="1101"/>
      <c r="AA3" s="1101"/>
      <c r="AB3" s="1101"/>
      <c r="AC3" s="1101"/>
      <c r="AM3" s="1072" t="s">
        <v>1883</v>
      </c>
      <c r="AN3" s="1071">
        <f>SUMIF(TB_curr[[#Headers],[#Data],[BS/PL]],"BS",TB_curr[[#Headers],[#Data],[Closing balance]])</f>
        <v>0</v>
      </c>
      <c r="AO3" s="1071">
        <f>GL!H1</f>
        <v>0</v>
      </c>
    </row>
    <row r="4" spans="2:42" ht="12.75" thickTop="1" x14ac:dyDescent="0.2">
      <c r="B4" s="1102"/>
      <c r="C4" s="1102"/>
      <c r="D4" s="1102"/>
      <c r="E4" s="1102"/>
      <c r="F4" s="1102"/>
      <c r="G4" s="1102"/>
      <c r="H4" s="1102"/>
      <c r="I4" s="1102"/>
      <c r="J4" s="1102"/>
      <c r="K4" s="1102"/>
      <c r="L4" s="1102"/>
      <c r="M4" s="1102"/>
      <c r="N4" s="1102"/>
      <c r="O4" s="1102"/>
      <c r="P4" s="1102"/>
      <c r="Q4" s="1102"/>
      <c r="R4" s="1102"/>
      <c r="S4" s="1102"/>
      <c r="T4" s="1102"/>
      <c r="U4" s="1102"/>
      <c r="V4" s="1102"/>
      <c r="W4" s="1102"/>
      <c r="X4" s="1102"/>
      <c r="Y4" s="1102"/>
      <c r="Z4" s="1102"/>
      <c r="AA4" s="1102"/>
      <c r="AB4" s="1102"/>
      <c r="AC4" s="1102"/>
      <c r="AM4" s="1072" t="s">
        <v>1882</v>
      </c>
      <c r="AN4" s="1071">
        <f>SUMIF(TB_curr[[#Headers],[#Data],[BS/PL]],"PL",TB_curr[[#Headers],[#Data],[Closing balance]])</f>
        <v>0</v>
      </c>
      <c r="AO4" s="1071">
        <f>GL!H2</f>
        <v>0</v>
      </c>
    </row>
    <row r="5" spans="2:42" x14ac:dyDescent="0.2">
      <c r="B5" s="1103"/>
      <c r="L5" s="1155"/>
      <c r="O5" s="1155"/>
      <c r="R5" s="1214"/>
      <c r="S5" s="1212"/>
      <c r="V5" s="1155"/>
      <c r="Z5" s="1155"/>
      <c r="AC5" s="1155"/>
      <c r="AM5" s="1072" t="s">
        <v>1881</v>
      </c>
      <c r="AN5" s="1071">
        <f>$AM$1600</f>
        <v>0</v>
      </c>
      <c r="AO5" s="1071">
        <f>GL!H3</f>
        <v>0</v>
      </c>
      <c r="AP5" s="1070"/>
    </row>
    <row r="6" spans="2:42" x14ac:dyDescent="0.25">
      <c r="E6" s="1103"/>
      <c r="AO6" s="1064">
        <f>$AO$1600</f>
        <v>0</v>
      </c>
      <c r="AP6" s="1070"/>
    </row>
    <row r="7" spans="2:42" ht="30.75" customHeight="1" x14ac:dyDescent="0.25">
      <c r="B7" s="1157"/>
      <c r="C7" s="1157"/>
      <c r="D7" s="1157"/>
      <c r="E7" s="1157"/>
      <c r="F7" s="1157"/>
      <c r="G7" s="1157"/>
      <c r="H7" s="1157"/>
      <c r="I7" s="1157"/>
      <c r="J7" s="1157"/>
      <c r="K7" s="1157"/>
      <c r="L7" s="1157"/>
      <c r="M7" s="1157"/>
      <c r="N7" s="1157"/>
      <c r="O7" s="1157"/>
      <c r="P7" s="1157"/>
      <c r="Q7" s="1157"/>
      <c r="R7" s="1157"/>
      <c r="S7" s="1157"/>
      <c r="T7" s="1157"/>
      <c r="U7" s="1157"/>
      <c r="V7" s="1157"/>
      <c r="W7" s="1157"/>
      <c r="X7" s="1157"/>
      <c r="Y7" s="1157"/>
      <c r="Z7" s="1157"/>
      <c r="AA7" s="1157"/>
      <c r="AB7" s="1157"/>
      <c r="AC7" s="1157"/>
      <c r="AD7" s="1068" t="s">
        <v>1880</v>
      </c>
      <c r="AE7" s="1068" t="s">
        <v>1879</v>
      </c>
      <c r="AF7" s="1068" t="s">
        <v>1878</v>
      </c>
      <c r="AG7" s="1068" t="s">
        <v>1877</v>
      </c>
      <c r="AH7" s="1069" t="s">
        <v>1876</v>
      </c>
      <c r="AI7" s="1068" t="s">
        <v>1875</v>
      </c>
      <c r="AJ7" s="1068" t="s">
        <v>1540</v>
      </c>
      <c r="AK7" s="1068" t="s">
        <v>1874</v>
      </c>
      <c r="AL7" s="1068" t="s">
        <v>1873</v>
      </c>
      <c r="AM7" s="1068" t="s">
        <v>1541</v>
      </c>
      <c r="AN7" s="1068" t="s">
        <v>1872</v>
      </c>
      <c r="AO7" s="1067" t="s">
        <v>1871</v>
      </c>
    </row>
    <row r="8" spans="2:42" ht="12" x14ac:dyDescent="0.25">
      <c r="B8" s="1156"/>
      <c r="C8" s="1156"/>
      <c r="D8" s="1156"/>
      <c r="E8" s="1156"/>
      <c r="F8" s="1156"/>
      <c r="G8" s="1156"/>
      <c r="H8" s="1156"/>
      <c r="I8" s="1156"/>
      <c r="J8" s="1156"/>
      <c r="K8" s="1215"/>
      <c r="L8" s="1216"/>
      <c r="M8" s="1156"/>
      <c r="N8" s="1215"/>
      <c r="O8" s="1216"/>
      <c r="P8" s="1156"/>
      <c r="Q8" s="1215"/>
      <c r="R8" s="1216"/>
      <c r="S8" s="1216"/>
      <c r="T8" s="1156"/>
      <c r="U8" s="1215"/>
      <c r="V8" s="1216"/>
      <c r="W8" s="1156"/>
      <c r="X8" s="1215"/>
      <c r="Y8" s="1216"/>
      <c r="Z8" s="1216"/>
      <c r="AA8" s="1156"/>
      <c r="AB8" s="1215"/>
      <c r="AC8" s="1216"/>
      <c r="AD8" s="1067" t="str">
        <f t="shared" ref="AD8:AD71" si="0">LEFT(B8,3)</f>
        <v/>
      </c>
      <c r="AE8" s="1063" t="str">
        <f>IF(ISNA(VLOOKUP(TB_curr[[#This Row],[Synt]],GL[[#Headers],[#Data],[subtotal label]],1,FALSE)),0,(VLOOKUP(TB_curr[[#This Row],[Synt]],GL[[#Headers],[#Data],[subtotal label]],1,FALSE)))</f>
        <v/>
      </c>
      <c r="AF8" s="1063" t="e">
        <f>IF((TB_curr[[#This Row],[Synt]]-TB_curr[[#This Row],[Subtotal Y/N]])=0,0,VLOOKUP(TB_curr[[#This Row],[Synt]],GL[[Account]:[Line]],3,FALSE))</f>
        <v>#VALUE!</v>
      </c>
      <c r="AG8" s="1063" t="e">
        <f>VLOOKUP(TB_curr[[#This Row],[Synt]],GL[[Account]:[B/P]],4,FALSE)</f>
        <v>#N/A</v>
      </c>
      <c r="AH8" s="1066" t="s">
        <v>792</v>
      </c>
      <c r="AI8" s="1065" t="str">
        <f>TB_curr[[#This Row],[Synt]]&amp;TB_curr[[#This Row],[Line No. manual corr.]]</f>
        <v>05</v>
      </c>
      <c r="AJ8" s="1064">
        <f t="shared" ref="AJ8:AJ71" si="1">K8-N8</f>
        <v>0</v>
      </c>
      <c r="AK8" s="1064">
        <f t="shared" ref="AK8:AK71" si="2">Q8</f>
        <v>0</v>
      </c>
      <c r="AL8" s="1064">
        <f t="shared" ref="AL8:AL71" si="3">U8</f>
        <v>0</v>
      </c>
      <c r="AM8" s="1064">
        <f t="shared" ref="AM8:AM71" si="4">X8-AB8</f>
        <v>0</v>
      </c>
      <c r="AN8" s="1064"/>
      <c r="AO8" s="1064">
        <f>TB_curr[[#This Row],[Closing balance]]+TB_curr[[#This Row],[Rounding]]</f>
        <v>0</v>
      </c>
    </row>
    <row r="9" spans="2:42" x14ac:dyDescent="0.25">
      <c r="B9" s="1104"/>
      <c r="E9" s="1104"/>
      <c r="K9" s="1211"/>
      <c r="L9" s="1212"/>
      <c r="N9" s="1211"/>
      <c r="O9" s="1212"/>
      <c r="Q9" s="1211"/>
      <c r="R9" s="1212"/>
      <c r="S9" s="1212"/>
      <c r="U9" s="1211"/>
      <c r="V9" s="1212"/>
      <c r="X9" s="1211"/>
      <c r="Y9" s="1212"/>
      <c r="Z9" s="1212"/>
      <c r="AB9" s="1211"/>
      <c r="AC9" s="1212"/>
      <c r="AD9" s="1067" t="str">
        <f t="shared" si="0"/>
        <v/>
      </c>
      <c r="AE9" s="1063" t="str">
        <f>IF(ISNA(VLOOKUP(TB_curr[[#This Row],[Synt]],GL[[#Headers],[#Data],[subtotal label]],1,FALSE)),0,(VLOOKUP(TB_curr[[#This Row],[Synt]],GL[[#Headers],[#Data],[subtotal label]],1,FALSE)))</f>
        <v/>
      </c>
      <c r="AF9" s="1063" t="e">
        <f>IF((TB_curr[[#This Row],[Synt]]-TB_curr[[#This Row],[Subtotal Y/N]])=0,0,VLOOKUP(TB_curr[[#This Row],[Synt]],GL[[Account]:[Line]],3,FALSE))</f>
        <v>#VALUE!</v>
      </c>
      <c r="AG9" s="1063" t="e">
        <f>VLOOKUP(TB_curr[[#This Row],[Synt]],GL[[Account]:[B/P]],4,FALSE)</f>
        <v>#N/A</v>
      </c>
      <c r="AH9" s="1066" t="s">
        <v>794</v>
      </c>
      <c r="AI9" s="1065" t="str">
        <f>TB_curr[[#This Row],[Synt]]&amp;TB_curr[[#This Row],[Line No. manual corr.]]</f>
        <v>06</v>
      </c>
      <c r="AJ9" s="1064">
        <f t="shared" si="1"/>
        <v>0</v>
      </c>
      <c r="AK9" s="1064">
        <f t="shared" si="2"/>
        <v>0</v>
      </c>
      <c r="AL9" s="1064">
        <f t="shared" si="3"/>
        <v>0</v>
      </c>
      <c r="AM9" s="1064">
        <f t="shared" si="4"/>
        <v>0</v>
      </c>
      <c r="AN9" s="1064"/>
      <c r="AO9" s="1064">
        <f>TB_curr[[#This Row],[Closing balance]]+TB_curr[[#This Row],[Rounding]]</f>
        <v>0</v>
      </c>
    </row>
    <row r="10" spans="2:42" x14ac:dyDescent="0.25">
      <c r="B10" s="1104"/>
      <c r="E10" s="1104"/>
      <c r="K10" s="1211"/>
      <c r="L10" s="1212"/>
      <c r="N10" s="1211"/>
      <c r="O10" s="1212"/>
      <c r="Q10" s="1211"/>
      <c r="R10" s="1212"/>
      <c r="S10" s="1212"/>
      <c r="U10" s="1211"/>
      <c r="V10" s="1212"/>
      <c r="X10" s="1211"/>
      <c r="Y10" s="1212"/>
      <c r="Z10" s="1212"/>
      <c r="AB10" s="1211"/>
      <c r="AC10" s="1212"/>
      <c r="AD10" s="1067" t="str">
        <f t="shared" si="0"/>
        <v/>
      </c>
      <c r="AE10" s="1063" t="str">
        <f>IF(ISNA(VLOOKUP(TB_curr[[#This Row],[Synt]],GL[[#Headers],[#Data],[subtotal label]],1,FALSE)),0,(VLOOKUP(TB_curr[[#This Row],[Synt]],GL[[#Headers],[#Data],[subtotal label]],1,FALSE)))</f>
        <v/>
      </c>
      <c r="AF10" s="1063" t="e">
        <f>IF((TB_curr[[#This Row],[Synt]]-TB_curr[[#This Row],[Subtotal Y/N]])=0,0,VLOOKUP(TB_curr[[#This Row],[Synt]],GL[[Account]:[Line]],3,FALSE))</f>
        <v>#VALUE!</v>
      </c>
      <c r="AG10" s="1063" t="e">
        <f>VLOOKUP(TB_curr[[#This Row],[Synt]],GL[[Account]:[B/P]],4,FALSE)</f>
        <v>#N/A</v>
      </c>
      <c r="AH10" s="1066" t="s">
        <v>794</v>
      </c>
      <c r="AI10" s="1065" t="str">
        <f>TB_curr[[#This Row],[Synt]]&amp;TB_curr[[#This Row],[Line No. manual corr.]]</f>
        <v>06</v>
      </c>
      <c r="AJ10" s="1064">
        <f t="shared" si="1"/>
        <v>0</v>
      </c>
      <c r="AK10" s="1064">
        <f t="shared" si="2"/>
        <v>0</v>
      </c>
      <c r="AL10" s="1064">
        <f t="shared" si="3"/>
        <v>0</v>
      </c>
      <c r="AM10" s="1064">
        <f t="shared" si="4"/>
        <v>0</v>
      </c>
      <c r="AN10" s="1064"/>
      <c r="AO10" s="1064">
        <f>TB_curr[[#This Row],[Closing balance]]+TB_curr[[#This Row],[Rounding]]</f>
        <v>0</v>
      </c>
    </row>
    <row r="11" spans="2:42" x14ac:dyDescent="0.25">
      <c r="B11" s="1104"/>
      <c r="E11" s="1104"/>
      <c r="K11" s="1211"/>
      <c r="L11" s="1212"/>
      <c r="N11" s="1211"/>
      <c r="O11" s="1212"/>
      <c r="Q11" s="1211"/>
      <c r="R11" s="1212"/>
      <c r="S11" s="1212"/>
      <c r="U11" s="1211"/>
      <c r="V11" s="1212"/>
      <c r="X11" s="1211"/>
      <c r="Y11" s="1212"/>
      <c r="Z11" s="1212"/>
      <c r="AB11" s="1211"/>
      <c r="AC11" s="1212"/>
      <c r="AD11" s="1067" t="str">
        <f t="shared" si="0"/>
        <v/>
      </c>
      <c r="AE11" s="1063" t="str">
        <f>IF(ISNA(VLOOKUP(TB_curr[[#This Row],[Synt]],GL[[#Headers],[#Data],[subtotal label]],1,FALSE)),0,(VLOOKUP(TB_curr[[#This Row],[Synt]],GL[[#Headers],[#Data],[subtotal label]],1,FALSE)))</f>
        <v/>
      </c>
      <c r="AF11" s="1063" t="e">
        <f>IF((TB_curr[[#This Row],[Synt]]-TB_curr[[#This Row],[Subtotal Y/N]])=0,0,VLOOKUP(TB_curr[[#This Row],[Synt]],GL[[Account]:[Line]],3,FALSE))</f>
        <v>#VALUE!</v>
      </c>
      <c r="AG11" s="1063" t="e">
        <f>VLOOKUP(TB_curr[[#This Row],[Synt]],GL[[Account]:[B/P]],4,FALSE)</f>
        <v>#N/A</v>
      </c>
      <c r="AH11" s="1066" t="s">
        <v>796</v>
      </c>
      <c r="AI11" s="1065" t="str">
        <f>TB_curr[[#This Row],[Synt]]&amp;TB_curr[[#This Row],[Line No. manual corr.]]</f>
        <v>07</v>
      </c>
      <c r="AJ11" s="1064">
        <f t="shared" si="1"/>
        <v>0</v>
      </c>
      <c r="AK11" s="1064">
        <f t="shared" si="2"/>
        <v>0</v>
      </c>
      <c r="AL11" s="1064">
        <f t="shared" si="3"/>
        <v>0</v>
      </c>
      <c r="AM11" s="1064">
        <f t="shared" si="4"/>
        <v>0</v>
      </c>
      <c r="AN11" s="1064"/>
      <c r="AO11" s="1064">
        <f>TB_curr[[#This Row],[Closing balance]]+TB_curr[[#This Row],[Rounding]]</f>
        <v>0</v>
      </c>
    </row>
    <row r="12" spans="2:42" x14ac:dyDescent="0.25">
      <c r="B12" s="1104"/>
      <c r="E12" s="1104"/>
      <c r="K12" s="1211"/>
      <c r="L12" s="1212"/>
      <c r="N12" s="1211"/>
      <c r="O12" s="1212"/>
      <c r="Q12" s="1211"/>
      <c r="R12" s="1212"/>
      <c r="S12" s="1212"/>
      <c r="U12" s="1211"/>
      <c r="V12" s="1212"/>
      <c r="X12" s="1211"/>
      <c r="Y12" s="1212"/>
      <c r="Z12" s="1212"/>
      <c r="AB12" s="1211"/>
      <c r="AC12" s="1212"/>
      <c r="AD12" s="1067" t="str">
        <f t="shared" si="0"/>
        <v/>
      </c>
      <c r="AE12" s="1063" t="str">
        <f>IF(ISNA(VLOOKUP(TB_curr[[#This Row],[Synt]],GL[[#Headers],[#Data],[subtotal label]],1,FALSE)),0,(VLOOKUP(TB_curr[[#This Row],[Synt]],GL[[#Headers],[#Data],[subtotal label]],1,FALSE)))</f>
        <v/>
      </c>
      <c r="AF12" s="1063" t="e">
        <f>IF((TB_curr[[#This Row],[Synt]]-TB_curr[[#This Row],[Subtotal Y/N]])=0,0,VLOOKUP(TB_curr[[#This Row],[Synt]],GL[[Account]:[Line]],3,FALSE))</f>
        <v>#VALUE!</v>
      </c>
      <c r="AG12" s="1063" t="e">
        <f>VLOOKUP(TB_curr[[#This Row],[Synt]],GL[[Account]:[B/P]],4,FALSE)</f>
        <v>#N/A</v>
      </c>
      <c r="AH12" s="1066" t="s">
        <v>794</v>
      </c>
      <c r="AI12" s="1065" t="str">
        <f>TB_curr[[#This Row],[Synt]]&amp;TB_curr[[#This Row],[Line No. manual corr.]]</f>
        <v>06</v>
      </c>
      <c r="AJ12" s="1064">
        <f t="shared" si="1"/>
        <v>0</v>
      </c>
      <c r="AK12" s="1064">
        <f t="shared" si="2"/>
        <v>0</v>
      </c>
      <c r="AL12" s="1064">
        <f t="shared" si="3"/>
        <v>0</v>
      </c>
      <c r="AM12" s="1064">
        <f t="shared" si="4"/>
        <v>0</v>
      </c>
      <c r="AN12" s="1064"/>
      <c r="AO12" s="1064">
        <f>TB_curr[[#This Row],[Closing balance]]+TB_curr[[#This Row],[Rounding]]</f>
        <v>0</v>
      </c>
    </row>
    <row r="13" spans="2:42" x14ac:dyDescent="0.25">
      <c r="B13" s="1104"/>
      <c r="E13" s="1104"/>
      <c r="K13" s="1211"/>
      <c r="L13" s="1212"/>
      <c r="N13" s="1211"/>
      <c r="O13" s="1212"/>
      <c r="Q13" s="1211"/>
      <c r="R13" s="1212"/>
      <c r="S13" s="1212"/>
      <c r="U13" s="1211"/>
      <c r="V13" s="1212"/>
      <c r="X13" s="1211"/>
      <c r="Y13" s="1212"/>
      <c r="Z13" s="1212"/>
      <c r="AB13" s="1211"/>
      <c r="AC13" s="1212"/>
      <c r="AD13" s="1067" t="str">
        <f t="shared" si="0"/>
        <v/>
      </c>
      <c r="AE13" s="1063" t="str">
        <f>IF(ISNA(VLOOKUP(TB_curr[[#This Row],[Synt]],GL[[#Headers],[#Data],[subtotal label]],1,FALSE)),0,(VLOOKUP(TB_curr[[#This Row],[Synt]],GL[[#Headers],[#Data],[subtotal label]],1,FALSE)))</f>
        <v/>
      </c>
      <c r="AF13" s="1063" t="e">
        <f>IF((TB_curr[[#This Row],[Synt]]-TB_curr[[#This Row],[Subtotal Y/N]])=0,0,VLOOKUP(TB_curr[[#This Row],[Synt]],GL[[Account]:[Line]],3,FALSE))</f>
        <v>#VALUE!</v>
      </c>
      <c r="AG13" s="1063" t="e">
        <f>VLOOKUP(TB_curr[[#This Row],[Synt]],GL[[Account]:[B/P]],4,FALSE)</f>
        <v>#N/A</v>
      </c>
      <c r="AH13" s="1066" t="s">
        <v>794</v>
      </c>
      <c r="AI13" s="1065" t="str">
        <f>TB_curr[[#This Row],[Synt]]&amp;TB_curr[[#This Row],[Line No. manual corr.]]</f>
        <v>06</v>
      </c>
      <c r="AJ13" s="1064">
        <f t="shared" si="1"/>
        <v>0</v>
      </c>
      <c r="AK13" s="1064">
        <f t="shared" si="2"/>
        <v>0</v>
      </c>
      <c r="AL13" s="1064">
        <f t="shared" si="3"/>
        <v>0</v>
      </c>
      <c r="AM13" s="1064">
        <f t="shared" si="4"/>
        <v>0</v>
      </c>
      <c r="AN13" s="1064"/>
      <c r="AO13" s="1064">
        <f>TB_curr[[#This Row],[Closing balance]]+TB_curr[[#This Row],[Rounding]]</f>
        <v>0</v>
      </c>
    </row>
    <row r="14" spans="2:42" x14ac:dyDescent="0.25">
      <c r="B14" s="1104"/>
      <c r="E14" s="1104"/>
      <c r="K14" s="1211"/>
      <c r="L14" s="1212"/>
      <c r="N14" s="1211"/>
      <c r="O14" s="1212"/>
      <c r="Q14" s="1211"/>
      <c r="R14" s="1212"/>
      <c r="S14" s="1212"/>
      <c r="U14" s="1211"/>
      <c r="V14" s="1212"/>
      <c r="X14" s="1211"/>
      <c r="Y14" s="1212"/>
      <c r="Z14" s="1212"/>
      <c r="AB14" s="1211"/>
      <c r="AC14" s="1212"/>
      <c r="AD14" s="1067" t="str">
        <f t="shared" si="0"/>
        <v/>
      </c>
      <c r="AE14" s="1063" t="str">
        <f>IF(ISNA(VLOOKUP(TB_curr[[#This Row],[Synt]],GL[[#Headers],[#Data],[subtotal label]],1,FALSE)),0,(VLOOKUP(TB_curr[[#This Row],[Synt]],GL[[#Headers],[#Data],[subtotal label]],1,FALSE)))</f>
        <v/>
      </c>
      <c r="AF14" s="1063" t="e">
        <f>IF((TB_curr[[#This Row],[Synt]]-TB_curr[[#This Row],[Subtotal Y/N]])=0,0,VLOOKUP(TB_curr[[#This Row],[Synt]],GL[[Account]:[Line]],3,FALSE))</f>
        <v>#VALUE!</v>
      </c>
      <c r="AG14" s="1063" t="e">
        <f>VLOOKUP(TB_curr[[#This Row],[Synt]],GL[[Account]:[B/P]],4,FALSE)</f>
        <v>#N/A</v>
      </c>
      <c r="AH14" s="1066" t="s">
        <v>796</v>
      </c>
      <c r="AI14" s="1065" t="str">
        <f>TB_curr[[#This Row],[Synt]]&amp;TB_curr[[#This Row],[Line No. manual corr.]]</f>
        <v>07</v>
      </c>
      <c r="AJ14" s="1064">
        <f t="shared" si="1"/>
        <v>0</v>
      </c>
      <c r="AK14" s="1064">
        <f t="shared" si="2"/>
        <v>0</v>
      </c>
      <c r="AL14" s="1064">
        <f t="shared" si="3"/>
        <v>0</v>
      </c>
      <c r="AM14" s="1064">
        <f t="shared" si="4"/>
        <v>0</v>
      </c>
      <c r="AN14" s="1064"/>
      <c r="AO14" s="1064">
        <f>TB_curr[[#This Row],[Closing balance]]+TB_curr[[#This Row],[Rounding]]</f>
        <v>0</v>
      </c>
    </row>
    <row r="15" spans="2:42" x14ac:dyDescent="0.25">
      <c r="B15" s="1104"/>
      <c r="E15" s="1104"/>
      <c r="K15" s="1211"/>
      <c r="L15" s="1212"/>
      <c r="N15" s="1211"/>
      <c r="O15" s="1212"/>
      <c r="Q15" s="1211"/>
      <c r="R15" s="1212"/>
      <c r="S15" s="1212"/>
      <c r="U15" s="1211"/>
      <c r="V15" s="1212"/>
      <c r="X15" s="1211"/>
      <c r="Y15" s="1212"/>
      <c r="Z15" s="1212"/>
      <c r="AB15" s="1211"/>
      <c r="AC15" s="1212"/>
      <c r="AD15" s="1067" t="str">
        <f t="shared" si="0"/>
        <v/>
      </c>
      <c r="AE15" s="1063" t="str">
        <f>IF(ISNA(VLOOKUP(TB_curr[[#This Row],[Synt]],GL[[#Headers],[#Data],[subtotal label]],1,FALSE)),0,(VLOOKUP(TB_curr[[#This Row],[Synt]],GL[[#Headers],[#Data],[subtotal label]],1,FALSE)))</f>
        <v/>
      </c>
      <c r="AF15" s="1063" t="e">
        <f>IF((TB_curr[[#This Row],[Synt]]-TB_curr[[#This Row],[Subtotal Y/N]])=0,0,VLOOKUP(TB_curr[[#This Row],[Synt]],GL[[Account]:[Line]],3,FALSE))</f>
        <v>#VALUE!</v>
      </c>
      <c r="AG15" s="1063" t="e">
        <f>VLOOKUP(TB_curr[[#This Row],[Synt]],GL[[Account]:[B/P]],4,FALSE)</f>
        <v>#N/A</v>
      </c>
      <c r="AH15" s="1066" t="s">
        <v>792</v>
      </c>
      <c r="AI15" s="1065" t="str">
        <f>TB_curr[[#This Row],[Synt]]&amp;TB_curr[[#This Row],[Line No. manual corr.]]</f>
        <v>05</v>
      </c>
      <c r="AJ15" s="1064">
        <f t="shared" si="1"/>
        <v>0</v>
      </c>
      <c r="AK15" s="1064">
        <f t="shared" si="2"/>
        <v>0</v>
      </c>
      <c r="AL15" s="1064">
        <f t="shared" si="3"/>
        <v>0</v>
      </c>
      <c r="AM15" s="1064">
        <f t="shared" si="4"/>
        <v>0</v>
      </c>
      <c r="AN15" s="1064"/>
      <c r="AO15" s="1064">
        <f>TB_curr[[#This Row],[Closing balance]]+TB_curr[[#This Row],[Rounding]]</f>
        <v>0</v>
      </c>
    </row>
    <row r="16" spans="2:42" x14ac:dyDescent="0.25">
      <c r="B16" s="1104"/>
      <c r="E16" s="1104"/>
      <c r="K16" s="1211"/>
      <c r="L16" s="1212"/>
      <c r="N16" s="1211"/>
      <c r="O16" s="1212"/>
      <c r="Q16" s="1211"/>
      <c r="R16" s="1212"/>
      <c r="S16" s="1212"/>
      <c r="U16" s="1211"/>
      <c r="V16" s="1212"/>
      <c r="X16" s="1211"/>
      <c r="Y16" s="1212"/>
      <c r="Z16" s="1212"/>
      <c r="AB16" s="1211"/>
      <c r="AC16" s="1212"/>
      <c r="AD16" s="1067" t="str">
        <f t="shared" si="0"/>
        <v/>
      </c>
      <c r="AE16" s="1063" t="str">
        <f>IF(ISNA(VLOOKUP(TB_curr[[#This Row],[Synt]],GL[[#Headers],[#Data],[subtotal label]],1,FALSE)),0,(VLOOKUP(TB_curr[[#This Row],[Synt]],GL[[#Headers],[#Data],[subtotal label]],1,FALSE)))</f>
        <v/>
      </c>
      <c r="AF16" s="1063" t="e">
        <f>IF((TB_curr[[#This Row],[Synt]]-TB_curr[[#This Row],[Subtotal Y/N]])=0,0,VLOOKUP(TB_curr[[#This Row],[Synt]],GL[[Account]:[Line]],3,FALSE))</f>
        <v>#VALUE!</v>
      </c>
      <c r="AG16" s="1063" t="e">
        <f>VLOOKUP(TB_curr[[#This Row],[Synt]],GL[[Account]:[B/P]],4,FALSE)</f>
        <v>#N/A</v>
      </c>
      <c r="AH16" s="1066" t="s">
        <v>794</v>
      </c>
      <c r="AI16" s="1065" t="str">
        <f>TB_curr[[#This Row],[Synt]]&amp;TB_curr[[#This Row],[Line No. manual corr.]]</f>
        <v>06</v>
      </c>
      <c r="AJ16" s="1064">
        <f t="shared" si="1"/>
        <v>0</v>
      </c>
      <c r="AK16" s="1064">
        <f t="shared" si="2"/>
        <v>0</v>
      </c>
      <c r="AL16" s="1064">
        <f t="shared" si="3"/>
        <v>0</v>
      </c>
      <c r="AM16" s="1064">
        <f t="shared" si="4"/>
        <v>0</v>
      </c>
      <c r="AN16" s="1064"/>
      <c r="AO16" s="1064">
        <f>TB_curr[[#This Row],[Closing balance]]+TB_curr[[#This Row],[Rounding]]</f>
        <v>0</v>
      </c>
    </row>
    <row r="17" spans="2:41" x14ac:dyDescent="0.25">
      <c r="B17" s="1104"/>
      <c r="E17" s="1104"/>
      <c r="K17" s="1211"/>
      <c r="L17" s="1212"/>
      <c r="N17" s="1211"/>
      <c r="O17" s="1212"/>
      <c r="Q17" s="1211"/>
      <c r="R17" s="1212"/>
      <c r="S17" s="1212"/>
      <c r="U17" s="1211"/>
      <c r="V17" s="1212"/>
      <c r="X17" s="1211"/>
      <c r="Y17" s="1212"/>
      <c r="Z17" s="1212"/>
      <c r="AB17" s="1211"/>
      <c r="AC17" s="1212"/>
      <c r="AD17" s="1067" t="str">
        <f t="shared" si="0"/>
        <v/>
      </c>
      <c r="AE17" s="1063" t="str">
        <f>IF(ISNA(VLOOKUP(TB_curr[[#This Row],[Synt]],GL[[#Headers],[#Data],[subtotal label]],1,FALSE)),0,(VLOOKUP(TB_curr[[#This Row],[Synt]],GL[[#Headers],[#Data],[subtotal label]],1,FALSE)))</f>
        <v/>
      </c>
      <c r="AF17" s="1063" t="e">
        <f>IF((TB_curr[[#This Row],[Synt]]-TB_curr[[#This Row],[Subtotal Y/N]])=0,0,VLOOKUP(TB_curr[[#This Row],[Synt]],GL[[Account]:[Line]],3,FALSE))</f>
        <v>#VALUE!</v>
      </c>
      <c r="AG17" s="1063" t="e">
        <f>VLOOKUP(TB_curr[[#This Row],[Synt]],GL[[Account]:[B/P]],4,FALSE)</f>
        <v>#N/A</v>
      </c>
      <c r="AH17" s="1066" t="s">
        <v>794</v>
      </c>
      <c r="AI17" s="1065" t="str">
        <f>TB_curr[[#This Row],[Synt]]&amp;TB_curr[[#This Row],[Line No. manual corr.]]</f>
        <v>06</v>
      </c>
      <c r="AJ17" s="1064">
        <f t="shared" si="1"/>
        <v>0</v>
      </c>
      <c r="AK17" s="1064">
        <f t="shared" si="2"/>
        <v>0</v>
      </c>
      <c r="AL17" s="1064">
        <f t="shared" si="3"/>
        <v>0</v>
      </c>
      <c r="AM17" s="1064">
        <f t="shared" si="4"/>
        <v>0</v>
      </c>
      <c r="AN17" s="1064"/>
      <c r="AO17" s="1064">
        <f>TB_curr[[#This Row],[Closing balance]]+TB_curr[[#This Row],[Rounding]]</f>
        <v>0</v>
      </c>
    </row>
    <row r="18" spans="2:41" x14ac:dyDescent="0.25">
      <c r="B18" s="1104"/>
      <c r="E18" s="1104"/>
      <c r="K18" s="1211"/>
      <c r="L18" s="1212"/>
      <c r="N18" s="1211"/>
      <c r="O18" s="1212"/>
      <c r="Q18" s="1211"/>
      <c r="R18" s="1212"/>
      <c r="S18" s="1212"/>
      <c r="U18" s="1211"/>
      <c r="V18" s="1212"/>
      <c r="X18" s="1211"/>
      <c r="Y18" s="1212"/>
      <c r="Z18" s="1212"/>
      <c r="AB18" s="1211"/>
      <c r="AC18" s="1212"/>
      <c r="AD18" s="1067" t="str">
        <f t="shared" si="0"/>
        <v/>
      </c>
      <c r="AE18" s="1063" t="str">
        <f>IF(ISNA(VLOOKUP(TB_curr[[#This Row],[Synt]],GL[[#Headers],[#Data],[subtotal label]],1,FALSE)),0,(VLOOKUP(TB_curr[[#This Row],[Synt]],GL[[#Headers],[#Data],[subtotal label]],1,FALSE)))</f>
        <v/>
      </c>
      <c r="AF18" s="1063" t="e">
        <f>IF((TB_curr[[#This Row],[Synt]]-TB_curr[[#This Row],[Subtotal Y/N]])=0,0,VLOOKUP(TB_curr[[#This Row],[Synt]],GL[[Account]:[Line]],3,FALSE))</f>
        <v>#VALUE!</v>
      </c>
      <c r="AG18" s="1063" t="e">
        <f>VLOOKUP(TB_curr[[#This Row],[Synt]],GL[[Account]:[B/P]],4,FALSE)</f>
        <v>#N/A</v>
      </c>
      <c r="AH18" s="1066" t="s">
        <v>836</v>
      </c>
      <c r="AI18" s="1065" t="str">
        <f>TB_curr[[#This Row],[Synt]]&amp;TB_curr[[#This Row],[Line No. manual corr.]]</f>
        <v>22</v>
      </c>
      <c r="AJ18" s="1064">
        <f t="shared" si="1"/>
        <v>0</v>
      </c>
      <c r="AK18" s="1064">
        <f t="shared" si="2"/>
        <v>0</v>
      </c>
      <c r="AL18" s="1064">
        <f t="shared" si="3"/>
        <v>0</v>
      </c>
      <c r="AM18" s="1064">
        <f t="shared" si="4"/>
        <v>0</v>
      </c>
      <c r="AN18" s="1064"/>
      <c r="AO18" s="1064">
        <f>TB_curr[[#This Row],[Closing balance]]+TB_curr[[#This Row],[Rounding]]</f>
        <v>0</v>
      </c>
    </row>
    <row r="19" spans="2:41" x14ac:dyDescent="0.25">
      <c r="B19" s="1104"/>
      <c r="E19" s="1104"/>
      <c r="K19" s="1211"/>
      <c r="L19" s="1212"/>
      <c r="N19" s="1211"/>
      <c r="O19" s="1212"/>
      <c r="Q19" s="1211"/>
      <c r="R19" s="1212"/>
      <c r="S19" s="1212"/>
      <c r="U19" s="1211"/>
      <c r="V19" s="1212"/>
      <c r="X19" s="1211"/>
      <c r="Y19" s="1212"/>
      <c r="Z19" s="1212"/>
      <c r="AB19" s="1211"/>
      <c r="AC19" s="1212"/>
      <c r="AD19" s="1067" t="str">
        <f t="shared" si="0"/>
        <v/>
      </c>
      <c r="AE19" s="1063" t="str">
        <f>IF(ISNA(VLOOKUP(TB_curr[[#This Row],[Synt]],GL[[#Headers],[#Data],[subtotal label]],1,FALSE)),0,(VLOOKUP(TB_curr[[#This Row],[Synt]],GL[[#Headers],[#Data],[subtotal label]],1,FALSE)))</f>
        <v/>
      </c>
      <c r="AF19" s="1063" t="e">
        <f>IF((TB_curr[[#This Row],[Synt]]-TB_curr[[#This Row],[Subtotal Y/N]])=0,0,VLOOKUP(TB_curr[[#This Row],[Synt]],GL[[Account]:[Line]],3,FALSE))</f>
        <v>#VALUE!</v>
      </c>
      <c r="AG19" s="1063" t="e">
        <f>VLOOKUP(TB_curr[[#This Row],[Synt]],GL[[Account]:[B/P]],4,FALSE)</f>
        <v>#N/A</v>
      </c>
      <c r="AH19" s="1066" t="s">
        <v>836</v>
      </c>
      <c r="AI19" s="1065" t="str">
        <f>TB_curr[[#This Row],[Synt]]&amp;TB_curr[[#This Row],[Line No. manual corr.]]</f>
        <v>22</v>
      </c>
      <c r="AJ19" s="1064">
        <f t="shared" si="1"/>
        <v>0</v>
      </c>
      <c r="AK19" s="1064">
        <f t="shared" si="2"/>
        <v>0</v>
      </c>
      <c r="AL19" s="1064">
        <f t="shared" si="3"/>
        <v>0</v>
      </c>
      <c r="AM19" s="1064">
        <f t="shared" si="4"/>
        <v>0</v>
      </c>
      <c r="AN19" s="1064"/>
      <c r="AO19" s="1064">
        <f>TB_curr[[#This Row],[Closing balance]]+TB_curr[[#This Row],[Rounding]]</f>
        <v>0</v>
      </c>
    </row>
    <row r="20" spans="2:41" x14ac:dyDescent="0.25">
      <c r="B20" s="1104"/>
      <c r="E20" s="1104"/>
      <c r="K20" s="1211"/>
      <c r="L20" s="1212"/>
      <c r="N20" s="1211"/>
      <c r="O20" s="1212"/>
      <c r="Q20" s="1211"/>
      <c r="R20" s="1212"/>
      <c r="S20" s="1212"/>
      <c r="U20" s="1211"/>
      <c r="V20" s="1212"/>
      <c r="X20" s="1211"/>
      <c r="Y20" s="1212"/>
      <c r="Z20" s="1212"/>
      <c r="AB20" s="1211"/>
      <c r="AC20" s="1212"/>
      <c r="AD20" s="1067" t="str">
        <f t="shared" si="0"/>
        <v/>
      </c>
      <c r="AE20" s="1063" t="str">
        <f>IF(ISNA(VLOOKUP(TB_curr[[#This Row],[Synt]],GL[[#Headers],[#Data],[subtotal label]],1,FALSE)),0,(VLOOKUP(TB_curr[[#This Row],[Synt]],GL[[#Headers],[#Data],[subtotal label]],1,FALSE)))</f>
        <v/>
      </c>
      <c r="AF20" s="1063" t="e">
        <f>IF((TB_curr[[#This Row],[Synt]]-TB_curr[[#This Row],[Subtotal Y/N]])=0,0,VLOOKUP(TB_curr[[#This Row],[Synt]],GL[[Account]:[Line]],3,FALSE))</f>
        <v>#VALUE!</v>
      </c>
      <c r="AG20" s="1063" t="e">
        <f>VLOOKUP(TB_curr[[#This Row],[Synt]],GL[[Account]:[B/P]],4,FALSE)</f>
        <v>#N/A</v>
      </c>
      <c r="AH20" s="1066" t="s">
        <v>836</v>
      </c>
      <c r="AI20" s="1065" t="str">
        <f>TB_curr[[#This Row],[Synt]]&amp;TB_curr[[#This Row],[Line No. manual corr.]]</f>
        <v>22</v>
      </c>
      <c r="AJ20" s="1064">
        <f t="shared" si="1"/>
        <v>0</v>
      </c>
      <c r="AK20" s="1064">
        <f t="shared" si="2"/>
        <v>0</v>
      </c>
      <c r="AL20" s="1064">
        <f t="shared" si="3"/>
        <v>0</v>
      </c>
      <c r="AM20" s="1064">
        <f t="shared" si="4"/>
        <v>0</v>
      </c>
      <c r="AN20" s="1064"/>
      <c r="AO20" s="1064">
        <f>TB_curr[[#This Row],[Closing balance]]+TB_curr[[#This Row],[Rounding]]</f>
        <v>0</v>
      </c>
    </row>
    <row r="21" spans="2:41" x14ac:dyDescent="0.25">
      <c r="B21" s="1104"/>
      <c r="E21" s="1104"/>
      <c r="K21" s="1211"/>
      <c r="L21" s="1212"/>
      <c r="N21" s="1211"/>
      <c r="O21" s="1212"/>
      <c r="Q21" s="1211"/>
      <c r="R21" s="1212"/>
      <c r="S21" s="1212"/>
      <c r="U21" s="1211"/>
      <c r="V21" s="1212"/>
      <c r="X21" s="1211"/>
      <c r="Y21" s="1212"/>
      <c r="Z21" s="1212"/>
      <c r="AB21" s="1211"/>
      <c r="AC21" s="1212"/>
      <c r="AD21" s="1067" t="str">
        <f t="shared" si="0"/>
        <v/>
      </c>
      <c r="AE21" s="1063" t="str">
        <f>IF(ISNA(VLOOKUP(TB_curr[[#This Row],[Synt]],GL[[#Headers],[#Data],[subtotal label]],1,FALSE)),0,(VLOOKUP(TB_curr[[#This Row],[Synt]],GL[[#Headers],[#Data],[subtotal label]],1,FALSE)))</f>
        <v/>
      </c>
      <c r="AF21" s="1063" t="e">
        <f>IF((TB_curr[[#This Row],[Synt]]-TB_curr[[#This Row],[Subtotal Y/N]])=0,0,VLOOKUP(TB_curr[[#This Row],[Synt]],GL[[Account]:[Line]],3,FALSE))</f>
        <v>#VALUE!</v>
      </c>
      <c r="AG21" s="1063" t="e">
        <f>VLOOKUP(TB_curr[[#This Row],[Synt]],GL[[Account]:[B/P]],4,FALSE)</f>
        <v>#N/A</v>
      </c>
      <c r="AH21" s="1066" t="s">
        <v>824</v>
      </c>
      <c r="AI21" s="1065" t="str">
        <f>TB_curr[[#This Row],[Synt]]&amp;TB_curr[[#This Row],[Line No. manual corr.]]</f>
        <v>18</v>
      </c>
      <c r="AJ21" s="1064">
        <f t="shared" si="1"/>
        <v>0</v>
      </c>
      <c r="AK21" s="1064">
        <f t="shared" si="2"/>
        <v>0</v>
      </c>
      <c r="AL21" s="1064">
        <f t="shared" si="3"/>
        <v>0</v>
      </c>
      <c r="AM21" s="1064">
        <f t="shared" si="4"/>
        <v>0</v>
      </c>
      <c r="AN21" s="1064"/>
      <c r="AO21" s="1064">
        <f>TB_curr[[#This Row],[Closing balance]]+TB_curr[[#This Row],[Rounding]]</f>
        <v>0</v>
      </c>
    </row>
    <row r="22" spans="2:41" x14ac:dyDescent="0.25">
      <c r="B22" s="1104"/>
      <c r="E22" s="1104"/>
      <c r="K22" s="1211"/>
      <c r="L22" s="1212"/>
      <c r="N22" s="1211"/>
      <c r="O22" s="1212"/>
      <c r="Q22" s="1211"/>
      <c r="R22" s="1212"/>
      <c r="S22" s="1212"/>
      <c r="U22" s="1211"/>
      <c r="V22" s="1212"/>
      <c r="X22" s="1211"/>
      <c r="Y22" s="1212"/>
      <c r="Z22" s="1212"/>
      <c r="AB22" s="1211"/>
      <c r="AC22" s="1212"/>
      <c r="AD22" s="1067" t="str">
        <f t="shared" si="0"/>
        <v/>
      </c>
      <c r="AE22" s="1063" t="str">
        <f>IF(ISNA(VLOOKUP(TB_curr[[#This Row],[Synt]],GL[[#Headers],[#Data],[subtotal label]],1,FALSE)),0,(VLOOKUP(TB_curr[[#This Row],[Synt]],GL[[#Headers],[#Data],[subtotal label]],1,FALSE)))</f>
        <v/>
      </c>
      <c r="AF22" s="1063" t="e">
        <f>IF((TB_curr[[#This Row],[Synt]]-TB_curr[[#This Row],[Subtotal Y/N]])=0,0,VLOOKUP(TB_curr[[#This Row],[Synt]],GL[[Account]:[Line]],3,FALSE))</f>
        <v>#VALUE!</v>
      </c>
      <c r="AG22" s="1063" t="e">
        <f>VLOOKUP(TB_curr[[#This Row],[Synt]],GL[[Account]:[B/P]],4,FALSE)</f>
        <v>#N/A</v>
      </c>
      <c r="AH22" s="1066" t="s">
        <v>887</v>
      </c>
      <c r="AI22" s="1065" t="str">
        <f>TB_curr[[#This Row],[Synt]]&amp;TB_curr[[#This Row],[Line No. manual corr.]]</f>
        <v>39</v>
      </c>
      <c r="AJ22" s="1064">
        <f t="shared" si="1"/>
        <v>0</v>
      </c>
      <c r="AK22" s="1064">
        <f t="shared" si="2"/>
        <v>0</v>
      </c>
      <c r="AL22" s="1064">
        <f t="shared" si="3"/>
        <v>0</v>
      </c>
      <c r="AM22" s="1064">
        <f t="shared" si="4"/>
        <v>0</v>
      </c>
      <c r="AN22" s="1064"/>
      <c r="AO22" s="1064">
        <f>TB_curr[[#This Row],[Closing balance]]+TB_curr[[#This Row],[Rounding]]</f>
        <v>0</v>
      </c>
    </row>
    <row r="23" spans="2:41" x14ac:dyDescent="0.25">
      <c r="B23" s="1104"/>
      <c r="E23" s="1104"/>
      <c r="K23" s="1211"/>
      <c r="L23" s="1212"/>
      <c r="N23" s="1211"/>
      <c r="O23" s="1212"/>
      <c r="Q23" s="1211"/>
      <c r="R23" s="1212"/>
      <c r="S23" s="1212"/>
      <c r="U23" s="1211"/>
      <c r="V23" s="1212"/>
      <c r="X23" s="1211"/>
      <c r="Y23" s="1212"/>
      <c r="Z23" s="1212"/>
      <c r="AB23" s="1211"/>
      <c r="AC23" s="1212"/>
      <c r="AD23" s="1067" t="str">
        <f t="shared" si="0"/>
        <v/>
      </c>
      <c r="AE23" s="1063" t="str">
        <f>IF(ISNA(VLOOKUP(TB_curr[[#This Row],[Synt]],GL[[#Headers],[#Data],[subtotal label]],1,FALSE)),0,(VLOOKUP(TB_curr[[#This Row],[Synt]],GL[[#Headers],[#Data],[subtotal label]],1,FALSE)))</f>
        <v/>
      </c>
      <c r="AF23" s="1063" t="e">
        <f>IF((TB_curr[[#This Row],[Synt]]-TB_curr[[#This Row],[Subtotal Y/N]])=0,0,VLOOKUP(TB_curr[[#This Row],[Synt]],GL[[Account]:[Line]],3,FALSE))</f>
        <v>#VALUE!</v>
      </c>
      <c r="AG23" s="1063" t="e">
        <f>VLOOKUP(TB_curr[[#This Row],[Synt]],GL[[Account]:[B/P]],4,FALSE)</f>
        <v>#N/A</v>
      </c>
      <c r="AH23" s="1066" t="s">
        <v>887</v>
      </c>
      <c r="AI23" s="1065" t="str">
        <f>TB_curr[[#This Row],[Synt]]&amp;TB_curr[[#This Row],[Line No. manual corr.]]</f>
        <v>39</v>
      </c>
      <c r="AJ23" s="1064">
        <f t="shared" si="1"/>
        <v>0</v>
      </c>
      <c r="AK23" s="1064">
        <f t="shared" si="2"/>
        <v>0</v>
      </c>
      <c r="AL23" s="1064">
        <f t="shared" si="3"/>
        <v>0</v>
      </c>
      <c r="AM23" s="1064">
        <f t="shared" si="4"/>
        <v>0</v>
      </c>
      <c r="AN23" s="1064"/>
      <c r="AO23" s="1064">
        <f>TB_curr[[#This Row],[Closing balance]]+TB_curr[[#This Row],[Rounding]]</f>
        <v>0</v>
      </c>
    </row>
    <row r="24" spans="2:41" x14ac:dyDescent="0.25">
      <c r="B24" s="1104"/>
      <c r="E24" s="1104"/>
      <c r="K24" s="1211"/>
      <c r="L24" s="1212"/>
      <c r="N24" s="1211"/>
      <c r="O24" s="1212"/>
      <c r="Q24" s="1211"/>
      <c r="R24" s="1212"/>
      <c r="S24" s="1212"/>
      <c r="U24" s="1211"/>
      <c r="V24" s="1212"/>
      <c r="X24" s="1211"/>
      <c r="Y24" s="1212"/>
      <c r="Z24" s="1212"/>
      <c r="AB24" s="1211"/>
      <c r="AC24" s="1212"/>
      <c r="AD24" s="1067" t="str">
        <f t="shared" si="0"/>
        <v/>
      </c>
      <c r="AE24" s="1063" t="str">
        <f>IF(ISNA(VLOOKUP(TB_curr[[#This Row],[Synt]],GL[[#Headers],[#Data],[subtotal label]],1,FALSE)),0,(VLOOKUP(TB_curr[[#This Row],[Synt]],GL[[#Headers],[#Data],[subtotal label]],1,FALSE)))</f>
        <v/>
      </c>
      <c r="AF24" s="1063" t="e">
        <f>IF((TB_curr[[#This Row],[Synt]]-TB_curr[[#This Row],[Subtotal Y/N]])=0,0,VLOOKUP(TB_curr[[#This Row],[Synt]],GL[[Account]:[Line]],3,FALSE))</f>
        <v>#VALUE!</v>
      </c>
      <c r="AG24" s="1063" t="e">
        <f>VLOOKUP(TB_curr[[#This Row],[Synt]],GL[[Account]:[B/P]],4,FALSE)</f>
        <v>#N/A</v>
      </c>
      <c r="AH24" s="1066" t="s">
        <v>887</v>
      </c>
      <c r="AI24" s="1065" t="str">
        <f>TB_curr[[#This Row],[Synt]]&amp;TB_curr[[#This Row],[Line No. manual corr.]]</f>
        <v>39</v>
      </c>
      <c r="AJ24" s="1064">
        <f t="shared" si="1"/>
        <v>0</v>
      </c>
      <c r="AK24" s="1064">
        <f t="shared" si="2"/>
        <v>0</v>
      </c>
      <c r="AL24" s="1064">
        <f t="shared" si="3"/>
        <v>0</v>
      </c>
      <c r="AM24" s="1064">
        <f t="shared" si="4"/>
        <v>0</v>
      </c>
      <c r="AN24" s="1064"/>
      <c r="AO24" s="1064">
        <f>TB_curr[[#This Row],[Closing balance]]+TB_curr[[#This Row],[Rounding]]</f>
        <v>0</v>
      </c>
    </row>
    <row r="25" spans="2:41" x14ac:dyDescent="0.25">
      <c r="B25" s="1104"/>
      <c r="E25" s="1104"/>
      <c r="K25" s="1211"/>
      <c r="L25" s="1212"/>
      <c r="N25" s="1211"/>
      <c r="O25" s="1212"/>
      <c r="Q25" s="1211"/>
      <c r="R25" s="1212"/>
      <c r="S25" s="1212"/>
      <c r="U25" s="1211"/>
      <c r="V25" s="1212"/>
      <c r="X25" s="1211"/>
      <c r="Y25" s="1212"/>
      <c r="Z25" s="1212"/>
      <c r="AB25" s="1211"/>
      <c r="AC25" s="1212"/>
      <c r="AD25" s="1067" t="str">
        <f t="shared" si="0"/>
        <v/>
      </c>
      <c r="AE25" s="1063" t="str">
        <f>IF(ISNA(VLOOKUP(TB_curr[[#This Row],[Synt]],GL[[#Headers],[#Data],[subtotal label]],1,FALSE)),0,(VLOOKUP(TB_curr[[#This Row],[Synt]],GL[[#Headers],[#Data],[subtotal label]],1,FALSE)))</f>
        <v/>
      </c>
      <c r="AF25" s="1063" t="e">
        <f>IF((TB_curr[[#This Row],[Synt]]-TB_curr[[#This Row],[Subtotal Y/N]])=0,0,VLOOKUP(TB_curr[[#This Row],[Synt]],GL[[Account]:[Line]],3,FALSE))</f>
        <v>#VALUE!</v>
      </c>
      <c r="AG25" s="1063" t="e">
        <f>VLOOKUP(TB_curr[[#This Row],[Synt]],GL[[Account]:[B/P]],4,FALSE)</f>
        <v>#N/A</v>
      </c>
      <c r="AH25" s="1066" t="s">
        <v>890</v>
      </c>
      <c r="AI25" s="1065" t="str">
        <f>TB_curr[[#This Row],[Synt]]&amp;TB_curr[[#This Row],[Line No. manual corr.]]</f>
        <v>40</v>
      </c>
      <c r="AJ25" s="1064">
        <f t="shared" si="1"/>
        <v>0</v>
      </c>
      <c r="AK25" s="1064">
        <f t="shared" si="2"/>
        <v>0</v>
      </c>
      <c r="AL25" s="1064">
        <f t="shared" si="3"/>
        <v>0</v>
      </c>
      <c r="AM25" s="1064">
        <f t="shared" si="4"/>
        <v>0</v>
      </c>
      <c r="AN25" s="1064"/>
      <c r="AO25" s="1064">
        <f>TB_curr[[#This Row],[Closing balance]]+TB_curr[[#This Row],[Rounding]]</f>
        <v>0</v>
      </c>
    </row>
    <row r="26" spans="2:41" x14ac:dyDescent="0.25">
      <c r="B26" s="1104"/>
      <c r="E26" s="1104"/>
      <c r="K26" s="1211"/>
      <c r="L26" s="1212"/>
      <c r="N26" s="1211"/>
      <c r="O26" s="1212"/>
      <c r="Q26" s="1211"/>
      <c r="R26" s="1212"/>
      <c r="S26" s="1212"/>
      <c r="U26" s="1211"/>
      <c r="V26" s="1212"/>
      <c r="X26" s="1211"/>
      <c r="Y26" s="1212"/>
      <c r="Z26" s="1212"/>
      <c r="AB26" s="1211"/>
      <c r="AC26" s="1212"/>
      <c r="AD26" s="1067" t="str">
        <f t="shared" si="0"/>
        <v/>
      </c>
      <c r="AE26" s="1063" t="str">
        <f>IF(ISNA(VLOOKUP(TB_curr[[#This Row],[Synt]],GL[[#Headers],[#Data],[subtotal label]],1,FALSE)),0,(VLOOKUP(TB_curr[[#This Row],[Synt]],GL[[#Headers],[#Data],[subtotal label]],1,FALSE)))</f>
        <v/>
      </c>
      <c r="AF26" s="1063" t="e">
        <f>IF((TB_curr[[#This Row],[Synt]]-TB_curr[[#This Row],[Subtotal Y/N]])=0,0,VLOOKUP(TB_curr[[#This Row],[Synt]],GL[[Account]:[Line]],3,FALSE))</f>
        <v>#VALUE!</v>
      </c>
      <c r="AG26" s="1063" t="e">
        <f>VLOOKUP(TB_curr[[#This Row],[Synt]],GL[[Account]:[B/P]],4,FALSE)</f>
        <v>#N/A</v>
      </c>
      <c r="AH26" s="1066" t="s">
        <v>890</v>
      </c>
      <c r="AI26" s="1065" t="str">
        <f>TB_curr[[#This Row],[Synt]]&amp;TB_curr[[#This Row],[Line No. manual corr.]]</f>
        <v>40</v>
      </c>
      <c r="AJ26" s="1064">
        <f t="shared" si="1"/>
        <v>0</v>
      </c>
      <c r="AK26" s="1064">
        <f t="shared" si="2"/>
        <v>0</v>
      </c>
      <c r="AL26" s="1064">
        <f t="shared" si="3"/>
        <v>0</v>
      </c>
      <c r="AM26" s="1064">
        <f t="shared" si="4"/>
        <v>0</v>
      </c>
      <c r="AN26" s="1064"/>
      <c r="AO26" s="1064">
        <f>TB_curr[[#This Row],[Closing balance]]+TB_curr[[#This Row],[Rounding]]</f>
        <v>0</v>
      </c>
    </row>
    <row r="27" spans="2:41" x14ac:dyDescent="0.25">
      <c r="B27" s="1104"/>
      <c r="E27" s="1104"/>
      <c r="K27" s="1211"/>
      <c r="L27" s="1212"/>
      <c r="N27" s="1211"/>
      <c r="O27" s="1212"/>
      <c r="Q27" s="1211"/>
      <c r="R27" s="1212"/>
      <c r="S27" s="1212"/>
      <c r="U27" s="1211"/>
      <c r="V27" s="1212"/>
      <c r="X27" s="1211"/>
      <c r="Y27" s="1212"/>
      <c r="Z27" s="1212"/>
      <c r="AB27" s="1211"/>
      <c r="AC27" s="1212"/>
      <c r="AD27" s="1067" t="str">
        <f t="shared" si="0"/>
        <v/>
      </c>
      <c r="AE27" s="1063" t="str">
        <f>IF(ISNA(VLOOKUP(TB_curr[[#This Row],[Synt]],GL[[#Headers],[#Data],[subtotal label]],1,FALSE)),0,(VLOOKUP(TB_curr[[#This Row],[Synt]],GL[[#Headers],[#Data],[subtotal label]],1,FALSE)))</f>
        <v/>
      </c>
      <c r="AF27" s="1063" t="e">
        <f>IF((TB_curr[[#This Row],[Synt]]-TB_curr[[#This Row],[Subtotal Y/N]])=0,0,VLOOKUP(TB_curr[[#This Row],[Synt]],GL[[Account]:[Line]],3,FALSE))</f>
        <v>#VALUE!</v>
      </c>
      <c r="AG27" s="1063" t="e">
        <f>VLOOKUP(TB_curr[[#This Row],[Synt]],GL[[Account]:[B/P]],4,FALSE)</f>
        <v>#N/A</v>
      </c>
      <c r="AH27" s="1066" t="s">
        <v>890</v>
      </c>
      <c r="AI27" s="1065" t="str">
        <f>TB_curr[[#This Row],[Synt]]&amp;TB_curr[[#This Row],[Line No. manual corr.]]</f>
        <v>40</v>
      </c>
      <c r="AJ27" s="1064">
        <f t="shared" si="1"/>
        <v>0</v>
      </c>
      <c r="AK27" s="1064">
        <f t="shared" si="2"/>
        <v>0</v>
      </c>
      <c r="AL27" s="1064">
        <f t="shared" si="3"/>
        <v>0</v>
      </c>
      <c r="AM27" s="1064">
        <f t="shared" si="4"/>
        <v>0</v>
      </c>
      <c r="AN27" s="1064"/>
      <c r="AO27" s="1064">
        <f>TB_curr[[#This Row],[Closing balance]]+TB_curr[[#This Row],[Rounding]]</f>
        <v>0</v>
      </c>
    </row>
    <row r="28" spans="2:41" x14ac:dyDescent="0.25">
      <c r="B28" s="1104"/>
      <c r="E28" s="1104"/>
      <c r="K28" s="1211"/>
      <c r="L28" s="1212"/>
      <c r="N28" s="1211"/>
      <c r="O28" s="1212"/>
      <c r="Q28" s="1211"/>
      <c r="R28" s="1212"/>
      <c r="S28" s="1212"/>
      <c r="U28" s="1211"/>
      <c r="V28" s="1212"/>
      <c r="X28" s="1211"/>
      <c r="Y28" s="1212"/>
      <c r="Z28" s="1212"/>
      <c r="AB28" s="1211"/>
      <c r="AC28" s="1212"/>
      <c r="AD28" s="1067" t="str">
        <f t="shared" si="0"/>
        <v/>
      </c>
      <c r="AE28" s="1063" t="str">
        <f>IF(ISNA(VLOOKUP(TB_curr[[#This Row],[Synt]],GL[[#Headers],[#Data],[subtotal label]],1,FALSE)),0,(VLOOKUP(TB_curr[[#This Row],[Synt]],GL[[#Headers],[#Data],[subtotal label]],1,FALSE)))</f>
        <v/>
      </c>
      <c r="AF28" s="1063" t="e">
        <f>IF((TB_curr[[#This Row],[Synt]]-TB_curr[[#This Row],[Subtotal Y/N]])=0,0,VLOOKUP(TB_curr[[#This Row],[Synt]],GL[[Account]:[Line]],3,FALSE))</f>
        <v>#VALUE!</v>
      </c>
      <c r="AG28" s="1063" t="e">
        <f>VLOOKUP(TB_curr[[#This Row],[Synt]],GL[[Account]:[B/P]],4,FALSE)</f>
        <v>#N/A</v>
      </c>
      <c r="AH28" s="1066" t="s">
        <v>893</v>
      </c>
      <c r="AI28" s="1065" t="str">
        <f>TB_curr[[#This Row],[Synt]]&amp;TB_curr[[#This Row],[Line No. manual corr.]]</f>
        <v>41</v>
      </c>
      <c r="AJ28" s="1064">
        <f t="shared" si="1"/>
        <v>0</v>
      </c>
      <c r="AK28" s="1064">
        <f t="shared" si="2"/>
        <v>0</v>
      </c>
      <c r="AL28" s="1064">
        <f t="shared" si="3"/>
        <v>0</v>
      </c>
      <c r="AM28" s="1064">
        <f t="shared" si="4"/>
        <v>0</v>
      </c>
      <c r="AN28" s="1064"/>
      <c r="AO28" s="1064">
        <f>TB_curr[[#This Row],[Closing balance]]+TB_curr[[#This Row],[Rounding]]</f>
        <v>0</v>
      </c>
    </row>
    <row r="29" spans="2:41" x14ac:dyDescent="0.25">
      <c r="B29" s="1104"/>
      <c r="E29" s="1104"/>
      <c r="K29" s="1211"/>
      <c r="L29" s="1212"/>
      <c r="N29" s="1211"/>
      <c r="O29" s="1212"/>
      <c r="Q29" s="1211"/>
      <c r="R29" s="1212"/>
      <c r="S29" s="1212"/>
      <c r="U29" s="1211"/>
      <c r="V29" s="1212"/>
      <c r="X29" s="1211"/>
      <c r="Y29" s="1212"/>
      <c r="Z29" s="1212"/>
      <c r="AB29" s="1211"/>
      <c r="AC29" s="1212"/>
      <c r="AD29" s="1067" t="str">
        <f t="shared" si="0"/>
        <v/>
      </c>
      <c r="AE29" s="1063" t="str">
        <f>IF(ISNA(VLOOKUP(TB_curr[[#This Row],[Synt]],GL[[#Headers],[#Data],[subtotal label]],1,FALSE)),0,(VLOOKUP(TB_curr[[#This Row],[Synt]],GL[[#Headers],[#Data],[subtotal label]],1,FALSE)))</f>
        <v/>
      </c>
      <c r="AF29" s="1063" t="e">
        <f>IF((TB_curr[[#This Row],[Synt]]-TB_curr[[#This Row],[Subtotal Y/N]])=0,0,VLOOKUP(TB_curr[[#This Row],[Synt]],GL[[Account]:[Line]],3,FALSE))</f>
        <v>#VALUE!</v>
      </c>
      <c r="AG29" s="1063" t="e">
        <f>VLOOKUP(TB_curr[[#This Row],[Synt]],GL[[Account]:[B/P]],4,FALSE)</f>
        <v>#N/A</v>
      </c>
      <c r="AH29" s="1066" t="s">
        <v>893</v>
      </c>
      <c r="AI29" s="1065" t="str">
        <f>TB_curr[[#This Row],[Synt]]&amp;TB_curr[[#This Row],[Line No. manual corr.]]</f>
        <v>41</v>
      </c>
      <c r="AJ29" s="1064">
        <f t="shared" si="1"/>
        <v>0</v>
      </c>
      <c r="AK29" s="1064">
        <f t="shared" si="2"/>
        <v>0</v>
      </c>
      <c r="AL29" s="1064">
        <f t="shared" si="3"/>
        <v>0</v>
      </c>
      <c r="AM29" s="1064">
        <f t="shared" si="4"/>
        <v>0</v>
      </c>
      <c r="AN29" s="1064"/>
      <c r="AO29" s="1064">
        <f>TB_curr[[#This Row],[Closing balance]]+TB_curr[[#This Row],[Rounding]]</f>
        <v>0</v>
      </c>
    </row>
    <row r="30" spans="2:41" x14ac:dyDescent="0.25">
      <c r="B30" s="1104"/>
      <c r="E30" s="1104"/>
      <c r="K30" s="1211"/>
      <c r="L30" s="1212"/>
      <c r="N30" s="1211"/>
      <c r="O30" s="1212"/>
      <c r="Q30" s="1211"/>
      <c r="R30" s="1212"/>
      <c r="S30" s="1212"/>
      <c r="U30" s="1211"/>
      <c r="V30" s="1212"/>
      <c r="X30" s="1211"/>
      <c r="Y30" s="1212"/>
      <c r="Z30" s="1212"/>
      <c r="AB30" s="1211"/>
      <c r="AC30" s="1212"/>
      <c r="AD30" s="1067" t="str">
        <f t="shared" si="0"/>
        <v/>
      </c>
      <c r="AE30" s="1063" t="str">
        <f>IF(ISNA(VLOOKUP(TB_curr[[#This Row],[Synt]],GL[[#Headers],[#Data],[subtotal label]],1,FALSE)),0,(VLOOKUP(TB_curr[[#This Row],[Synt]],GL[[#Headers],[#Data],[subtotal label]],1,FALSE)))</f>
        <v/>
      </c>
      <c r="AF30" s="1063" t="e">
        <f>IF((TB_curr[[#This Row],[Synt]]-TB_curr[[#This Row],[Subtotal Y/N]])=0,0,VLOOKUP(TB_curr[[#This Row],[Synt]],GL[[Account]:[Line]],3,FALSE))</f>
        <v>#VALUE!</v>
      </c>
      <c r="AG30" s="1063" t="e">
        <f>VLOOKUP(TB_curr[[#This Row],[Synt]],GL[[Account]:[B/P]],4,FALSE)</f>
        <v>#N/A</v>
      </c>
      <c r="AH30" s="1066" t="s">
        <v>893</v>
      </c>
      <c r="AI30" s="1065" t="str">
        <f>TB_curr[[#This Row],[Synt]]&amp;TB_curr[[#This Row],[Line No. manual corr.]]</f>
        <v>41</v>
      </c>
      <c r="AJ30" s="1064">
        <f t="shared" si="1"/>
        <v>0</v>
      </c>
      <c r="AK30" s="1064">
        <f t="shared" si="2"/>
        <v>0</v>
      </c>
      <c r="AL30" s="1064">
        <f t="shared" si="3"/>
        <v>0</v>
      </c>
      <c r="AM30" s="1064">
        <f t="shared" si="4"/>
        <v>0</v>
      </c>
      <c r="AN30" s="1064"/>
      <c r="AO30" s="1064">
        <f>TB_curr[[#This Row],[Closing balance]]+TB_curr[[#This Row],[Rounding]]</f>
        <v>0</v>
      </c>
    </row>
    <row r="31" spans="2:41" x14ac:dyDescent="0.25">
      <c r="B31" s="1104"/>
      <c r="E31" s="1104"/>
      <c r="K31" s="1211"/>
      <c r="L31" s="1212"/>
      <c r="N31" s="1211"/>
      <c r="O31" s="1212"/>
      <c r="Q31" s="1211"/>
      <c r="R31" s="1212"/>
      <c r="S31" s="1212"/>
      <c r="U31" s="1211"/>
      <c r="V31" s="1212"/>
      <c r="X31" s="1211"/>
      <c r="Y31" s="1212"/>
      <c r="Z31" s="1212"/>
      <c r="AB31" s="1211"/>
      <c r="AC31" s="1212"/>
      <c r="AD31" s="1067" t="str">
        <f t="shared" si="0"/>
        <v/>
      </c>
      <c r="AE31" s="1063" t="str">
        <f>IF(ISNA(VLOOKUP(TB_curr[[#This Row],[Synt]],GL[[#Headers],[#Data],[subtotal label]],1,FALSE)),0,(VLOOKUP(TB_curr[[#This Row],[Synt]],GL[[#Headers],[#Data],[subtotal label]],1,FALSE)))</f>
        <v/>
      </c>
      <c r="AF31" s="1063" t="e">
        <f>IF((TB_curr[[#This Row],[Synt]]-TB_curr[[#This Row],[Subtotal Y/N]])=0,0,VLOOKUP(TB_curr[[#This Row],[Synt]],GL[[Account]:[Line]],3,FALSE))</f>
        <v>#VALUE!</v>
      </c>
      <c r="AG31" s="1063" t="e">
        <f>VLOOKUP(TB_curr[[#This Row],[Synt]],GL[[Account]:[B/P]],4,FALSE)</f>
        <v>#N/A</v>
      </c>
      <c r="AH31" s="1066" t="s">
        <v>896</v>
      </c>
      <c r="AI31" s="1065" t="str">
        <f>TB_curr[[#This Row],[Synt]]&amp;TB_curr[[#This Row],[Line No. manual corr.]]</f>
        <v>42</v>
      </c>
      <c r="AJ31" s="1064">
        <f t="shared" si="1"/>
        <v>0</v>
      </c>
      <c r="AK31" s="1064">
        <f t="shared" si="2"/>
        <v>0</v>
      </c>
      <c r="AL31" s="1064">
        <f t="shared" si="3"/>
        <v>0</v>
      </c>
      <c r="AM31" s="1064">
        <f t="shared" si="4"/>
        <v>0</v>
      </c>
      <c r="AN31" s="1064"/>
      <c r="AO31" s="1064">
        <f>TB_curr[[#This Row],[Closing balance]]+TB_curr[[#This Row],[Rounding]]</f>
        <v>0</v>
      </c>
    </row>
    <row r="32" spans="2:41" x14ac:dyDescent="0.25">
      <c r="B32" s="1104"/>
      <c r="E32" s="1104"/>
      <c r="K32" s="1211"/>
      <c r="L32" s="1212"/>
      <c r="N32" s="1211"/>
      <c r="O32" s="1212"/>
      <c r="Q32" s="1211"/>
      <c r="R32" s="1212"/>
      <c r="S32" s="1212"/>
      <c r="U32" s="1211"/>
      <c r="V32" s="1212"/>
      <c r="X32" s="1211"/>
      <c r="Y32" s="1212"/>
      <c r="Z32" s="1212"/>
      <c r="AB32" s="1211"/>
      <c r="AC32" s="1212"/>
      <c r="AD32" s="1067" t="str">
        <f t="shared" si="0"/>
        <v/>
      </c>
      <c r="AE32" s="1063" t="str">
        <f>IF(ISNA(VLOOKUP(TB_curr[[#This Row],[Synt]],GL[[#Headers],[#Data],[subtotal label]],1,FALSE)),0,(VLOOKUP(TB_curr[[#This Row],[Synt]],GL[[#Headers],[#Data],[subtotal label]],1,FALSE)))</f>
        <v/>
      </c>
      <c r="AF32" s="1063" t="e">
        <f>IF((TB_curr[[#This Row],[Synt]]-TB_curr[[#This Row],[Subtotal Y/N]])=0,0,VLOOKUP(TB_curr[[#This Row],[Synt]],GL[[Account]:[Line]],3,FALSE))</f>
        <v>#VALUE!</v>
      </c>
      <c r="AG32" s="1063" t="e">
        <f>VLOOKUP(TB_curr[[#This Row],[Synt]],GL[[Account]:[B/P]],4,FALSE)</f>
        <v>#N/A</v>
      </c>
      <c r="AH32" s="1066" t="s">
        <v>851</v>
      </c>
      <c r="AI32" s="1065" t="str">
        <f>TB_curr[[#This Row],[Synt]]&amp;TB_curr[[#This Row],[Line No. manual corr.]]</f>
        <v>27</v>
      </c>
      <c r="AJ32" s="1064">
        <f t="shared" si="1"/>
        <v>0</v>
      </c>
      <c r="AK32" s="1064">
        <f t="shared" si="2"/>
        <v>0</v>
      </c>
      <c r="AL32" s="1064">
        <f t="shared" si="3"/>
        <v>0</v>
      </c>
      <c r="AM32" s="1064">
        <f t="shared" si="4"/>
        <v>0</v>
      </c>
      <c r="AN32" s="1064"/>
      <c r="AO32" s="1064">
        <f>TB_curr[[#This Row],[Closing balance]]+TB_curr[[#This Row],[Rounding]]</f>
        <v>0</v>
      </c>
    </row>
    <row r="33" spans="2:41" x14ac:dyDescent="0.25">
      <c r="B33" s="1104"/>
      <c r="E33" s="1104"/>
      <c r="K33" s="1211"/>
      <c r="L33" s="1212"/>
      <c r="N33" s="1211"/>
      <c r="O33" s="1212"/>
      <c r="Q33" s="1211"/>
      <c r="R33" s="1212"/>
      <c r="S33" s="1212"/>
      <c r="U33" s="1211"/>
      <c r="V33" s="1212"/>
      <c r="X33" s="1211"/>
      <c r="Y33" s="1212"/>
      <c r="Z33" s="1212"/>
      <c r="AB33" s="1211"/>
      <c r="AC33" s="1212"/>
      <c r="AD33" s="1067" t="str">
        <f t="shared" si="0"/>
        <v/>
      </c>
      <c r="AE33" s="1063" t="str">
        <f>IF(ISNA(VLOOKUP(TB_curr[[#This Row],[Synt]],GL[[#Headers],[#Data],[subtotal label]],1,FALSE)),0,(VLOOKUP(TB_curr[[#This Row],[Synt]],GL[[#Headers],[#Data],[subtotal label]],1,FALSE)))</f>
        <v/>
      </c>
      <c r="AF33" s="1063" t="e">
        <f>IF((TB_curr[[#This Row],[Synt]]-TB_curr[[#This Row],[Subtotal Y/N]])=0,0,VLOOKUP(TB_curr[[#This Row],[Synt]],GL[[Account]:[Line]],3,FALSE))</f>
        <v>#VALUE!</v>
      </c>
      <c r="AG33" s="1063" t="e">
        <f>VLOOKUP(TB_curr[[#This Row],[Synt]],GL[[Account]:[B/P]],4,FALSE)</f>
        <v>#N/A</v>
      </c>
      <c r="AH33" s="1066" t="s">
        <v>851</v>
      </c>
      <c r="AI33" s="1065" t="str">
        <f>TB_curr[[#This Row],[Synt]]&amp;TB_curr[[#This Row],[Line No. manual corr.]]</f>
        <v>27</v>
      </c>
      <c r="AJ33" s="1064">
        <f t="shared" si="1"/>
        <v>0</v>
      </c>
      <c r="AK33" s="1064">
        <f t="shared" si="2"/>
        <v>0</v>
      </c>
      <c r="AL33" s="1064">
        <f t="shared" si="3"/>
        <v>0</v>
      </c>
      <c r="AM33" s="1064">
        <f t="shared" si="4"/>
        <v>0</v>
      </c>
      <c r="AN33" s="1064"/>
      <c r="AO33" s="1064">
        <f>TB_curr[[#This Row],[Closing balance]]+TB_curr[[#This Row],[Rounding]]</f>
        <v>0</v>
      </c>
    </row>
    <row r="34" spans="2:41" x14ac:dyDescent="0.25">
      <c r="B34" s="1104"/>
      <c r="E34" s="1104"/>
      <c r="K34" s="1211"/>
      <c r="L34" s="1212"/>
      <c r="N34" s="1211"/>
      <c r="O34" s="1212"/>
      <c r="Q34" s="1211"/>
      <c r="R34" s="1212"/>
      <c r="S34" s="1212"/>
      <c r="U34" s="1211"/>
      <c r="V34" s="1212"/>
      <c r="X34" s="1211"/>
      <c r="Y34" s="1212"/>
      <c r="Z34" s="1212"/>
      <c r="AB34" s="1211"/>
      <c r="AC34" s="1212"/>
      <c r="AD34" s="1067" t="str">
        <f t="shared" si="0"/>
        <v/>
      </c>
      <c r="AE34" s="1063" t="str">
        <f>IF(ISNA(VLOOKUP(TB_curr[[#This Row],[Synt]],GL[[#Headers],[#Data],[subtotal label]],1,FALSE)),0,(VLOOKUP(TB_curr[[#This Row],[Synt]],GL[[#Headers],[#Data],[subtotal label]],1,FALSE)))</f>
        <v/>
      </c>
      <c r="AF34" s="1063" t="e">
        <f>IF((TB_curr[[#This Row],[Synt]]-TB_curr[[#This Row],[Subtotal Y/N]])=0,0,VLOOKUP(TB_curr[[#This Row],[Synt]],GL[[Account]:[Line]],3,FALSE))</f>
        <v>#VALUE!</v>
      </c>
      <c r="AG34" s="1063" t="e">
        <f>VLOOKUP(TB_curr[[#This Row],[Synt]],GL[[Account]:[B/P]],4,FALSE)</f>
        <v>#N/A</v>
      </c>
      <c r="AH34" s="1066" t="s">
        <v>896</v>
      </c>
      <c r="AI34" s="1065" t="str">
        <f>TB_curr[[#This Row],[Synt]]&amp;TB_curr[[#This Row],[Line No. manual corr.]]</f>
        <v>42</v>
      </c>
      <c r="AJ34" s="1064">
        <f t="shared" si="1"/>
        <v>0</v>
      </c>
      <c r="AK34" s="1064">
        <f t="shared" si="2"/>
        <v>0</v>
      </c>
      <c r="AL34" s="1064">
        <f t="shared" si="3"/>
        <v>0</v>
      </c>
      <c r="AM34" s="1064">
        <f t="shared" si="4"/>
        <v>0</v>
      </c>
      <c r="AN34" s="1064"/>
      <c r="AO34" s="1064">
        <f>TB_curr[[#This Row],[Closing balance]]+TB_curr[[#This Row],[Rounding]]</f>
        <v>0</v>
      </c>
    </row>
    <row r="35" spans="2:41" x14ac:dyDescent="0.25">
      <c r="B35" s="1104"/>
      <c r="E35" s="1104"/>
      <c r="K35" s="1211"/>
      <c r="L35" s="1212"/>
      <c r="N35" s="1211"/>
      <c r="O35" s="1212"/>
      <c r="Q35" s="1211"/>
      <c r="R35" s="1212"/>
      <c r="S35" s="1212"/>
      <c r="U35" s="1211"/>
      <c r="V35" s="1212"/>
      <c r="X35" s="1211"/>
      <c r="Y35" s="1212"/>
      <c r="Z35" s="1212"/>
      <c r="AB35" s="1211"/>
      <c r="AC35" s="1212"/>
      <c r="AD35" s="1067" t="str">
        <f t="shared" si="0"/>
        <v/>
      </c>
      <c r="AE35" s="1063" t="str">
        <f>IF(ISNA(VLOOKUP(TB_curr[[#This Row],[Synt]],GL[[#Headers],[#Data],[subtotal label]],1,FALSE)),0,(VLOOKUP(TB_curr[[#This Row],[Synt]],GL[[#Headers],[#Data],[subtotal label]],1,FALSE)))</f>
        <v/>
      </c>
      <c r="AF35" s="1063" t="e">
        <f>IF((TB_curr[[#This Row],[Synt]]-TB_curr[[#This Row],[Subtotal Y/N]])=0,0,VLOOKUP(TB_curr[[#This Row],[Synt]],GL[[Account]:[Line]],3,FALSE))</f>
        <v>#VALUE!</v>
      </c>
      <c r="AG35" s="1063" t="e">
        <f>VLOOKUP(TB_curr[[#This Row],[Synt]],GL[[Account]:[B/P]],4,FALSE)</f>
        <v>#N/A</v>
      </c>
      <c r="AH35" s="1066" t="s">
        <v>2012</v>
      </c>
      <c r="AI35" s="1065" t="str">
        <f>TB_curr[[#This Row],[Synt]]&amp;TB_curr[[#This Row],[Line No. manual corr.]]</f>
        <v>210</v>
      </c>
      <c r="AJ35" s="1064">
        <f t="shared" si="1"/>
        <v>0</v>
      </c>
      <c r="AK35" s="1064">
        <f t="shared" si="2"/>
        <v>0</v>
      </c>
      <c r="AL35" s="1064">
        <f t="shared" si="3"/>
        <v>0</v>
      </c>
      <c r="AM35" s="1064">
        <f t="shared" si="4"/>
        <v>0</v>
      </c>
      <c r="AN35" s="1064"/>
      <c r="AO35" s="1064">
        <f>TB_curr[[#This Row],[Closing balance]]+TB_curr[[#This Row],[Rounding]]</f>
        <v>0</v>
      </c>
    </row>
    <row r="36" spans="2:41" x14ac:dyDescent="0.25">
      <c r="B36" s="1104"/>
      <c r="E36" s="1104"/>
      <c r="K36" s="1211"/>
      <c r="L36" s="1212"/>
      <c r="N36" s="1211"/>
      <c r="O36" s="1212"/>
      <c r="Q36" s="1211"/>
      <c r="R36" s="1212"/>
      <c r="S36" s="1212"/>
      <c r="U36" s="1211"/>
      <c r="V36" s="1212"/>
      <c r="X36" s="1211"/>
      <c r="Y36" s="1212"/>
      <c r="Z36" s="1212"/>
      <c r="AB36" s="1211"/>
      <c r="AC36" s="1212"/>
      <c r="AD36" s="1067" t="str">
        <f t="shared" si="0"/>
        <v/>
      </c>
      <c r="AE36" s="1063" t="str">
        <f>IF(ISNA(VLOOKUP(TB_curr[[#This Row],[Synt]],GL[[#Headers],[#Data],[subtotal label]],1,FALSE)),0,(VLOOKUP(TB_curr[[#This Row],[Synt]],GL[[#Headers],[#Data],[subtotal label]],1,FALSE)))</f>
        <v/>
      </c>
      <c r="AF36" s="1063" t="e">
        <f>IF((TB_curr[[#This Row],[Synt]]-TB_curr[[#This Row],[Subtotal Y/N]])=0,0,VLOOKUP(TB_curr[[#This Row],[Synt]],GL[[Account]:[Line]],3,FALSE))</f>
        <v>#VALUE!</v>
      </c>
      <c r="AG36" s="1063" t="e">
        <f>VLOOKUP(TB_curr[[#This Row],[Synt]],GL[[Account]:[B/P]],4,FALSE)</f>
        <v>#N/A</v>
      </c>
      <c r="AH36" s="1066" t="s">
        <v>2012</v>
      </c>
      <c r="AI36" s="1065" t="str">
        <f>TB_curr[[#This Row],[Synt]]&amp;TB_curr[[#This Row],[Line No. manual corr.]]</f>
        <v>210</v>
      </c>
      <c r="AJ36" s="1064">
        <f t="shared" si="1"/>
        <v>0</v>
      </c>
      <c r="AK36" s="1064">
        <f t="shared" si="2"/>
        <v>0</v>
      </c>
      <c r="AL36" s="1064">
        <f t="shared" si="3"/>
        <v>0</v>
      </c>
      <c r="AM36" s="1064">
        <f t="shared" si="4"/>
        <v>0</v>
      </c>
      <c r="AN36" s="1064"/>
      <c r="AO36" s="1064">
        <f>TB_curr[[#This Row],[Closing balance]]+TB_curr[[#This Row],[Rounding]]</f>
        <v>0</v>
      </c>
    </row>
    <row r="37" spans="2:41" x14ac:dyDescent="0.25">
      <c r="B37" s="1104"/>
      <c r="E37" s="1104"/>
      <c r="K37" s="1211"/>
      <c r="L37" s="1212"/>
      <c r="N37" s="1211"/>
      <c r="O37" s="1212"/>
      <c r="Q37" s="1211"/>
      <c r="R37" s="1212"/>
      <c r="S37" s="1212"/>
      <c r="U37" s="1211"/>
      <c r="V37" s="1212"/>
      <c r="X37" s="1211"/>
      <c r="Y37" s="1212"/>
      <c r="Z37" s="1212"/>
      <c r="AB37" s="1211"/>
      <c r="AC37" s="1212"/>
      <c r="AD37" s="1067" t="str">
        <f t="shared" si="0"/>
        <v/>
      </c>
      <c r="AE37" s="1063" t="str">
        <f>IF(ISNA(VLOOKUP(TB_curr[[#This Row],[Synt]],GL[[#Headers],[#Data],[subtotal label]],1,FALSE)),0,(VLOOKUP(TB_curr[[#This Row],[Synt]],GL[[#Headers],[#Data],[subtotal label]],1,FALSE)))</f>
        <v/>
      </c>
      <c r="AF37" s="1063" t="e">
        <f>IF((TB_curr[[#This Row],[Synt]]-TB_curr[[#This Row],[Subtotal Y/N]])=0,0,VLOOKUP(TB_curr[[#This Row],[Synt]],GL[[Account]:[Line]],3,FALSE))</f>
        <v>#VALUE!</v>
      </c>
      <c r="AG37" s="1063" t="e">
        <f>VLOOKUP(TB_curr[[#This Row],[Synt]],GL[[Account]:[B/P]],4,FALSE)</f>
        <v>#N/A</v>
      </c>
      <c r="AH37" s="1066" t="s">
        <v>1825</v>
      </c>
      <c r="AI37" s="1065" t="str">
        <f>TB_curr[[#This Row],[Synt]]&amp;TB_curr[[#This Row],[Line No. manual corr.]]</f>
        <v>211</v>
      </c>
      <c r="AJ37" s="1064">
        <f t="shared" si="1"/>
        <v>0</v>
      </c>
      <c r="AK37" s="1064">
        <f t="shared" si="2"/>
        <v>0</v>
      </c>
      <c r="AL37" s="1064">
        <f t="shared" si="3"/>
        <v>0</v>
      </c>
      <c r="AM37" s="1064">
        <f t="shared" si="4"/>
        <v>0</v>
      </c>
      <c r="AN37" s="1064"/>
      <c r="AO37" s="1064">
        <f>TB_curr[[#This Row],[Closing balance]]+TB_curr[[#This Row],[Rounding]]</f>
        <v>0</v>
      </c>
    </row>
    <row r="38" spans="2:41" x14ac:dyDescent="0.25">
      <c r="B38" s="1104"/>
      <c r="E38" s="1104"/>
      <c r="K38" s="1211"/>
      <c r="L38" s="1212"/>
      <c r="N38" s="1211"/>
      <c r="O38" s="1212"/>
      <c r="Q38" s="1211"/>
      <c r="R38" s="1212"/>
      <c r="S38" s="1212"/>
      <c r="U38" s="1211"/>
      <c r="V38" s="1212"/>
      <c r="X38" s="1211"/>
      <c r="Y38" s="1212"/>
      <c r="Z38" s="1212"/>
      <c r="AB38" s="1211"/>
      <c r="AC38" s="1212"/>
      <c r="AD38" s="1067" t="str">
        <f t="shared" si="0"/>
        <v/>
      </c>
      <c r="AE38" s="1063" t="str">
        <f>IF(ISNA(VLOOKUP(TB_curr[[#This Row],[Synt]],GL[[#Headers],[#Data],[subtotal label]],1,FALSE)),0,(VLOOKUP(TB_curr[[#This Row],[Synt]],GL[[#Headers],[#Data],[subtotal label]],1,FALSE)))</f>
        <v/>
      </c>
      <c r="AF38" s="1063" t="e">
        <f>IF((TB_curr[[#This Row],[Synt]]-TB_curr[[#This Row],[Subtotal Y/N]])=0,0,VLOOKUP(TB_curr[[#This Row],[Synt]],GL[[Account]:[Line]],3,FALSE))</f>
        <v>#VALUE!</v>
      </c>
      <c r="AG38" s="1063" t="e">
        <f>VLOOKUP(TB_curr[[#This Row],[Synt]],GL[[Account]:[B/P]],4,FALSE)</f>
        <v>#N/A</v>
      </c>
      <c r="AH38" s="1066" t="s">
        <v>1825</v>
      </c>
      <c r="AI38" s="1065" t="str">
        <f>TB_curr[[#This Row],[Synt]]&amp;TB_curr[[#This Row],[Line No. manual corr.]]</f>
        <v>211</v>
      </c>
      <c r="AJ38" s="1064">
        <f t="shared" si="1"/>
        <v>0</v>
      </c>
      <c r="AK38" s="1064">
        <f t="shared" si="2"/>
        <v>0</v>
      </c>
      <c r="AL38" s="1064">
        <f t="shared" si="3"/>
        <v>0</v>
      </c>
      <c r="AM38" s="1064">
        <f t="shared" si="4"/>
        <v>0</v>
      </c>
      <c r="AN38" s="1064"/>
      <c r="AO38" s="1064">
        <f>TB_curr[[#This Row],[Closing balance]]+TB_curr[[#This Row],[Rounding]]</f>
        <v>0</v>
      </c>
    </row>
    <row r="39" spans="2:41" x14ac:dyDescent="0.25">
      <c r="B39" s="1104"/>
      <c r="E39" s="1104"/>
      <c r="K39" s="1211"/>
      <c r="L39" s="1212"/>
      <c r="N39" s="1211"/>
      <c r="O39" s="1212"/>
      <c r="Q39" s="1211"/>
      <c r="R39" s="1212"/>
      <c r="S39" s="1212"/>
      <c r="U39" s="1211"/>
      <c r="V39" s="1212"/>
      <c r="X39" s="1211"/>
      <c r="Y39" s="1212"/>
      <c r="Z39" s="1212"/>
      <c r="AB39" s="1211"/>
      <c r="AC39" s="1212"/>
      <c r="AD39" s="1067" t="str">
        <f t="shared" si="0"/>
        <v/>
      </c>
      <c r="AE39" s="1063" t="str">
        <f>IF(ISNA(VLOOKUP(TB_curr[[#This Row],[Synt]],GL[[#Headers],[#Data],[subtotal label]],1,FALSE)),0,(VLOOKUP(TB_curr[[#This Row],[Synt]],GL[[#Headers],[#Data],[subtotal label]],1,FALSE)))</f>
        <v/>
      </c>
      <c r="AF39" s="1063" t="e">
        <f>IF((TB_curr[[#This Row],[Synt]]-TB_curr[[#This Row],[Subtotal Y/N]])=0,0,VLOOKUP(TB_curr[[#This Row],[Synt]],GL[[Account]:[Line]],3,FALSE))</f>
        <v>#VALUE!</v>
      </c>
      <c r="AG39" s="1063" t="e">
        <f>VLOOKUP(TB_curr[[#This Row],[Synt]],GL[[Account]:[B/P]],4,FALSE)</f>
        <v>#N/A</v>
      </c>
      <c r="AH39" s="1066" t="s">
        <v>1825</v>
      </c>
      <c r="AI39" s="1065" t="str">
        <f>TB_curr[[#This Row],[Synt]]&amp;TB_curr[[#This Row],[Line No. manual corr.]]</f>
        <v>211</v>
      </c>
      <c r="AJ39" s="1064">
        <f t="shared" si="1"/>
        <v>0</v>
      </c>
      <c r="AK39" s="1064">
        <f t="shared" si="2"/>
        <v>0</v>
      </c>
      <c r="AL39" s="1064">
        <f t="shared" si="3"/>
        <v>0</v>
      </c>
      <c r="AM39" s="1064">
        <f t="shared" si="4"/>
        <v>0</v>
      </c>
      <c r="AN39" s="1064"/>
      <c r="AO39" s="1064">
        <f>TB_curr[[#This Row],[Closing balance]]+TB_curr[[#This Row],[Rounding]]</f>
        <v>0</v>
      </c>
    </row>
    <row r="40" spans="2:41" x14ac:dyDescent="0.25">
      <c r="B40" s="1104"/>
      <c r="E40" s="1104"/>
      <c r="K40" s="1211"/>
      <c r="L40" s="1212"/>
      <c r="N40" s="1211"/>
      <c r="O40" s="1212"/>
      <c r="Q40" s="1211"/>
      <c r="R40" s="1212"/>
      <c r="S40" s="1212"/>
      <c r="U40" s="1211"/>
      <c r="V40" s="1212"/>
      <c r="X40" s="1211"/>
      <c r="Y40" s="1212"/>
      <c r="Z40" s="1212"/>
      <c r="AB40" s="1211"/>
      <c r="AC40" s="1212"/>
      <c r="AD40" s="1067" t="str">
        <f t="shared" si="0"/>
        <v/>
      </c>
      <c r="AE40" s="1063" t="str">
        <f>IF(ISNA(VLOOKUP(TB_curr[[#This Row],[Synt]],GL[[#Headers],[#Data],[subtotal label]],1,FALSE)),0,(VLOOKUP(TB_curr[[#This Row],[Synt]],GL[[#Headers],[#Data],[subtotal label]],1,FALSE)))</f>
        <v/>
      </c>
      <c r="AF40" s="1063" t="e">
        <f>IF((TB_curr[[#This Row],[Synt]]-TB_curr[[#This Row],[Subtotal Y/N]])=0,0,VLOOKUP(TB_curr[[#This Row],[Synt]],GL[[Account]:[Line]],3,FALSE))</f>
        <v>#VALUE!</v>
      </c>
      <c r="AG40" s="1063" t="e">
        <f>VLOOKUP(TB_curr[[#This Row],[Synt]],GL[[Account]:[B/P]],4,FALSE)</f>
        <v>#N/A</v>
      </c>
      <c r="AH40" s="1066" t="s">
        <v>1825</v>
      </c>
      <c r="AI40" s="1065" t="str">
        <f>TB_curr[[#This Row],[Synt]]&amp;TB_curr[[#This Row],[Line No. manual corr.]]</f>
        <v>211</v>
      </c>
      <c r="AJ40" s="1064">
        <f t="shared" si="1"/>
        <v>0</v>
      </c>
      <c r="AK40" s="1064">
        <f t="shared" si="2"/>
        <v>0</v>
      </c>
      <c r="AL40" s="1064">
        <f t="shared" si="3"/>
        <v>0</v>
      </c>
      <c r="AM40" s="1064">
        <f t="shared" si="4"/>
        <v>0</v>
      </c>
      <c r="AN40" s="1064"/>
      <c r="AO40" s="1064">
        <f>TB_curr[[#This Row],[Closing balance]]+TB_curr[[#This Row],[Rounding]]</f>
        <v>0</v>
      </c>
    </row>
    <row r="41" spans="2:41" x14ac:dyDescent="0.25">
      <c r="B41" s="1104"/>
      <c r="E41" s="1104"/>
      <c r="K41" s="1211"/>
      <c r="L41" s="1212"/>
      <c r="N41" s="1211"/>
      <c r="O41" s="1212"/>
      <c r="Q41" s="1211"/>
      <c r="R41" s="1212"/>
      <c r="S41" s="1212"/>
      <c r="U41" s="1211"/>
      <c r="V41" s="1212"/>
      <c r="X41" s="1211"/>
      <c r="Y41" s="1212"/>
      <c r="Z41" s="1212"/>
      <c r="AB41" s="1211"/>
      <c r="AC41" s="1212"/>
      <c r="AD41" s="1067" t="str">
        <f t="shared" si="0"/>
        <v/>
      </c>
      <c r="AE41" s="1063" t="str">
        <f>IF(ISNA(VLOOKUP(TB_curr[[#This Row],[Synt]],GL[[#Headers],[#Data],[subtotal label]],1,FALSE)),0,(VLOOKUP(TB_curr[[#This Row],[Synt]],GL[[#Headers],[#Data],[subtotal label]],1,FALSE)))</f>
        <v/>
      </c>
      <c r="AF41" s="1063" t="e">
        <f>IF((TB_curr[[#This Row],[Synt]]-TB_curr[[#This Row],[Subtotal Y/N]])=0,0,VLOOKUP(TB_curr[[#This Row],[Synt]],GL[[Account]:[Line]],3,FALSE))</f>
        <v>#VALUE!</v>
      </c>
      <c r="AG41" s="1063" t="e">
        <f>VLOOKUP(TB_curr[[#This Row],[Synt]],GL[[Account]:[B/P]],4,FALSE)</f>
        <v>#N/A</v>
      </c>
      <c r="AH41" s="1066" t="s">
        <v>1825</v>
      </c>
      <c r="AI41" s="1065" t="str">
        <f>TB_curr[[#This Row],[Synt]]&amp;TB_curr[[#This Row],[Line No. manual corr.]]</f>
        <v>211</v>
      </c>
      <c r="AJ41" s="1064">
        <f t="shared" si="1"/>
        <v>0</v>
      </c>
      <c r="AK41" s="1064">
        <f t="shared" si="2"/>
        <v>0</v>
      </c>
      <c r="AL41" s="1064">
        <f t="shared" si="3"/>
        <v>0</v>
      </c>
      <c r="AM41" s="1064">
        <f t="shared" si="4"/>
        <v>0</v>
      </c>
      <c r="AN41" s="1064"/>
      <c r="AO41" s="1064">
        <f>TB_curr[[#This Row],[Closing balance]]+TB_curr[[#This Row],[Rounding]]</f>
        <v>0</v>
      </c>
    </row>
    <row r="42" spans="2:41" x14ac:dyDescent="0.25">
      <c r="B42" s="1104"/>
      <c r="E42" s="1104"/>
      <c r="K42" s="1211"/>
      <c r="L42" s="1212"/>
      <c r="N42" s="1211"/>
      <c r="O42" s="1212"/>
      <c r="Q42" s="1211"/>
      <c r="R42" s="1212"/>
      <c r="S42" s="1212"/>
      <c r="U42" s="1211"/>
      <c r="V42" s="1212"/>
      <c r="X42" s="1211"/>
      <c r="Y42" s="1212"/>
      <c r="Z42" s="1212"/>
      <c r="AB42" s="1211"/>
      <c r="AC42" s="1212"/>
      <c r="AD42" s="1067" t="str">
        <f t="shared" si="0"/>
        <v/>
      </c>
      <c r="AE42" s="1063" t="str">
        <f>IF(ISNA(VLOOKUP(TB_curr[[#This Row],[Synt]],GL[[#Headers],[#Data],[subtotal label]],1,FALSE)),0,(VLOOKUP(TB_curr[[#This Row],[Synt]],GL[[#Headers],[#Data],[subtotal label]],1,FALSE)))</f>
        <v/>
      </c>
      <c r="AF42" s="1063" t="e">
        <f>IF((TB_curr[[#This Row],[Synt]]-TB_curr[[#This Row],[Subtotal Y/N]])=0,0,VLOOKUP(TB_curr[[#This Row],[Synt]],GL[[Account]:[Line]],3,FALSE))</f>
        <v>#VALUE!</v>
      </c>
      <c r="AG42" s="1063" t="e">
        <f>VLOOKUP(TB_curr[[#This Row],[Synt]],GL[[Account]:[B/P]],4,FALSE)</f>
        <v>#N/A</v>
      </c>
      <c r="AH42" s="1066" t="s">
        <v>2036</v>
      </c>
      <c r="AI42" s="1065" t="str">
        <f>TB_curr[[#This Row],[Synt]]&amp;TB_curr[[#This Row],[Line No. manual corr.]]</f>
        <v>212</v>
      </c>
      <c r="AJ42" s="1064">
        <f t="shared" si="1"/>
        <v>0</v>
      </c>
      <c r="AK42" s="1064">
        <f t="shared" si="2"/>
        <v>0</v>
      </c>
      <c r="AL42" s="1064">
        <f t="shared" si="3"/>
        <v>0</v>
      </c>
      <c r="AM42" s="1064">
        <f t="shared" si="4"/>
        <v>0</v>
      </c>
      <c r="AN42" s="1064"/>
      <c r="AO42" s="1064">
        <f>TB_curr[[#This Row],[Closing balance]]+TB_curr[[#This Row],[Rounding]]</f>
        <v>0</v>
      </c>
    </row>
    <row r="43" spans="2:41" x14ac:dyDescent="0.25">
      <c r="B43" s="1104"/>
      <c r="E43" s="1104"/>
      <c r="K43" s="1211"/>
      <c r="L43" s="1212"/>
      <c r="N43" s="1211"/>
      <c r="O43" s="1212"/>
      <c r="Q43" s="1211"/>
      <c r="R43" s="1212"/>
      <c r="S43" s="1212"/>
      <c r="U43" s="1211"/>
      <c r="V43" s="1212"/>
      <c r="X43" s="1211"/>
      <c r="Y43" s="1212"/>
      <c r="Z43" s="1212"/>
      <c r="AB43" s="1211"/>
      <c r="AC43" s="1212"/>
      <c r="AD43" s="1067" t="str">
        <f t="shared" si="0"/>
        <v/>
      </c>
      <c r="AE43" s="1063" t="str">
        <f>IF(ISNA(VLOOKUP(TB_curr[[#This Row],[Synt]],GL[[#Headers],[#Data],[subtotal label]],1,FALSE)),0,(VLOOKUP(TB_curr[[#This Row],[Synt]],GL[[#Headers],[#Data],[subtotal label]],1,FALSE)))</f>
        <v/>
      </c>
      <c r="AF43" s="1063" t="e">
        <f>IF((TB_curr[[#This Row],[Synt]]-TB_curr[[#This Row],[Subtotal Y/N]])=0,0,VLOOKUP(TB_curr[[#This Row],[Synt]],GL[[Account]:[Line]],3,FALSE))</f>
        <v>#VALUE!</v>
      </c>
      <c r="AG43" s="1063" t="e">
        <f>VLOOKUP(TB_curr[[#This Row],[Synt]],GL[[Account]:[B/P]],4,FALSE)</f>
        <v>#N/A</v>
      </c>
      <c r="AH43" s="1066" t="s">
        <v>2036</v>
      </c>
      <c r="AI43" s="1065" t="str">
        <f>TB_curr[[#This Row],[Synt]]&amp;TB_curr[[#This Row],[Line No. manual corr.]]</f>
        <v>212</v>
      </c>
      <c r="AJ43" s="1064">
        <f t="shared" si="1"/>
        <v>0</v>
      </c>
      <c r="AK43" s="1064">
        <f t="shared" si="2"/>
        <v>0</v>
      </c>
      <c r="AL43" s="1064">
        <f t="shared" si="3"/>
        <v>0</v>
      </c>
      <c r="AM43" s="1064">
        <f t="shared" si="4"/>
        <v>0</v>
      </c>
      <c r="AN43" s="1064"/>
      <c r="AO43" s="1064">
        <f>TB_curr[[#This Row],[Closing balance]]+TB_curr[[#This Row],[Rounding]]</f>
        <v>0</v>
      </c>
    </row>
    <row r="44" spans="2:41" x14ac:dyDescent="0.25">
      <c r="B44" s="1104"/>
      <c r="E44" s="1104"/>
      <c r="K44" s="1211"/>
      <c r="L44" s="1212"/>
      <c r="N44" s="1211"/>
      <c r="O44" s="1212"/>
      <c r="Q44" s="1211"/>
      <c r="R44" s="1212"/>
      <c r="S44" s="1212"/>
      <c r="U44" s="1211"/>
      <c r="V44" s="1212"/>
      <c r="X44" s="1211"/>
      <c r="Y44" s="1212"/>
      <c r="Z44" s="1212"/>
      <c r="AB44" s="1211"/>
      <c r="AC44" s="1212"/>
      <c r="AD44" s="1067" t="str">
        <f t="shared" si="0"/>
        <v/>
      </c>
      <c r="AE44" s="1063" t="str">
        <f>IF(ISNA(VLOOKUP(TB_curr[[#This Row],[Synt]],GL[[#Headers],[#Data],[subtotal label]],1,FALSE)),0,(VLOOKUP(TB_curr[[#This Row],[Synt]],GL[[#Headers],[#Data],[subtotal label]],1,FALSE)))</f>
        <v/>
      </c>
      <c r="AF44" s="1063" t="e">
        <f>IF((TB_curr[[#This Row],[Synt]]-TB_curr[[#This Row],[Subtotal Y/N]])=0,0,VLOOKUP(TB_curr[[#This Row],[Synt]],GL[[Account]:[Line]],3,FALSE))</f>
        <v>#VALUE!</v>
      </c>
      <c r="AG44" s="1063" t="e">
        <f>VLOOKUP(TB_curr[[#This Row],[Synt]],GL[[Account]:[B/P]],4,FALSE)</f>
        <v>#N/A</v>
      </c>
      <c r="AH44" s="1066" t="s">
        <v>2036</v>
      </c>
      <c r="AI44" s="1065" t="str">
        <f>TB_curr[[#This Row],[Synt]]&amp;TB_curr[[#This Row],[Line No. manual corr.]]</f>
        <v>212</v>
      </c>
      <c r="AJ44" s="1064">
        <f t="shared" si="1"/>
        <v>0</v>
      </c>
      <c r="AK44" s="1064">
        <f t="shared" si="2"/>
        <v>0</v>
      </c>
      <c r="AL44" s="1064">
        <f t="shared" si="3"/>
        <v>0</v>
      </c>
      <c r="AM44" s="1064">
        <f t="shared" si="4"/>
        <v>0</v>
      </c>
      <c r="AN44" s="1064"/>
      <c r="AO44" s="1064">
        <f>TB_curr[[#This Row],[Closing balance]]+TB_curr[[#This Row],[Rounding]]</f>
        <v>0</v>
      </c>
    </row>
    <row r="45" spans="2:41" x14ac:dyDescent="0.25">
      <c r="B45" s="1104"/>
      <c r="E45" s="1104"/>
      <c r="K45" s="1211"/>
      <c r="L45" s="1212"/>
      <c r="N45" s="1211"/>
      <c r="O45" s="1212"/>
      <c r="Q45" s="1211"/>
      <c r="R45" s="1212"/>
      <c r="S45" s="1212"/>
      <c r="U45" s="1211"/>
      <c r="V45" s="1212"/>
      <c r="X45" s="1211"/>
      <c r="Y45" s="1212"/>
      <c r="Z45" s="1212"/>
      <c r="AB45" s="1211"/>
      <c r="AC45" s="1212"/>
      <c r="AD45" s="1067" t="str">
        <f t="shared" si="0"/>
        <v/>
      </c>
      <c r="AE45" s="1063" t="str">
        <f>IF(ISNA(VLOOKUP(TB_curr[[#This Row],[Synt]],GL[[#Headers],[#Data],[subtotal label]],1,FALSE)),0,(VLOOKUP(TB_curr[[#This Row],[Synt]],GL[[#Headers],[#Data],[subtotal label]],1,FALSE)))</f>
        <v/>
      </c>
      <c r="AF45" s="1063" t="e">
        <f>IF((TB_curr[[#This Row],[Synt]]-TB_curr[[#This Row],[Subtotal Y/N]])=0,0,VLOOKUP(TB_curr[[#This Row],[Synt]],GL[[Account]:[Line]],3,FALSE))</f>
        <v>#VALUE!</v>
      </c>
      <c r="AG45" s="1063" t="e">
        <f>VLOOKUP(TB_curr[[#This Row],[Synt]],GL[[Account]:[B/P]],4,FALSE)</f>
        <v>#N/A</v>
      </c>
      <c r="AH45" s="1066" t="s">
        <v>2036</v>
      </c>
      <c r="AI45" s="1065" t="str">
        <f>TB_curr[[#This Row],[Synt]]&amp;TB_curr[[#This Row],[Line No. manual corr.]]</f>
        <v>212</v>
      </c>
      <c r="AJ45" s="1064">
        <f t="shared" si="1"/>
        <v>0</v>
      </c>
      <c r="AK45" s="1064">
        <f t="shared" si="2"/>
        <v>0</v>
      </c>
      <c r="AL45" s="1064">
        <f t="shared" si="3"/>
        <v>0</v>
      </c>
      <c r="AM45" s="1064">
        <f t="shared" si="4"/>
        <v>0</v>
      </c>
      <c r="AN45" s="1064"/>
      <c r="AO45" s="1064">
        <f>TB_curr[[#This Row],[Closing balance]]+TB_curr[[#This Row],[Rounding]]</f>
        <v>0</v>
      </c>
    </row>
    <row r="46" spans="2:41" x14ac:dyDescent="0.25">
      <c r="B46" s="1104"/>
      <c r="E46" s="1104"/>
      <c r="K46" s="1211"/>
      <c r="L46" s="1212"/>
      <c r="N46" s="1211"/>
      <c r="O46" s="1212"/>
      <c r="Q46" s="1211"/>
      <c r="R46" s="1212"/>
      <c r="S46" s="1212"/>
      <c r="U46" s="1211"/>
      <c r="V46" s="1212"/>
      <c r="X46" s="1211"/>
      <c r="Y46" s="1212"/>
      <c r="Z46" s="1212"/>
      <c r="AB46" s="1211"/>
      <c r="AC46" s="1212"/>
      <c r="AD46" s="1067" t="str">
        <f t="shared" si="0"/>
        <v/>
      </c>
      <c r="AE46" s="1063" t="str">
        <f>IF(ISNA(VLOOKUP(TB_curr[[#This Row],[Synt]],GL[[#Headers],[#Data],[subtotal label]],1,FALSE)),0,(VLOOKUP(TB_curr[[#This Row],[Synt]],GL[[#Headers],[#Data],[subtotal label]],1,FALSE)))</f>
        <v/>
      </c>
      <c r="AF46" s="1063" t="e">
        <f>IF((TB_curr[[#This Row],[Synt]]-TB_curr[[#This Row],[Subtotal Y/N]])=0,0,VLOOKUP(TB_curr[[#This Row],[Synt]],GL[[Account]:[Line]],3,FALSE))</f>
        <v>#VALUE!</v>
      </c>
      <c r="AG46" s="1063" t="e">
        <f>VLOOKUP(TB_curr[[#This Row],[Synt]],GL[[Account]:[B/P]],4,FALSE)</f>
        <v>#N/A</v>
      </c>
      <c r="AH46" s="1066" t="s">
        <v>1993</v>
      </c>
      <c r="AI46" s="1065" t="str">
        <f>TB_curr[[#This Row],[Synt]]&amp;TB_curr[[#This Row],[Line No. manual corr.]]</f>
        <v>213</v>
      </c>
      <c r="AJ46" s="1064">
        <f t="shared" si="1"/>
        <v>0</v>
      </c>
      <c r="AK46" s="1064">
        <f t="shared" si="2"/>
        <v>0</v>
      </c>
      <c r="AL46" s="1064">
        <f t="shared" si="3"/>
        <v>0</v>
      </c>
      <c r="AM46" s="1064">
        <f t="shared" si="4"/>
        <v>0</v>
      </c>
      <c r="AN46" s="1064"/>
      <c r="AO46" s="1064">
        <f>TB_curr[[#This Row],[Closing balance]]+TB_curr[[#This Row],[Rounding]]</f>
        <v>0</v>
      </c>
    </row>
    <row r="47" spans="2:41" x14ac:dyDescent="0.25">
      <c r="B47" s="1104"/>
      <c r="E47" s="1104"/>
      <c r="K47" s="1211"/>
      <c r="L47" s="1212"/>
      <c r="N47" s="1211"/>
      <c r="O47" s="1212"/>
      <c r="Q47" s="1211"/>
      <c r="R47" s="1212"/>
      <c r="S47" s="1212"/>
      <c r="U47" s="1211"/>
      <c r="V47" s="1212"/>
      <c r="X47" s="1211"/>
      <c r="Y47" s="1212"/>
      <c r="Z47" s="1212"/>
      <c r="AB47" s="1211"/>
      <c r="AC47" s="1212"/>
      <c r="AD47" s="1067" t="str">
        <f t="shared" si="0"/>
        <v/>
      </c>
      <c r="AE47" s="1063" t="str">
        <f>IF(ISNA(VLOOKUP(TB_curr[[#This Row],[Synt]],GL[[#Headers],[#Data],[subtotal label]],1,FALSE)),0,(VLOOKUP(TB_curr[[#This Row],[Synt]],GL[[#Headers],[#Data],[subtotal label]],1,FALSE)))</f>
        <v/>
      </c>
      <c r="AF47" s="1063" t="e">
        <f>IF((TB_curr[[#This Row],[Synt]]-TB_curr[[#This Row],[Subtotal Y/N]])=0,0,VLOOKUP(TB_curr[[#This Row],[Synt]],GL[[Account]:[Line]],3,FALSE))</f>
        <v>#VALUE!</v>
      </c>
      <c r="AG47" s="1063" t="e">
        <f>VLOOKUP(TB_curr[[#This Row],[Synt]],GL[[Account]:[B/P]],4,FALSE)</f>
        <v>#N/A</v>
      </c>
      <c r="AH47" s="1066" t="s">
        <v>1993</v>
      </c>
      <c r="AI47" s="1065" t="str">
        <f>TB_curr[[#This Row],[Synt]]&amp;TB_curr[[#This Row],[Line No. manual corr.]]</f>
        <v>213</v>
      </c>
      <c r="AJ47" s="1064">
        <f t="shared" si="1"/>
        <v>0</v>
      </c>
      <c r="AK47" s="1064">
        <f t="shared" si="2"/>
        <v>0</v>
      </c>
      <c r="AL47" s="1064">
        <f t="shared" si="3"/>
        <v>0</v>
      </c>
      <c r="AM47" s="1064">
        <f t="shared" si="4"/>
        <v>0</v>
      </c>
      <c r="AN47" s="1064"/>
      <c r="AO47" s="1064">
        <f>TB_curr[[#This Row],[Closing balance]]+TB_curr[[#This Row],[Rounding]]</f>
        <v>0</v>
      </c>
    </row>
    <row r="48" spans="2:41" x14ac:dyDescent="0.25">
      <c r="B48" s="1104"/>
      <c r="E48" s="1104"/>
      <c r="K48" s="1211"/>
      <c r="L48" s="1212"/>
      <c r="N48" s="1211"/>
      <c r="O48" s="1212"/>
      <c r="Q48" s="1211"/>
      <c r="R48" s="1212"/>
      <c r="S48" s="1212"/>
      <c r="U48" s="1211"/>
      <c r="V48" s="1212"/>
      <c r="X48" s="1211"/>
      <c r="Y48" s="1212"/>
      <c r="Z48" s="1212"/>
      <c r="AB48" s="1211"/>
      <c r="AC48" s="1212"/>
      <c r="AD48" s="1067" t="str">
        <f t="shared" si="0"/>
        <v/>
      </c>
      <c r="AE48" s="1063" t="str">
        <f>IF(ISNA(VLOOKUP(TB_curr[[#This Row],[Synt]],GL[[#Headers],[#Data],[subtotal label]],1,FALSE)),0,(VLOOKUP(TB_curr[[#This Row],[Synt]],GL[[#Headers],[#Data],[subtotal label]],1,FALSE)))</f>
        <v/>
      </c>
      <c r="AF48" s="1063" t="e">
        <f>IF((TB_curr[[#This Row],[Synt]]-TB_curr[[#This Row],[Subtotal Y/N]])=0,0,VLOOKUP(TB_curr[[#This Row],[Synt]],GL[[Account]:[Line]],3,FALSE))</f>
        <v>#VALUE!</v>
      </c>
      <c r="AG48" s="1063" t="e">
        <f>VLOOKUP(TB_curr[[#This Row],[Synt]],GL[[Account]:[B/P]],4,FALSE)</f>
        <v>#N/A</v>
      </c>
      <c r="AH48" s="1066" t="s">
        <v>2015</v>
      </c>
      <c r="AI48" s="1065" t="str">
        <f>TB_curr[[#This Row],[Synt]]&amp;TB_curr[[#This Row],[Line No. manual corr.]]</f>
        <v>214</v>
      </c>
      <c r="AJ48" s="1064">
        <f t="shared" si="1"/>
        <v>0</v>
      </c>
      <c r="AK48" s="1064">
        <f t="shared" si="2"/>
        <v>0</v>
      </c>
      <c r="AL48" s="1064">
        <f t="shared" si="3"/>
        <v>0</v>
      </c>
      <c r="AM48" s="1064">
        <f t="shared" si="4"/>
        <v>0</v>
      </c>
      <c r="AN48" s="1064"/>
      <c r="AO48" s="1064">
        <f>TB_curr[[#This Row],[Closing balance]]+TB_curr[[#This Row],[Rounding]]</f>
        <v>0</v>
      </c>
    </row>
    <row r="49" spans="2:41" x14ac:dyDescent="0.25">
      <c r="B49" s="1104"/>
      <c r="E49" s="1104"/>
      <c r="K49" s="1211"/>
      <c r="L49" s="1212"/>
      <c r="N49" s="1211"/>
      <c r="O49" s="1212"/>
      <c r="Q49" s="1211"/>
      <c r="R49" s="1212"/>
      <c r="S49" s="1212"/>
      <c r="U49" s="1211"/>
      <c r="V49" s="1212"/>
      <c r="X49" s="1211"/>
      <c r="Y49" s="1212"/>
      <c r="Z49" s="1212"/>
      <c r="AB49" s="1211"/>
      <c r="AC49" s="1212"/>
      <c r="AD49" s="1067" t="str">
        <f t="shared" si="0"/>
        <v/>
      </c>
      <c r="AE49" s="1063" t="str">
        <f>IF(ISNA(VLOOKUP(TB_curr[[#This Row],[Synt]],GL[[#Headers],[#Data],[subtotal label]],1,FALSE)),0,(VLOOKUP(TB_curr[[#This Row],[Synt]],GL[[#Headers],[#Data],[subtotal label]],1,FALSE)))</f>
        <v/>
      </c>
      <c r="AF49" s="1063" t="e">
        <f>IF((TB_curr[[#This Row],[Synt]]-TB_curr[[#This Row],[Subtotal Y/N]])=0,0,VLOOKUP(TB_curr[[#This Row],[Synt]],GL[[Account]:[Line]],3,FALSE))</f>
        <v>#VALUE!</v>
      </c>
      <c r="AG49" s="1063" t="e">
        <f>VLOOKUP(TB_curr[[#This Row],[Synt]],GL[[Account]:[B/P]],4,FALSE)</f>
        <v>#N/A</v>
      </c>
      <c r="AH49" s="1066" t="s">
        <v>2015</v>
      </c>
      <c r="AI49" s="1065" t="str">
        <f>TB_curr[[#This Row],[Synt]]&amp;TB_curr[[#This Row],[Line No. manual corr.]]</f>
        <v>214</v>
      </c>
      <c r="AJ49" s="1064">
        <f t="shared" si="1"/>
        <v>0</v>
      </c>
      <c r="AK49" s="1064">
        <f t="shared" si="2"/>
        <v>0</v>
      </c>
      <c r="AL49" s="1064">
        <f t="shared" si="3"/>
        <v>0</v>
      </c>
      <c r="AM49" s="1064">
        <f t="shared" si="4"/>
        <v>0</v>
      </c>
      <c r="AN49" s="1064"/>
      <c r="AO49" s="1064">
        <f>TB_curr[[#This Row],[Closing balance]]+TB_curr[[#This Row],[Rounding]]</f>
        <v>0</v>
      </c>
    </row>
    <row r="50" spans="2:41" x14ac:dyDescent="0.25">
      <c r="B50" s="1104"/>
      <c r="E50" s="1104"/>
      <c r="K50" s="1211"/>
      <c r="L50" s="1212"/>
      <c r="N50" s="1211"/>
      <c r="O50" s="1212"/>
      <c r="Q50" s="1211"/>
      <c r="R50" s="1212"/>
      <c r="S50" s="1212"/>
      <c r="U50" s="1211"/>
      <c r="V50" s="1212"/>
      <c r="X50" s="1211"/>
      <c r="Y50" s="1212"/>
      <c r="Z50" s="1212"/>
      <c r="AB50" s="1211"/>
      <c r="AC50" s="1212"/>
      <c r="AD50" s="1067" t="str">
        <f t="shared" si="0"/>
        <v/>
      </c>
      <c r="AE50" s="1063" t="str">
        <f>IF(ISNA(VLOOKUP(TB_curr[[#This Row],[Synt]],GL[[#Headers],[#Data],[subtotal label]],1,FALSE)),0,(VLOOKUP(TB_curr[[#This Row],[Synt]],GL[[#Headers],[#Data],[subtotal label]],1,FALSE)))</f>
        <v/>
      </c>
      <c r="AF50" s="1063" t="e">
        <f>IF((TB_curr[[#This Row],[Synt]]-TB_curr[[#This Row],[Subtotal Y/N]])=0,0,VLOOKUP(TB_curr[[#This Row],[Synt]],GL[[Account]:[Line]],3,FALSE))</f>
        <v>#VALUE!</v>
      </c>
      <c r="AG50" s="1063" t="e">
        <f>VLOOKUP(TB_curr[[#This Row],[Synt]],GL[[Account]:[B/P]],4,FALSE)</f>
        <v>#N/A</v>
      </c>
      <c r="AH50" s="1066" t="s">
        <v>2016</v>
      </c>
      <c r="AI50" s="1065" t="str">
        <f>TB_curr[[#This Row],[Synt]]&amp;TB_curr[[#This Row],[Line No. manual corr.]]</f>
        <v>233</v>
      </c>
      <c r="AJ50" s="1064">
        <f t="shared" si="1"/>
        <v>0</v>
      </c>
      <c r="AK50" s="1064">
        <f t="shared" si="2"/>
        <v>0</v>
      </c>
      <c r="AL50" s="1064">
        <f t="shared" si="3"/>
        <v>0</v>
      </c>
      <c r="AM50" s="1064">
        <f t="shared" si="4"/>
        <v>0</v>
      </c>
      <c r="AN50" s="1064"/>
      <c r="AO50" s="1064">
        <f>TB_curr[[#This Row],[Closing balance]]+TB_curr[[#This Row],[Rounding]]</f>
        <v>0</v>
      </c>
    </row>
    <row r="51" spans="2:41" x14ac:dyDescent="0.25">
      <c r="B51" s="1104"/>
      <c r="E51" s="1104"/>
      <c r="K51" s="1211"/>
      <c r="L51" s="1212"/>
      <c r="N51" s="1211"/>
      <c r="O51" s="1212"/>
      <c r="Q51" s="1211"/>
      <c r="R51" s="1212"/>
      <c r="S51" s="1212"/>
      <c r="U51" s="1211"/>
      <c r="V51" s="1212"/>
      <c r="X51" s="1211"/>
      <c r="Y51" s="1212"/>
      <c r="Z51" s="1212"/>
      <c r="AB51" s="1211"/>
      <c r="AC51" s="1212"/>
      <c r="AD51" s="1067" t="str">
        <f t="shared" si="0"/>
        <v/>
      </c>
      <c r="AE51" s="1063" t="str">
        <f>IF(ISNA(VLOOKUP(TB_curr[[#This Row],[Synt]],GL[[#Headers],[#Data],[subtotal label]],1,FALSE)),0,(VLOOKUP(TB_curr[[#This Row],[Synt]],GL[[#Headers],[#Data],[subtotal label]],1,FALSE)))</f>
        <v/>
      </c>
      <c r="AF51" s="1063" t="e">
        <f>IF((TB_curr[[#This Row],[Synt]]-TB_curr[[#This Row],[Subtotal Y/N]])=0,0,VLOOKUP(TB_curr[[#This Row],[Synt]],GL[[Account]:[Line]],3,FALSE))</f>
        <v>#VALUE!</v>
      </c>
      <c r="AG51" s="1063" t="e">
        <f>VLOOKUP(TB_curr[[#This Row],[Synt]],GL[[Account]:[B/P]],4,FALSE)</f>
        <v>#N/A</v>
      </c>
      <c r="AH51" s="1066" t="s">
        <v>2064</v>
      </c>
      <c r="AI51" s="1065" t="str">
        <f>TB_curr[[#This Row],[Synt]]&amp;TB_curr[[#This Row],[Line No. manual corr.]]</f>
        <v>236</v>
      </c>
      <c r="AJ51" s="1064">
        <f t="shared" si="1"/>
        <v>0</v>
      </c>
      <c r="AK51" s="1064">
        <f t="shared" si="2"/>
        <v>0</v>
      </c>
      <c r="AL51" s="1064">
        <f t="shared" si="3"/>
        <v>0</v>
      </c>
      <c r="AM51" s="1064">
        <f t="shared" si="4"/>
        <v>0</v>
      </c>
      <c r="AN51" s="1064"/>
      <c r="AO51" s="1064">
        <f>TB_curr[[#This Row],[Closing balance]]+TB_curr[[#This Row],[Rounding]]</f>
        <v>0</v>
      </c>
    </row>
    <row r="52" spans="2:41" x14ac:dyDescent="0.25">
      <c r="B52" s="1104"/>
      <c r="E52" s="1104"/>
      <c r="K52" s="1211"/>
      <c r="L52" s="1212"/>
      <c r="N52" s="1211"/>
      <c r="O52" s="1212"/>
      <c r="Q52" s="1211"/>
      <c r="R52" s="1212"/>
      <c r="S52" s="1212"/>
      <c r="U52" s="1211"/>
      <c r="V52" s="1212"/>
      <c r="X52" s="1211"/>
      <c r="Y52" s="1212"/>
      <c r="Z52" s="1212"/>
      <c r="AB52" s="1211"/>
      <c r="AC52" s="1212"/>
      <c r="AD52" s="1067" t="str">
        <f t="shared" si="0"/>
        <v/>
      </c>
      <c r="AE52" s="1063" t="str">
        <f>IF(ISNA(VLOOKUP(TB_curr[[#This Row],[Synt]],GL[[#Headers],[#Data],[subtotal label]],1,FALSE)),0,(VLOOKUP(TB_curr[[#This Row],[Synt]],GL[[#Headers],[#Data],[subtotal label]],1,FALSE)))</f>
        <v/>
      </c>
      <c r="AF52" s="1063" t="e">
        <f>IF((TB_curr[[#This Row],[Synt]]-TB_curr[[#This Row],[Subtotal Y/N]])=0,0,VLOOKUP(TB_curr[[#This Row],[Synt]],GL[[Account]:[Line]],3,FALSE))</f>
        <v>#VALUE!</v>
      </c>
      <c r="AG52" s="1063" t="e">
        <f>VLOOKUP(TB_curr[[#This Row],[Synt]],GL[[Account]:[B/P]],4,FALSE)</f>
        <v>#N/A</v>
      </c>
      <c r="AH52" s="1066" t="s">
        <v>2064</v>
      </c>
      <c r="AI52" s="1065" t="str">
        <f>TB_curr[[#This Row],[Synt]]&amp;TB_curr[[#This Row],[Line No. manual corr.]]</f>
        <v>236</v>
      </c>
      <c r="AJ52" s="1064">
        <f t="shared" si="1"/>
        <v>0</v>
      </c>
      <c r="AK52" s="1064">
        <f t="shared" si="2"/>
        <v>0</v>
      </c>
      <c r="AL52" s="1064">
        <f t="shared" si="3"/>
        <v>0</v>
      </c>
      <c r="AM52" s="1064">
        <f t="shared" si="4"/>
        <v>0</v>
      </c>
      <c r="AN52" s="1064"/>
      <c r="AO52" s="1064">
        <f>TB_curr[[#This Row],[Closing balance]]+TB_curr[[#This Row],[Rounding]]</f>
        <v>0</v>
      </c>
    </row>
    <row r="53" spans="2:41" x14ac:dyDescent="0.25">
      <c r="B53" s="1104"/>
      <c r="E53" s="1104"/>
      <c r="K53" s="1211"/>
      <c r="L53" s="1212"/>
      <c r="N53" s="1211"/>
      <c r="O53" s="1212"/>
      <c r="Q53" s="1211"/>
      <c r="R53" s="1212"/>
      <c r="S53" s="1212"/>
      <c r="U53" s="1211"/>
      <c r="V53" s="1212"/>
      <c r="X53" s="1211"/>
      <c r="Y53" s="1212"/>
      <c r="Z53" s="1212"/>
      <c r="AB53" s="1211"/>
      <c r="AC53" s="1212"/>
      <c r="AD53" s="1067" t="str">
        <f t="shared" si="0"/>
        <v/>
      </c>
      <c r="AE53" s="1063" t="str">
        <f>IF(ISNA(VLOOKUP(TB_curr[[#This Row],[Synt]],GL[[#Headers],[#Data],[subtotal label]],1,FALSE)),0,(VLOOKUP(TB_curr[[#This Row],[Synt]],GL[[#Headers],[#Data],[subtotal label]],1,FALSE)))</f>
        <v/>
      </c>
      <c r="AF53" s="1063" t="e">
        <f>IF((TB_curr[[#This Row],[Synt]]-TB_curr[[#This Row],[Subtotal Y/N]])=0,0,VLOOKUP(TB_curr[[#This Row],[Synt]],GL[[Account]:[Line]],3,FALSE))</f>
        <v>#VALUE!</v>
      </c>
      <c r="AG53" s="1063" t="e">
        <f>VLOOKUP(TB_curr[[#This Row],[Synt]],GL[[Account]:[B/P]],4,FALSE)</f>
        <v>#N/A</v>
      </c>
      <c r="AH53" s="1066" t="s">
        <v>2017</v>
      </c>
      <c r="AI53" s="1065" t="str">
        <f>TB_curr[[#This Row],[Synt]]&amp;TB_curr[[#This Row],[Line No. manual corr.]]</f>
        <v>203</v>
      </c>
      <c r="AJ53" s="1064">
        <f t="shared" si="1"/>
        <v>0</v>
      </c>
      <c r="AK53" s="1064">
        <f t="shared" si="2"/>
        <v>0</v>
      </c>
      <c r="AL53" s="1064">
        <f t="shared" si="3"/>
        <v>0</v>
      </c>
      <c r="AM53" s="1064">
        <f t="shared" si="4"/>
        <v>0</v>
      </c>
      <c r="AN53" s="1064"/>
      <c r="AO53" s="1064">
        <f>TB_curr[[#This Row],[Closing balance]]+TB_curr[[#This Row],[Rounding]]</f>
        <v>0</v>
      </c>
    </row>
    <row r="54" spans="2:41" ht="12" x14ac:dyDescent="0.25">
      <c r="B54" s="1157"/>
      <c r="C54" s="1157"/>
      <c r="D54" s="1157"/>
      <c r="E54" s="1157"/>
      <c r="F54" s="1157"/>
      <c r="G54" s="1157"/>
      <c r="H54" s="1157"/>
      <c r="I54" s="1157"/>
      <c r="J54" s="1157"/>
      <c r="K54" s="1217"/>
      <c r="L54" s="1218"/>
      <c r="M54" s="1157"/>
      <c r="N54" s="1217"/>
      <c r="O54" s="1218"/>
      <c r="P54" s="1157"/>
      <c r="Q54" s="1217"/>
      <c r="R54" s="1218"/>
      <c r="S54" s="1218"/>
      <c r="T54" s="1157"/>
      <c r="U54" s="1217"/>
      <c r="V54" s="1218"/>
      <c r="W54" s="1157"/>
      <c r="X54" s="1217"/>
      <c r="Y54" s="1218"/>
      <c r="Z54" s="1218"/>
      <c r="AA54" s="1157"/>
      <c r="AB54" s="1217"/>
      <c r="AC54" s="1218"/>
      <c r="AD54" s="1067" t="str">
        <f t="shared" si="0"/>
        <v/>
      </c>
      <c r="AE54" s="1063" t="str">
        <f>IF(ISNA(VLOOKUP(TB_curr[[#This Row],[Synt]],GL[[#Headers],[#Data],[subtotal label]],1,FALSE)),0,(VLOOKUP(TB_curr[[#This Row],[Synt]],GL[[#Headers],[#Data],[subtotal label]],1,FALSE)))</f>
        <v/>
      </c>
      <c r="AF54" s="1063" t="e">
        <f>IF((TB_curr[[#This Row],[Synt]]-TB_curr[[#This Row],[Subtotal Y/N]])=0,0,VLOOKUP(TB_curr[[#This Row],[Synt]],GL[[Account]:[Line]],3,FALSE))</f>
        <v>#VALUE!</v>
      </c>
      <c r="AG54" s="1063" t="e">
        <f>VLOOKUP(TB_curr[[#This Row],[Synt]],GL[[Account]:[B/P]],4,FALSE)</f>
        <v>#N/A</v>
      </c>
      <c r="AH54" s="1066" t="s">
        <v>2019</v>
      </c>
      <c r="AI54" s="1065" t="str">
        <f>TB_curr[[#This Row],[Synt]]&amp;TB_curr[[#This Row],[Line No. manual corr.]]</f>
        <v>224</v>
      </c>
      <c r="AJ54" s="1064">
        <f t="shared" si="1"/>
        <v>0</v>
      </c>
      <c r="AK54" s="1064">
        <f t="shared" si="2"/>
        <v>0</v>
      </c>
      <c r="AL54" s="1064">
        <f t="shared" si="3"/>
        <v>0</v>
      </c>
      <c r="AM54" s="1064">
        <f t="shared" si="4"/>
        <v>0</v>
      </c>
      <c r="AN54" s="1064"/>
      <c r="AO54" s="1064">
        <f>TB_curr[[#This Row],[Closing balance]]+TB_curr[[#This Row],[Rounding]]</f>
        <v>0</v>
      </c>
    </row>
    <row r="55" spans="2:41" ht="12" x14ac:dyDescent="0.25">
      <c r="B55" s="1156"/>
      <c r="C55" s="1156"/>
      <c r="D55" s="1156"/>
      <c r="E55" s="1156"/>
      <c r="F55" s="1156"/>
      <c r="G55" s="1156"/>
      <c r="H55" s="1156"/>
      <c r="I55" s="1156"/>
      <c r="J55" s="1156"/>
      <c r="K55" s="1156"/>
      <c r="L55" s="1156"/>
      <c r="M55" s="1156"/>
      <c r="N55" s="1156"/>
      <c r="O55" s="1156"/>
      <c r="P55" s="1156"/>
      <c r="Q55" s="1156"/>
      <c r="R55" s="1156"/>
      <c r="S55" s="1156"/>
      <c r="T55" s="1156"/>
      <c r="U55" s="1156"/>
      <c r="V55" s="1156"/>
      <c r="W55" s="1156"/>
      <c r="X55" s="1156"/>
      <c r="Y55" s="1156"/>
      <c r="Z55" s="1156"/>
      <c r="AA55" s="1156"/>
      <c r="AB55" s="1156"/>
      <c r="AC55" s="1156"/>
      <c r="AD55" s="1067" t="str">
        <f t="shared" si="0"/>
        <v/>
      </c>
      <c r="AE55" s="1063" t="str">
        <f>IF(ISNA(VLOOKUP(TB_curr[[#This Row],[Synt]],GL[[#Headers],[#Data],[subtotal label]],1,FALSE)),0,(VLOOKUP(TB_curr[[#This Row],[Synt]],GL[[#Headers],[#Data],[subtotal label]],1,FALSE)))</f>
        <v/>
      </c>
      <c r="AF55" s="1063" t="e">
        <f>IF((TB_curr[[#This Row],[Synt]]-TB_curr[[#This Row],[Subtotal Y/N]])=0,0,VLOOKUP(TB_curr[[#This Row],[Synt]],GL[[Account]:[Line]],3,FALSE))</f>
        <v>#VALUE!</v>
      </c>
      <c r="AG55" s="1063" t="e">
        <f>VLOOKUP(TB_curr[[#This Row],[Synt]],GL[[Account]:[B/P]],4,FALSE)</f>
        <v>#N/A</v>
      </c>
      <c r="AH55" s="1066" t="e">
        <v>#VALUE!</v>
      </c>
      <c r="AI55" s="1065" t="e">
        <f>TB_curr[[#This Row],[Synt]]&amp;TB_curr[[#This Row],[Line No. manual corr.]]</f>
        <v>#VALUE!</v>
      </c>
      <c r="AJ55" s="1064">
        <f t="shared" si="1"/>
        <v>0</v>
      </c>
      <c r="AK55" s="1064">
        <f t="shared" si="2"/>
        <v>0</v>
      </c>
      <c r="AL55" s="1064">
        <f t="shared" si="3"/>
        <v>0</v>
      </c>
      <c r="AM55" s="1064">
        <f t="shared" si="4"/>
        <v>0</v>
      </c>
      <c r="AN55" s="1064"/>
      <c r="AO55" s="1064">
        <f>TB_curr[[#This Row],[Closing balance]]+TB_curr[[#This Row],[Rounding]]</f>
        <v>0</v>
      </c>
    </row>
    <row r="56" spans="2:41" ht="12" x14ac:dyDescent="0.25">
      <c r="B56" s="1157"/>
      <c r="C56" s="1157"/>
      <c r="D56" s="1157"/>
      <c r="E56" s="1105"/>
      <c r="F56" s="1157"/>
      <c r="G56" s="1157"/>
      <c r="H56" s="1157"/>
      <c r="I56" s="1157"/>
      <c r="J56" s="1157"/>
      <c r="K56" s="1219"/>
      <c r="L56" s="1218"/>
      <c r="M56" s="1157"/>
      <c r="N56" s="1219"/>
      <c r="O56" s="1218"/>
      <c r="P56" s="1157"/>
      <c r="Q56" s="1219"/>
      <c r="R56" s="1218"/>
      <c r="S56" s="1218"/>
      <c r="T56" s="1157"/>
      <c r="U56" s="1219"/>
      <c r="V56" s="1218"/>
      <c r="W56" s="1157"/>
      <c r="X56" s="1219"/>
      <c r="Y56" s="1218"/>
      <c r="Z56" s="1218"/>
      <c r="AA56" s="1157"/>
      <c r="AB56" s="1219"/>
      <c r="AC56" s="1218"/>
      <c r="AD56" s="1067" t="str">
        <f t="shared" si="0"/>
        <v/>
      </c>
      <c r="AE56" s="1063" t="str">
        <f>IF(ISNA(VLOOKUP(TB_curr[[#This Row],[Synt]],GL[[#Headers],[#Data],[subtotal label]],1,FALSE)),0,(VLOOKUP(TB_curr[[#This Row],[Synt]],GL[[#Headers],[#Data],[subtotal label]],1,FALSE)))</f>
        <v/>
      </c>
      <c r="AF56" s="1063" t="e">
        <f>IF((TB_curr[[#This Row],[Synt]]-TB_curr[[#This Row],[Subtotal Y/N]])=0,0,VLOOKUP(TB_curr[[#This Row],[Synt]],GL[[Account]:[Line]],3,FALSE))</f>
        <v>#VALUE!</v>
      </c>
      <c r="AG56" s="1063" t="e">
        <f>VLOOKUP(TB_curr[[#This Row],[Synt]],GL[[Account]:[B/P]],4,FALSE)</f>
        <v>#N/A</v>
      </c>
      <c r="AH56" s="1066" t="e">
        <v>#VALUE!</v>
      </c>
      <c r="AI56" s="1065" t="e">
        <f>TB_curr[[#This Row],[Synt]]&amp;TB_curr[[#This Row],[Line No. manual corr.]]</f>
        <v>#VALUE!</v>
      </c>
      <c r="AJ56" s="1064">
        <f t="shared" si="1"/>
        <v>0</v>
      </c>
      <c r="AK56" s="1064">
        <f t="shared" si="2"/>
        <v>0</v>
      </c>
      <c r="AL56" s="1064">
        <f t="shared" si="3"/>
        <v>0</v>
      </c>
      <c r="AM56" s="1064">
        <f t="shared" si="4"/>
        <v>0</v>
      </c>
      <c r="AN56" s="1064"/>
      <c r="AO56" s="1064">
        <f>TB_curr[[#This Row],[Closing balance]]+TB_curr[[#This Row],[Rounding]]</f>
        <v>0</v>
      </c>
    </row>
    <row r="57" spans="2:41" ht="12" x14ac:dyDescent="0.25">
      <c r="B57" s="1156"/>
      <c r="C57" s="1156"/>
      <c r="D57" s="1156"/>
      <c r="E57" s="1156"/>
      <c r="F57" s="1156"/>
      <c r="G57" s="1156"/>
      <c r="H57" s="1156"/>
      <c r="I57" s="1156"/>
      <c r="J57" s="1156"/>
      <c r="K57" s="1156"/>
      <c r="L57" s="1156"/>
      <c r="M57" s="1156"/>
      <c r="N57" s="1156"/>
      <c r="O57" s="1156"/>
      <c r="P57" s="1156"/>
      <c r="Q57" s="1156"/>
      <c r="R57" s="1156"/>
      <c r="S57" s="1156"/>
      <c r="T57" s="1156"/>
      <c r="U57" s="1156"/>
      <c r="V57" s="1156"/>
      <c r="W57" s="1156"/>
      <c r="X57" s="1156"/>
      <c r="Y57" s="1156"/>
      <c r="Z57" s="1156"/>
      <c r="AA57" s="1156"/>
      <c r="AB57" s="1156"/>
      <c r="AC57" s="1156"/>
      <c r="AD57" s="1067" t="str">
        <f t="shared" si="0"/>
        <v/>
      </c>
      <c r="AE57" s="1063" t="str">
        <f>IF(ISNA(VLOOKUP(TB_curr[[#This Row],[Synt]],GL[[#Headers],[#Data],[subtotal label]],1,FALSE)),0,(VLOOKUP(TB_curr[[#This Row],[Synt]],GL[[#Headers],[#Data],[subtotal label]],1,FALSE)))</f>
        <v/>
      </c>
      <c r="AF57" s="1063" t="e">
        <f>IF((TB_curr[[#This Row],[Synt]]-TB_curr[[#This Row],[Subtotal Y/N]])=0,0,VLOOKUP(TB_curr[[#This Row],[Synt]],GL[[Account]:[Line]],3,FALSE))</f>
        <v>#VALUE!</v>
      </c>
      <c r="AG57" s="1063" t="e">
        <f>VLOOKUP(TB_curr[[#This Row],[Synt]],GL[[Account]:[B/P]],4,FALSE)</f>
        <v>#N/A</v>
      </c>
      <c r="AH57" s="1066" t="e">
        <v>#VALUE!</v>
      </c>
      <c r="AI57" s="1065" t="e">
        <f>TB_curr[[#This Row],[Synt]]&amp;TB_curr[[#This Row],[Line No. manual corr.]]</f>
        <v>#VALUE!</v>
      </c>
      <c r="AJ57" s="1064">
        <f t="shared" si="1"/>
        <v>0</v>
      </c>
      <c r="AK57" s="1064">
        <f t="shared" si="2"/>
        <v>0</v>
      </c>
      <c r="AL57" s="1064">
        <f t="shared" si="3"/>
        <v>0</v>
      </c>
      <c r="AM57" s="1064">
        <f t="shared" si="4"/>
        <v>0</v>
      </c>
      <c r="AN57" s="1064"/>
      <c r="AO57" s="1064">
        <f>TB_curr[[#This Row],[Closing balance]]+TB_curr[[#This Row],[Rounding]]</f>
        <v>0</v>
      </c>
    </row>
    <row r="58" spans="2:41" x14ac:dyDescent="0.25">
      <c r="AD58" s="1067" t="str">
        <f t="shared" si="0"/>
        <v/>
      </c>
      <c r="AE58" s="1063" t="str">
        <f>IF(ISNA(VLOOKUP(TB_curr[[#This Row],[Synt]],GL[[#Headers],[#Data],[subtotal label]],1,FALSE)),0,(VLOOKUP(TB_curr[[#This Row],[Synt]],GL[[#Headers],[#Data],[subtotal label]],1,FALSE)))</f>
        <v/>
      </c>
      <c r="AF58" s="1063" t="e">
        <f>IF((TB_curr[[#This Row],[Synt]]-TB_curr[[#This Row],[Subtotal Y/N]])=0,0,VLOOKUP(TB_curr[[#This Row],[Synt]],GL[[Account]:[Line]],3,FALSE))</f>
        <v>#VALUE!</v>
      </c>
      <c r="AG58" s="1063" t="e">
        <f>VLOOKUP(TB_curr[[#This Row],[Synt]],GL[[Account]:[B/P]],4,FALSE)</f>
        <v>#N/A</v>
      </c>
      <c r="AH58" s="1066" t="e">
        <v>#VALUE!</v>
      </c>
      <c r="AI58" s="1065" t="e">
        <f>TB_curr[[#This Row],[Synt]]&amp;TB_curr[[#This Row],[Line No. manual corr.]]</f>
        <v>#VALUE!</v>
      </c>
      <c r="AJ58" s="1064">
        <f t="shared" si="1"/>
        <v>0</v>
      </c>
      <c r="AK58" s="1064">
        <f t="shared" si="2"/>
        <v>0</v>
      </c>
      <c r="AL58" s="1064">
        <f t="shared" si="3"/>
        <v>0</v>
      </c>
      <c r="AM58" s="1064">
        <f t="shared" si="4"/>
        <v>0</v>
      </c>
      <c r="AN58" s="1064"/>
      <c r="AO58" s="1064">
        <f>TB_curr[[#This Row],[Closing balance]]+TB_curr[[#This Row],[Rounding]]</f>
        <v>0</v>
      </c>
    </row>
    <row r="59" spans="2:41" x14ac:dyDescent="0.25">
      <c r="AD59" s="1067" t="str">
        <f t="shared" si="0"/>
        <v/>
      </c>
      <c r="AE59" s="1063" t="str">
        <f>IF(ISNA(VLOOKUP(TB_curr[[#This Row],[Synt]],GL[[#Headers],[#Data],[subtotal label]],1,FALSE)),0,(VLOOKUP(TB_curr[[#This Row],[Synt]],GL[[#Headers],[#Data],[subtotal label]],1,FALSE)))</f>
        <v/>
      </c>
      <c r="AF59" s="1063" t="e">
        <f>IF((TB_curr[[#This Row],[Synt]]-TB_curr[[#This Row],[Subtotal Y/N]])=0,0,VLOOKUP(TB_curr[[#This Row],[Synt]],GL[[Account]:[Line]],3,FALSE))</f>
        <v>#VALUE!</v>
      </c>
      <c r="AG59" s="1063" t="e">
        <f>VLOOKUP(TB_curr[[#This Row],[Synt]],GL[[Account]:[B/P]],4,FALSE)</f>
        <v>#N/A</v>
      </c>
      <c r="AH59" s="1066" t="e">
        <v>#VALUE!</v>
      </c>
      <c r="AI59" s="1065" t="e">
        <f>TB_curr[[#This Row],[Synt]]&amp;TB_curr[[#This Row],[Line No. manual corr.]]</f>
        <v>#VALUE!</v>
      </c>
      <c r="AJ59" s="1064">
        <f t="shared" si="1"/>
        <v>0</v>
      </c>
      <c r="AK59" s="1064">
        <f t="shared" si="2"/>
        <v>0</v>
      </c>
      <c r="AL59" s="1064">
        <f t="shared" si="3"/>
        <v>0</v>
      </c>
      <c r="AM59" s="1064">
        <f t="shared" si="4"/>
        <v>0</v>
      </c>
      <c r="AN59" s="1064"/>
      <c r="AO59" s="1064">
        <f>TB_curr[[#This Row],[Closing balance]]+TB_curr[[#This Row],[Rounding]]</f>
        <v>0</v>
      </c>
    </row>
    <row r="60" spans="2:41" x14ac:dyDescent="0.25">
      <c r="AD60" s="1067" t="str">
        <f t="shared" si="0"/>
        <v/>
      </c>
      <c r="AE60" s="1063" t="str">
        <f>IF(ISNA(VLOOKUP(TB_curr[[#This Row],[Synt]],GL[[#Headers],[#Data],[subtotal label]],1,FALSE)),0,(VLOOKUP(TB_curr[[#This Row],[Synt]],GL[[#Headers],[#Data],[subtotal label]],1,FALSE)))</f>
        <v/>
      </c>
      <c r="AF60" s="1063" t="e">
        <f>IF((TB_curr[[#This Row],[Synt]]-TB_curr[[#This Row],[Subtotal Y/N]])=0,0,VLOOKUP(TB_curr[[#This Row],[Synt]],GL[[Account]:[Line]],3,FALSE))</f>
        <v>#VALUE!</v>
      </c>
      <c r="AG60" s="1063" t="e">
        <f>VLOOKUP(TB_curr[[#This Row],[Synt]],GL[[Account]:[B/P]],4,FALSE)</f>
        <v>#N/A</v>
      </c>
      <c r="AH60" s="1066" t="e">
        <v>#VALUE!</v>
      </c>
      <c r="AI60" s="1065" t="e">
        <f>TB_curr[[#This Row],[Synt]]&amp;TB_curr[[#This Row],[Line No. manual corr.]]</f>
        <v>#VALUE!</v>
      </c>
      <c r="AJ60" s="1064">
        <f t="shared" si="1"/>
        <v>0</v>
      </c>
      <c r="AK60" s="1064">
        <f t="shared" si="2"/>
        <v>0</v>
      </c>
      <c r="AL60" s="1064">
        <f t="shared" si="3"/>
        <v>0</v>
      </c>
      <c r="AM60" s="1064">
        <f t="shared" si="4"/>
        <v>0</v>
      </c>
      <c r="AN60" s="1064"/>
      <c r="AO60" s="1064">
        <f>TB_curr[[#This Row],[Closing balance]]+TB_curr[[#This Row],[Rounding]]</f>
        <v>0</v>
      </c>
    </row>
    <row r="61" spans="2:41" x14ac:dyDescent="0.25">
      <c r="AD61" s="1067" t="str">
        <f t="shared" si="0"/>
        <v/>
      </c>
      <c r="AE61" s="1063" t="str">
        <f>IF(ISNA(VLOOKUP(TB_curr[[#This Row],[Synt]],GL[[#Headers],[#Data],[subtotal label]],1,FALSE)),0,(VLOOKUP(TB_curr[[#This Row],[Synt]],GL[[#Headers],[#Data],[subtotal label]],1,FALSE)))</f>
        <v/>
      </c>
      <c r="AF61" s="1063" t="e">
        <f>IF((TB_curr[[#This Row],[Synt]]-TB_curr[[#This Row],[Subtotal Y/N]])=0,0,VLOOKUP(TB_curr[[#This Row],[Synt]],GL[[Account]:[Line]],3,FALSE))</f>
        <v>#VALUE!</v>
      </c>
      <c r="AG61" s="1063" t="e">
        <f>VLOOKUP(TB_curr[[#This Row],[Synt]],GL[[Account]:[B/P]],4,FALSE)</f>
        <v>#N/A</v>
      </c>
      <c r="AH61" s="1066" t="e">
        <v>#VALUE!</v>
      </c>
      <c r="AI61" s="1065" t="e">
        <f>TB_curr[[#This Row],[Synt]]&amp;TB_curr[[#This Row],[Line No. manual corr.]]</f>
        <v>#VALUE!</v>
      </c>
      <c r="AJ61" s="1064">
        <f t="shared" si="1"/>
        <v>0</v>
      </c>
      <c r="AK61" s="1064">
        <f t="shared" si="2"/>
        <v>0</v>
      </c>
      <c r="AL61" s="1064">
        <f t="shared" si="3"/>
        <v>0</v>
      </c>
      <c r="AM61" s="1064">
        <f t="shared" si="4"/>
        <v>0</v>
      </c>
      <c r="AN61" s="1064"/>
      <c r="AO61" s="1064">
        <f>TB_curr[[#This Row],[Closing balance]]+TB_curr[[#This Row],[Rounding]]</f>
        <v>0</v>
      </c>
    </row>
    <row r="62" spans="2:41" x14ac:dyDescent="0.25">
      <c r="AD62" s="1067" t="str">
        <f t="shared" si="0"/>
        <v/>
      </c>
      <c r="AE62" s="1063" t="str">
        <f>IF(ISNA(VLOOKUP(TB_curr[[#This Row],[Synt]],GL[[#Headers],[#Data],[subtotal label]],1,FALSE)),0,(VLOOKUP(TB_curr[[#This Row],[Synt]],GL[[#Headers],[#Data],[subtotal label]],1,FALSE)))</f>
        <v/>
      </c>
      <c r="AF62" s="1063" t="e">
        <f>IF((TB_curr[[#This Row],[Synt]]-TB_curr[[#This Row],[Subtotal Y/N]])=0,0,VLOOKUP(TB_curr[[#This Row],[Synt]],GL[[Account]:[Line]],3,FALSE))</f>
        <v>#VALUE!</v>
      </c>
      <c r="AG62" s="1063" t="e">
        <f>VLOOKUP(TB_curr[[#This Row],[Synt]],GL[[Account]:[B/P]],4,FALSE)</f>
        <v>#N/A</v>
      </c>
      <c r="AH62" s="1066" t="e">
        <v>#VALUE!</v>
      </c>
      <c r="AI62" s="1065" t="e">
        <f>TB_curr[[#This Row],[Synt]]&amp;TB_curr[[#This Row],[Line No. manual corr.]]</f>
        <v>#VALUE!</v>
      </c>
      <c r="AJ62" s="1064">
        <f t="shared" si="1"/>
        <v>0</v>
      </c>
      <c r="AK62" s="1064">
        <f t="shared" si="2"/>
        <v>0</v>
      </c>
      <c r="AL62" s="1064">
        <f t="shared" si="3"/>
        <v>0</v>
      </c>
      <c r="AM62" s="1064">
        <f t="shared" si="4"/>
        <v>0</v>
      </c>
      <c r="AN62" s="1064"/>
      <c r="AO62" s="1064">
        <f>TB_curr[[#This Row],[Closing balance]]+TB_curr[[#This Row],[Rounding]]</f>
        <v>0</v>
      </c>
    </row>
    <row r="63" spans="2:41" x14ac:dyDescent="0.25">
      <c r="AD63" s="1067" t="str">
        <f t="shared" si="0"/>
        <v/>
      </c>
      <c r="AE63" s="1063" t="str">
        <f>IF(ISNA(VLOOKUP(TB_curr[[#This Row],[Synt]],GL[[#Headers],[#Data],[subtotal label]],1,FALSE)),0,(VLOOKUP(TB_curr[[#This Row],[Synt]],GL[[#Headers],[#Data],[subtotal label]],1,FALSE)))</f>
        <v/>
      </c>
      <c r="AF63" s="1063" t="e">
        <f>IF((TB_curr[[#This Row],[Synt]]-TB_curr[[#This Row],[Subtotal Y/N]])=0,0,VLOOKUP(TB_curr[[#This Row],[Synt]],GL[[Account]:[Line]],3,FALSE))</f>
        <v>#VALUE!</v>
      </c>
      <c r="AG63" s="1063" t="e">
        <f>VLOOKUP(TB_curr[[#This Row],[Synt]],GL[[Account]:[B/P]],4,FALSE)</f>
        <v>#N/A</v>
      </c>
      <c r="AH63" s="1066" t="e">
        <v>#VALUE!</v>
      </c>
      <c r="AI63" s="1065" t="e">
        <f>TB_curr[[#This Row],[Synt]]&amp;TB_curr[[#This Row],[Line No. manual corr.]]</f>
        <v>#VALUE!</v>
      </c>
      <c r="AJ63" s="1064">
        <f t="shared" si="1"/>
        <v>0</v>
      </c>
      <c r="AK63" s="1064">
        <f t="shared" si="2"/>
        <v>0</v>
      </c>
      <c r="AL63" s="1064">
        <f t="shared" si="3"/>
        <v>0</v>
      </c>
      <c r="AM63" s="1064">
        <f t="shared" si="4"/>
        <v>0</v>
      </c>
      <c r="AN63" s="1064"/>
      <c r="AO63" s="1064">
        <f>TB_curr[[#This Row],[Closing balance]]+TB_curr[[#This Row],[Rounding]]</f>
        <v>0</v>
      </c>
    </row>
    <row r="64" spans="2:41" x14ac:dyDescent="0.25">
      <c r="AD64" s="1067" t="str">
        <f t="shared" si="0"/>
        <v/>
      </c>
      <c r="AE64" s="1063" t="str">
        <f>IF(ISNA(VLOOKUP(TB_curr[[#This Row],[Synt]],GL[[#Headers],[#Data],[subtotal label]],1,FALSE)),0,(VLOOKUP(TB_curr[[#This Row],[Synt]],GL[[#Headers],[#Data],[subtotal label]],1,FALSE)))</f>
        <v/>
      </c>
      <c r="AF64" s="1063" t="e">
        <f>IF((TB_curr[[#This Row],[Synt]]-TB_curr[[#This Row],[Subtotal Y/N]])=0,0,VLOOKUP(TB_curr[[#This Row],[Synt]],GL[[Account]:[Line]],3,FALSE))</f>
        <v>#VALUE!</v>
      </c>
      <c r="AG64" s="1063" t="e">
        <f>VLOOKUP(TB_curr[[#This Row],[Synt]],GL[[Account]:[B/P]],4,FALSE)</f>
        <v>#N/A</v>
      </c>
      <c r="AH64" s="1066" t="e">
        <v>#VALUE!</v>
      </c>
      <c r="AI64" s="1065" t="e">
        <f>TB_curr[[#This Row],[Synt]]&amp;TB_curr[[#This Row],[Line No. manual corr.]]</f>
        <v>#VALUE!</v>
      </c>
      <c r="AJ64" s="1064">
        <f t="shared" si="1"/>
        <v>0</v>
      </c>
      <c r="AK64" s="1064">
        <f t="shared" si="2"/>
        <v>0</v>
      </c>
      <c r="AL64" s="1064">
        <f t="shared" si="3"/>
        <v>0</v>
      </c>
      <c r="AM64" s="1064">
        <f t="shared" si="4"/>
        <v>0</v>
      </c>
      <c r="AN64" s="1064"/>
      <c r="AO64" s="1064">
        <f>TB_curr[[#This Row],[Closing balance]]+TB_curr[[#This Row],[Rounding]]</f>
        <v>0</v>
      </c>
    </row>
    <row r="65" spans="30:41" x14ac:dyDescent="0.25">
      <c r="AD65" s="1067" t="str">
        <f t="shared" si="0"/>
        <v/>
      </c>
      <c r="AE65" s="1063" t="str">
        <f>IF(ISNA(VLOOKUP(TB_curr[[#This Row],[Synt]],GL[[#Headers],[#Data],[subtotal label]],1,FALSE)),0,(VLOOKUP(TB_curr[[#This Row],[Synt]],GL[[#Headers],[#Data],[subtotal label]],1,FALSE)))</f>
        <v/>
      </c>
      <c r="AF65" s="1063" t="e">
        <f>IF((TB_curr[[#This Row],[Synt]]-TB_curr[[#This Row],[Subtotal Y/N]])=0,0,VLOOKUP(TB_curr[[#This Row],[Synt]],GL[[Account]:[Line]],3,FALSE))</f>
        <v>#VALUE!</v>
      </c>
      <c r="AG65" s="1063" t="e">
        <f>VLOOKUP(TB_curr[[#This Row],[Synt]],GL[[Account]:[B/P]],4,FALSE)</f>
        <v>#N/A</v>
      </c>
      <c r="AH65" s="1066" t="e">
        <v>#VALUE!</v>
      </c>
      <c r="AI65" s="1065" t="e">
        <f>TB_curr[[#This Row],[Synt]]&amp;TB_curr[[#This Row],[Line No. manual corr.]]</f>
        <v>#VALUE!</v>
      </c>
      <c r="AJ65" s="1064">
        <f t="shared" si="1"/>
        <v>0</v>
      </c>
      <c r="AK65" s="1064">
        <f t="shared" si="2"/>
        <v>0</v>
      </c>
      <c r="AL65" s="1064">
        <f t="shared" si="3"/>
        <v>0</v>
      </c>
      <c r="AM65" s="1064">
        <f t="shared" si="4"/>
        <v>0</v>
      </c>
      <c r="AN65" s="1064"/>
      <c r="AO65" s="1064">
        <f>TB_curr[[#This Row],[Closing balance]]+TB_curr[[#This Row],[Rounding]]</f>
        <v>0</v>
      </c>
    </row>
    <row r="66" spans="30:41" x14ac:dyDescent="0.25">
      <c r="AD66" s="1067" t="str">
        <f t="shared" si="0"/>
        <v/>
      </c>
      <c r="AE66" s="1063" t="str">
        <f>IF(ISNA(VLOOKUP(TB_curr[[#This Row],[Synt]],GL[[#Headers],[#Data],[subtotal label]],1,FALSE)),0,(VLOOKUP(TB_curr[[#This Row],[Synt]],GL[[#Headers],[#Data],[subtotal label]],1,FALSE)))</f>
        <v/>
      </c>
      <c r="AF66" s="1063" t="e">
        <f>IF((TB_curr[[#This Row],[Synt]]-TB_curr[[#This Row],[Subtotal Y/N]])=0,0,VLOOKUP(TB_curr[[#This Row],[Synt]],GL[[Account]:[Line]],3,FALSE))</f>
        <v>#VALUE!</v>
      </c>
      <c r="AG66" s="1063" t="e">
        <f>VLOOKUP(TB_curr[[#This Row],[Synt]],GL[[Account]:[B/P]],4,FALSE)</f>
        <v>#N/A</v>
      </c>
      <c r="AH66" s="1066" t="e">
        <v>#VALUE!</v>
      </c>
      <c r="AI66" s="1065" t="e">
        <f>TB_curr[[#This Row],[Synt]]&amp;TB_curr[[#This Row],[Line No. manual corr.]]</f>
        <v>#VALUE!</v>
      </c>
      <c r="AJ66" s="1064">
        <f t="shared" si="1"/>
        <v>0</v>
      </c>
      <c r="AK66" s="1064">
        <f t="shared" si="2"/>
        <v>0</v>
      </c>
      <c r="AL66" s="1064">
        <f t="shared" si="3"/>
        <v>0</v>
      </c>
      <c r="AM66" s="1064">
        <f t="shared" si="4"/>
        <v>0</v>
      </c>
      <c r="AN66" s="1064"/>
      <c r="AO66" s="1064">
        <f>TB_curr[[#This Row],[Closing balance]]+TB_curr[[#This Row],[Rounding]]</f>
        <v>0</v>
      </c>
    </row>
    <row r="67" spans="30:41" x14ac:dyDescent="0.25">
      <c r="AD67" s="1067" t="str">
        <f t="shared" si="0"/>
        <v/>
      </c>
      <c r="AE67" s="1063" t="str">
        <f>IF(ISNA(VLOOKUP(TB_curr[[#This Row],[Synt]],GL[[#Headers],[#Data],[subtotal label]],1,FALSE)),0,(VLOOKUP(TB_curr[[#This Row],[Synt]],GL[[#Headers],[#Data],[subtotal label]],1,FALSE)))</f>
        <v/>
      </c>
      <c r="AF67" s="1063" t="e">
        <f>IF((TB_curr[[#This Row],[Synt]]-TB_curr[[#This Row],[Subtotal Y/N]])=0,0,VLOOKUP(TB_curr[[#This Row],[Synt]],GL[[Account]:[Line]],3,FALSE))</f>
        <v>#VALUE!</v>
      </c>
      <c r="AG67" s="1063" t="e">
        <f>VLOOKUP(TB_curr[[#This Row],[Synt]],GL[[Account]:[B/P]],4,FALSE)</f>
        <v>#N/A</v>
      </c>
      <c r="AH67" s="1066" t="e">
        <v>#VALUE!</v>
      </c>
      <c r="AI67" s="1065" t="e">
        <f>TB_curr[[#This Row],[Synt]]&amp;TB_curr[[#This Row],[Line No. manual corr.]]</f>
        <v>#VALUE!</v>
      </c>
      <c r="AJ67" s="1064">
        <f t="shared" si="1"/>
        <v>0</v>
      </c>
      <c r="AK67" s="1064">
        <f t="shared" si="2"/>
        <v>0</v>
      </c>
      <c r="AL67" s="1064">
        <f t="shared" si="3"/>
        <v>0</v>
      </c>
      <c r="AM67" s="1064">
        <f t="shared" si="4"/>
        <v>0</v>
      </c>
      <c r="AN67" s="1064"/>
      <c r="AO67" s="1064">
        <f>TB_curr[[#This Row],[Closing balance]]+TB_curr[[#This Row],[Rounding]]</f>
        <v>0</v>
      </c>
    </row>
    <row r="68" spans="30:41" x14ac:dyDescent="0.25">
      <c r="AD68" s="1067" t="str">
        <f t="shared" si="0"/>
        <v/>
      </c>
      <c r="AE68" s="1063" t="str">
        <f>IF(ISNA(VLOOKUP(TB_curr[[#This Row],[Synt]],GL[[#Headers],[#Data],[subtotal label]],1,FALSE)),0,(VLOOKUP(TB_curr[[#This Row],[Synt]],GL[[#Headers],[#Data],[subtotal label]],1,FALSE)))</f>
        <v/>
      </c>
      <c r="AF68" s="1063" t="e">
        <f>IF((TB_curr[[#This Row],[Synt]]-TB_curr[[#This Row],[Subtotal Y/N]])=0,0,VLOOKUP(TB_curr[[#This Row],[Synt]],GL[[Account]:[Line]],3,FALSE))</f>
        <v>#VALUE!</v>
      </c>
      <c r="AG68" s="1063" t="e">
        <f>VLOOKUP(TB_curr[[#This Row],[Synt]],GL[[Account]:[B/P]],4,FALSE)</f>
        <v>#N/A</v>
      </c>
      <c r="AH68" s="1066" t="e">
        <v>#VALUE!</v>
      </c>
      <c r="AI68" s="1065" t="e">
        <f>TB_curr[[#This Row],[Synt]]&amp;TB_curr[[#This Row],[Line No. manual corr.]]</f>
        <v>#VALUE!</v>
      </c>
      <c r="AJ68" s="1064">
        <f t="shared" si="1"/>
        <v>0</v>
      </c>
      <c r="AK68" s="1064">
        <f t="shared" si="2"/>
        <v>0</v>
      </c>
      <c r="AL68" s="1064">
        <f t="shared" si="3"/>
        <v>0</v>
      </c>
      <c r="AM68" s="1064">
        <f t="shared" si="4"/>
        <v>0</v>
      </c>
      <c r="AN68" s="1064"/>
      <c r="AO68" s="1064">
        <f>TB_curr[[#This Row],[Closing balance]]+TB_curr[[#This Row],[Rounding]]</f>
        <v>0</v>
      </c>
    </row>
    <row r="69" spans="30:41" x14ac:dyDescent="0.25">
      <c r="AD69" s="1067" t="str">
        <f t="shared" si="0"/>
        <v/>
      </c>
      <c r="AE69" s="1063" t="str">
        <f>IF(ISNA(VLOOKUP(TB_curr[[#This Row],[Synt]],GL[[#Headers],[#Data],[subtotal label]],1,FALSE)),0,(VLOOKUP(TB_curr[[#This Row],[Synt]],GL[[#Headers],[#Data],[subtotal label]],1,FALSE)))</f>
        <v/>
      </c>
      <c r="AF69" s="1063" t="e">
        <f>IF((TB_curr[[#This Row],[Synt]]-TB_curr[[#This Row],[Subtotal Y/N]])=0,0,VLOOKUP(TB_curr[[#This Row],[Synt]],GL[[Account]:[Line]],3,FALSE))</f>
        <v>#VALUE!</v>
      </c>
      <c r="AG69" s="1063" t="e">
        <f>VLOOKUP(TB_curr[[#This Row],[Synt]],GL[[Account]:[B/P]],4,FALSE)</f>
        <v>#N/A</v>
      </c>
      <c r="AH69" s="1066" t="e">
        <v>#VALUE!</v>
      </c>
      <c r="AI69" s="1065" t="e">
        <f>TB_curr[[#This Row],[Synt]]&amp;TB_curr[[#This Row],[Line No. manual corr.]]</f>
        <v>#VALUE!</v>
      </c>
      <c r="AJ69" s="1064">
        <f t="shared" si="1"/>
        <v>0</v>
      </c>
      <c r="AK69" s="1064">
        <f t="shared" si="2"/>
        <v>0</v>
      </c>
      <c r="AL69" s="1064">
        <f t="shared" si="3"/>
        <v>0</v>
      </c>
      <c r="AM69" s="1064">
        <f t="shared" si="4"/>
        <v>0</v>
      </c>
      <c r="AN69" s="1064"/>
      <c r="AO69" s="1064">
        <f>TB_curr[[#This Row],[Closing balance]]+TB_curr[[#This Row],[Rounding]]</f>
        <v>0</v>
      </c>
    </row>
    <row r="70" spans="30:41" x14ac:dyDescent="0.25">
      <c r="AD70" s="1067" t="str">
        <f t="shared" si="0"/>
        <v/>
      </c>
      <c r="AE70" s="1063" t="str">
        <f>IF(ISNA(VLOOKUP(TB_curr[[#This Row],[Synt]],GL[[#Headers],[#Data],[subtotal label]],1,FALSE)),0,(VLOOKUP(TB_curr[[#This Row],[Synt]],GL[[#Headers],[#Data],[subtotal label]],1,FALSE)))</f>
        <v/>
      </c>
      <c r="AF70" s="1063" t="e">
        <f>IF((TB_curr[[#This Row],[Synt]]-TB_curr[[#This Row],[Subtotal Y/N]])=0,0,VLOOKUP(TB_curr[[#This Row],[Synt]],GL[[Account]:[Line]],3,FALSE))</f>
        <v>#VALUE!</v>
      </c>
      <c r="AG70" s="1063" t="e">
        <f>VLOOKUP(TB_curr[[#This Row],[Synt]],GL[[Account]:[B/P]],4,FALSE)</f>
        <v>#N/A</v>
      </c>
      <c r="AH70" s="1066" t="e">
        <v>#VALUE!</v>
      </c>
      <c r="AI70" s="1065" t="e">
        <f>TB_curr[[#This Row],[Synt]]&amp;TB_curr[[#This Row],[Line No. manual corr.]]</f>
        <v>#VALUE!</v>
      </c>
      <c r="AJ70" s="1064">
        <f t="shared" si="1"/>
        <v>0</v>
      </c>
      <c r="AK70" s="1064">
        <f t="shared" si="2"/>
        <v>0</v>
      </c>
      <c r="AL70" s="1064">
        <f t="shared" si="3"/>
        <v>0</v>
      </c>
      <c r="AM70" s="1064">
        <f t="shared" si="4"/>
        <v>0</v>
      </c>
      <c r="AN70" s="1064"/>
      <c r="AO70" s="1064">
        <f>TB_curr[[#This Row],[Closing balance]]+TB_curr[[#This Row],[Rounding]]</f>
        <v>0</v>
      </c>
    </row>
    <row r="71" spans="30:41" x14ac:dyDescent="0.25">
      <c r="AD71" s="1067" t="str">
        <f t="shared" si="0"/>
        <v/>
      </c>
      <c r="AE71" s="1063" t="str">
        <f>IF(ISNA(VLOOKUP(TB_curr[[#This Row],[Synt]],GL[[#Headers],[#Data],[subtotal label]],1,FALSE)),0,(VLOOKUP(TB_curr[[#This Row],[Synt]],GL[[#Headers],[#Data],[subtotal label]],1,FALSE)))</f>
        <v/>
      </c>
      <c r="AF71" s="1063" t="e">
        <f>IF((TB_curr[[#This Row],[Synt]]-TB_curr[[#This Row],[Subtotal Y/N]])=0,0,VLOOKUP(TB_curr[[#This Row],[Synt]],GL[[Account]:[Line]],3,FALSE))</f>
        <v>#VALUE!</v>
      </c>
      <c r="AG71" s="1063" t="e">
        <f>VLOOKUP(TB_curr[[#This Row],[Synt]],GL[[Account]:[B/P]],4,FALSE)</f>
        <v>#N/A</v>
      </c>
      <c r="AH71" s="1066" t="e">
        <v>#VALUE!</v>
      </c>
      <c r="AI71" s="1065" t="e">
        <f>TB_curr[[#This Row],[Synt]]&amp;TB_curr[[#This Row],[Line No. manual corr.]]</f>
        <v>#VALUE!</v>
      </c>
      <c r="AJ71" s="1064">
        <f t="shared" si="1"/>
        <v>0</v>
      </c>
      <c r="AK71" s="1064">
        <f t="shared" si="2"/>
        <v>0</v>
      </c>
      <c r="AL71" s="1064">
        <f t="shared" si="3"/>
        <v>0</v>
      </c>
      <c r="AM71" s="1064">
        <f t="shared" si="4"/>
        <v>0</v>
      </c>
      <c r="AN71" s="1064"/>
      <c r="AO71" s="1064">
        <f>TB_curr[[#This Row],[Closing balance]]+TB_curr[[#This Row],[Rounding]]</f>
        <v>0</v>
      </c>
    </row>
    <row r="72" spans="30:41" x14ac:dyDescent="0.25">
      <c r="AD72" s="1067" t="str">
        <f t="shared" ref="AD72:AD135" si="5">LEFT(B72,3)</f>
        <v/>
      </c>
      <c r="AE72" s="1063" t="str">
        <f>IF(ISNA(VLOOKUP(TB_curr[[#This Row],[Synt]],GL[[#Headers],[#Data],[subtotal label]],1,FALSE)),0,(VLOOKUP(TB_curr[[#This Row],[Synt]],GL[[#Headers],[#Data],[subtotal label]],1,FALSE)))</f>
        <v/>
      </c>
      <c r="AF72" s="1063" t="e">
        <f>IF((TB_curr[[#This Row],[Synt]]-TB_curr[[#This Row],[Subtotal Y/N]])=0,0,VLOOKUP(TB_curr[[#This Row],[Synt]],GL[[Account]:[Line]],3,FALSE))</f>
        <v>#VALUE!</v>
      </c>
      <c r="AG72" s="1063" t="e">
        <f>VLOOKUP(TB_curr[[#This Row],[Synt]],GL[[Account]:[B/P]],4,FALSE)</f>
        <v>#N/A</v>
      </c>
      <c r="AH72" s="1066" t="e">
        <v>#VALUE!</v>
      </c>
      <c r="AI72" s="1065" t="e">
        <f>TB_curr[[#This Row],[Synt]]&amp;TB_curr[[#This Row],[Line No. manual corr.]]</f>
        <v>#VALUE!</v>
      </c>
      <c r="AJ72" s="1064">
        <f t="shared" ref="AJ72:AJ135" si="6">K72-N72</f>
        <v>0</v>
      </c>
      <c r="AK72" s="1064">
        <f t="shared" ref="AK72:AK135" si="7">Q72</f>
        <v>0</v>
      </c>
      <c r="AL72" s="1064">
        <f t="shared" ref="AL72:AL135" si="8">U72</f>
        <v>0</v>
      </c>
      <c r="AM72" s="1064">
        <f t="shared" ref="AM72:AM135" si="9">X72-AB72</f>
        <v>0</v>
      </c>
      <c r="AN72" s="1064"/>
      <c r="AO72" s="1064">
        <f>TB_curr[[#This Row],[Closing balance]]+TB_curr[[#This Row],[Rounding]]</f>
        <v>0</v>
      </c>
    </row>
    <row r="73" spans="30:41" x14ac:dyDescent="0.25">
      <c r="AD73" s="1067" t="str">
        <f t="shared" si="5"/>
        <v/>
      </c>
      <c r="AE73" s="1063" t="str">
        <f>IF(ISNA(VLOOKUP(TB_curr[[#This Row],[Synt]],GL[[#Headers],[#Data],[subtotal label]],1,FALSE)),0,(VLOOKUP(TB_curr[[#This Row],[Synt]],GL[[#Headers],[#Data],[subtotal label]],1,FALSE)))</f>
        <v/>
      </c>
      <c r="AF73" s="1063" t="e">
        <f>IF((TB_curr[[#This Row],[Synt]]-TB_curr[[#This Row],[Subtotal Y/N]])=0,0,VLOOKUP(TB_curr[[#This Row],[Synt]],GL[[Account]:[Line]],3,FALSE))</f>
        <v>#VALUE!</v>
      </c>
      <c r="AG73" s="1063" t="e">
        <f>VLOOKUP(TB_curr[[#This Row],[Synt]],GL[[Account]:[B/P]],4,FALSE)</f>
        <v>#N/A</v>
      </c>
      <c r="AH73" s="1066" t="e">
        <v>#VALUE!</v>
      </c>
      <c r="AI73" s="1065" t="e">
        <f>TB_curr[[#This Row],[Synt]]&amp;TB_curr[[#This Row],[Line No. manual corr.]]</f>
        <v>#VALUE!</v>
      </c>
      <c r="AJ73" s="1064">
        <f t="shared" si="6"/>
        <v>0</v>
      </c>
      <c r="AK73" s="1064">
        <f t="shared" si="7"/>
        <v>0</v>
      </c>
      <c r="AL73" s="1064">
        <f t="shared" si="8"/>
        <v>0</v>
      </c>
      <c r="AM73" s="1064">
        <f t="shared" si="9"/>
        <v>0</v>
      </c>
      <c r="AN73" s="1064"/>
      <c r="AO73" s="1064">
        <f>TB_curr[[#This Row],[Closing balance]]+TB_curr[[#This Row],[Rounding]]</f>
        <v>0</v>
      </c>
    </row>
    <row r="74" spans="30:41" x14ac:dyDescent="0.25">
      <c r="AD74" s="1067" t="str">
        <f t="shared" si="5"/>
        <v/>
      </c>
      <c r="AE74" s="1063" t="str">
        <f>IF(ISNA(VLOOKUP(TB_curr[[#This Row],[Synt]],GL[[#Headers],[#Data],[subtotal label]],1,FALSE)),0,(VLOOKUP(TB_curr[[#This Row],[Synt]],GL[[#Headers],[#Data],[subtotal label]],1,FALSE)))</f>
        <v/>
      </c>
      <c r="AF74" s="1063" t="e">
        <f>IF((TB_curr[[#This Row],[Synt]]-TB_curr[[#This Row],[Subtotal Y/N]])=0,0,VLOOKUP(TB_curr[[#This Row],[Synt]],GL[[Account]:[Line]],3,FALSE))</f>
        <v>#VALUE!</v>
      </c>
      <c r="AG74" s="1063" t="e">
        <f>VLOOKUP(TB_curr[[#This Row],[Synt]],GL[[Account]:[B/P]],4,FALSE)</f>
        <v>#N/A</v>
      </c>
      <c r="AH74" s="1066" t="e">
        <v>#VALUE!</v>
      </c>
      <c r="AI74" s="1065" t="e">
        <f>TB_curr[[#This Row],[Synt]]&amp;TB_curr[[#This Row],[Line No. manual corr.]]</f>
        <v>#VALUE!</v>
      </c>
      <c r="AJ74" s="1064">
        <f t="shared" si="6"/>
        <v>0</v>
      </c>
      <c r="AK74" s="1064">
        <f t="shared" si="7"/>
        <v>0</v>
      </c>
      <c r="AL74" s="1064">
        <f t="shared" si="8"/>
        <v>0</v>
      </c>
      <c r="AM74" s="1064">
        <f t="shared" si="9"/>
        <v>0</v>
      </c>
      <c r="AN74" s="1064"/>
      <c r="AO74" s="1064">
        <f>TB_curr[[#This Row],[Closing balance]]+TB_curr[[#This Row],[Rounding]]</f>
        <v>0</v>
      </c>
    </row>
    <row r="75" spans="30:41" x14ac:dyDescent="0.25">
      <c r="AD75" s="1067" t="str">
        <f t="shared" si="5"/>
        <v/>
      </c>
      <c r="AE75" s="1063" t="str">
        <f>IF(ISNA(VLOOKUP(TB_curr[[#This Row],[Synt]],GL[[#Headers],[#Data],[subtotal label]],1,FALSE)),0,(VLOOKUP(TB_curr[[#This Row],[Synt]],GL[[#Headers],[#Data],[subtotal label]],1,FALSE)))</f>
        <v/>
      </c>
      <c r="AF75" s="1063" t="e">
        <f>IF((TB_curr[[#This Row],[Synt]]-TB_curr[[#This Row],[Subtotal Y/N]])=0,0,VLOOKUP(TB_curr[[#This Row],[Synt]],GL[[Account]:[Line]],3,FALSE))</f>
        <v>#VALUE!</v>
      </c>
      <c r="AG75" s="1063" t="e">
        <f>VLOOKUP(TB_curr[[#This Row],[Synt]],GL[[Account]:[B/P]],4,FALSE)</f>
        <v>#N/A</v>
      </c>
      <c r="AH75" s="1066" t="e">
        <v>#VALUE!</v>
      </c>
      <c r="AI75" s="1065" t="e">
        <f>TB_curr[[#This Row],[Synt]]&amp;TB_curr[[#This Row],[Line No. manual corr.]]</f>
        <v>#VALUE!</v>
      </c>
      <c r="AJ75" s="1064">
        <f t="shared" si="6"/>
        <v>0</v>
      </c>
      <c r="AK75" s="1064">
        <f t="shared" si="7"/>
        <v>0</v>
      </c>
      <c r="AL75" s="1064">
        <f t="shared" si="8"/>
        <v>0</v>
      </c>
      <c r="AM75" s="1064">
        <f t="shared" si="9"/>
        <v>0</v>
      </c>
      <c r="AN75" s="1064"/>
      <c r="AO75" s="1064">
        <f>TB_curr[[#This Row],[Closing balance]]+TB_curr[[#This Row],[Rounding]]</f>
        <v>0</v>
      </c>
    </row>
    <row r="76" spans="30:41" x14ac:dyDescent="0.25">
      <c r="AD76" s="1067" t="str">
        <f t="shared" si="5"/>
        <v/>
      </c>
      <c r="AE76" s="1063" t="str">
        <f>IF(ISNA(VLOOKUP(TB_curr[[#This Row],[Synt]],GL[[#Headers],[#Data],[subtotal label]],1,FALSE)),0,(VLOOKUP(TB_curr[[#This Row],[Synt]],GL[[#Headers],[#Data],[subtotal label]],1,FALSE)))</f>
        <v/>
      </c>
      <c r="AF76" s="1063" t="e">
        <f>IF((TB_curr[[#This Row],[Synt]]-TB_curr[[#This Row],[Subtotal Y/N]])=0,0,VLOOKUP(TB_curr[[#This Row],[Synt]],GL[[Account]:[Line]],3,FALSE))</f>
        <v>#VALUE!</v>
      </c>
      <c r="AG76" s="1063" t="e">
        <f>VLOOKUP(TB_curr[[#This Row],[Synt]],GL[[Account]:[B/P]],4,FALSE)</f>
        <v>#N/A</v>
      </c>
      <c r="AH76" s="1066" t="e">
        <v>#VALUE!</v>
      </c>
      <c r="AI76" s="1065" t="e">
        <f>TB_curr[[#This Row],[Synt]]&amp;TB_curr[[#This Row],[Line No. manual corr.]]</f>
        <v>#VALUE!</v>
      </c>
      <c r="AJ76" s="1064">
        <f t="shared" si="6"/>
        <v>0</v>
      </c>
      <c r="AK76" s="1064">
        <f t="shared" si="7"/>
        <v>0</v>
      </c>
      <c r="AL76" s="1064">
        <f t="shared" si="8"/>
        <v>0</v>
      </c>
      <c r="AM76" s="1064">
        <f t="shared" si="9"/>
        <v>0</v>
      </c>
      <c r="AN76" s="1064"/>
      <c r="AO76" s="1064">
        <f>TB_curr[[#This Row],[Closing balance]]+TB_curr[[#This Row],[Rounding]]</f>
        <v>0</v>
      </c>
    </row>
    <row r="77" spans="30:41" x14ac:dyDescent="0.25">
      <c r="AD77" s="1067" t="str">
        <f t="shared" si="5"/>
        <v/>
      </c>
      <c r="AE77" s="1063" t="str">
        <f>IF(ISNA(VLOOKUP(TB_curr[[#This Row],[Synt]],GL[[#Headers],[#Data],[subtotal label]],1,FALSE)),0,(VLOOKUP(TB_curr[[#This Row],[Synt]],GL[[#Headers],[#Data],[subtotal label]],1,FALSE)))</f>
        <v/>
      </c>
      <c r="AF77" s="1063" t="e">
        <f>IF((TB_curr[[#This Row],[Synt]]-TB_curr[[#This Row],[Subtotal Y/N]])=0,0,VLOOKUP(TB_curr[[#This Row],[Synt]],GL[[Account]:[Line]],3,FALSE))</f>
        <v>#VALUE!</v>
      </c>
      <c r="AG77" s="1063" t="e">
        <f>VLOOKUP(TB_curr[[#This Row],[Synt]],GL[[Account]:[B/P]],4,FALSE)</f>
        <v>#N/A</v>
      </c>
      <c r="AH77" s="1066" t="e">
        <v>#VALUE!</v>
      </c>
      <c r="AI77" s="1065" t="e">
        <f>TB_curr[[#This Row],[Synt]]&amp;TB_curr[[#This Row],[Line No. manual corr.]]</f>
        <v>#VALUE!</v>
      </c>
      <c r="AJ77" s="1064">
        <f t="shared" si="6"/>
        <v>0</v>
      </c>
      <c r="AK77" s="1064">
        <f t="shared" si="7"/>
        <v>0</v>
      </c>
      <c r="AL77" s="1064">
        <f t="shared" si="8"/>
        <v>0</v>
      </c>
      <c r="AM77" s="1064">
        <f t="shared" si="9"/>
        <v>0</v>
      </c>
      <c r="AN77" s="1064"/>
      <c r="AO77" s="1064">
        <f>TB_curr[[#This Row],[Closing balance]]+TB_curr[[#This Row],[Rounding]]</f>
        <v>0</v>
      </c>
    </row>
    <row r="78" spans="30:41" x14ac:dyDescent="0.25">
      <c r="AD78" s="1067" t="str">
        <f t="shared" si="5"/>
        <v/>
      </c>
      <c r="AE78" s="1063" t="str">
        <f>IF(ISNA(VLOOKUP(TB_curr[[#This Row],[Synt]],GL[[#Headers],[#Data],[subtotal label]],1,FALSE)),0,(VLOOKUP(TB_curr[[#This Row],[Synt]],GL[[#Headers],[#Data],[subtotal label]],1,FALSE)))</f>
        <v/>
      </c>
      <c r="AF78" s="1063" t="e">
        <f>IF((TB_curr[[#This Row],[Synt]]-TB_curr[[#This Row],[Subtotal Y/N]])=0,0,VLOOKUP(TB_curr[[#This Row],[Synt]],GL[[Account]:[Line]],3,FALSE))</f>
        <v>#VALUE!</v>
      </c>
      <c r="AG78" s="1063" t="e">
        <f>VLOOKUP(TB_curr[[#This Row],[Synt]],GL[[Account]:[B/P]],4,FALSE)</f>
        <v>#N/A</v>
      </c>
      <c r="AH78" s="1066" t="e">
        <v>#VALUE!</v>
      </c>
      <c r="AI78" s="1065" t="e">
        <f>TB_curr[[#This Row],[Synt]]&amp;TB_curr[[#This Row],[Line No. manual corr.]]</f>
        <v>#VALUE!</v>
      </c>
      <c r="AJ78" s="1064">
        <f t="shared" si="6"/>
        <v>0</v>
      </c>
      <c r="AK78" s="1064">
        <f t="shared" si="7"/>
        <v>0</v>
      </c>
      <c r="AL78" s="1064">
        <f t="shared" si="8"/>
        <v>0</v>
      </c>
      <c r="AM78" s="1064">
        <f t="shared" si="9"/>
        <v>0</v>
      </c>
      <c r="AN78" s="1064"/>
      <c r="AO78" s="1064">
        <f>TB_curr[[#This Row],[Closing balance]]+TB_curr[[#This Row],[Rounding]]</f>
        <v>0</v>
      </c>
    </row>
    <row r="79" spans="30:41" x14ac:dyDescent="0.25">
      <c r="AD79" s="1067" t="str">
        <f t="shared" si="5"/>
        <v/>
      </c>
      <c r="AE79" s="1063" t="str">
        <f>IF(ISNA(VLOOKUP(TB_curr[[#This Row],[Synt]],GL[[#Headers],[#Data],[subtotal label]],1,FALSE)),0,(VLOOKUP(TB_curr[[#This Row],[Synt]],GL[[#Headers],[#Data],[subtotal label]],1,FALSE)))</f>
        <v/>
      </c>
      <c r="AF79" s="1063" t="e">
        <f>IF((TB_curr[[#This Row],[Synt]]-TB_curr[[#This Row],[Subtotal Y/N]])=0,0,VLOOKUP(TB_curr[[#This Row],[Synt]],GL[[Account]:[Line]],3,FALSE))</f>
        <v>#VALUE!</v>
      </c>
      <c r="AG79" s="1063" t="e">
        <f>VLOOKUP(TB_curr[[#This Row],[Synt]],GL[[Account]:[B/P]],4,FALSE)</f>
        <v>#N/A</v>
      </c>
      <c r="AH79" s="1066" t="e">
        <v>#VALUE!</v>
      </c>
      <c r="AI79" s="1065" t="e">
        <f>TB_curr[[#This Row],[Synt]]&amp;TB_curr[[#This Row],[Line No. manual corr.]]</f>
        <v>#VALUE!</v>
      </c>
      <c r="AJ79" s="1064">
        <f t="shared" si="6"/>
        <v>0</v>
      </c>
      <c r="AK79" s="1064">
        <f t="shared" si="7"/>
        <v>0</v>
      </c>
      <c r="AL79" s="1064">
        <f t="shared" si="8"/>
        <v>0</v>
      </c>
      <c r="AM79" s="1064">
        <f t="shared" si="9"/>
        <v>0</v>
      </c>
      <c r="AN79" s="1064"/>
      <c r="AO79" s="1064">
        <f>TB_curr[[#This Row],[Closing balance]]+TB_curr[[#This Row],[Rounding]]</f>
        <v>0</v>
      </c>
    </row>
    <row r="80" spans="30:41" x14ac:dyDescent="0.25">
      <c r="AD80" s="1067" t="str">
        <f t="shared" si="5"/>
        <v/>
      </c>
      <c r="AE80" s="1063" t="str">
        <f>IF(ISNA(VLOOKUP(TB_curr[[#This Row],[Synt]],GL[[#Headers],[#Data],[subtotal label]],1,FALSE)),0,(VLOOKUP(TB_curr[[#This Row],[Synt]],GL[[#Headers],[#Data],[subtotal label]],1,FALSE)))</f>
        <v/>
      </c>
      <c r="AF80" s="1063" t="e">
        <f>IF((TB_curr[[#This Row],[Synt]]-TB_curr[[#This Row],[Subtotal Y/N]])=0,0,VLOOKUP(TB_curr[[#This Row],[Synt]],GL[[Account]:[Line]],3,FALSE))</f>
        <v>#VALUE!</v>
      </c>
      <c r="AG80" s="1063" t="e">
        <f>VLOOKUP(TB_curr[[#This Row],[Synt]],GL[[Account]:[B/P]],4,FALSE)</f>
        <v>#N/A</v>
      </c>
      <c r="AH80" s="1066" t="e">
        <v>#VALUE!</v>
      </c>
      <c r="AI80" s="1065" t="e">
        <f>TB_curr[[#This Row],[Synt]]&amp;TB_curr[[#This Row],[Line No. manual corr.]]</f>
        <v>#VALUE!</v>
      </c>
      <c r="AJ80" s="1064">
        <f t="shared" si="6"/>
        <v>0</v>
      </c>
      <c r="AK80" s="1064">
        <f t="shared" si="7"/>
        <v>0</v>
      </c>
      <c r="AL80" s="1064">
        <f t="shared" si="8"/>
        <v>0</v>
      </c>
      <c r="AM80" s="1064">
        <f t="shared" si="9"/>
        <v>0</v>
      </c>
      <c r="AN80" s="1064"/>
      <c r="AO80" s="1064">
        <f>TB_curr[[#This Row],[Closing balance]]+TB_curr[[#This Row],[Rounding]]</f>
        <v>0</v>
      </c>
    </row>
    <row r="81" spans="30:41" x14ac:dyDescent="0.25">
      <c r="AD81" s="1067" t="str">
        <f t="shared" si="5"/>
        <v/>
      </c>
      <c r="AE81" s="1063" t="str">
        <f>IF(ISNA(VLOOKUP(TB_curr[[#This Row],[Synt]],GL[[#Headers],[#Data],[subtotal label]],1,FALSE)),0,(VLOOKUP(TB_curr[[#This Row],[Synt]],GL[[#Headers],[#Data],[subtotal label]],1,FALSE)))</f>
        <v/>
      </c>
      <c r="AF81" s="1063" t="e">
        <f>IF((TB_curr[[#This Row],[Synt]]-TB_curr[[#This Row],[Subtotal Y/N]])=0,0,VLOOKUP(TB_curr[[#This Row],[Synt]],GL[[Account]:[Line]],3,FALSE))</f>
        <v>#VALUE!</v>
      </c>
      <c r="AG81" s="1063" t="e">
        <f>VLOOKUP(TB_curr[[#This Row],[Synt]],GL[[Account]:[B/P]],4,FALSE)</f>
        <v>#N/A</v>
      </c>
      <c r="AH81" s="1066" t="e">
        <v>#VALUE!</v>
      </c>
      <c r="AI81" s="1065" t="e">
        <f>TB_curr[[#This Row],[Synt]]&amp;TB_curr[[#This Row],[Line No. manual corr.]]</f>
        <v>#VALUE!</v>
      </c>
      <c r="AJ81" s="1064">
        <f t="shared" si="6"/>
        <v>0</v>
      </c>
      <c r="AK81" s="1064">
        <f t="shared" si="7"/>
        <v>0</v>
      </c>
      <c r="AL81" s="1064">
        <f t="shared" si="8"/>
        <v>0</v>
      </c>
      <c r="AM81" s="1064">
        <f t="shared" si="9"/>
        <v>0</v>
      </c>
      <c r="AN81" s="1064"/>
      <c r="AO81" s="1064">
        <f>TB_curr[[#This Row],[Closing balance]]+TB_curr[[#This Row],[Rounding]]</f>
        <v>0</v>
      </c>
    </row>
    <row r="82" spans="30:41" x14ac:dyDescent="0.25">
      <c r="AD82" s="1067" t="str">
        <f t="shared" si="5"/>
        <v/>
      </c>
      <c r="AE82" s="1063" t="str">
        <f>IF(ISNA(VLOOKUP(TB_curr[[#This Row],[Synt]],GL[[#Headers],[#Data],[subtotal label]],1,FALSE)),0,(VLOOKUP(TB_curr[[#This Row],[Synt]],GL[[#Headers],[#Data],[subtotal label]],1,FALSE)))</f>
        <v/>
      </c>
      <c r="AF82" s="1063" t="e">
        <f>IF((TB_curr[[#This Row],[Synt]]-TB_curr[[#This Row],[Subtotal Y/N]])=0,0,VLOOKUP(TB_curr[[#This Row],[Synt]],GL[[Account]:[Line]],3,FALSE))</f>
        <v>#VALUE!</v>
      </c>
      <c r="AG82" s="1063" t="e">
        <f>VLOOKUP(TB_curr[[#This Row],[Synt]],GL[[Account]:[B/P]],4,FALSE)</f>
        <v>#N/A</v>
      </c>
      <c r="AH82" s="1066" t="e">
        <v>#VALUE!</v>
      </c>
      <c r="AI82" s="1065" t="e">
        <f>TB_curr[[#This Row],[Synt]]&amp;TB_curr[[#This Row],[Line No. manual corr.]]</f>
        <v>#VALUE!</v>
      </c>
      <c r="AJ82" s="1064">
        <f t="shared" si="6"/>
        <v>0</v>
      </c>
      <c r="AK82" s="1064">
        <f t="shared" si="7"/>
        <v>0</v>
      </c>
      <c r="AL82" s="1064">
        <f t="shared" si="8"/>
        <v>0</v>
      </c>
      <c r="AM82" s="1064">
        <f t="shared" si="9"/>
        <v>0</v>
      </c>
      <c r="AN82" s="1064"/>
      <c r="AO82" s="1064">
        <f>TB_curr[[#This Row],[Closing balance]]+TB_curr[[#This Row],[Rounding]]</f>
        <v>0</v>
      </c>
    </row>
    <row r="83" spans="30:41" x14ac:dyDescent="0.25">
      <c r="AD83" s="1067" t="str">
        <f t="shared" si="5"/>
        <v/>
      </c>
      <c r="AE83" s="1063" t="str">
        <f>IF(ISNA(VLOOKUP(TB_curr[[#This Row],[Synt]],GL[[#Headers],[#Data],[subtotal label]],1,FALSE)),0,(VLOOKUP(TB_curr[[#This Row],[Synt]],GL[[#Headers],[#Data],[subtotal label]],1,FALSE)))</f>
        <v/>
      </c>
      <c r="AF83" s="1063" t="e">
        <f>IF((TB_curr[[#This Row],[Synt]]-TB_curr[[#This Row],[Subtotal Y/N]])=0,0,VLOOKUP(TB_curr[[#This Row],[Synt]],GL[[Account]:[Line]],3,FALSE))</f>
        <v>#VALUE!</v>
      </c>
      <c r="AG83" s="1063" t="e">
        <f>VLOOKUP(TB_curr[[#This Row],[Synt]],GL[[Account]:[B/P]],4,FALSE)</f>
        <v>#N/A</v>
      </c>
      <c r="AH83" s="1066" t="e">
        <v>#VALUE!</v>
      </c>
      <c r="AI83" s="1065" t="e">
        <f>TB_curr[[#This Row],[Synt]]&amp;TB_curr[[#This Row],[Line No. manual corr.]]</f>
        <v>#VALUE!</v>
      </c>
      <c r="AJ83" s="1064">
        <f t="shared" si="6"/>
        <v>0</v>
      </c>
      <c r="AK83" s="1064">
        <f t="shared" si="7"/>
        <v>0</v>
      </c>
      <c r="AL83" s="1064">
        <f t="shared" si="8"/>
        <v>0</v>
      </c>
      <c r="AM83" s="1064">
        <f t="shared" si="9"/>
        <v>0</v>
      </c>
      <c r="AN83" s="1064"/>
      <c r="AO83" s="1064">
        <f>TB_curr[[#This Row],[Closing balance]]+TB_curr[[#This Row],[Rounding]]</f>
        <v>0</v>
      </c>
    </row>
    <row r="84" spans="30:41" x14ac:dyDescent="0.25">
      <c r="AD84" s="1067" t="str">
        <f t="shared" si="5"/>
        <v/>
      </c>
      <c r="AE84" s="1063" t="str">
        <f>IF(ISNA(VLOOKUP(TB_curr[[#This Row],[Synt]],GL[[#Headers],[#Data],[subtotal label]],1,FALSE)),0,(VLOOKUP(TB_curr[[#This Row],[Synt]],GL[[#Headers],[#Data],[subtotal label]],1,FALSE)))</f>
        <v/>
      </c>
      <c r="AF84" s="1063" t="e">
        <f>IF((TB_curr[[#This Row],[Synt]]-TB_curr[[#This Row],[Subtotal Y/N]])=0,0,VLOOKUP(TB_curr[[#This Row],[Synt]],GL[[Account]:[Line]],3,FALSE))</f>
        <v>#VALUE!</v>
      </c>
      <c r="AG84" s="1063" t="e">
        <f>VLOOKUP(TB_curr[[#This Row],[Synt]],GL[[Account]:[B/P]],4,FALSE)</f>
        <v>#N/A</v>
      </c>
      <c r="AH84" s="1066" t="e">
        <v>#VALUE!</v>
      </c>
      <c r="AI84" s="1065" t="e">
        <f>TB_curr[[#This Row],[Synt]]&amp;TB_curr[[#This Row],[Line No. manual corr.]]</f>
        <v>#VALUE!</v>
      </c>
      <c r="AJ84" s="1064">
        <f t="shared" si="6"/>
        <v>0</v>
      </c>
      <c r="AK84" s="1064">
        <f t="shared" si="7"/>
        <v>0</v>
      </c>
      <c r="AL84" s="1064">
        <f t="shared" si="8"/>
        <v>0</v>
      </c>
      <c r="AM84" s="1064">
        <f t="shared" si="9"/>
        <v>0</v>
      </c>
      <c r="AN84" s="1064"/>
      <c r="AO84" s="1064">
        <f>TB_curr[[#This Row],[Closing balance]]+TB_curr[[#This Row],[Rounding]]</f>
        <v>0</v>
      </c>
    </row>
    <row r="85" spans="30:41" x14ac:dyDescent="0.25">
      <c r="AD85" s="1067" t="str">
        <f t="shared" si="5"/>
        <v/>
      </c>
      <c r="AE85" s="1063" t="str">
        <f>IF(ISNA(VLOOKUP(TB_curr[[#This Row],[Synt]],GL[[#Headers],[#Data],[subtotal label]],1,FALSE)),0,(VLOOKUP(TB_curr[[#This Row],[Synt]],GL[[#Headers],[#Data],[subtotal label]],1,FALSE)))</f>
        <v/>
      </c>
      <c r="AF85" s="1063" t="e">
        <f>IF((TB_curr[[#This Row],[Synt]]-TB_curr[[#This Row],[Subtotal Y/N]])=0,0,VLOOKUP(TB_curr[[#This Row],[Synt]],GL[[Account]:[Line]],3,FALSE))</f>
        <v>#VALUE!</v>
      </c>
      <c r="AG85" s="1063" t="e">
        <f>VLOOKUP(TB_curr[[#This Row],[Synt]],GL[[Account]:[B/P]],4,FALSE)</f>
        <v>#N/A</v>
      </c>
      <c r="AH85" s="1066" t="e">
        <v>#VALUE!</v>
      </c>
      <c r="AI85" s="1065" t="e">
        <f>TB_curr[[#This Row],[Synt]]&amp;TB_curr[[#This Row],[Line No. manual corr.]]</f>
        <v>#VALUE!</v>
      </c>
      <c r="AJ85" s="1064">
        <f t="shared" si="6"/>
        <v>0</v>
      </c>
      <c r="AK85" s="1064">
        <f t="shared" si="7"/>
        <v>0</v>
      </c>
      <c r="AL85" s="1064">
        <f t="shared" si="8"/>
        <v>0</v>
      </c>
      <c r="AM85" s="1064">
        <f t="shared" si="9"/>
        <v>0</v>
      </c>
      <c r="AN85" s="1064"/>
      <c r="AO85" s="1064">
        <f>TB_curr[[#This Row],[Closing balance]]+TB_curr[[#This Row],[Rounding]]</f>
        <v>0</v>
      </c>
    </row>
    <row r="86" spans="30:41" x14ac:dyDescent="0.25">
      <c r="AD86" s="1067" t="str">
        <f t="shared" si="5"/>
        <v/>
      </c>
      <c r="AE86" s="1063" t="str">
        <f>IF(ISNA(VLOOKUP(TB_curr[[#This Row],[Synt]],GL[[#Headers],[#Data],[subtotal label]],1,FALSE)),0,(VLOOKUP(TB_curr[[#This Row],[Synt]],GL[[#Headers],[#Data],[subtotal label]],1,FALSE)))</f>
        <v/>
      </c>
      <c r="AF86" s="1063" t="e">
        <f>IF((TB_curr[[#This Row],[Synt]]-TB_curr[[#This Row],[Subtotal Y/N]])=0,0,VLOOKUP(TB_curr[[#This Row],[Synt]],GL[[Account]:[Line]],3,FALSE))</f>
        <v>#VALUE!</v>
      </c>
      <c r="AG86" s="1063" t="e">
        <f>VLOOKUP(TB_curr[[#This Row],[Synt]],GL[[Account]:[B/P]],4,FALSE)</f>
        <v>#N/A</v>
      </c>
      <c r="AH86" s="1066" t="e">
        <v>#VALUE!</v>
      </c>
      <c r="AI86" s="1065" t="e">
        <f>TB_curr[[#This Row],[Synt]]&amp;TB_curr[[#This Row],[Line No. manual corr.]]</f>
        <v>#VALUE!</v>
      </c>
      <c r="AJ86" s="1064">
        <f t="shared" si="6"/>
        <v>0</v>
      </c>
      <c r="AK86" s="1064">
        <f t="shared" si="7"/>
        <v>0</v>
      </c>
      <c r="AL86" s="1064">
        <f t="shared" si="8"/>
        <v>0</v>
      </c>
      <c r="AM86" s="1064">
        <f t="shared" si="9"/>
        <v>0</v>
      </c>
      <c r="AN86" s="1064"/>
      <c r="AO86" s="1064">
        <f>TB_curr[[#This Row],[Closing balance]]+TB_curr[[#This Row],[Rounding]]</f>
        <v>0</v>
      </c>
    </row>
    <row r="87" spans="30:41" x14ac:dyDescent="0.25">
      <c r="AD87" s="1067" t="str">
        <f t="shared" si="5"/>
        <v/>
      </c>
      <c r="AE87" s="1063" t="str">
        <f>IF(ISNA(VLOOKUP(TB_curr[[#This Row],[Synt]],GL[[#Headers],[#Data],[subtotal label]],1,FALSE)),0,(VLOOKUP(TB_curr[[#This Row],[Synt]],GL[[#Headers],[#Data],[subtotal label]],1,FALSE)))</f>
        <v/>
      </c>
      <c r="AF87" s="1063" t="e">
        <f>IF((TB_curr[[#This Row],[Synt]]-TB_curr[[#This Row],[Subtotal Y/N]])=0,0,VLOOKUP(TB_curr[[#This Row],[Synt]],GL[[Account]:[Line]],3,FALSE))</f>
        <v>#VALUE!</v>
      </c>
      <c r="AG87" s="1063" t="e">
        <f>VLOOKUP(TB_curr[[#This Row],[Synt]],GL[[Account]:[B/P]],4,FALSE)</f>
        <v>#N/A</v>
      </c>
      <c r="AH87" s="1066" t="e">
        <v>#VALUE!</v>
      </c>
      <c r="AI87" s="1065" t="e">
        <f>TB_curr[[#This Row],[Synt]]&amp;TB_curr[[#This Row],[Line No. manual corr.]]</f>
        <v>#VALUE!</v>
      </c>
      <c r="AJ87" s="1064">
        <f t="shared" si="6"/>
        <v>0</v>
      </c>
      <c r="AK87" s="1064">
        <f t="shared" si="7"/>
        <v>0</v>
      </c>
      <c r="AL87" s="1064">
        <f t="shared" si="8"/>
        <v>0</v>
      </c>
      <c r="AM87" s="1064">
        <f t="shared" si="9"/>
        <v>0</v>
      </c>
      <c r="AN87" s="1064"/>
      <c r="AO87" s="1064">
        <f>TB_curr[[#This Row],[Closing balance]]+TB_curr[[#This Row],[Rounding]]</f>
        <v>0</v>
      </c>
    </row>
    <row r="88" spans="30:41" x14ac:dyDescent="0.25">
      <c r="AD88" s="1067" t="str">
        <f t="shared" si="5"/>
        <v/>
      </c>
      <c r="AE88" s="1063" t="str">
        <f>IF(ISNA(VLOOKUP(TB_curr[[#This Row],[Synt]],GL[[#Headers],[#Data],[subtotal label]],1,FALSE)),0,(VLOOKUP(TB_curr[[#This Row],[Synt]],GL[[#Headers],[#Data],[subtotal label]],1,FALSE)))</f>
        <v/>
      </c>
      <c r="AF88" s="1063" t="e">
        <f>IF((TB_curr[[#This Row],[Synt]]-TB_curr[[#This Row],[Subtotal Y/N]])=0,0,VLOOKUP(TB_curr[[#This Row],[Synt]],GL[[Account]:[Line]],3,FALSE))</f>
        <v>#VALUE!</v>
      </c>
      <c r="AG88" s="1063" t="e">
        <f>VLOOKUP(TB_curr[[#This Row],[Synt]],GL[[Account]:[B/P]],4,FALSE)</f>
        <v>#N/A</v>
      </c>
      <c r="AH88" s="1066" t="e">
        <v>#VALUE!</v>
      </c>
      <c r="AI88" s="1065" t="e">
        <f>TB_curr[[#This Row],[Synt]]&amp;TB_curr[[#This Row],[Line No. manual corr.]]</f>
        <v>#VALUE!</v>
      </c>
      <c r="AJ88" s="1064">
        <f t="shared" si="6"/>
        <v>0</v>
      </c>
      <c r="AK88" s="1064">
        <f t="shared" si="7"/>
        <v>0</v>
      </c>
      <c r="AL88" s="1064">
        <f t="shared" si="8"/>
        <v>0</v>
      </c>
      <c r="AM88" s="1064">
        <f t="shared" si="9"/>
        <v>0</v>
      </c>
      <c r="AN88" s="1064"/>
      <c r="AO88" s="1064">
        <f>TB_curr[[#This Row],[Closing balance]]+TB_curr[[#This Row],[Rounding]]</f>
        <v>0</v>
      </c>
    </row>
    <row r="89" spans="30:41" x14ac:dyDescent="0.25">
      <c r="AD89" s="1067" t="str">
        <f t="shared" si="5"/>
        <v/>
      </c>
      <c r="AE89" s="1063" t="str">
        <f>IF(ISNA(VLOOKUP(TB_curr[[#This Row],[Synt]],GL[[#Headers],[#Data],[subtotal label]],1,FALSE)),0,(VLOOKUP(TB_curr[[#This Row],[Synt]],GL[[#Headers],[#Data],[subtotal label]],1,FALSE)))</f>
        <v/>
      </c>
      <c r="AF89" s="1063" t="e">
        <f>IF((TB_curr[[#This Row],[Synt]]-TB_curr[[#This Row],[Subtotal Y/N]])=0,0,VLOOKUP(TB_curr[[#This Row],[Synt]],GL[[Account]:[Line]],3,FALSE))</f>
        <v>#VALUE!</v>
      </c>
      <c r="AG89" s="1063" t="e">
        <f>VLOOKUP(TB_curr[[#This Row],[Synt]],GL[[Account]:[B/P]],4,FALSE)</f>
        <v>#N/A</v>
      </c>
      <c r="AH89" s="1066" t="e">
        <v>#VALUE!</v>
      </c>
      <c r="AI89" s="1065" t="e">
        <f>TB_curr[[#This Row],[Synt]]&amp;TB_curr[[#This Row],[Line No. manual corr.]]</f>
        <v>#VALUE!</v>
      </c>
      <c r="AJ89" s="1064">
        <f t="shared" si="6"/>
        <v>0</v>
      </c>
      <c r="AK89" s="1064">
        <f t="shared" si="7"/>
        <v>0</v>
      </c>
      <c r="AL89" s="1064">
        <f t="shared" si="8"/>
        <v>0</v>
      </c>
      <c r="AM89" s="1064">
        <f t="shared" si="9"/>
        <v>0</v>
      </c>
      <c r="AN89" s="1064"/>
      <c r="AO89" s="1064">
        <f>TB_curr[[#This Row],[Closing balance]]+TB_curr[[#This Row],[Rounding]]</f>
        <v>0</v>
      </c>
    </row>
    <row r="90" spans="30:41" x14ac:dyDescent="0.25">
      <c r="AD90" s="1067" t="str">
        <f t="shared" si="5"/>
        <v/>
      </c>
      <c r="AE90" s="1063" t="str">
        <f>IF(ISNA(VLOOKUP(TB_curr[[#This Row],[Synt]],GL[[#Headers],[#Data],[subtotal label]],1,FALSE)),0,(VLOOKUP(TB_curr[[#This Row],[Synt]],GL[[#Headers],[#Data],[subtotal label]],1,FALSE)))</f>
        <v/>
      </c>
      <c r="AF90" s="1063" t="e">
        <f>IF((TB_curr[[#This Row],[Synt]]-TB_curr[[#This Row],[Subtotal Y/N]])=0,0,VLOOKUP(TB_curr[[#This Row],[Synt]],GL[[Account]:[Line]],3,FALSE))</f>
        <v>#VALUE!</v>
      </c>
      <c r="AG90" s="1063" t="e">
        <f>VLOOKUP(TB_curr[[#This Row],[Synt]],GL[[Account]:[B/P]],4,FALSE)</f>
        <v>#N/A</v>
      </c>
      <c r="AH90" s="1066" t="e">
        <v>#VALUE!</v>
      </c>
      <c r="AI90" s="1065" t="e">
        <f>TB_curr[[#This Row],[Synt]]&amp;TB_curr[[#This Row],[Line No. manual corr.]]</f>
        <v>#VALUE!</v>
      </c>
      <c r="AJ90" s="1064">
        <f t="shared" si="6"/>
        <v>0</v>
      </c>
      <c r="AK90" s="1064">
        <f t="shared" si="7"/>
        <v>0</v>
      </c>
      <c r="AL90" s="1064">
        <f t="shared" si="8"/>
        <v>0</v>
      </c>
      <c r="AM90" s="1064">
        <f t="shared" si="9"/>
        <v>0</v>
      </c>
      <c r="AN90" s="1064"/>
      <c r="AO90" s="1064">
        <f>TB_curr[[#This Row],[Closing balance]]+TB_curr[[#This Row],[Rounding]]</f>
        <v>0</v>
      </c>
    </row>
    <row r="91" spans="30:41" x14ac:dyDescent="0.25">
      <c r="AD91" s="1067" t="str">
        <f t="shared" si="5"/>
        <v/>
      </c>
      <c r="AE91" s="1063" t="str">
        <f>IF(ISNA(VLOOKUP(TB_curr[[#This Row],[Synt]],GL[[#Headers],[#Data],[subtotal label]],1,FALSE)),0,(VLOOKUP(TB_curr[[#This Row],[Synt]],GL[[#Headers],[#Data],[subtotal label]],1,FALSE)))</f>
        <v/>
      </c>
      <c r="AF91" s="1063" t="e">
        <f>IF((TB_curr[[#This Row],[Synt]]-TB_curr[[#This Row],[Subtotal Y/N]])=0,0,VLOOKUP(TB_curr[[#This Row],[Synt]],GL[[Account]:[Line]],3,FALSE))</f>
        <v>#VALUE!</v>
      </c>
      <c r="AG91" s="1063" t="e">
        <f>VLOOKUP(TB_curr[[#This Row],[Synt]],GL[[Account]:[B/P]],4,FALSE)</f>
        <v>#N/A</v>
      </c>
      <c r="AH91" s="1066" t="e">
        <v>#VALUE!</v>
      </c>
      <c r="AI91" s="1065" t="e">
        <f>TB_curr[[#This Row],[Synt]]&amp;TB_curr[[#This Row],[Line No. manual corr.]]</f>
        <v>#VALUE!</v>
      </c>
      <c r="AJ91" s="1064">
        <f t="shared" si="6"/>
        <v>0</v>
      </c>
      <c r="AK91" s="1064">
        <f t="shared" si="7"/>
        <v>0</v>
      </c>
      <c r="AL91" s="1064">
        <f t="shared" si="8"/>
        <v>0</v>
      </c>
      <c r="AM91" s="1064">
        <f t="shared" si="9"/>
        <v>0</v>
      </c>
      <c r="AN91" s="1064"/>
      <c r="AO91" s="1064">
        <f>TB_curr[[#This Row],[Closing balance]]+TB_curr[[#This Row],[Rounding]]</f>
        <v>0</v>
      </c>
    </row>
    <row r="92" spans="30:41" x14ac:dyDescent="0.25">
      <c r="AD92" s="1067" t="str">
        <f t="shared" si="5"/>
        <v/>
      </c>
      <c r="AE92" s="1063" t="str">
        <f>IF(ISNA(VLOOKUP(TB_curr[[#This Row],[Synt]],GL[[#Headers],[#Data],[subtotal label]],1,FALSE)),0,(VLOOKUP(TB_curr[[#This Row],[Synt]],GL[[#Headers],[#Data],[subtotal label]],1,FALSE)))</f>
        <v/>
      </c>
      <c r="AF92" s="1063" t="e">
        <f>IF((TB_curr[[#This Row],[Synt]]-TB_curr[[#This Row],[Subtotal Y/N]])=0,0,VLOOKUP(TB_curr[[#This Row],[Synt]],GL[[Account]:[Line]],3,FALSE))</f>
        <v>#VALUE!</v>
      </c>
      <c r="AG92" s="1063" t="e">
        <f>VLOOKUP(TB_curr[[#This Row],[Synt]],GL[[Account]:[B/P]],4,FALSE)</f>
        <v>#N/A</v>
      </c>
      <c r="AH92" s="1066" t="e">
        <v>#VALUE!</v>
      </c>
      <c r="AI92" s="1065" t="e">
        <f>TB_curr[[#This Row],[Synt]]&amp;TB_curr[[#This Row],[Line No. manual corr.]]</f>
        <v>#VALUE!</v>
      </c>
      <c r="AJ92" s="1064">
        <f t="shared" si="6"/>
        <v>0</v>
      </c>
      <c r="AK92" s="1064">
        <f t="shared" si="7"/>
        <v>0</v>
      </c>
      <c r="AL92" s="1064">
        <f t="shared" si="8"/>
        <v>0</v>
      </c>
      <c r="AM92" s="1064">
        <f t="shared" si="9"/>
        <v>0</v>
      </c>
      <c r="AN92" s="1064"/>
      <c r="AO92" s="1064">
        <f>TB_curr[[#This Row],[Closing balance]]+TB_curr[[#This Row],[Rounding]]</f>
        <v>0</v>
      </c>
    </row>
    <row r="93" spans="30:41" x14ac:dyDescent="0.25">
      <c r="AD93" s="1067" t="str">
        <f t="shared" si="5"/>
        <v/>
      </c>
      <c r="AE93" s="1063" t="str">
        <f>IF(ISNA(VLOOKUP(TB_curr[[#This Row],[Synt]],GL[[#Headers],[#Data],[subtotal label]],1,FALSE)),0,(VLOOKUP(TB_curr[[#This Row],[Synt]],GL[[#Headers],[#Data],[subtotal label]],1,FALSE)))</f>
        <v/>
      </c>
      <c r="AF93" s="1063" t="e">
        <f>IF((TB_curr[[#This Row],[Synt]]-TB_curr[[#This Row],[Subtotal Y/N]])=0,0,VLOOKUP(TB_curr[[#This Row],[Synt]],GL[[Account]:[Line]],3,FALSE))</f>
        <v>#VALUE!</v>
      </c>
      <c r="AG93" s="1063" t="e">
        <f>VLOOKUP(TB_curr[[#This Row],[Synt]],GL[[Account]:[B/P]],4,FALSE)</f>
        <v>#N/A</v>
      </c>
      <c r="AH93" s="1066" t="e">
        <v>#VALUE!</v>
      </c>
      <c r="AI93" s="1065" t="e">
        <f>TB_curr[[#This Row],[Synt]]&amp;TB_curr[[#This Row],[Line No. manual corr.]]</f>
        <v>#VALUE!</v>
      </c>
      <c r="AJ93" s="1064">
        <f t="shared" si="6"/>
        <v>0</v>
      </c>
      <c r="AK93" s="1064">
        <f t="shared" si="7"/>
        <v>0</v>
      </c>
      <c r="AL93" s="1064">
        <f t="shared" si="8"/>
        <v>0</v>
      </c>
      <c r="AM93" s="1064">
        <f t="shared" si="9"/>
        <v>0</v>
      </c>
      <c r="AN93" s="1064"/>
      <c r="AO93" s="1064">
        <f>TB_curr[[#This Row],[Closing balance]]+TB_curr[[#This Row],[Rounding]]</f>
        <v>0</v>
      </c>
    </row>
    <row r="94" spans="30:41" x14ac:dyDescent="0.25">
      <c r="AD94" s="1067" t="str">
        <f t="shared" si="5"/>
        <v/>
      </c>
      <c r="AE94" s="1063" t="str">
        <f>IF(ISNA(VLOOKUP(TB_curr[[#This Row],[Synt]],GL[[#Headers],[#Data],[subtotal label]],1,FALSE)),0,(VLOOKUP(TB_curr[[#This Row],[Synt]],GL[[#Headers],[#Data],[subtotal label]],1,FALSE)))</f>
        <v/>
      </c>
      <c r="AF94" s="1063" t="e">
        <f>IF((TB_curr[[#This Row],[Synt]]-TB_curr[[#This Row],[Subtotal Y/N]])=0,0,VLOOKUP(TB_curr[[#This Row],[Synt]],GL[[Account]:[Line]],3,FALSE))</f>
        <v>#VALUE!</v>
      </c>
      <c r="AG94" s="1063" t="e">
        <f>VLOOKUP(TB_curr[[#This Row],[Synt]],GL[[Account]:[B/P]],4,FALSE)</f>
        <v>#N/A</v>
      </c>
      <c r="AH94" s="1066" t="e">
        <v>#VALUE!</v>
      </c>
      <c r="AI94" s="1065" t="e">
        <f>TB_curr[[#This Row],[Synt]]&amp;TB_curr[[#This Row],[Line No. manual corr.]]</f>
        <v>#VALUE!</v>
      </c>
      <c r="AJ94" s="1064">
        <f t="shared" si="6"/>
        <v>0</v>
      </c>
      <c r="AK94" s="1064">
        <f t="shared" si="7"/>
        <v>0</v>
      </c>
      <c r="AL94" s="1064">
        <f t="shared" si="8"/>
        <v>0</v>
      </c>
      <c r="AM94" s="1064">
        <f t="shared" si="9"/>
        <v>0</v>
      </c>
      <c r="AN94" s="1064"/>
      <c r="AO94" s="1064">
        <f>TB_curr[[#This Row],[Closing balance]]+TB_curr[[#This Row],[Rounding]]</f>
        <v>0</v>
      </c>
    </row>
    <row r="95" spans="30:41" x14ac:dyDescent="0.25">
      <c r="AD95" s="1067" t="str">
        <f t="shared" si="5"/>
        <v/>
      </c>
      <c r="AE95" s="1063" t="str">
        <f>IF(ISNA(VLOOKUP(TB_curr[[#This Row],[Synt]],GL[[#Headers],[#Data],[subtotal label]],1,FALSE)),0,(VLOOKUP(TB_curr[[#This Row],[Synt]],GL[[#Headers],[#Data],[subtotal label]],1,FALSE)))</f>
        <v/>
      </c>
      <c r="AF95" s="1063" t="e">
        <f>IF((TB_curr[[#This Row],[Synt]]-TB_curr[[#This Row],[Subtotal Y/N]])=0,0,VLOOKUP(TB_curr[[#This Row],[Synt]],GL[[Account]:[Line]],3,FALSE))</f>
        <v>#VALUE!</v>
      </c>
      <c r="AG95" s="1063" t="e">
        <f>VLOOKUP(TB_curr[[#This Row],[Synt]],GL[[Account]:[B/P]],4,FALSE)</f>
        <v>#N/A</v>
      </c>
      <c r="AH95" s="1066" t="e">
        <v>#VALUE!</v>
      </c>
      <c r="AI95" s="1065" t="e">
        <f>TB_curr[[#This Row],[Synt]]&amp;TB_curr[[#This Row],[Line No. manual corr.]]</f>
        <v>#VALUE!</v>
      </c>
      <c r="AJ95" s="1064">
        <f t="shared" si="6"/>
        <v>0</v>
      </c>
      <c r="AK95" s="1064">
        <f t="shared" si="7"/>
        <v>0</v>
      </c>
      <c r="AL95" s="1064">
        <f t="shared" si="8"/>
        <v>0</v>
      </c>
      <c r="AM95" s="1064">
        <f t="shared" si="9"/>
        <v>0</v>
      </c>
      <c r="AN95" s="1064"/>
      <c r="AO95" s="1064">
        <f>TB_curr[[#This Row],[Closing balance]]+TB_curr[[#This Row],[Rounding]]</f>
        <v>0</v>
      </c>
    </row>
    <row r="96" spans="30:41" x14ac:dyDescent="0.25">
      <c r="AD96" s="1067" t="str">
        <f t="shared" si="5"/>
        <v/>
      </c>
      <c r="AE96" s="1063" t="str">
        <f>IF(ISNA(VLOOKUP(TB_curr[[#This Row],[Synt]],GL[[#Headers],[#Data],[subtotal label]],1,FALSE)),0,(VLOOKUP(TB_curr[[#This Row],[Synt]],GL[[#Headers],[#Data],[subtotal label]],1,FALSE)))</f>
        <v/>
      </c>
      <c r="AF96" s="1063" t="e">
        <f>IF((TB_curr[[#This Row],[Synt]]-TB_curr[[#This Row],[Subtotal Y/N]])=0,0,VLOOKUP(TB_curr[[#This Row],[Synt]],GL[[Account]:[Line]],3,FALSE))</f>
        <v>#VALUE!</v>
      </c>
      <c r="AG96" s="1063" t="e">
        <f>VLOOKUP(TB_curr[[#This Row],[Synt]],GL[[Account]:[B/P]],4,FALSE)</f>
        <v>#N/A</v>
      </c>
      <c r="AH96" s="1066" t="e">
        <v>#VALUE!</v>
      </c>
      <c r="AI96" s="1065" t="e">
        <f>TB_curr[[#This Row],[Synt]]&amp;TB_curr[[#This Row],[Line No. manual corr.]]</f>
        <v>#VALUE!</v>
      </c>
      <c r="AJ96" s="1064">
        <f t="shared" si="6"/>
        <v>0</v>
      </c>
      <c r="AK96" s="1064">
        <f t="shared" si="7"/>
        <v>0</v>
      </c>
      <c r="AL96" s="1064">
        <f t="shared" si="8"/>
        <v>0</v>
      </c>
      <c r="AM96" s="1064">
        <f t="shared" si="9"/>
        <v>0</v>
      </c>
      <c r="AN96" s="1064"/>
      <c r="AO96" s="1064">
        <f>TB_curr[[#This Row],[Closing balance]]+TB_curr[[#This Row],[Rounding]]</f>
        <v>0</v>
      </c>
    </row>
    <row r="97" spans="30:41" x14ac:dyDescent="0.25">
      <c r="AD97" s="1067" t="str">
        <f t="shared" si="5"/>
        <v/>
      </c>
      <c r="AE97" s="1063" t="str">
        <f>IF(ISNA(VLOOKUP(TB_curr[[#This Row],[Synt]],GL[[#Headers],[#Data],[subtotal label]],1,FALSE)),0,(VLOOKUP(TB_curr[[#This Row],[Synt]],GL[[#Headers],[#Data],[subtotal label]],1,FALSE)))</f>
        <v/>
      </c>
      <c r="AF97" s="1063" t="e">
        <f>IF((TB_curr[[#This Row],[Synt]]-TB_curr[[#This Row],[Subtotal Y/N]])=0,0,VLOOKUP(TB_curr[[#This Row],[Synt]],GL[[Account]:[Line]],3,FALSE))</f>
        <v>#VALUE!</v>
      </c>
      <c r="AG97" s="1063" t="e">
        <f>VLOOKUP(TB_curr[[#This Row],[Synt]],GL[[Account]:[B/P]],4,FALSE)</f>
        <v>#N/A</v>
      </c>
      <c r="AH97" s="1066" t="e">
        <v>#VALUE!</v>
      </c>
      <c r="AI97" s="1065" t="e">
        <f>TB_curr[[#This Row],[Synt]]&amp;TB_curr[[#This Row],[Line No. manual corr.]]</f>
        <v>#VALUE!</v>
      </c>
      <c r="AJ97" s="1064">
        <f t="shared" si="6"/>
        <v>0</v>
      </c>
      <c r="AK97" s="1064">
        <f t="shared" si="7"/>
        <v>0</v>
      </c>
      <c r="AL97" s="1064">
        <f t="shared" si="8"/>
        <v>0</v>
      </c>
      <c r="AM97" s="1064">
        <f t="shared" si="9"/>
        <v>0</v>
      </c>
      <c r="AN97" s="1064"/>
      <c r="AO97" s="1064">
        <f>TB_curr[[#This Row],[Closing balance]]+TB_curr[[#This Row],[Rounding]]</f>
        <v>0</v>
      </c>
    </row>
    <row r="98" spans="30:41" x14ac:dyDescent="0.25">
      <c r="AD98" s="1067" t="str">
        <f t="shared" si="5"/>
        <v/>
      </c>
      <c r="AE98" s="1063" t="str">
        <f>IF(ISNA(VLOOKUP(TB_curr[[#This Row],[Synt]],GL[[#Headers],[#Data],[subtotal label]],1,FALSE)),0,(VLOOKUP(TB_curr[[#This Row],[Synt]],GL[[#Headers],[#Data],[subtotal label]],1,FALSE)))</f>
        <v/>
      </c>
      <c r="AF98" s="1063" t="e">
        <f>IF((TB_curr[[#This Row],[Synt]]-TB_curr[[#This Row],[Subtotal Y/N]])=0,0,VLOOKUP(TB_curr[[#This Row],[Synt]],GL[[Account]:[Line]],3,FALSE))</f>
        <v>#VALUE!</v>
      </c>
      <c r="AG98" s="1063" t="e">
        <f>VLOOKUP(TB_curr[[#This Row],[Synt]],GL[[Account]:[B/P]],4,FALSE)</f>
        <v>#N/A</v>
      </c>
      <c r="AH98" s="1066" t="e">
        <v>#VALUE!</v>
      </c>
      <c r="AI98" s="1065" t="e">
        <f>TB_curr[[#This Row],[Synt]]&amp;TB_curr[[#This Row],[Line No. manual corr.]]</f>
        <v>#VALUE!</v>
      </c>
      <c r="AJ98" s="1064">
        <f t="shared" si="6"/>
        <v>0</v>
      </c>
      <c r="AK98" s="1064">
        <f t="shared" si="7"/>
        <v>0</v>
      </c>
      <c r="AL98" s="1064">
        <f t="shared" si="8"/>
        <v>0</v>
      </c>
      <c r="AM98" s="1064">
        <f t="shared" si="9"/>
        <v>0</v>
      </c>
      <c r="AN98" s="1064"/>
      <c r="AO98" s="1064">
        <f>TB_curr[[#This Row],[Closing balance]]+TB_curr[[#This Row],[Rounding]]</f>
        <v>0</v>
      </c>
    </row>
    <row r="99" spans="30:41" x14ac:dyDescent="0.25">
      <c r="AD99" s="1067" t="str">
        <f t="shared" si="5"/>
        <v/>
      </c>
      <c r="AE99" s="1063" t="str">
        <f>IF(ISNA(VLOOKUP(TB_curr[[#This Row],[Synt]],GL[[#Headers],[#Data],[subtotal label]],1,FALSE)),0,(VLOOKUP(TB_curr[[#This Row],[Synt]],GL[[#Headers],[#Data],[subtotal label]],1,FALSE)))</f>
        <v/>
      </c>
      <c r="AF99" s="1063" t="e">
        <f>IF((TB_curr[[#This Row],[Synt]]-TB_curr[[#This Row],[Subtotal Y/N]])=0,0,VLOOKUP(TB_curr[[#This Row],[Synt]],GL[[Account]:[Line]],3,FALSE))</f>
        <v>#VALUE!</v>
      </c>
      <c r="AG99" s="1063" t="e">
        <f>VLOOKUP(TB_curr[[#This Row],[Synt]],GL[[Account]:[B/P]],4,FALSE)</f>
        <v>#N/A</v>
      </c>
      <c r="AH99" s="1066" t="e">
        <v>#VALUE!</v>
      </c>
      <c r="AI99" s="1065" t="e">
        <f>TB_curr[[#This Row],[Synt]]&amp;TB_curr[[#This Row],[Line No. manual corr.]]</f>
        <v>#VALUE!</v>
      </c>
      <c r="AJ99" s="1064">
        <f t="shared" si="6"/>
        <v>0</v>
      </c>
      <c r="AK99" s="1064">
        <f t="shared" si="7"/>
        <v>0</v>
      </c>
      <c r="AL99" s="1064">
        <f t="shared" si="8"/>
        <v>0</v>
      </c>
      <c r="AM99" s="1064">
        <f t="shared" si="9"/>
        <v>0</v>
      </c>
      <c r="AN99" s="1064"/>
      <c r="AO99" s="1064">
        <f>TB_curr[[#This Row],[Closing balance]]+TB_curr[[#This Row],[Rounding]]</f>
        <v>0</v>
      </c>
    </row>
    <row r="100" spans="30:41" x14ac:dyDescent="0.25">
      <c r="AD100" s="1067" t="str">
        <f t="shared" si="5"/>
        <v/>
      </c>
      <c r="AE100" s="1063" t="str">
        <f>IF(ISNA(VLOOKUP(TB_curr[[#This Row],[Synt]],GL[[#Headers],[#Data],[subtotal label]],1,FALSE)),0,(VLOOKUP(TB_curr[[#This Row],[Synt]],GL[[#Headers],[#Data],[subtotal label]],1,FALSE)))</f>
        <v/>
      </c>
      <c r="AF100" s="1063" t="e">
        <f>IF((TB_curr[[#This Row],[Synt]]-TB_curr[[#This Row],[Subtotal Y/N]])=0,0,VLOOKUP(TB_curr[[#This Row],[Synt]],GL[[Account]:[Line]],3,FALSE))</f>
        <v>#VALUE!</v>
      </c>
      <c r="AG100" s="1063" t="e">
        <f>VLOOKUP(TB_curr[[#This Row],[Synt]],GL[[Account]:[B/P]],4,FALSE)</f>
        <v>#N/A</v>
      </c>
      <c r="AH100" s="1066" t="e">
        <v>#VALUE!</v>
      </c>
      <c r="AI100" s="1065" t="e">
        <f>TB_curr[[#This Row],[Synt]]&amp;TB_curr[[#This Row],[Line No. manual corr.]]</f>
        <v>#VALUE!</v>
      </c>
      <c r="AJ100" s="1064">
        <f t="shared" si="6"/>
        <v>0</v>
      </c>
      <c r="AK100" s="1064">
        <f t="shared" si="7"/>
        <v>0</v>
      </c>
      <c r="AL100" s="1064">
        <f t="shared" si="8"/>
        <v>0</v>
      </c>
      <c r="AM100" s="1064">
        <f t="shared" si="9"/>
        <v>0</v>
      </c>
      <c r="AN100" s="1064"/>
      <c r="AO100" s="1064">
        <f>TB_curr[[#This Row],[Closing balance]]+TB_curr[[#This Row],[Rounding]]</f>
        <v>0</v>
      </c>
    </row>
    <row r="101" spans="30:41" x14ac:dyDescent="0.25">
      <c r="AD101" s="1067" t="str">
        <f t="shared" si="5"/>
        <v/>
      </c>
      <c r="AE101" s="1063" t="str">
        <f>IF(ISNA(VLOOKUP(TB_curr[[#This Row],[Synt]],GL[[#Headers],[#Data],[subtotal label]],1,FALSE)),0,(VLOOKUP(TB_curr[[#This Row],[Synt]],GL[[#Headers],[#Data],[subtotal label]],1,FALSE)))</f>
        <v/>
      </c>
      <c r="AF101" s="1063" t="e">
        <f>IF((TB_curr[[#This Row],[Synt]]-TB_curr[[#This Row],[Subtotal Y/N]])=0,0,VLOOKUP(TB_curr[[#This Row],[Synt]],GL[[Account]:[Line]],3,FALSE))</f>
        <v>#VALUE!</v>
      </c>
      <c r="AG101" s="1063" t="e">
        <f>VLOOKUP(TB_curr[[#This Row],[Synt]],GL[[Account]:[B/P]],4,FALSE)</f>
        <v>#N/A</v>
      </c>
      <c r="AH101" s="1066" t="e">
        <v>#VALUE!</v>
      </c>
      <c r="AI101" s="1065" t="e">
        <f>TB_curr[[#This Row],[Synt]]&amp;TB_curr[[#This Row],[Line No. manual corr.]]</f>
        <v>#VALUE!</v>
      </c>
      <c r="AJ101" s="1064">
        <f t="shared" si="6"/>
        <v>0</v>
      </c>
      <c r="AK101" s="1064">
        <f t="shared" si="7"/>
        <v>0</v>
      </c>
      <c r="AL101" s="1064">
        <f t="shared" si="8"/>
        <v>0</v>
      </c>
      <c r="AM101" s="1064">
        <f t="shared" si="9"/>
        <v>0</v>
      </c>
      <c r="AN101" s="1064"/>
      <c r="AO101" s="1064">
        <f>TB_curr[[#This Row],[Closing balance]]+TB_curr[[#This Row],[Rounding]]</f>
        <v>0</v>
      </c>
    </row>
    <row r="102" spans="30:41" x14ac:dyDescent="0.25">
      <c r="AD102" s="1067" t="str">
        <f t="shared" si="5"/>
        <v/>
      </c>
      <c r="AE102" s="1063" t="str">
        <f>IF(ISNA(VLOOKUP(TB_curr[[#This Row],[Synt]],GL[[#Headers],[#Data],[subtotal label]],1,FALSE)),0,(VLOOKUP(TB_curr[[#This Row],[Synt]],GL[[#Headers],[#Data],[subtotal label]],1,FALSE)))</f>
        <v/>
      </c>
      <c r="AF102" s="1063" t="e">
        <f>IF((TB_curr[[#This Row],[Synt]]-TB_curr[[#This Row],[Subtotal Y/N]])=0,0,VLOOKUP(TB_curr[[#This Row],[Synt]],GL[[Account]:[Line]],3,FALSE))</f>
        <v>#VALUE!</v>
      </c>
      <c r="AG102" s="1063" t="e">
        <f>VLOOKUP(TB_curr[[#This Row],[Synt]],GL[[Account]:[B/P]],4,FALSE)</f>
        <v>#N/A</v>
      </c>
      <c r="AH102" s="1066" t="e">
        <v>#VALUE!</v>
      </c>
      <c r="AI102" s="1065" t="e">
        <f>TB_curr[[#This Row],[Synt]]&amp;TB_curr[[#This Row],[Line No. manual corr.]]</f>
        <v>#VALUE!</v>
      </c>
      <c r="AJ102" s="1064">
        <f t="shared" si="6"/>
        <v>0</v>
      </c>
      <c r="AK102" s="1064">
        <f t="shared" si="7"/>
        <v>0</v>
      </c>
      <c r="AL102" s="1064">
        <f t="shared" si="8"/>
        <v>0</v>
      </c>
      <c r="AM102" s="1064">
        <f t="shared" si="9"/>
        <v>0</v>
      </c>
      <c r="AN102" s="1064"/>
      <c r="AO102" s="1064">
        <f>TB_curr[[#This Row],[Closing balance]]+TB_curr[[#This Row],[Rounding]]</f>
        <v>0</v>
      </c>
    </row>
    <row r="103" spans="30:41" x14ac:dyDescent="0.25">
      <c r="AD103" s="1067" t="str">
        <f t="shared" si="5"/>
        <v/>
      </c>
      <c r="AE103" s="1063" t="str">
        <f>IF(ISNA(VLOOKUP(TB_curr[[#This Row],[Synt]],GL[[#Headers],[#Data],[subtotal label]],1,FALSE)),0,(VLOOKUP(TB_curr[[#This Row],[Synt]],GL[[#Headers],[#Data],[subtotal label]],1,FALSE)))</f>
        <v/>
      </c>
      <c r="AF103" s="1063" t="e">
        <f>IF((TB_curr[[#This Row],[Synt]]-TB_curr[[#This Row],[Subtotal Y/N]])=0,0,VLOOKUP(TB_curr[[#This Row],[Synt]],GL[[Account]:[Line]],3,FALSE))</f>
        <v>#VALUE!</v>
      </c>
      <c r="AG103" s="1063" t="e">
        <f>VLOOKUP(TB_curr[[#This Row],[Synt]],GL[[Account]:[B/P]],4,FALSE)</f>
        <v>#N/A</v>
      </c>
      <c r="AH103" s="1066" t="e">
        <v>#VALUE!</v>
      </c>
      <c r="AI103" s="1065" t="e">
        <f>TB_curr[[#This Row],[Synt]]&amp;TB_curr[[#This Row],[Line No. manual corr.]]</f>
        <v>#VALUE!</v>
      </c>
      <c r="AJ103" s="1064">
        <f t="shared" si="6"/>
        <v>0</v>
      </c>
      <c r="AK103" s="1064">
        <f t="shared" si="7"/>
        <v>0</v>
      </c>
      <c r="AL103" s="1064">
        <f t="shared" si="8"/>
        <v>0</v>
      </c>
      <c r="AM103" s="1064">
        <f t="shared" si="9"/>
        <v>0</v>
      </c>
      <c r="AN103" s="1064"/>
      <c r="AO103" s="1064">
        <f>TB_curr[[#This Row],[Closing balance]]+TB_curr[[#This Row],[Rounding]]</f>
        <v>0</v>
      </c>
    </row>
    <row r="104" spans="30:41" x14ac:dyDescent="0.25">
      <c r="AD104" s="1067" t="str">
        <f t="shared" si="5"/>
        <v/>
      </c>
      <c r="AE104" s="1063" t="str">
        <f>IF(ISNA(VLOOKUP(TB_curr[[#This Row],[Synt]],GL[[#Headers],[#Data],[subtotal label]],1,FALSE)),0,(VLOOKUP(TB_curr[[#This Row],[Synt]],GL[[#Headers],[#Data],[subtotal label]],1,FALSE)))</f>
        <v/>
      </c>
      <c r="AF104" s="1063" t="e">
        <f>IF((TB_curr[[#This Row],[Synt]]-TB_curr[[#This Row],[Subtotal Y/N]])=0,0,VLOOKUP(TB_curr[[#This Row],[Synt]],GL[[Account]:[Line]],3,FALSE))</f>
        <v>#VALUE!</v>
      </c>
      <c r="AG104" s="1063" t="e">
        <f>VLOOKUP(TB_curr[[#This Row],[Synt]],GL[[Account]:[B/P]],4,FALSE)</f>
        <v>#N/A</v>
      </c>
      <c r="AH104" s="1066" t="e">
        <v>#VALUE!</v>
      </c>
      <c r="AI104" s="1065" t="e">
        <f>TB_curr[[#This Row],[Synt]]&amp;TB_curr[[#This Row],[Line No. manual corr.]]</f>
        <v>#VALUE!</v>
      </c>
      <c r="AJ104" s="1064">
        <f t="shared" si="6"/>
        <v>0</v>
      </c>
      <c r="AK104" s="1064">
        <f t="shared" si="7"/>
        <v>0</v>
      </c>
      <c r="AL104" s="1064">
        <f t="shared" si="8"/>
        <v>0</v>
      </c>
      <c r="AM104" s="1064">
        <f t="shared" si="9"/>
        <v>0</v>
      </c>
      <c r="AN104" s="1064"/>
      <c r="AO104" s="1064">
        <f>TB_curr[[#This Row],[Closing balance]]+TB_curr[[#This Row],[Rounding]]</f>
        <v>0</v>
      </c>
    </row>
    <row r="105" spans="30:41" x14ac:dyDescent="0.25">
      <c r="AD105" s="1067" t="str">
        <f t="shared" si="5"/>
        <v/>
      </c>
      <c r="AE105" s="1063" t="str">
        <f>IF(ISNA(VLOOKUP(TB_curr[[#This Row],[Synt]],GL[[#Headers],[#Data],[subtotal label]],1,FALSE)),0,(VLOOKUP(TB_curr[[#This Row],[Synt]],GL[[#Headers],[#Data],[subtotal label]],1,FALSE)))</f>
        <v/>
      </c>
      <c r="AF105" s="1063" t="e">
        <f>IF((TB_curr[[#This Row],[Synt]]-TB_curr[[#This Row],[Subtotal Y/N]])=0,0,VLOOKUP(TB_curr[[#This Row],[Synt]],GL[[Account]:[Line]],3,FALSE))</f>
        <v>#VALUE!</v>
      </c>
      <c r="AG105" s="1063" t="e">
        <f>VLOOKUP(TB_curr[[#This Row],[Synt]],GL[[Account]:[B/P]],4,FALSE)</f>
        <v>#N/A</v>
      </c>
      <c r="AH105" s="1066" t="e">
        <v>#VALUE!</v>
      </c>
      <c r="AI105" s="1065" t="e">
        <f>TB_curr[[#This Row],[Synt]]&amp;TB_curr[[#This Row],[Line No. manual corr.]]</f>
        <v>#VALUE!</v>
      </c>
      <c r="AJ105" s="1064">
        <f t="shared" si="6"/>
        <v>0</v>
      </c>
      <c r="AK105" s="1064">
        <f t="shared" si="7"/>
        <v>0</v>
      </c>
      <c r="AL105" s="1064">
        <f t="shared" si="8"/>
        <v>0</v>
      </c>
      <c r="AM105" s="1064">
        <f t="shared" si="9"/>
        <v>0</v>
      </c>
      <c r="AN105" s="1064"/>
      <c r="AO105" s="1064">
        <f>TB_curr[[#This Row],[Closing balance]]+TB_curr[[#This Row],[Rounding]]</f>
        <v>0</v>
      </c>
    </row>
    <row r="106" spans="30:41" x14ac:dyDescent="0.25">
      <c r="AD106" s="1067" t="str">
        <f t="shared" si="5"/>
        <v/>
      </c>
      <c r="AE106" s="1063" t="str">
        <f>IF(ISNA(VLOOKUP(TB_curr[[#This Row],[Synt]],GL[[#Headers],[#Data],[subtotal label]],1,FALSE)),0,(VLOOKUP(TB_curr[[#This Row],[Synt]],GL[[#Headers],[#Data],[subtotal label]],1,FALSE)))</f>
        <v/>
      </c>
      <c r="AF106" s="1063" t="e">
        <f>IF((TB_curr[[#This Row],[Synt]]-TB_curr[[#This Row],[Subtotal Y/N]])=0,0,VLOOKUP(TB_curr[[#This Row],[Synt]],GL[[Account]:[Line]],3,FALSE))</f>
        <v>#VALUE!</v>
      </c>
      <c r="AG106" s="1063" t="e">
        <f>VLOOKUP(TB_curr[[#This Row],[Synt]],GL[[Account]:[B/P]],4,FALSE)</f>
        <v>#N/A</v>
      </c>
      <c r="AH106" s="1066" t="e">
        <v>#VALUE!</v>
      </c>
      <c r="AI106" s="1065" t="e">
        <f>TB_curr[[#This Row],[Synt]]&amp;TB_curr[[#This Row],[Line No. manual corr.]]</f>
        <v>#VALUE!</v>
      </c>
      <c r="AJ106" s="1064">
        <f t="shared" si="6"/>
        <v>0</v>
      </c>
      <c r="AK106" s="1064">
        <f t="shared" si="7"/>
        <v>0</v>
      </c>
      <c r="AL106" s="1064">
        <f t="shared" si="8"/>
        <v>0</v>
      </c>
      <c r="AM106" s="1064">
        <f t="shared" si="9"/>
        <v>0</v>
      </c>
      <c r="AN106" s="1064"/>
      <c r="AO106" s="1064">
        <f>TB_curr[[#This Row],[Closing balance]]+TB_curr[[#This Row],[Rounding]]</f>
        <v>0</v>
      </c>
    </row>
    <row r="107" spans="30:41" x14ac:dyDescent="0.25">
      <c r="AD107" s="1067" t="str">
        <f t="shared" si="5"/>
        <v/>
      </c>
      <c r="AE107" s="1063" t="str">
        <f>IF(ISNA(VLOOKUP(TB_curr[[#This Row],[Synt]],GL[[#Headers],[#Data],[subtotal label]],1,FALSE)),0,(VLOOKUP(TB_curr[[#This Row],[Synt]],GL[[#Headers],[#Data],[subtotal label]],1,FALSE)))</f>
        <v/>
      </c>
      <c r="AF107" s="1063" t="e">
        <f>IF((TB_curr[[#This Row],[Synt]]-TB_curr[[#This Row],[Subtotal Y/N]])=0,0,VLOOKUP(TB_curr[[#This Row],[Synt]],GL[[Account]:[Line]],3,FALSE))</f>
        <v>#VALUE!</v>
      </c>
      <c r="AG107" s="1063" t="e">
        <f>VLOOKUP(TB_curr[[#This Row],[Synt]],GL[[Account]:[B/P]],4,FALSE)</f>
        <v>#N/A</v>
      </c>
      <c r="AH107" s="1066" t="e">
        <v>#VALUE!</v>
      </c>
      <c r="AI107" s="1065" t="e">
        <f>TB_curr[[#This Row],[Synt]]&amp;TB_curr[[#This Row],[Line No. manual corr.]]</f>
        <v>#VALUE!</v>
      </c>
      <c r="AJ107" s="1064">
        <f t="shared" si="6"/>
        <v>0</v>
      </c>
      <c r="AK107" s="1064">
        <f t="shared" si="7"/>
        <v>0</v>
      </c>
      <c r="AL107" s="1064">
        <f t="shared" si="8"/>
        <v>0</v>
      </c>
      <c r="AM107" s="1064">
        <f t="shared" si="9"/>
        <v>0</v>
      </c>
      <c r="AN107" s="1064"/>
      <c r="AO107" s="1064">
        <f>TB_curr[[#This Row],[Closing balance]]+TB_curr[[#This Row],[Rounding]]</f>
        <v>0</v>
      </c>
    </row>
    <row r="108" spans="30:41" x14ac:dyDescent="0.25">
      <c r="AD108" s="1067" t="str">
        <f t="shared" si="5"/>
        <v/>
      </c>
      <c r="AE108" s="1063" t="str">
        <f>IF(ISNA(VLOOKUP(TB_curr[[#This Row],[Synt]],GL[[#Headers],[#Data],[subtotal label]],1,FALSE)),0,(VLOOKUP(TB_curr[[#This Row],[Synt]],GL[[#Headers],[#Data],[subtotal label]],1,FALSE)))</f>
        <v/>
      </c>
      <c r="AF108" s="1063" t="e">
        <f>IF((TB_curr[[#This Row],[Synt]]-TB_curr[[#This Row],[Subtotal Y/N]])=0,0,VLOOKUP(TB_curr[[#This Row],[Synt]],GL[[Account]:[Line]],3,FALSE))</f>
        <v>#VALUE!</v>
      </c>
      <c r="AG108" s="1063" t="e">
        <f>VLOOKUP(TB_curr[[#This Row],[Synt]],GL[[Account]:[B/P]],4,FALSE)</f>
        <v>#N/A</v>
      </c>
      <c r="AH108" s="1066" t="e">
        <v>#VALUE!</v>
      </c>
      <c r="AI108" s="1065" t="e">
        <f>TB_curr[[#This Row],[Synt]]&amp;TB_curr[[#This Row],[Line No. manual corr.]]</f>
        <v>#VALUE!</v>
      </c>
      <c r="AJ108" s="1064">
        <f t="shared" si="6"/>
        <v>0</v>
      </c>
      <c r="AK108" s="1064">
        <f t="shared" si="7"/>
        <v>0</v>
      </c>
      <c r="AL108" s="1064">
        <f t="shared" si="8"/>
        <v>0</v>
      </c>
      <c r="AM108" s="1064">
        <f t="shared" si="9"/>
        <v>0</v>
      </c>
      <c r="AN108" s="1064"/>
      <c r="AO108" s="1064">
        <f>TB_curr[[#This Row],[Closing balance]]+TB_curr[[#This Row],[Rounding]]</f>
        <v>0</v>
      </c>
    </row>
    <row r="109" spans="30:41" x14ac:dyDescent="0.25">
      <c r="AD109" s="1067" t="str">
        <f t="shared" si="5"/>
        <v/>
      </c>
      <c r="AE109" s="1063" t="str">
        <f>IF(ISNA(VLOOKUP(TB_curr[[#This Row],[Synt]],GL[[#Headers],[#Data],[subtotal label]],1,FALSE)),0,(VLOOKUP(TB_curr[[#This Row],[Synt]],GL[[#Headers],[#Data],[subtotal label]],1,FALSE)))</f>
        <v/>
      </c>
      <c r="AF109" s="1063" t="e">
        <f>IF((TB_curr[[#This Row],[Synt]]-TB_curr[[#This Row],[Subtotal Y/N]])=0,0,VLOOKUP(TB_curr[[#This Row],[Synt]],GL[[Account]:[Line]],3,FALSE))</f>
        <v>#VALUE!</v>
      </c>
      <c r="AG109" s="1063" t="e">
        <f>VLOOKUP(TB_curr[[#This Row],[Synt]],GL[[Account]:[B/P]],4,FALSE)</f>
        <v>#N/A</v>
      </c>
      <c r="AH109" s="1066" t="e">
        <v>#VALUE!</v>
      </c>
      <c r="AI109" s="1065" t="e">
        <f>TB_curr[[#This Row],[Synt]]&amp;TB_curr[[#This Row],[Line No. manual corr.]]</f>
        <v>#VALUE!</v>
      </c>
      <c r="AJ109" s="1064">
        <f t="shared" si="6"/>
        <v>0</v>
      </c>
      <c r="AK109" s="1064">
        <f t="shared" si="7"/>
        <v>0</v>
      </c>
      <c r="AL109" s="1064">
        <f t="shared" si="8"/>
        <v>0</v>
      </c>
      <c r="AM109" s="1064">
        <f t="shared" si="9"/>
        <v>0</v>
      </c>
      <c r="AN109" s="1064"/>
      <c r="AO109" s="1064">
        <f>TB_curr[[#This Row],[Closing balance]]+TB_curr[[#This Row],[Rounding]]</f>
        <v>0</v>
      </c>
    </row>
    <row r="110" spans="30:41" x14ac:dyDescent="0.25">
      <c r="AD110" s="1067" t="str">
        <f t="shared" si="5"/>
        <v/>
      </c>
      <c r="AE110" s="1063" t="str">
        <f>IF(ISNA(VLOOKUP(TB_curr[[#This Row],[Synt]],GL[[#Headers],[#Data],[subtotal label]],1,FALSE)),0,(VLOOKUP(TB_curr[[#This Row],[Synt]],GL[[#Headers],[#Data],[subtotal label]],1,FALSE)))</f>
        <v/>
      </c>
      <c r="AF110" s="1063" t="e">
        <f>IF((TB_curr[[#This Row],[Synt]]-TB_curr[[#This Row],[Subtotal Y/N]])=0,0,VLOOKUP(TB_curr[[#This Row],[Synt]],GL[[Account]:[Line]],3,FALSE))</f>
        <v>#VALUE!</v>
      </c>
      <c r="AG110" s="1063" t="e">
        <f>VLOOKUP(TB_curr[[#This Row],[Synt]],GL[[Account]:[B/P]],4,FALSE)</f>
        <v>#N/A</v>
      </c>
      <c r="AH110" s="1066" t="e">
        <v>#VALUE!</v>
      </c>
      <c r="AI110" s="1065" t="e">
        <f>TB_curr[[#This Row],[Synt]]&amp;TB_curr[[#This Row],[Line No. manual corr.]]</f>
        <v>#VALUE!</v>
      </c>
      <c r="AJ110" s="1064">
        <f t="shared" si="6"/>
        <v>0</v>
      </c>
      <c r="AK110" s="1064">
        <f t="shared" si="7"/>
        <v>0</v>
      </c>
      <c r="AL110" s="1064">
        <f t="shared" si="8"/>
        <v>0</v>
      </c>
      <c r="AM110" s="1064">
        <f t="shared" si="9"/>
        <v>0</v>
      </c>
      <c r="AN110" s="1064"/>
      <c r="AO110" s="1064">
        <f>TB_curr[[#This Row],[Closing balance]]+TB_curr[[#This Row],[Rounding]]</f>
        <v>0</v>
      </c>
    </row>
    <row r="111" spans="30:41" x14ac:dyDescent="0.25">
      <c r="AD111" s="1067" t="str">
        <f t="shared" si="5"/>
        <v/>
      </c>
      <c r="AE111" s="1063" t="str">
        <f>IF(ISNA(VLOOKUP(TB_curr[[#This Row],[Synt]],GL[[#Headers],[#Data],[subtotal label]],1,FALSE)),0,(VLOOKUP(TB_curr[[#This Row],[Synt]],GL[[#Headers],[#Data],[subtotal label]],1,FALSE)))</f>
        <v/>
      </c>
      <c r="AF111" s="1063" t="e">
        <f>IF((TB_curr[[#This Row],[Synt]]-TB_curr[[#This Row],[Subtotal Y/N]])=0,0,VLOOKUP(TB_curr[[#This Row],[Synt]],GL[[Account]:[Line]],3,FALSE))</f>
        <v>#VALUE!</v>
      </c>
      <c r="AG111" s="1063" t="e">
        <f>VLOOKUP(TB_curr[[#This Row],[Synt]],GL[[Account]:[B/P]],4,FALSE)</f>
        <v>#N/A</v>
      </c>
      <c r="AH111" s="1066" t="e">
        <v>#VALUE!</v>
      </c>
      <c r="AI111" s="1065" t="e">
        <f>TB_curr[[#This Row],[Synt]]&amp;TB_curr[[#This Row],[Line No. manual corr.]]</f>
        <v>#VALUE!</v>
      </c>
      <c r="AJ111" s="1064">
        <f t="shared" si="6"/>
        <v>0</v>
      </c>
      <c r="AK111" s="1064">
        <f t="shared" si="7"/>
        <v>0</v>
      </c>
      <c r="AL111" s="1064">
        <f t="shared" si="8"/>
        <v>0</v>
      </c>
      <c r="AM111" s="1064">
        <f t="shared" si="9"/>
        <v>0</v>
      </c>
      <c r="AN111" s="1064"/>
      <c r="AO111" s="1064">
        <f>TB_curr[[#This Row],[Closing balance]]+TB_curr[[#This Row],[Rounding]]</f>
        <v>0</v>
      </c>
    </row>
    <row r="112" spans="30:41" x14ac:dyDescent="0.25">
      <c r="AD112" s="1067" t="str">
        <f t="shared" si="5"/>
        <v/>
      </c>
      <c r="AE112" s="1063" t="str">
        <f>IF(ISNA(VLOOKUP(TB_curr[[#This Row],[Synt]],GL[[#Headers],[#Data],[subtotal label]],1,FALSE)),0,(VLOOKUP(TB_curr[[#This Row],[Synt]],GL[[#Headers],[#Data],[subtotal label]],1,FALSE)))</f>
        <v/>
      </c>
      <c r="AF112" s="1063" t="e">
        <f>IF((TB_curr[[#This Row],[Synt]]-TB_curr[[#This Row],[Subtotal Y/N]])=0,0,VLOOKUP(TB_curr[[#This Row],[Synt]],GL[[Account]:[Line]],3,FALSE))</f>
        <v>#VALUE!</v>
      </c>
      <c r="AG112" s="1063" t="e">
        <f>VLOOKUP(TB_curr[[#This Row],[Synt]],GL[[Account]:[B/P]],4,FALSE)</f>
        <v>#N/A</v>
      </c>
      <c r="AH112" s="1066" t="e">
        <v>#VALUE!</v>
      </c>
      <c r="AI112" s="1065" t="e">
        <f>TB_curr[[#This Row],[Synt]]&amp;TB_curr[[#This Row],[Line No. manual corr.]]</f>
        <v>#VALUE!</v>
      </c>
      <c r="AJ112" s="1064">
        <f t="shared" si="6"/>
        <v>0</v>
      </c>
      <c r="AK112" s="1064">
        <f t="shared" si="7"/>
        <v>0</v>
      </c>
      <c r="AL112" s="1064">
        <f t="shared" si="8"/>
        <v>0</v>
      </c>
      <c r="AM112" s="1064">
        <f t="shared" si="9"/>
        <v>0</v>
      </c>
      <c r="AN112" s="1064"/>
      <c r="AO112" s="1064">
        <f>TB_curr[[#This Row],[Closing balance]]+TB_curr[[#This Row],[Rounding]]</f>
        <v>0</v>
      </c>
    </row>
    <row r="113" spans="30:41" x14ac:dyDescent="0.25">
      <c r="AD113" s="1067" t="str">
        <f t="shared" si="5"/>
        <v/>
      </c>
      <c r="AE113" s="1063" t="str">
        <f>IF(ISNA(VLOOKUP(TB_curr[[#This Row],[Synt]],GL[[#Headers],[#Data],[subtotal label]],1,FALSE)),0,(VLOOKUP(TB_curr[[#This Row],[Synt]],GL[[#Headers],[#Data],[subtotal label]],1,FALSE)))</f>
        <v/>
      </c>
      <c r="AF113" s="1063" t="e">
        <f>IF((TB_curr[[#This Row],[Synt]]-TB_curr[[#This Row],[Subtotal Y/N]])=0,0,VLOOKUP(TB_curr[[#This Row],[Synt]],GL[[Account]:[Line]],3,FALSE))</f>
        <v>#VALUE!</v>
      </c>
      <c r="AG113" s="1063" t="e">
        <f>VLOOKUP(TB_curr[[#This Row],[Synt]],GL[[Account]:[B/P]],4,FALSE)</f>
        <v>#N/A</v>
      </c>
      <c r="AH113" s="1066" t="e">
        <v>#VALUE!</v>
      </c>
      <c r="AI113" s="1065" t="e">
        <f>TB_curr[[#This Row],[Synt]]&amp;TB_curr[[#This Row],[Line No. manual corr.]]</f>
        <v>#VALUE!</v>
      </c>
      <c r="AJ113" s="1064">
        <f t="shared" si="6"/>
        <v>0</v>
      </c>
      <c r="AK113" s="1064">
        <f t="shared" si="7"/>
        <v>0</v>
      </c>
      <c r="AL113" s="1064">
        <f t="shared" si="8"/>
        <v>0</v>
      </c>
      <c r="AM113" s="1064">
        <f t="shared" si="9"/>
        <v>0</v>
      </c>
      <c r="AN113" s="1064"/>
      <c r="AO113" s="1064">
        <f>TB_curr[[#This Row],[Closing balance]]+TB_curr[[#This Row],[Rounding]]</f>
        <v>0</v>
      </c>
    </row>
    <row r="114" spans="30:41" x14ac:dyDescent="0.25">
      <c r="AD114" s="1067" t="str">
        <f t="shared" si="5"/>
        <v/>
      </c>
      <c r="AE114" s="1063" t="str">
        <f>IF(ISNA(VLOOKUP(TB_curr[[#This Row],[Synt]],GL[[#Headers],[#Data],[subtotal label]],1,FALSE)),0,(VLOOKUP(TB_curr[[#This Row],[Synt]],GL[[#Headers],[#Data],[subtotal label]],1,FALSE)))</f>
        <v/>
      </c>
      <c r="AF114" s="1063" t="e">
        <f>IF((TB_curr[[#This Row],[Synt]]-TB_curr[[#This Row],[Subtotal Y/N]])=0,0,VLOOKUP(TB_curr[[#This Row],[Synt]],GL[[Account]:[Line]],3,FALSE))</f>
        <v>#VALUE!</v>
      </c>
      <c r="AG114" s="1063" t="e">
        <f>VLOOKUP(TB_curr[[#This Row],[Synt]],GL[[Account]:[B/P]],4,FALSE)</f>
        <v>#N/A</v>
      </c>
      <c r="AH114" s="1066" t="e">
        <v>#VALUE!</v>
      </c>
      <c r="AI114" s="1065" t="e">
        <f>TB_curr[[#This Row],[Synt]]&amp;TB_curr[[#This Row],[Line No. manual corr.]]</f>
        <v>#VALUE!</v>
      </c>
      <c r="AJ114" s="1064">
        <f t="shared" si="6"/>
        <v>0</v>
      </c>
      <c r="AK114" s="1064">
        <f t="shared" si="7"/>
        <v>0</v>
      </c>
      <c r="AL114" s="1064">
        <f t="shared" si="8"/>
        <v>0</v>
      </c>
      <c r="AM114" s="1064">
        <f t="shared" si="9"/>
        <v>0</v>
      </c>
      <c r="AN114" s="1064"/>
      <c r="AO114" s="1064">
        <f>TB_curr[[#This Row],[Closing balance]]+TB_curr[[#This Row],[Rounding]]</f>
        <v>0</v>
      </c>
    </row>
    <row r="115" spans="30:41" x14ac:dyDescent="0.25">
      <c r="AD115" s="1067" t="str">
        <f t="shared" si="5"/>
        <v/>
      </c>
      <c r="AE115" s="1063" t="str">
        <f>IF(ISNA(VLOOKUP(TB_curr[[#This Row],[Synt]],GL[[#Headers],[#Data],[subtotal label]],1,FALSE)),0,(VLOOKUP(TB_curr[[#This Row],[Synt]],GL[[#Headers],[#Data],[subtotal label]],1,FALSE)))</f>
        <v/>
      </c>
      <c r="AF115" s="1063" t="e">
        <f>IF((TB_curr[[#This Row],[Synt]]-TB_curr[[#This Row],[Subtotal Y/N]])=0,0,VLOOKUP(TB_curr[[#This Row],[Synt]],GL[[Account]:[Line]],3,FALSE))</f>
        <v>#VALUE!</v>
      </c>
      <c r="AG115" s="1063" t="e">
        <f>VLOOKUP(TB_curr[[#This Row],[Synt]],GL[[Account]:[B/P]],4,FALSE)</f>
        <v>#N/A</v>
      </c>
      <c r="AH115" s="1066" t="e">
        <v>#VALUE!</v>
      </c>
      <c r="AI115" s="1065" t="e">
        <f>TB_curr[[#This Row],[Synt]]&amp;TB_curr[[#This Row],[Line No. manual corr.]]</f>
        <v>#VALUE!</v>
      </c>
      <c r="AJ115" s="1064">
        <f t="shared" si="6"/>
        <v>0</v>
      </c>
      <c r="AK115" s="1064">
        <f t="shared" si="7"/>
        <v>0</v>
      </c>
      <c r="AL115" s="1064">
        <f t="shared" si="8"/>
        <v>0</v>
      </c>
      <c r="AM115" s="1064">
        <f t="shared" si="9"/>
        <v>0</v>
      </c>
      <c r="AN115" s="1064"/>
      <c r="AO115" s="1064">
        <f>TB_curr[[#This Row],[Closing balance]]+TB_curr[[#This Row],[Rounding]]</f>
        <v>0</v>
      </c>
    </row>
    <row r="116" spans="30:41" x14ac:dyDescent="0.25">
      <c r="AD116" s="1067" t="str">
        <f t="shared" si="5"/>
        <v/>
      </c>
      <c r="AE116" s="1063" t="str">
        <f>IF(ISNA(VLOOKUP(TB_curr[[#This Row],[Synt]],GL[[#Headers],[#Data],[subtotal label]],1,FALSE)),0,(VLOOKUP(TB_curr[[#This Row],[Synt]],GL[[#Headers],[#Data],[subtotal label]],1,FALSE)))</f>
        <v/>
      </c>
      <c r="AF116" s="1063" t="e">
        <f>IF((TB_curr[[#This Row],[Synt]]-TB_curr[[#This Row],[Subtotal Y/N]])=0,0,VLOOKUP(TB_curr[[#This Row],[Synt]],GL[[Account]:[Line]],3,FALSE))</f>
        <v>#VALUE!</v>
      </c>
      <c r="AG116" s="1063" t="e">
        <f>VLOOKUP(TB_curr[[#This Row],[Synt]],GL[[Account]:[B/P]],4,FALSE)</f>
        <v>#N/A</v>
      </c>
      <c r="AH116" s="1066" t="e">
        <v>#VALUE!</v>
      </c>
      <c r="AI116" s="1065" t="e">
        <f>TB_curr[[#This Row],[Synt]]&amp;TB_curr[[#This Row],[Line No. manual corr.]]</f>
        <v>#VALUE!</v>
      </c>
      <c r="AJ116" s="1064">
        <f t="shared" si="6"/>
        <v>0</v>
      </c>
      <c r="AK116" s="1064">
        <f t="shared" si="7"/>
        <v>0</v>
      </c>
      <c r="AL116" s="1064">
        <f t="shared" si="8"/>
        <v>0</v>
      </c>
      <c r="AM116" s="1064">
        <f t="shared" si="9"/>
        <v>0</v>
      </c>
      <c r="AN116" s="1064"/>
      <c r="AO116" s="1064">
        <f>TB_curr[[#This Row],[Closing balance]]+TB_curr[[#This Row],[Rounding]]</f>
        <v>0</v>
      </c>
    </row>
    <row r="117" spans="30:41" x14ac:dyDescent="0.25">
      <c r="AD117" s="1067" t="str">
        <f t="shared" si="5"/>
        <v/>
      </c>
      <c r="AE117" s="1063" t="str">
        <f>IF(ISNA(VLOOKUP(TB_curr[[#This Row],[Synt]],GL[[#Headers],[#Data],[subtotal label]],1,FALSE)),0,(VLOOKUP(TB_curr[[#This Row],[Synt]],GL[[#Headers],[#Data],[subtotal label]],1,FALSE)))</f>
        <v/>
      </c>
      <c r="AF117" s="1063" t="e">
        <f>IF((TB_curr[[#This Row],[Synt]]-TB_curr[[#This Row],[Subtotal Y/N]])=0,0,VLOOKUP(TB_curr[[#This Row],[Synt]],GL[[Account]:[Line]],3,FALSE))</f>
        <v>#VALUE!</v>
      </c>
      <c r="AG117" s="1063" t="e">
        <f>VLOOKUP(TB_curr[[#This Row],[Synt]],GL[[Account]:[B/P]],4,FALSE)</f>
        <v>#N/A</v>
      </c>
      <c r="AH117" s="1066" t="e">
        <v>#VALUE!</v>
      </c>
      <c r="AI117" s="1065" t="e">
        <f>TB_curr[[#This Row],[Synt]]&amp;TB_curr[[#This Row],[Line No. manual corr.]]</f>
        <v>#VALUE!</v>
      </c>
      <c r="AJ117" s="1064">
        <f t="shared" si="6"/>
        <v>0</v>
      </c>
      <c r="AK117" s="1064">
        <f t="shared" si="7"/>
        <v>0</v>
      </c>
      <c r="AL117" s="1064">
        <f t="shared" si="8"/>
        <v>0</v>
      </c>
      <c r="AM117" s="1064">
        <f t="shared" si="9"/>
        <v>0</v>
      </c>
      <c r="AN117" s="1064"/>
      <c r="AO117" s="1064">
        <f>TB_curr[[#This Row],[Closing balance]]+TB_curr[[#This Row],[Rounding]]</f>
        <v>0</v>
      </c>
    </row>
    <row r="118" spans="30:41" x14ac:dyDescent="0.25">
      <c r="AD118" s="1067" t="str">
        <f t="shared" si="5"/>
        <v/>
      </c>
      <c r="AE118" s="1063" t="str">
        <f>IF(ISNA(VLOOKUP(TB_curr[[#This Row],[Synt]],GL[[#Headers],[#Data],[subtotal label]],1,FALSE)),0,(VLOOKUP(TB_curr[[#This Row],[Synt]],GL[[#Headers],[#Data],[subtotal label]],1,FALSE)))</f>
        <v/>
      </c>
      <c r="AF118" s="1063" t="e">
        <f>IF((TB_curr[[#This Row],[Synt]]-TB_curr[[#This Row],[Subtotal Y/N]])=0,0,VLOOKUP(TB_curr[[#This Row],[Synt]],GL[[Account]:[Line]],3,FALSE))</f>
        <v>#VALUE!</v>
      </c>
      <c r="AG118" s="1063" t="e">
        <f>VLOOKUP(TB_curr[[#This Row],[Synt]],GL[[Account]:[B/P]],4,FALSE)</f>
        <v>#N/A</v>
      </c>
      <c r="AH118" s="1066" t="e">
        <v>#VALUE!</v>
      </c>
      <c r="AI118" s="1065" t="e">
        <f>TB_curr[[#This Row],[Synt]]&amp;TB_curr[[#This Row],[Line No. manual corr.]]</f>
        <v>#VALUE!</v>
      </c>
      <c r="AJ118" s="1064">
        <f t="shared" si="6"/>
        <v>0</v>
      </c>
      <c r="AK118" s="1064">
        <f t="shared" si="7"/>
        <v>0</v>
      </c>
      <c r="AL118" s="1064">
        <f t="shared" si="8"/>
        <v>0</v>
      </c>
      <c r="AM118" s="1064">
        <f t="shared" si="9"/>
        <v>0</v>
      </c>
      <c r="AN118" s="1064"/>
      <c r="AO118" s="1064">
        <f>TB_curr[[#This Row],[Closing balance]]+TB_curr[[#This Row],[Rounding]]</f>
        <v>0</v>
      </c>
    </row>
    <row r="119" spans="30:41" x14ac:dyDescent="0.25">
      <c r="AD119" s="1067" t="str">
        <f t="shared" si="5"/>
        <v/>
      </c>
      <c r="AE119" s="1063" t="str">
        <f>IF(ISNA(VLOOKUP(TB_curr[[#This Row],[Synt]],GL[[#Headers],[#Data],[subtotal label]],1,FALSE)),0,(VLOOKUP(TB_curr[[#This Row],[Synt]],GL[[#Headers],[#Data],[subtotal label]],1,FALSE)))</f>
        <v/>
      </c>
      <c r="AF119" s="1063" t="e">
        <f>IF((TB_curr[[#This Row],[Synt]]-TB_curr[[#This Row],[Subtotal Y/N]])=0,0,VLOOKUP(TB_curr[[#This Row],[Synt]],GL[[Account]:[Line]],3,FALSE))</f>
        <v>#VALUE!</v>
      </c>
      <c r="AG119" s="1063" t="e">
        <f>VLOOKUP(TB_curr[[#This Row],[Synt]],GL[[Account]:[B/P]],4,FALSE)</f>
        <v>#N/A</v>
      </c>
      <c r="AH119" s="1066" t="e">
        <v>#VALUE!</v>
      </c>
      <c r="AI119" s="1065" t="e">
        <f>TB_curr[[#This Row],[Synt]]&amp;TB_curr[[#This Row],[Line No. manual corr.]]</f>
        <v>#VALUE!</v>
      </c>
      <c r="AJ119" s="1064">
        <f t="shared" si="6"/>
        <v>0</v>
      </c>
      <c r="AK119" s="1064">
        <f t="shared" si="7"/>
        <v>0</v>
      </c>
      <c r="AL119" s="1064">
        <f t="shared" si="8"/>
        <v>0</v>
      </c>
      <c r="AM119" s="1064">
        <f t="shared" si="9"/>
        <v>0</v>
      </c>
      <c r="AN119" s="1064"/>
      <c r="AO119" s="1064">
        <f>TB_curr[[#This Row],[Closing balance]]+TB_curr[[#This Row],[Rounding]]</f>
        <v>0</v>
      </c>
    </row>
    <row r="120" spans="30:41" x14ac:dyDescent="0.25">
      <c r="AD120" s="1067" t="str">
        <f t="shared" si="5"/>
        <v/>
      </c>
      <c r="AE120" s="1063" t="str">
        <f>IF(ISNA(VLOOKUP(TB_curr[[#This Row],[Synt]],GL[[#Headers],[#Data],[subtotal label]],1,FALSE)),0,(VLOOKUP(TB_curr[[#This Row],[Synt]],GL[[#Headers],[#Data],[subtotal label]],1,FALSE)))</f>
        <v/>
      </c>
      <c r="AF120" s="1063" t="e">
        <f>IF((TB_curr[[#This Row],[Synt]]-TB_curr[[#This Row],[Subtotal Y/N]])=0,0,VLOOKUP(TB_curr[[#This Row],[Synt]],GL[[Account]:[Line]],3,FALSE))</f>
        <v>#VALUE!</v>
      </c>
      <c r="AG120" s="1063" t="e">
        <f>VLOOKUP(TB_curr[[#This Row],[Synt]],GL[[Account]:[B/P]],4,FALSE)</f>
        <v>#N/A</v>
      </c>
      <c r="AH120" s="1066" t="e">
        <v>#VALUE!</v>
      </c>
      <c r="AI120" s="1065" t="e">
        <f>TB_curr[[#This Row],[Synt]]&amp;TB_curr[[#This Row],[Line No. manual corr.]]</f>
        <v>#VALUE!</v>
      </c>
      <c r="AJ120" s="1064">
        <f t="shared" si="6"/>
        <v>0</v>
      </c>
      <c r="AK120" s="1064">
        <f t="shared" si="7"/>
        <v>0</v>
      </c>
      <c r="AL120" s="1064">
        <f t="shared" si="8"/>
        <v>0</v>
      </c>
      <c r="AM120" s="1064">
        <f t="shared" si="9"/>
        <v>0</v>
      </c>
      <c r="AN120" s="1064"/>
      <c r="AO120" s="1064">
        <f>TB_curr[[#This Row],[Closing balance]]+TB_curr[[#This Row],[Rounding]]</f>
        <v>0</v>
      </c>
    </row>
    <row r="121" spans="30:41" x14ac:dyDescent="0.25">
      <c r="AD121" s="1067" t="str">
        <f t="shared" si="5"/>
        <v/>
      </c>
      <c r="AE121" s="1063" t="str">
        <f>IF(ISNA(VLOOKUP(TB_curr[[#This Row],[Synt]],GL[[#Headers],[#Data],[subtotal label]],1,FALSE)),0,(VLOOKUP(TB_curr[[#This Row],[Synt]],GL[[#Headers],[#Data],[subtotal label]],1,FALSE)))</f>
        <v/>
      </c>
      <c r="AF121" s="1063" t="e">
        <f>IF((TB_curr[[#This Row],[Synt]]-TB_curr[[#This Row],[Subtotal Y/N]])=0,0,VLOOKUP(TB_curr[[#This Row],[Synt]],GL[[Account]:[Line]],3,FALSE))</f>
        <v>#VALUE!</v>
      </c>
      <c r="AG121" s="1063" t="e">
        <f>VLOOKUP(TB_curr[[#This Row],[Synt]],GL[[Account]:[B/P]],4,FALSE)</f>
        <v>#N/A</v>
      </c>
      <c r="AH121" s="1066" t="e">
        <v>#VALUE!</v>
      </c>
      <c r="AI121" s="1065" t="e">
        <f>TB_curr[[#This Row],[Synt]]&amp;TB_curr[[#This Row],[Line No. manual corr.]]</f>
        <v>#VALUE!</v>
      </c>
      <c r="AJ121" s="1064">
        <f t="shared" si="6"/>
        <v>0</v>
      </c>
      <c r="AK121" s="1064">
        <f t="shared" si="7"/>
        <v>0</v>
      </c>
      <c r="AL121" s="1064">
        <f t="shared" si="8"/>
        <v>0</v>
      </c>
      <c r="AM121" s="1064">
        <f t="shared" si="9"/>
        <v>0</v>
      </c>
      <c r="AN121" s="1064"/>
      <c r="AO121" s="1064">
        <f>TB_curr[[#This Row],[Closing balance]]+TB_curr[[#This Row],[Rounding]]</f>
        <v>0</v>
      </c>
    </row>
    <row r="122" spans="30:41" x14ac:dyDescent="0.25">
      <c r="AD122" s="1067" t="str">
        <f t="shared" si="5"/>
        <v/>
      </c>
      <c r="AE122" s="1063" t="str">
        <f>IF(ISNA(VLOOKUP(TB_curr[[#This Row],[Synt]],GL[[#Headers],[#Data],[subtotal label]],1,FALSE)),0,(VLOOKUP(TB_curr[[#This Row],[Synt]],GL[[#Headers],[#Data],[subtotal label]],1,FALSE)))</f>
        <v/>
      </c>
      <c r="AF122" s="1063" t="e">
        <f>IF((TB_curr[[#This Row],[Synt]]-TB_curr[[#This Row],[Subtotal Y/N]])=0,0,VLOOKUP(TB_curr[[#This Row],[Synt]],GL[[Account]:[Line]],3,FALSE))</f>
        <v>#VALUE!</v>
      </c>
      <c r="AG122" s="1063" t="e">
        <f>VLOOKUP(TB_curr[[#This Row],[Synt]],GL[[Account]:[B/P]],4,FALSE)</f>
        <v>#N/A</v>
      </c>
      <c r="AH122" s="1066" t="e">
        <v>#VALUE!</v>
      </c>
      <c r="AI122" s="1065" t="e">
        <f>TB_curr[[#This Row],[Synt]]&amp;TB_curr[[#This Row],[Line No. manual corr.]]</f>
        <v>#VALUE!</v>
      </c>
      <c r="AJ122" s="1064">
        <f t="shared" si="6"/>
        <v>0</v>
      </c>
      <c r="AK122" s="1064">
        <f t="shared" si="7"/>
        <v>0</v>
      </c>
      <c r="AL122" s="1064">
        <f t="shared" si="8"/>
        <v>0</v>
      </c>
      <c r="AM122" s="1064">
        <f t="shared" si="9"/>
        <v>0</v>
      </c>
      <c r="AN122" s="1064"/>
      <c r="AO122" s="1064">
        <f>TB_curr[[#This Row],[Closing balance]]+TB_curr[[#This Row],[Rounding]]</f>
        <v>0</v>
      </c>
    </row>
    <row r="123" spans="30:41" x14ac:dyDescent="0.25">
      <c r="AD123" s="1067" t="str">
        <f t="shared" si="5"/>
        <v/>
      </c>
      <c r="AE123" s="1063" t="str">
        <f>IF(ISNA(VLOOKUP(TB_curr[[#This Row],[Synt]],GL[[#Headers],[#Data],[subtotal label]],1,FALSE)),0,(VLOOKUP(TB_curr[[#This Row],[Synt]],GL[[#Headers],[#Data],[subtotal label]],1,FALSE)))</f>
        <v/>
      </c>
      <c r="AF123" s="1063" t="e">
        <f>IF((TB_curr[[#This Row],[Synt]]-TB_curr[[#This Row],[Subtotal Y/N]])=0,0,VLOOKUP(TB_curr[[#This Row],[Synt]],GL[[Account]:[Line]],3,FALSE))</f>
        <v>#VALUE!</v>
      </c>
      <c r="AG123" s="1063" t="e">
        <f>VLOOKUP(TB_curr[[#This Row],[Synt]],GL[[Account]:[B/P]],4,FALSE)</f>
        <v>#N/A</v>
      </c>
      <c r="AH123" s="1066" t="e">
        <v>#VALUE!</v>
      </c>
      <c r="AI123" s="1065" t="e">
        <f>TB_curr[[#This Row],[Synt]]&amp;TB_curr[[#This Row],[Line No. manual corr.]]</f>
        <v>#VALUE!</v>
      </c>
      <c r="AJ123" s="1064">
        <f t="shared" si="6"/>
        <v>0</v>
      </c>
      <c r="AK123" s="1064">
        <f t="shared" si="7"/>
        <v>0</v>
      </c>
      <c r="AL123" s="1064">
        <f t="shared" si="8"/>
        <v>0</v>
      </c>
      <c r="AM123" s="1064">
        <f t="shared" si="9"/>
        <v>0</v>
      </c>
      <c r="AN123" s="1064"/>
      <c r="AO123" s="1064">
        <f>TB_curr[[#This Row],[Closing balance]]+TB_curr[[#This Row],[Rounding]]</f>
        <v>0</v>
      </c>
    </row>
    <row r="124" spans="30:41" x14ac:dyDescent="0.25">
      <c r="AD124" s="1067" t="str">
        <f t="shared" si="5"/>
        <v/>
      </c>
      <c r="AE124" s="1063" t="str">
        <f>IF(ISNA(VLOOKUP(TB_curr[[#This Row],[Synt]],GL[[#Headers],[#Data],[subtotal label]],1,FALSE)),0,(VLOOKUP(TB_curr[[#This Row],[Synt]],GL[[#Headers],[#Data],[subtotal label]],1,FALSE)))</f>
        <v/>
      </c>
      <c r="AF124" s="1063" t="e">
        <f>IF((TB_curr[[#This Row],[Synt]]-TB_curr[[#This Row],[Subtotal Y/N]])=0,0,VLOOKUP(TB_curr[[#This Row],[Synt]],GL[[Account]:[Line]],3,FALSE))</f>
        <v>#VALUE!</v>
      </c>
      <c r="AG124" s="1063" t="e">
        <f>VLOOKUP(TB_curr[[#This Row],[Synt]],GL[[Account]:[B/P]],4,FALSE)</f>
        <v>#N/A</v>
      </c>
      <c r="AH124" s="1066" t="e">
        <v>#VALUE!</v>
      </c>
      <c r="AI124" s="1065" t="e">
        <f>TB_curr[[#This Row],[Synt]]&amp;TB_curr[[#This Row],[Line No. manual corr.]]</f>
        <v>#VALUE!</v>
      </c>
      <c r="AJ124" s="1064">
        <f t="shared" si="6"/>
        <v>0</v>
      </c>
      <c r="AK124" s="1064">
        <f t="shared" si="7"/>
        <v>0</v>
      </c>
      <c r="AL124" s="1064">
        <f t="shared" si="8"/>
        <v>0</v>
      </c>
      <c r="AM124" s="1064">
        <f t="shared" si="9"/>
        <v>0</v>
      </c>
      <c r="AN124" s="1064"/>
      <c r="AO124" s="1064">
        <f>TB_curr[[#This Row],[Closing balance]]+TB_curr[[#This Row],[Rounding]]</f>
        <v>0</v>
      </c>
    </row>
    <row r="125" spans="30:41" x14ac:dyDescent="0.25">
      <c r="AD125" s="1067" t="str">
        <f t="shared" si="5"/>
        <v/>
      </c>
      <c r="AE125" s="1063" t="str">
        <f>IF(ISNA(VLOOKUP(TB_curr[[#This Row],[Synt]],GL[[#Headers],[#Data],[subtotal label]],1,FALSE)),0,(VLOOKUP(TB_curr[[#This Row],[Synt]],GL[[#Headers],[#Data],[subtotal label]],1,FALSE)))</f>
        <v/>
      </c>
      <c r="AF125" s="1063" t="e">
        <f>IF((TB_curr[[#This Row],[Synt]]-TB_curr[[#This Row],[Subtotal Y/N]])=0,0,VLOOKUP(TB_curr[[#This Row],[Synt]],GL[[Account]:[Line]],3,FALSE))</f>
        <v>#VALUE!</v>
      </c>
      <c r="AG125" s="1063" t="e">
        <f>VLOOKUP(TB_curr[[#This Row],[Synt]],GL[[Account]:[B/P]],4,FALSE)</f>
        <v>#N/A</v>
      </c>
      <c r="AH125" s="1066" t="e">
        <v>#VALUE!</v>
      </c>
      <c r="AI125" s="1065" t="e">
        <f>TB_curr[[#This Row],[Synt]]&amp;TB_curr[[#This Row],[Line No. manual corr.]]</f>
        <v>#VALUE!</v>
      </c>
      <c r="AJ125" s="1064">
        <f t="shared" si="6"/>
        <v>0</v>
      </c>
      <c r="AK125" s="1064">
        <f t="shared" si="7"/>
        <v>0</v>
      </c>
      <c r="AL125" s="1064">
        <f t="shared" si="8"/>
        <v>0</v>
      </c>
      <c r="AM125" s="1064">
        <f t="shared" si="9"/>
        <v>0</v>
      </c>
      <c r="AN125" s="1064"/>
      <c r="AO125" s="1064">
        <f>TB_curr[[#This Row],[Closing balance]]+TB_curr[[#This Row],[Rounding]]</f>
        <v>0</v>
      </c>
    </row>
    <row r="126" spans="30:41" x14ac:dyDescent="0.25">
      <c r="AD126" s="1067" t="str">
        <f t="shared" si="5"/>
        <v/>
      </c>
      <c r="AE126" s="1063" t="str">
        <f>IF(ISNA(VLOOKUP(TB_curr[[#This Row],[Synt]],GL[[#Headers],[#Data],[subtotal label]],1,FALSE)),0,(VLOOKUP(TB_curr[[#This Row],[Synt]],GL[[#Headers],[#Data],[subtotal label]],1,FALSE)))</f>
        <v/>
      </c>
      <c r="AF126" s="1063" t="e">
        <f>IF((TB_curr[[#This Row],[Synt]]-TB_curr[[#This Row],[Subtotal Y/N]])=0,0,VLOOKUP(TB_curr[[#This Row],[Synt]],GL[[Account]:[Line]],3,FALSE))</f>
        <v>#VALUE!</v>
      </c>
      <c r="AG126" s="1063" t="e">
        <f>VLOOKUP(TB_curr[[#This Row],[Synt]],GL[[Account]:[B/P]],4,FALSE)</f>
        <v>#N/A</v>
      </c>
      <c r="AH126" s="1066" t="e">
        <v>#VALUE!</v>
      </c>
      <c r="AI126" s="1065" t="e">
        <f>TB_curr[[#This Row],[Synt]]&amp;TB_curr[[#This Row],[Line No. manual corr.]]</f>
        <v>#VALUE!</v>
      </c>
      <c r="AJ126" s="1064">
        <f t="shared" si="6"/>
        <v>0</v>
      </c>
      <c r="AK126" s="1064">
        <f t="shared" si="7"/>
        <v>0</v>
      </c>
      <c r="AL126" s="1064">
        <f t="shared" si="8"/>
        <v>0</v>
      </c>
      <c r="AM126" s="1064">
        <f t="shared" si="9"/>
        <v>0</v>
      </c>
      <c r="AN126" s="1064"/>
      <c r="AO126" s="1064">
        <f>TB_curr[[#This Row],[Closing balance]]+TB_curr[[#This Row],[Rounding]]</f>
        <v>0</v>
      </c>
    </row>
    <row r="127" spans="30:41" x14ac:dyDescent="0.25">
      <c r="AD127" s="1067" t="str">
        <f t="shared" si="5"/>
        <v/>
      </c>
      <c r="AE127" s="1063" t="str">
        <f>IF(ISNA(VLOOKUP(TB_curr[[#This Row],[Synt]],GL[[#Headers],[#Data],[subtotal label]],1,FALSE)),0,(VLOOKUP(TB_curr[[#This Row],[Synt]],GL[[#Headers],[#Data],[subtotal label]],1,FALSE)))</f>
        <v/>
      </c>
      <c r="AF127" s="1063" t="e">
        <f>IF((TB_curr[[#This Row],[Synt]]-TB_curr[[#This Row],[Subtotal Y/N]])=0,0,VLOOKUP(TB_curr[[#This Row],[Synt]],GL[[Account]:[Line]],3,FALSE))</f>
        <v>#VALUE!</v>
      </c>
      <c r="AG127" s="1063" t="e">
        <f>VLOOKUP(TB_curr[[#This Row],[Synt]],GL[[Account]:[B/P]],4,FALSE)</f>
        <v>#N/A</v>
      </c>
      <c r="AH127" s="1066" t="e">
        <v>#VALUE!</v>
      </c>
      <c r="AI127" s="1065" t="e">
        <f>TB_curr[[#This Row],[Synt]]&amp;TB_curr[[#This Row],[Line No. manual corr.]]</f>
        <v>#VALUE!</v>
      </c>
      <c r="AJ127" s="1064">
        <f t="shared" si="6"/>
        <v>0</v>
      </c>
      <c r="AK127" s="1064">
        <f t="shared" si="7"/>
        <v>0</v>
      </c>
      <c r="AL127" s="1064">
        <f t="shared" si="8"/>
        <v>0</v>
      </c>
      <c r="AM127" s="1064">
        <f t="shared" si="9"/>
        <v>0</v>
      </c>
      <c r="AN127" s="1064"/>
      <c r="AO127" s="1064">
        <f>TB_curr[[#This Row],[Closing balance]]+TB_curr[[#This Row],[Rounding]]</f>
        <v>0</v>
      </c>
    </row>
    <row r="128" spans="30:41" x14ac:dyDescent="0.25">
      <c r="AD128" s="1067" t="str">
        <f t="shared" si="5"/>
        <v/>
      </c>
      <c r="AE128" s="1063" t="str">
        <f>IF(ISNA(VLOOKUP(TB_curr[[#This Row],[Synt]],GL[[#Headers],[#Data],[subtotal label]],1,FALSE)),0,(VLOOKUP(TB_curr[[#This Row],[Synt]],GL[[#Headers],[#Data],[subtotal label]],1,FALSE)))</f>
        <v/>
      </c>
      <c r="AF128" s="1063" t="e">
        <f>IF((TB_curr[[#This Row],[Synt]]-TB_curr[[#This Row],[Subtotal Y/N]])=0,0,VLOOKUP(TB_curr[[#This Row],[Synt]],GL[[Account]:[Line]],3,FALSE))</f>
        <v>#VALUE!</v>
      </c>
      <c r="AG128" s="1063" t="e">
        <f>VLOOKUP(TB_curr[[#This Row],[Synt]],GL[[Account]:[B/P]],4,FALSE)</f>
        <v>#N/A</v>
      </c>
      <c r="AH128" s="1066" t="e">
        <v>#VALUE!</v>
      </c>
      <c r="AI128" s="1065" t="e">
        <f>TB_curr[[#This Row],[Synt]]&amp;TB_curr[[#This Row],[Line No. manual corr.]]</f>
        <v>#VALUE!</v>
      </c>
      <c r="AJ128" s="1064">
        <f t="shared" si="6"/>
        <v>0</v>
      </c>
      <c r="AK128" s="1064">
        <f t="shared" si="7"/>
        <v>0</v>
      </c>
      <c r="AL128" s="1064">
        <f t="shared" si="8"/>
        <v>0</v>
      </c>
      <c r="AM128" s="1064">
        <f t="shared" si="9"/>
        <v>0</v>
      </c>
      <c r="AN128" s="1064"/>
      <c r="AO128" s="1064">
        <f>TB_curr[[#This Row],[Closing balance]]+TB_curr[[#This Row],[Rounding]]</f>
        <v>0</v>
      </c>
    </row>
    <row r="129" spans="30:41" x14ac:dyDescent="0.25">
      <c r="AD129" s="1067" t="str">
        <f t="shared" si="5"/>
        <v/>
      </c>
      <c r="AE129" s="1063" t="str">
        <f>IF(ISNA(VLOOKUP(TB_curr[[#This Row],[Synt]],GL[[#Headers],[#Data],[subtotal label]],1,FALSE)),0,(VLOOKUP(TB_curr[[#This Row],[Synt]],GL[[#Headers],[#Data],[subtotal label]],1,FALSE)))</f>
        <v/>
      </c>
      <c r="AF129" s="1063" t="e">
        <f>IF((TB_curr[[#This Row],[Synt]]-TB_curr[[#This Row],[Subtotal Y/N]])=0,0,VLOOKUP(TB_curr[[#This Row],[Synt]],GL[[Account]:[Line]],3,FALSE))</f>
        <v>#VALUE!</v>
      </c>
      <c r="AG129" s="1063" t="e">
        <f>VLOOKUP(TB_curr[[#This Row],[Synt]],GL[[Account]:[B/P]],4,FALSE)</f>
        <v>#N/A</v>
      </c>
      <c r="AH129" s="1066" t="e">
        <v>#VALUE!</v>
      </c>
      <c r="AI129" s="1065" t="e">
        <f>TB_curr[[#This Row],[Synt]]&amp;TB_curr[[#This Row],[Line No. manual corr.]]</f>
        <v>#VALUE!</v>
      </c>
      <c r="AJ129" s="1064">
        <f t="shared" si="6"/>
        <v>0</v>
      </c>
      <c r="AK129" s="1064">
        <f t="shared" si="7"/>
        <v>0</v>
      </c>
      <c r="AL129" s="1064">
        <f t="shared" si="8"/>
        <v>0</v>
      </c>
      <c r="AM129" s="1064">
        <f t="shared" si="9"/>
        <v>0</v>
      </c>
      <c r="AN129" s="1064"/>
      <c r="AO129" s="1064">
        <f>TB_curr[[#This Row],[Closing balance]]+TB_curr[[#This Row],[Rounding]]</f>
        <v>0</v>
      </c>
    </row>
    <row r="130" spans="30:41" x14ac:dyDescent="0.25">
      <c r="AD130" s="1067" t="str">
        <f t="shared" si="5"/>
        <v/>
      </c>
      <c r="AE130" s="1063" t="str">
        <f>IF(ISNA(VLOOKUP(TB_curr[[#This Row],[Synt]],GL[[#Headers],[#Data],[subtotal label]],1,FALSE)),0,(VLOOKUP(TB_curr[[#This Row],[Synt]],GL[[#Headers],[#Data],[subtotal label]],1,FALSE)))</f>
        <v/>
      </c>
      <c r="AF130" s="1063" t="e">
        <f>IF((TB_curr[[#This Row],[Synt]]-TB_curr[[#This Row],[Subtotal Y/N]])=0,0,VLOOKUP(TB_curr[[#This Row],[Synt]],GL[[Account]:[Line]],3,FALSE))</f>
        <v>#VALUE!</v>
      </c>
      <c r="AG130" s="1063" t="e">
        <f>VLOOKUP(TB_curr[[#This Row],[Synt]],GL[[Account]:[B/P]],4,FALSE)</f>
        <v>#N/A</v>
      </c>
      <c r="AH130" s="1066" t="e">
        <v>#VALUE!</v>
      </c>
      <c r="AI130" s="1065" t="e">
        <f>TB_curr[[#This Row],[Synt]]&amp;TB_curr[[#This Row],[Line No. manual corr.]]</f>
        <v>#VALUE!</v>
      </c>
      <c r="AJ130" s="1064">
        <f t="shared" si="6"/>
        <v>0</v>
      </c>
      <c r="AK130" s="1064">
        <f t="shared" si="7"/>
        <v>0</v>
      </c>
      <c r="AL130" s="1064">
        <f t="shared" si="8"/>
        <v>0</v>
      </c>
      <c r="AM130" s="1064">
        <f t="shared" si="9"/>
        <v>0</v>
      </c>
      <c r="AN130" s="1064"/>
      <c r="AO130" s="1064">
        <f>TB_curr[[#This Row],[Closing balance]]+TB_curr[[#This Row],[Rounding]]</f>
        <v>0</v>
      </c>
    </row>
    <row r="131" spans="30:41" x14ac:dyDescent="0.25">
      <c r="AD131" s="1067" t="str">
        <f t="shared" si="5"/>
        <v/>
      </c>
      <c r="AE131" s="1063" t="str">
        <f>IF(ISNA(VLOOKUP(TB_curr[[#This Row],[Synt]],GL[[#Headers],[#Data],[subtotal label]],1,FALSE)),0,(VLOOKUP(TB_curr[[#This Row],[Synt]],GL[[#Headers],[#Data],[subtotal label]],1,FALSE)))</f>
        <v/>
      </c>
      <c r="AF131" s="1063" t="e">
        <f>IF((TB_curr[[#This Row],[Synt]]-TB_curr[[#This Row],[Subtotal Y/N]])=0,0,VLOOKUP(TB_curr[[#This Row],[Synt]],GL[[Account]:[Line]],3,FALSE))</f>
        <v>#VALUE!</v>
      </c>
      <c r="AG131" s="1063" t="e">
        <f>VLOOKUP(TB_curr[[#This Row],[Synt]],GL[[Account]:[B/P]],4,FALSE)</f>
        <v>#N/A</v>
      </c>
      <c r="AH131" s="1066" t="e">
        <v>#VALUE!</v>
      </c>
      <c r="AI131" s="1065" t="e">
        <f>TB_curr[[#This Row],[Synt]]&amp;TB_curr[[#This Row],[Line No. manual corr.]]</f>
        <v>#VALUE!</v>
      </c>
      <c r="AJ131" s="1064">
        <f t="shared" si="6"/>
        <v>0</v>
      </c>
      <c r="AK131" s="1064">
        <f t="shared" si="7"/>
        <v>0</v>
      </c>
      <c r="AL131" s="1064">
        <f t="shared" si="8"/>
        <v>0</v>
      </c>
      <c r="AM131" s="1064">
        <f t="shared" si="9"/>
        <v>0</v>
      </c>
      <c r="AN131" s="1064"/>
      <c r="AO131" s="1064">
        <f>TB_curr[[#This Row],[Closing balance]]+TB_curr[[#This Row],[Rounding]]</f>
        <v>0</v>
      </c>
    </row>
    <row r="132" spans="30:41" x14ac:dyDescent="0.25">
      <c r="AD132" s="1067" t="str">
        <f t="shared" si="5"/>
        <v/>
      </c>
      <c r="AE132" s="1063" t="str">
        <f>IF(ISNA(VLOOKUP(TB_curr[[#This Row],[Synt]],GL[[#Headers],[#Data],[subtotal label]],1,FALSE)),0,(VLOOKUP(TB_curr[[#This Row],[Synt]],GL[[#Headers],[#Data],[subtotal label]],1,FALSE)))</f>
        <v/>
      </c>
      <c r="AF132" s="1063" t="e">
        <f>IF((TB_curr[[#This Row],[Synt]]-TB_curr[[#This Row],[Subtotal Y/N]])=0,0,VLOOKUP(TB_curr[[#This Row],[Synt]],GL[[Account]:[Line]],3,FALSE))</f>
        <v>#VALUE!</v>
      </c>
      <c r="AG132" s="1063" t="e">
        <f>VLOOKUP(TB_curr[[#This Row],[Synt]],GL[[Account]:[B/P]],4,FALSE)</f>
        <v>#N/A</v>
      </c>
      <c r="AH132" s="1066" t="e">
        <v>#VALUE!</v>
      </c>
      <c r="AI132" s="1065" t="e">
        <f>TB_curr[[#This Row],[Synt]]&amp;TB_curr[[#This Row],[Line No. manual corr.]]</f>
        <v>#VALUE!</v>
      </c>
      <c r="AJ132" s="1064">
        <f t="shared" si="6"/>
        <v>0</v>
      </c>
      <c r="AK132" s="1064">
        <f t="shared" si="7"/>
        <v>0</v>
      </c>
      <c r="AL132" s="1064">
        <f t="shared" si="8"/>
        <v>0</v>
      </c>
      <c r="AM132" s="1064">
        <f t="shared" si="9"/>
        <v>0</v>
      </c>
      <c r="AN132" s="1064"/>
      <c r="AO132" s="1064">
        <f>TB_curr[[#This Row],[Closing balance]]+TB_curr[[#This Row],[Rounding]]</f>
        <v>0</v>
      </c>
    </row>
    <row r="133" spans="30:41" x14ac:dyDescent="0.25">
      <c r="AD133" s="1067" t="str">
        <f t="shared" si="5"/>
        <v/>
      </c>
      <c r="AE133" s="1063" t="str">
        <f>IF(ISNA(VLOOKUP(TB_curr[[#This Row],[Synt]],GL[[#Headers],[#Data],[subtotal label]],1,FALSE)),0,(VLOOKUP(TB_curr[[#This Row],[Synt]],GL[[#Headers],[#Data],[subtotal label]],1,FALSE)))</f>
        <v/>
      </c>
      <c r="AF133" s="1063" t="e">
        <f>IF((TB_curr[[#This Row],[Synt]]-TB_curr[[#This Row],[Subtotal Y/N]])=0,0,VLOOKUP(TB_curr[[#This Row],[Synt]],GL[[Account]:[Line]],3,FALSE))</f>
        <v>#VALUE!</v>
      </c>
      <c r="AG133" s="1063" t="e">
        <f>VLOOKUP(TB_curr[[#This Row],[Synt]],GL[[Account]:[B/P]],4,FALSE)</f>
        <v>#N/A</v>
      </c>
      <c r="AH133" s="1066" t="e">
        <v>#VALUE!</v>
      </c>
      <c r="AI133" s="1065" t="e">
        <f>TB_curr[[#This Row],[Synt]]&amp;TB_curr[[#This Row],[Line No. manual corr.]]</f>
        <v>#VALUE!</v>
      </c>
      <c r="AJ133" s="1064">
        <f t="shared" si="6"/>
        <v>0</v>
      </c>
      <c r="AK133" s="1064">
        <f t="shared" si="7"/>
        <v>0</v>
      </c>
      <c r="AL133" s="1064">
        <f t="shared" si="8"/>
        <v>0</v>
      </c>
      <c r="AM133" s="1064">
        <f t="shared" si="9"/>
        <v>0</v>
      </c>
      <c r="AN133" s="1064"/>
      <c r="AO133" s="1064">
        <f>TB_curr[[#This Row],[Closing balance]]+TB_curr[[#This Row],[Rounding]]</f>
        <v>0</v>
      </c>
    </row>
    <row r="134" spans="30:41" x14ac:dyDescent="0.25">
      <c r="AD134" s="1067" t="str">
        <f t="shared" si="5"/>
        <v/>
      </c>
      <c r="AE134" s="1063" t="str">
        <f>IF(ISNA(VLOOKUP(TB_curr[[#This Row],[Synt]],GL[[#Headers],[#Data],[subtotal label]],1,FALSE)),0,(VLOOKUP(TB_curr[[#This Row],[Synt]],GL[[#Headers],[#Data],[subtotal label]],1,FALSE)))</f>
        <v/>
      </c>
      <c r="AF134" s="1063" t="e">
        <f>IF((TB_curr[[#This Row],[Synt]]-TB_curr[[#This Row],[Subtotal Y/N]])=0,0,VLOOKUP(TB_curr[[#This Row],[Synt]],GL[[Account]:[Line]],3,FALSE))</f>
        <v>#VALUE!</v>
      </c>
      <c r="AG134" s="1063" t="e">
        <f>VLOOKUP(TB_curr[[#This Row],[Synt]],GL[[Account]:[B/P]],4,FALSE)</f>
        <v>#N/A</v>
      </c>
      <c r="AH134" s="1066" t="e">
        <v>#VALUE!</v>
      </c>
      <c r="AI134" s="1065" t="e">
        <f>TB_curr[[#This Row],[Synt]]&amp;TB_curr[[#This Row],[Line No. manual corr.]]</f>
        <v>#VALUE!</v>
      </c>
      <c r="AJ134" s="1064">
        <f t="shared" si="6"/>
        <v>0</v>
      </c>
      <c r="AK134" s="1064">
        <f t="shared" si="7"/>
        <v>0</v>
      </c>
      <c r="AL134" s="1064">
        <f t="shared" si="8"/>
        <v>0</v>
      </c>
      <c r="AM134" s="1064">
        <f t="shared" si="9"/>
        <v>0</v>
      </c>
      <c r="AN134" s="1064"/>
      <c r="AO134" s="1064">
        <f>TB_curr[[#This Row],[Closing balance]]+TB_curr[[#This Row],[Rounding]]</f>
        <v>0</v>
      </c>
    </row>
    <row r="135" spans="30:41" x14ac:dyDescent="0.25">
      <c r="AD135" s="1067" t="str">
        <f t="shared" si="5"/>
        <v/>
      </c>
      <c r="AE135" s="1063" t="str">
        <f>IF(ISNA(VLOOKUP(TB_curr[[#This Row],[Synt]],GL[[#Headers],[#Data],[subtotal label]],1,FALSE)),0,(VLOOKUP(TB_curr[[#This Row],[Synt]],GL[[#Headers],[#Data],[subtotal label]],1,FALSE)))</f>
        <v/>
      </c>
      <c r="AF135" s="1063" t="e">
        <f>IF((TB_curr[[#This Row],[Synt]]-TB_curr[[#This Row],[Subtotal Y/N]])=0,0,VLOOKUP(TB_curr[[#This Row],[Synt]],GL[[Account]:[Line]],3,FALSE))</f>
        <v>#VALUE!</v>
      </c>
      <c r="AG135" s="1063" t="e">
        <f>VLOOKUP(TB_curr[[#This Row],[Synt]],GL[[Account]:[B/P]],4,FALSE)</f>
        <v>#N/A</v>
      </c>
      <c r="AH135" s="1066" t="e">
        <v>#VALUE!</v>
      </c>
      <c r="AI135" s="1065" t="e">
        <f>TB_curr[[#This Row],[Synt]]&amp;TB_curr[[#This Row],[Line No. manual corr.]]</f>
        <v>#VALUE!</v>
      </c>
      <c r="AJ135" s="1064">
        <f t="shared" si="6"/>
        <v>0</v>
      </c>
      <c r="AK135" s="1064">
        <f t="shared" si="7"/>
        <v>0</v>
      </c>
      <c r="AL135" s="1064">
        <f t="shared" si="8"/>
        <v>0</v>
      </c>
      <c r="AM135" s="1064">
        <f t="shared" si="9"/>
        <v>0</v>
      </c>
      <c r="AN135" s="1064"/>
      <c r="AO135" s="1064">
        <f>TB_curr[[#This Row],[Closing balance]]+TB_curr[[#This Row],[Rounding]]</f>
        <v>0</v>
      </c>
    </row>
    <row r="136" spans="30:41" x14ac:dyDescent="0.25">
      <c r="AD136" s="1067" t="str">
        <f t="shared" ref="AD136:AD199" si="10">LEFT(B136,3)</f>
        <v/>
      </c>
      <c r="AE136" s="1063" t="str">
        <f>IF(ISNA(VLOOKUP(TB_curr[[#This Row],[Synt]],GL[[#Headers],[#Data],[subtotal label]],1,FALSE)),0,(VLOOKUP(TB_curr[[#This Row],[Synt]],GL[[#Headers],[#Data],[subtotal label]],1,FALSE)))</f>
        <v/>
      </c>
      <c r="AF136" s="1063" t="e">
        <f>IF((TB_curr[[#This Row],[Synt]]-TB_curr[[#This Row],[Subtotal Y/N]])=0,0,VLOOKUP(TB_curr[[#This Row],[Synt]],GL[[Account]:[Line]],3,FALSE))</f>
        <v>#VALUE!</v>
      </c>
      <c r="AG136" s="1063" t="e">
        <f>VLOOKUP(TB_curr[[#This Row],[Synt]],GL[[Account]:[B/P]],4,FALSE)</f>
        <v>#N/A</v>
      </c>
      <c r="AH136" s="1066" t="e">
        <v>#VALUE!</v>
      </c>
      <c r="AI136" s="1065" t="e">
        <f>TB_curr[[#This Row],[Synt]]&amp;TB_curr[[#This Row],[Line No. manual corr.]]</f>
        <v>#VALUE!</v>
      </c>
      <c r="AJ136" s="1064">
        <f t="shared" ref="AJ136:AJ199" si="11">K136-N136</f>
        <v>0</v>
      </c>
      <c r="AK136" s="1064">
        <f t="shared" ref="AK136:AK199" si="12">Q136</f>
        <v>0</v>
      </c>
      <c r="AL136" s="1064">
        <f t="shared" ref="AL136:AL199" si="13">U136</f>
        <v>0</v>
      </c>
      <c r="AM136" s="1064">
        <f t="shared" ref="AM136:AM199" si="14">X136-AB136</f>
        <v>0</v>
      </c>
      <c r="AN136" s="1064"/>
      <c r="AO136" s="1064">
        <f>TB_curr[[#This Row],[Closing balance]]+TB_curr[[#This Row],[Rounding]]</f>
        <v>0</v>
      </c>
    </row>
    <row r="137" spans="30:41" x14ac:dyDescent="0.25">
      <c r="AD137" s="1067" t="str">
        <f t="shared" si="10"/>
        <v/>
      </c>
      <c r="AE137" s="1063" t="str">
        <f>IF(ISNA(VLOOKUP(TB_curr[[#This Row],[Synt]],GL[[#Headers],[#Data],[subtotal label]],1,FALSE)),0,(VLOOKUP(TB_curr[[#This Row],[Synt]],GL[[#Headers],[#Data],[subtotal label]],1,FALSE)))</f>
        <v/>
      </c>
      <c r="AF137" s="1063" t="e">
        <f>IF((TB_curr[[#This Row],[Synt]]-TB_curr[[#This Row],[Subtotal Y/N]])=0,0,VLOOKUP(TB_curr[[#This Row],[Synt]],GL[[Account]:[Line]],3,FALSE))</f>
        <v>#VALUE!</v>
      </c>
      <c r="AG137" s="1063" t="e">
        <f>VLOOKUP(TB_curr[[#This Row],[Synt]],GL[[Account]:[B/P]],4,FALSE)</f>
        <v>#N/A</v>
      </c>
      <c r="AH137" s="1066" t="e">
        <v>#VALUE!</v>
      </c>
      <c r="AI137" s="1065" t="e">
        <f>TB_curr[[#This Row],[Synt]]&amp;TB_curr[[#This Row],[Line No. manual corr.]]</f>
        <v>#VALUE!</v>
      </c>
      <c r="AJ137" s="1064">
        <f t="shared" si="11"/>
        <v>0</v>
      </c>
      <c r="AK137" s="1064">
        <f t="shared" si="12"/>
        <v>0</v>
      </c>
      <c r="AL137" s="1064">
        <f t="shared" si="13"/>
        <v>0</v>
      </c>
      <c r="AM137" s="1064">
        <f t="shared" si="14"/>
        <v>0</v>
      </c>
      <c r="AN137" s="1064"/>
      <c r="AO137" s="1064">
        <f>TB_curr[[#This Row],[Closing balance]]+TB_curr[[#This Row],[Rounding]]</f>
        <v>0</v>
      </c>
    </row>
    <row r="138" spans="30:41" x14ac:dyDescent="0.25">
      <c r="AD138" s="1067" t="str">
        <f t="shared" si="10"/>
        <v/>
      </c>
      <c r="AE138" s="1063" t="str">
        <f>IF(ISNA(VLOOKUP(TB_curr[[#This Row],[Synt]],GL[[#Headers],[#Data],[subtotal label]],1,FALSE)),0,(VLOOKUP(TB_curr[[#This Row],[Synt]],GL[[#Headers],[#Data],[subtotal label]],1,FALSE)))</f>
        <v/>
      </c>
      <c r="AF138" s="1063" t="e">
        <f>IF((TB_curr[[#This Row],[Synt]]-TB_curr[[#This Row],[Subtotal Y/N]])=0,0,VLOOKUP(TB_curr[[#This Row],[Synt]],GL[[Account]:[Line]],3,FALSE))</f>
        <v>#VALUE!</v>
      </c>
      <c r="AG138" s="1063" t="e">
        <f>VLOOKUP(TB_curr[[#This Row],[Synt]],GL[[Account]:[B/P]],4,FALSE)</f>
        <v>#N/A</v>
      </c>
      <c r="AH138" s="1066" t="e">
        <v>#VALUE!</v>
      </c>
      <c r="AI138" s="1065" t="e">
        <f>TB_curr[[#This Row],[Synt]]&amp;TB_curr[[#This Row],[Line No. manual corr.]]</f>
        <v>#VALUE!</v>
      </c>
      <c r="AJ138" s="1064">
        <f t="shared" si="11"/>
        <v>0</v>
      </c>
      <c r="AK138" s="1064">
        <f t="shared" si="12"/>
        <v>0</v>
      </c>
      <c r="AL138" s="1064">
        <f t="shared" si="13"/>
        <v>0</v>
      </c>
      <c r="AM138" s="1064">
        <f t="shared" si="14"/>
        <v>0</v>
      </c>
      <c r="AN138" s="1064"/>
      <c r="AO138" s="1064">
        <f>TB_curr[[#This Row],[Closing balance]]+TB_curr[[#This Row],[Rounding]]</f>
        <v>0</v>
      </c>
    </row>
    <row r="139" spans="30:41" x14ac:dyDescent="0.25">
      <c r="AD139" s="1067" t="str">
        <f t="shared" si="10"/>
        <v/>
      </c>
      <c r="AE139" s="1063" t="str">
        <f>IF(ISNA(VLOOKUP(TB_curr[[#This Row],[Synt]],GL[[#Headers],[#Data],[subtotal label]],1,FALSE)),0,(VLOOKUP(TB_curr[[#This Row],[Synt]],GL[[#Headers],[#Data],[subtotal label]],1,FALSE)))</f>
        <v/>
      </c>
      <c r="AF139" s="1063" t="e">
        <f>IF((TB_curr[[#This Row],[Synt]]-TB_curr[[#This Row],[Subtotal Y/N]])=0,0,VLOOKUP(TB_curr[[#This Row],[Synt]],GL[[Account]:[Line]],3,FALSE))</f>
        <v>#VALUE!</v>
      </c>
      <c r="AG139" s="1063" t="e">
        <f>VLOOKUP(TB_curr[[#This Row],[Synt]],GL[[Account]:[B/P]],4,FALSE)</f>
        <v>#N/A</v>
      </c>
      <c r="AH139" s="1066" t="e">
        <v>#VALUE!</v>
      </c>
      <c r="AI139" s="1065" t="e">
        <f>TB_curr[[#This Row],[Synt]]&amp;TB_curr[[#This Row],[Line No. manual corr.]]</f>
        <v>#VALUE!</v>
      </c>
      <c r="AJ139" s="1064">
        <f t="shared" si="11"/>
        <v>0</v>
      </c>
      <c r="AK139" s="1064">
        <f t="shared" si="12"/>
        <v>0</v>
      </c>
      <c r="AL139" s="1064">
        <f t="shared" si="13"/>
        <v>0</v>
      </c>
      <c r="AM139" s="1064">
        <f t="shared" si="14"/>
        <v>0</v>
      </c>
      <c r="AN139" s="1064"/>
      <c r="AO139" s="1064">
        <f>TB_curr[[#This Row],[Closing balance]]+TB_curr[[#This Row],[Rounding]]</f>
        <v>0</v>
      </c>
    </row>
    <row r="140" spans="30:41" x14ac:dyDescent="0.25">
      <c r="AD140" s="1067" t="str">
        <f t="shared" si="10"/>
        <v/>
      </c>
      <c r="AE140" s="1063" t="str">
        <f>IF(ISNA(VLOOKUP(TB_curr[[#This Row],[Synt]],GL[[#Headers],[#Data],[subtotal label]],1,FALSE)),0,(VLOOKUP(TB_curr[[#This Row],[Synt]],GL[[#Headers],[#Data],[subtotal label]],1,FALSE)))</f>
        <v/>
      </c>
      <c r="AF140" s="1063" t="e">
        <f>IF((TB_curr[[#This Row],[Synt]]-TB_curr[[#This Row],[Subtotal Y/N]])=0,0,VLOOKUP(TB_curr[[#This Row],[Synt]],GL[[Account]:[Line]],3,FALSE))</f>
        <v>#VALUE!</v>
      </c>
      <c r="AG140" s="1063" t="e">
        <f>VLOOKUP(TB_curr[[#This Row],[Synt]],GL[[Account]:[B/P]],4,FALSE)</f>
        <v>#N/A</v>
      </c>
      <c r="AH140" s="1066" t="e">
        <v>#VALUE!</v>
      </c>
      <c r="AI140" s="1065" t="e">
        <f>TB_curr[[#This Row],[Synt]]&amp;TB_curr[[#This Row],[Line No. manual corr.]]</f>
        <v>#VALUE!</v>
      </c>
      <c r="AJ140" s="1064">
        <f t="shared" si="11"/>
        <v>0</v>
      </c>
      <c r="AK140" s="1064">
        <f t="shared" si="12"/>
        <v>0</v>
      </c>
      <c r="AL140" s="1064">
        <f t="shared" si="13"/>
        <v>0</v>
      </c>
      <c r="AM140" s="1064">
        <f t="shared" si="14"/>
        <v>0</v>
      </c>
      <c r="AN140" s="1064"/>
      <c r="AO140" s="1064">
        <f>TB_curr[[#This Row],[Closing balance]]+TB_curr[[#This Row],[Rounding]]</f>
        <v>0</v>
      </c>
    </row>
    <row r="141" spans="30:41" x14ac:dyDescent="0.25">
      <c r="AD141" s="1067" t="str">
        <f t="shared" si="10"/>
        <v/>
      </c>
      <c r="AE141" s="1063" t="str">
        <f>IF(ISNA(VLOOKUP(TB_curr[[#This Row],[Synt]],GL[[#Headers],[#Data],[subtotal label]],1,FALSE)),0,(VLOOKUP(TB_curr[[#This Row],[Synt]],GL[[#Headers],[#Data],[subtotal label]],1,FALSE)))</f>
        <v/>
      </c>
      <c r="AF141" s="1063" t="e">
        <f>IF((TB_curr[[#This Row],[Synt]]-TB_curr[[#This Row],[Subtotal Y/N]])=0,0,VLOOKUP(TB_curr[[#This Row],[Synt]],GL[[Account]:[Line]],3,FALSE))</f>
        <v>#VALUE!</v>
      </c>
      <c r="AG141" s="1063" t="e">
        <f>VLOOKUP(TB_curr[[#This Row],[Synt]],GL[[Account]:[B/P]],4,FALSE)</f>
        <v>#N/A</v>
      </c>
      <c r="AH141" s="1066" t="e">
        <v>#VALUE!</v>
      </c>
      <c r="AI141" s="1065" t="e">
        <f>TB_curr[[#This Row],[Synt]]&amp;TB_curr[[#This Row],[Line No. manual corr.]]</f>
        <v>#VALUE!</v>
      </c>
      <c r="AJ141" s="1064">
        <f t="shared" si="11"/>
        <v>0</v>
      </c>
      <c r="AK141" s="1064">
        <f t="shared" si="12"/>
        <v>0</v>
      </c>
      <c r="AL141" s="1064">
        <f t="shared" si="13"/>
        <v>0</v>
      </c>
      <c r="AM141" s="1064">
        <f t="shared" si="14"/>
        <v>0</v>
      </c>
      <c r="AN141" s="1064"/>
      <c r="AO141" s="1064">
        <f>TB_curr[[#This Row],[Closing balance]]+TB_curr[[#This Row],[Rounding]]</f>
        <v>0</v>
      </c>
    </row>
    <row r="142" spans="30:41" x14ac:dyDescent="0.25">
      <c r="AD142" s="1067" t="str">
        <f t="shared" si="10"/>
        <v/>
      </c>
      <c r="AE142" s="1063" t="str">
        <f>IF(ISNA(VLOOKUP(TB_curr[[#This Row],[Synt]],GL[[#Headers],[#Data],[subtotal label]],1,FALSE)),0,(VLOOKUP(TB_curr[[#This Row],[Synt]],GL[[#Headers],[#Data],[subtotal label]],1,FALSE)))</f>
        <v/>
      </c>
      <c r="AF142" s="1063" t="e">
        <f>IF((TB_curr[[#This Row],[Synt]]-TB_curr[[#This Row],[Subtotal Y/N]])=0,0,VLOOKUP(TB_curr[[#This Row],[Synt]],GL[[Account]:[Line]],3,FALSE))</f>
        <v>#VALUE!</v>
      </c>
      <c r="AG142" s="1063" t="e">
        <f>VLOOKUP(TB_curr[[#This Row],[Synt]],GL[[Account]:[B/P]],4,FALSE)</f>
        <v>#N/A</v>
      </c>
      <c r="AH142" s="1066" t="e">
        <v>#VALUE!</v>
      </c>
      <c r="AI142" s="1065" t="e">
        <f>TB_curr[[#This Row],[Synt]]&amp;TB_curr[[#This Row],[Line No. manual corr.]]</f>
        <v>#VALUE!</v>
      </c>
      <c r="AJ142" s="1064">
        <f t="shared" si="11"/>
        <v>0</v>
      </c>
      <c r="AK142" s="1064">
        <f t="shared" si="12"/>
        <v>0</v>
      </c>
      <c r="AL142" s="1064">
        <f t="shared" si="13"/>
        <v>0</v>
      </c>
      <c r="AM142" s="1064">
        <f t="shared" si="14"/>
        <v>0</v>
      </c>
      <c r="AN142" s="1064"/>
      <c r="AO142" s="1064">
        <f>TB_curr[[#This Row],[Closing balance]]+TB_curr[[#This Row],[Rounding]]</f>
        <v>0</v>
      </c>
    </row>
    <row r="143" spans="30:41" x14ac:dyDescent="0.25">
      <c r="AD143" s="1067" t="str">
        <f t="shared" si="10"/>
        <v/>
      </c>
      <c r="AE143" s="1063" t="str">
        <f>IF(ISNA(VLOOKUP(TB_curr[[#This Row],[Synt]],GL[[#Headers],[#Data],[subtotal label]],1,FALSE)),0,(VLOOKUP(TB_curr[[#This Row],[Synt]],GL[[#Headers],[#Data],[subtotal label]],1,FALSE)))</f>
        <v/>
      </c>
      <c r="AF143" s="1063" t="e">
        <f>IF((TB_curr[[#This Row],[Synt]]-TB_curr[[#This Row],[Subtotal Y/N]])=0,0,VLOOKUP(TB_curr[[#This Row],[Synt]],GL[[Account]:[Line]],3,FALSE))</f>
        <v>#VALUE!</v>
      </c>
      <c r="AG143" s="1063" t="e">
        <f>VLOOKUP(TB_curr[[#This Row],[Synt]],GL[[Account]:[B/P]],4,FALSE)</f>
        <v>#N/A</v>
      </c>
      <c r="AH143" s="1066" t="e">
        <v>#VALUE!</v>
      </c>
      <c r="AI143" s="1065" t="e">
        <f>TB_curr[[#This Row],[Synt]]&amp;TB_curr[[#This Row],[Line No. manual corr.]]</f>
        <v>#VALUE!</v>
      </c>
      <c r="AJ143" s="1064">
        <f t="shared" si="11"/>
        <v>0</v>
      </c>
      <c r="AK143" s="1064">
        <f t="shared" si="12"/>
        <v>0</v>
      </c>
      <c r="AL143" s="1064">
        <f t="shared" si="13"/>
        <v>0</v>
      </c>
      <c r="AM143" s="1064">
        <f t="shared" si="14"/>
        <v>0</v>
      </c>
      <c r="AN143" s="1064"/>
      <c r="AO143" s="1064">
        <f>TB_curr[[#This Row],[Closing balance]]+TB_curr[[#This Row],[Rounding]]</f>
        <v>0</v>
      </c>
    </row>
    <row r="144" spans="30:41" x14ac:dyDescent="0.25">
      <c r="AD144" s="1067" t="str">
        <f t="shared" si="10"/>
        <v/>
      </c>
      <c r="AE144" s="1063" t="str">
        <f>IF(ISNA(VLOOKUP(TB_curr[[#This Row],[Synt]],GL[[#Headers],[#Data],[subtotal label]],1,FALSE)),0,(VLOOKUP(TB_curr[[#This Row],[Synt]],GL[[#Headers],[#Data],[subtotal label]],1,FALSE)))</f>
        <v/>
      </c>
      <c r="AF144" s="1063" t="e">
        <f>IF((TB_curr[[#This Row],[Synt]]-TB_curr[[#This Row],[Subtotal Y/N]])=0,0,VLOOKUP(TB_curr[[#This Row],[Synt]],GL[[Account]:[Line]],3,FALSE))</f>
        <v>#VALUE!</v>
      </c>
      <c r="AG144" s="1063" t="e">
        <f>VLOOKUP(TB_curr[[#This Row],[Synt]],GL[[Account]:[B/P]],4,FALSE)</f>
        <v>#N/A</v>
      </c>
      <c r="AH144" s="1066" t="e">
        <v>#VALUE!</v>
      </c>
      <c r="AI144" s="1065" t="e">
        <f>TB_curr[[#This Row],[Synt]]&amp;TB_curr[[#This Row],[Line No. manual corr.]]</f>
        <v>#VALUE!</v>
      </c>
      <c r="AJ144" s="1064">
        <f t="shared" si="11"/>
        <v>0</v>
      </c>
      <c r="AK144" s="1064">
        <f t="shared" si="12"/>
        <v>0</v>
      </c>
      <c r="AL144" s="1064">
        <f t="shared" si="13"/>
        <v>0</v>
      </c>
      <c r="AM144" s="1064">
        <f t="shared" si="14"/>
        <v>0</v>
      </c>
      <c r="AN144" s="1064"/>
      <c r="AO144" s="1064">
        <f>TB_curr[[#This Row],[Closing balance]]+TB_curr[[#This Row],[Rounding]]</f>
        <v>0</v>
      </c>
    </row>
    <row r="145" spans="30:41" x14ac:dyDescent="0.25">
      <c r="AD145" s="1067" t="str">
        <f t="shared" si="10"/>
        <v/>
      </c>
      <c r="AE145" s="1063" t="str">
        <f>IF(ISNA(VLOOKUP(TB_curr[[#This Row],[Synt]],GL[[#Headers],[#Data],[subtotal label]],1,FALSE)),0,(VLOOKUP(TB_curr[[#This Row],[Synt]],GL[[#Headers],[#Data],[subtotal label]],1,FALSE)))</f>
        <v/>
      </c>
      <c r="AF145" s="1063" t="e">
        <f>IF((TB_curr[[#This Row],[Synt]]-TB_curr[[#This Row],[Subtotal Y/N]])=0,0,VLOOKUP(TB_curr[[#This Row],[Synt]],GL[[Account]:[Line]],3,FALSE))</f>
        <v>#VALUE!</v>
      </c>
      <c r="AG145" s="1063" t="e">
        <f>VLOOKUP(TB_curr[[#This Row],[Synt]],GL[[Account]:[B/P]],4,FALSE)</f>
        <v>#N/A</v>
      </c>
      <c r="AH145" s="1066" t="e">
        <v>#VALUE!</v>
      </c>
      <c r="AI145" s="1065" t="e">
        <f>TB_curr[[#This Row],[Synt]]&amp;TB_curr[[#This Row],[Line No. manual corr.]]</f>
        <v>#VALUE!</v>
      </c>
      <c r="AJ145" s="1064">
        <f t="shared" si="11"/>
        <v>0</v>
      </c>
      <c r="AK145" s="1064">
        <f t="shared" si="12"/>
        <v>0</v>
      </c>
      <c r="AL145" s="1064">
        <f t="shared" si="13"/>
        <v>0</v>
      </c>
      <c r="AM145" s="1064">
        <f t="shared" si="14"/>
        <v>0</v>
      </c>
      <c r="AN145" s="1064"/>
      <c r="AO145" s="1064">
        <f>TB_curr[[#This Row],[Closing balance]]+TB_curr[[#This Row],[Rounding]]</f>
        <v>0</v>
      </c>
    </row>
    <row r="146" spans="30:41" x14ac:dyDescent="0.25">
      <c r="AD146" s="1067" t="str">
        <f t="shared" si="10"/>
        <v/>
      </c>
      <c r="AE146" s="1063" t="str">
        <f>IF(ISNA(VLOOKUP(TB_curr[[#This Row],[Synt]],GL[[#Headers],[#Data],[subtotal label]],1,FALSE)),0,(VLOOKUP(TB_curr[[#This Row],[Synt]],GL[[#Headers],[#Data],[subtotal label]],1,FALSE)))</f>
        <v/>
      </c>
      <c r="AF146" s="1063" t="e">
        <f>IF((TB_curr[[#This Row],[Synt]]-TB_curr[[#This Row],[Subtotal Y/N]])=0,0,VLOOKUP(TB_curr[[#This Row],[Synt]],GL[[Account]:[Line]],3,FALSE))</f>
        <v>#VALUE!</v>
      </c>
      <c r="AG146" s="1063" t="e">
        <f>VLOOKUP(TB_curr[[#This Row],[Synt]],GL[[Account]:[B/P]],4,FALSE)</f>
        <v>#N/A</v>
      </c>
      <c r="AH146" s="1066" t="e">
        <v>#VALUE!</v>
      </c>
      <c r="AI146" s="1065" t="e">
        <f>TB_curr[[#This Row],[Synt]]&amp;TB_curr[[#This Row],[Line No. manual corr.]]</f>
        <v>#VALUE!</v>
      </c>
      <c r="AJ146" s="1064">
        <f t="shared" si="11"/>
        <v>0</v>
      </c>
      <c r="AK146" s="1064">
        <f t="shared" si="12"/>
        <v>0</v>
      </c>
      <c r="AL146" s="1064">
        <f t="shared" si="13"/>
        <v>0</v>
      </c>
      <c r="AM146" s="1064">
        <f t="shared" si="14"/>
        <v>0</v>
      </c>
      <c r="AN146" s="1064"/>
      <c r="AO146" s="1064">
        <f>TB_curr[[#This Row],[Closing balance]]+TB_curr[[#This Row],[Rounding]]</f>
        <v>0</v>
      </c>
    </row>
    <row r="147" spans="30:41" x14ac:dyDescent="0.25">
      <c r="AD147" s="1067" t="str">
        <f t="shared" si="10"/>
        <v/>
      </c>
      <c r="AE147" s="1063" t="str">
        <f>IF(ISNA(VLOOKUP(TB_curr[[#This Row],[Synt]],GL[[#Headers],[#Data],[subtotal label]],1,FALSE)),0,(VLOOKUP(TB_curr[[#This Row],[Synt]],GL[[#Headers],[#Data],[subtotal label]],1,FALSE)))</f>
        <v/>
      </c>
      <c r="AF147" s="1063" t="e">
        <f>IF((TB_curr[[#This Row],[Synt]]-TB_curr[[#This Row],[Subtotal Y/N]])=0,0,VLOOKUP(TB_curr[[#This Row],[Synt]],GL[[Account]:[Line]],3,FALSE))</f>
        <v>#VALUE!</v>
      </c>
      <c r="AG147" s="1063" t="e">
        <f>VLOOKUP(TB_curr[[#This Row],[Synt]],GL[[Account]:[B/P]],4,FALSE)</f>
        <v>#N/A</v>
      </c>
      <c r="AH147" s="1066" t="e">
        <v>#VALUE!</v>
      </c>
      <c r="AI147" s="1065" t="e">
        <f>TB_curr[[#This Row],[Synt]]&amp;TB_curr[[#This Row],[Line No. manual corr.]]</f>
        <v>#VALUE!</v>
      </c>
      <c r="AJ147" s="1064">
        <f t="shared" si="11"/>
        <v>0</v>
      </c>
      <c r="AK147" s="1064">
        <f t="shared" si="12"/>
        <v>0</v>
      </c>
      <c r="AL147" s="1064">
        <f t="shared" si="13"/>
        <v>0</v>
      </c>
      <c r="AM147" s="1064">
        <f t="shared" si="14"/>
        <v>0</v>
      </c>
      <c r="AN147" s="1064"/>
      <c r="AO147" s="1064">
        <f>TB_curr[[#This Row],[Closing balance]]+TB_curr[[#This Row],[Rounding]]</f>
        <v>0</v>
      </c>
    </row>
    <row r="148" spans="30:41" x14ac:dyDescent="0.25">
      <c r="AD148" s="1067" t="str">
        <f t="shared" si="10"/>
        <v/>
      </c>
      <c r="AE148" s="1063" t="str">
        <f>IF(ISNA(VLOOKUP(TB_curr[[#This Row],[Synt]],GL[[#Headers],[#Data],[subtotal label]],1,FALSE)),0,(VLOOKUP(TB_curr[[#This Row],[Synt]],GL[[#Headers],[#Data],[subtotal label]],1,FALSE)))</f>
        <v/>
      </c>
      <c r="AF148" s="1063" t="e">
        <f>IF((TB_curr[[#This Row],[Synt]]-TB_curr[[#This Row],[Subtotal Y/N]])=0,0,VLOOKUP(TB_curr[[#This Row],[Synt]],GL[[Account]:[Line]],3,FALSE))</f>
        <v>#VALUE!</v>
      </c>
      <c r="AG148" s="1063" t="e">
        <f>VLOOKUP(TB_curr[[#This Row],[Synt]],GL[[Account]:[B/P]],4,FALSE)</f>
        <v>#N/A</v>
      </c>
      <c r="AH148" s="1066" t="e">
        <v>#VALUE!</v>
      </c>
      <c r="AI148" s="1065" t="e">
        <f>TB_curr[[#This Row],[Synt]]&amp;TB_curr[[#This Row],[Line No. manual corr.]]</f>
        <v>#VALUE!</v>
      </c>
      <c r="AJ148" s="1064">
        <f t="shared" si="11"/>
        <v>0</v>
      </c>
      <c r="AK148" s="1064">
        <f t="shared" si="12"/>
        <v>0</v>
      </c>
      <c r="AL148" s="1064">
        <f t="shared" si="13"/>
        <v>0</v>
      </c>
      <c r="AM148" s="1064">
        <f t="shared" si="14"/>
        <v>0</v>
      </c>
      <c r="AN148" s="1064"/>
      <c r="AO148" s="1064">
        <f>TB_curr[[#This Row],[Closing balance]]+TB_curr[[#This Row],[Rounding]]</f>
        <v>0</v>
      </c>
    </row>
    <row r="149" spans="30:41" x14ac:dyDescent="0.25">
      <c r="AD149" s="1067" t="str">
        <f t="shared" si="10"/>
        <v/>
      </c>
      <c r="AE149" s="1063" t="str">
        <f>IF(ISNA(VLOOKUP(TB_curr[[#This Row],[Synt]],GL[[#Headers],[#Data],[subtotal label]],1,FALSE)),0,(VLOOKUP(TB_curr[[#This Row],[Synt]],GL[[#Headers],[#Data],[subtotal label]],1,FALSE)))</f>
        <v/>
      </c>
      <c r="AF149" s="1063" t="e">
        <f>IF((TB_curr[[#This Row],[Synt]]-TB_curr[[#This Row],[Subtotal Y/N]])=0,0,VLOOKUP(TB_curr[[#This Row],[Synt]],GL[[Account]:[Line]],3,FALSE))</f>
        <v>#VALUE!</v>
      </c>
      <c r="AG149" s="1063" t="e">
        <f>VLOOKUP(TB_curr[[#This Row],[Synt]],GL[[Account]:[B/P]],4,FALSE)</f>
        <v>#N/A</v>
      </c>
      <c r="AH149" s="1066" t="e">
        <v>#VALUE!</v>
      </c>
      <c r="AI149" s="1065" t="e">
        <f>TB_curr[[#This Row],[Synt]]&amp;TB_curr[[#This Row],[Line No. manual corr.]]</f>
        <v>#VALUE!</v>
      </c>
      <c r="AJ149" s="1064">
        <f t="shared" si="11"/>
        <v>0</v>
      </c>
      <c r="AK149" s="1064">
        <f t="shared" si="12"/>
        <v>0</v>
      </c>
      <c r="AL149" s="1064">
        <f t="shared" si="13"/>
        <v>0</v>
      </c>
      <c r="AM149" s="1064">
        <f t="shared" si="14"/>
        <v>0</v>
      </c>
      <c r="AN149" s="1064"/>
      <c r="AO149" s="1064">
        <f>TB_curr[[#This Row],[Closing balance]]+TB_curr[[#This Row],[Rounding]]</f>
        <v>0</v>
      </c>
    </row>
    <row r="150" spans="30:41" x14ac:dyDescent="0.25">
      <c r="AD150" s="1067" t="str">
        <f t="shared" si="10"/>
        <v/>
      </c>
      <c r="AE150" s="1063" t="str">
        <f>IF(ISNA(VLOOKUP(TB_curr[[#This Row],[Synt]],GL[[#Headers],[#Data],[subtotal label]],1,FALSE)),0,(VLOOKUP(TB_curr[[#This Row],[Synt]],GL[[#Headers],[#Data],[subtotal label]],1,FALSE)))</f>
        <v/>
      </c>
      <c r="AF150" s="1063" t="e">
        <f>IF((TB_curr[[#This Row],[Synt]]-TB_curr[[#This Row],[Subtotal Y/N]])=0,0,VLOOKUP(TB_curr[[#This Row],[Synt]],GL[[Account]:[Line]],3,FALSE))</f>
        <v>#VALUE!</v>
      </c>
      <c r="AG150" s="1063" t="e">
        <f>VLOOKUP(TB_curr[[#This Row],[Synt]],GL[[Account]:[B/P]],4,FALSE)</f>
        <v>#N/A</v>
      </c>
      <c r="AH150" s="1066" t="e">
        <v>#VALUE!</v>
      </c>
      <c r="AI150" s="1065" t="e">
        <f>TB_curr[[#This Row],[Synt]]&amp;TB_curr[[#This Row],[Line No. manual corr.]]</f>
        <v>#VALUE!</v>
      </c>
      <c r="AJ150" s="1064">
        <f t="shared" si="11"/>
        <v>0</v>
      </c>
      <c r="AK150" s="1064">
        <f t="shared" si="12"/>
        <v>0</v>
      </c>
      <c r="AL150" s="1064">
        <f t="shared" si="13"/>
        <v>0</v>
      </c>
      <c r="AM150" s="1064">
        <f t="shared" si="14"/>
        <v>0</v>
      </c>
      <c r="AN150" s="1064"/>
      <c r="AO150" s="1064">
        <f>TB_curr[[#This Row],[Closing balance]]+TB_curr[[#This Row],[Rounding]]</f>
        <v>0</v>
      </c>
    </row>
    <row r="151" spans="30:41" x14ac:dyDescent="0.25">
      <c r="AD151" s="1067" t="str">
        <f t="shared" si="10"/>
        <v/>
      </c>
      <c r="AE151" s="1063" t="str">
        <f>IF(ISNA(VLOOKUP(TB_curr[[#This Row],[Synt]],GL[[#Headers],[#Data],[subtotal label]],1,FALSE)),0,(VLOOKUP(TB_curr[[#This Row],[Synt]],GL[[#Headers],[#Data],[subtotal label]],1,FALSE)))</f>
        <v/>
      </c>
      <c r="AF151" s="1063" t="e">
        <f>IF((TB_curr[[#This Row],[Synt]]-TB_curr[[#This Row],[Subtotal Y/N]])=0,0,VLOOKUP(TB_curr[[#This Row],[Synt]],GL[[Account]:[Line]],3,FALSE))</f>
        <v>#VALUE!</v>
      </c>
      <c r="AG151" s="1063" t="e">
        <f>VLOOKUP(TB_curr[[#This Row],[Synt]],GL[[Account]:[B/P]],4,FALSE)</f>
        <v>#N/A</v>
      </c>
      <c r="AH151" s="1066" t="e">
        <v>#VALUE!</v>
      </c>
      <c r="AI151" s="1065" t="e">
        <f>TB_curr[[#This Row],[Synt]]&amp;TB_curr[[#This Row],[Line No. manual corr.]]</f>
        <v>#VALUE!</v>
      </c>
      <c r="AJ151" s="1064">
        <f t="shared" si="11"/>
        <v>0</v>
      </c>
      <c r="AK151" s="1064">
        <f t="shared" si="12"/>
        <v>0</v>
      </c>
      <c r="AL151" s="1064">
        <f t="shared" si="13"/>
        <v>0</v>
      </c>
      <c r="AM151" s="1064">
        <f t="shared" si="14"/>
        <v>0</v>
      </c>
      <c r="AN151" s="1064"/>
      <c r="AO151" s="1064">
        <f>TB_curr[[#This Row],[Closing balance]]+TB_curr[[#This Row],[Rounding]]</f>
        <v>0</v>
      </c>
    </row>
    <row r="152" spans="30:41" x14ac:dyDescent="0.25">
      <c r="AD152" s="1067" t="str">
        <f t="shared" si="10"/>
        <v/>
      </c>
      <c r="AE152" s="1063" t="str">
        <f>IF(ISNA(VLOOKUP(TB_curr[[#This Row],[Synt]],GL[[#Headers],[#Data],[subtotal label]],1,FALSE)),0,(VLOOKUP(TB_curr[[#This Row],[Synt]],GL[[#Headers],[#Data],[subtotal label]],1,FALSE)))</f>
        <v/>
      </c>
      <c r="AF152" s="1063" t="e">
        <f>IF((TB_curr[[#This Row],[Synt]]-TB_curr[[#This Row],[Subtotal Y/N]])=0,0,VLOOKUP(TB_curr[[#This Row],[Synt]],GL[[Account]:[Line]],3,FALSE))</f>
        <v>#VALUE!</v>
      </c>
      <c r="AG152" s="1063" t="e">
        <f>VLOOKUP(TB_curr[[#This Row],[Synt]],GL[[Account]:[B/P]],4,FALSE)</f>
        <v>#N/A</v>
      </c>
      <c r="AH152" s="1066" t="e">
        <v>#VALUE!</v>
      </c>
      <c r="AI152" s="1065" t="e">
        <f>TB_curr[[#This Row],[Synt]]&amp;TB_curr[[#This Row],[Line No. manual corr.]]</f>
        <v>#VALUE!</v>
      </c>
      <c r="AJ152" s="1064">
        <f t="shared" si="11"/>
        <v>0</v>
      </c>
      <c r="AK152" s="1064">
        <f t="shared" si="12"/>
        <v>0</v>
      </c>
      <c r="AL152" s="1064">
        <f t="shared" si="13"/>
        <v>0</v>
      </c>
      <c r="AM152" s="1064">
        <f t="shared" si="14"/>
        <v>0</v>
      </c>
      <c r="AN152" s="1064"/>
      <c r="AO152" s="1064">
        <f>TB_curr[[#This Row],[Closing balance]]+TB_curr[[#This Row],[Rounding]]</f>
        <v>0</v>
      </c>
    </row>
    <row r="153" spans="30:41" x14ac:dyDescent="0.25">
      <c r="AD153" s="1067" t="str">
        <f t="shared" si="10"/>
        <v/>
      </c>
      <c r="AE153" s="1063" t="str">
        <f>IF(ISNA(VLOOKUP(TB_curr[[#This Row],[Synt]],GL[[#Headers],[#Data],[subtotal label]],1,FALSE)),0,(VLOOKUP(TB_curr[[#This Row],[Synt]],GL[[#Headers],[#Data],[subtotal label]],1,FALSE)))</f>
        <v/>
      </c>
      <c r="AF153" s="1063" t="e">
        <f>IF((TB_curr[[#This Row],[Synt]]-TB_curr[[#This Row],[Subtotal Y/N]])=0,0,VLOOKUP(TB_curr[[#This Row],[Synt]],GL[[Account]:[Line]],3,FALSE))</f>
        <v>#VALUE!</v>
      </c>
      <c r="AG153" s="1063" t="e">
        <f>VLOOKUP(TB_curr[[#This Row],[Synt]],GL[[Account]:[B/P]],4,FALSE)</f>
        <v>#N/A</v>
      </c>
      <c r="AH153" s="1066" t="e">
        <v>#VALUE!</v>
      </c>
      <c r="AI153" s="1065" t="e">
        <f>TB_curr[[#This Row],[Synt]]&amp;TB_curr[[#This Row],[Line No. manual corr.]]</f>
        <v>#VALUE!</v>
      </c>
      <c r="AJ153" s="1064">
        <f t="shared" si="11"/>
        <v>0</v>
      </c>
      <c r="AK153" s="1064">
        <f t="shared" si="12"/>
        <v>0</v>
      </c>
      <c r="AL153" s="1064">
        <f t="shared" si="13"/>
        <v>0</v>
      </c>
      <c r="AM153" s="1064">
        <f t="shared" si="14"/>
        <v>0</v>
      </c>
      <c r="AN153" s="1064"/>
      <c r="AO153" s="1064">
        <f>TB_curr[[#This Row],[Closing balance]]+TB_curr[[#This Row],[Rounding]]</f>
        <v>0</v>
      </c>
    </row>
    <row r="154" spans="30:41" x14ac:dyDescent="0.25">
      <c r="AD154" s="1067" t="str">
        <f t="shared" si="10"/>
        <v/>
      </c>
      <c r="AE154" s="1063" t="str">
        <f>IF(ISNA(VLOOKUP(TB_curr[[#This Row],[Synt]],GL[[#Headers],[#Data],[subtotal label]],1,FALSE)),0,(VLOOKUP(TB_curr[[#This Row],[Synt]],GL[[#Headers],[#Data],[subtotal label]],1,FALSE)))</f>
        <v/>
      </c>
      <c r="AF154" s="1063" t="e">
        <f>IF((TB_curr[[#This Row],[Synt]]-TB_curr[[#This Row],[Subtotal Y/N]])=0,0,VLOOKUP(TB_curr[[#This Row],[Synt]],GL[[Account]:[Line]],3,FALSE))</f>
        <v>#VALUE!</v>
      </c>
      <c r="AG154" s="1063" t="e">
        <f>VLOOKUP(TB_curr[[#This Row],[Synt]],GL[[Account]:[B/P]],4,FALSE)</f>
        <v>#N/A</v>
      </c>
      <c r="AH154" s="1066" t="e">
        <v>#VALUE!</v>
      </c>
      <c r="AI154" s="1065" t="e">
        <f>TB_curr[[#This Row],[Synt]]&amp;TB_curr[[#This Row],[Line No. manual corr.]]</f>
        <v>#VALUE!</v>
      </c>
      <c r="AJ154" s="1064">
        <f t="shared" si="11"/>
        <v>0</v>
      </c>
      <c r="AK154" s="1064">
        <f t="shared" si="12"/>
        <v>0</v>
      </c>
      <c r="AL154" s="1064">
        <f t="shared" si="13"/>
        <v>0</v>
      </c>
      <c r="AM154" s="1064">
        <f t="shared" si="14"/>
        <v>0</v>
      </c>
      <c r="AN154" s="1064"/>
      <c r="AO154" s="1064">
        <f>TB_curr[[#This Row],[Closing balance]]+TB_curr[[#This Row],[Rounding]]</f>
        <v>0</v>
      </c>
    </row>
    <row r="155" spans="30:41" x14ac:dyDescent="0.25">
      <c r="AD155" s="1067" t="str">
        <f t="shared" si="10"/>
        <v/>
      </c>
      <c r="AE155" s="1063" t="str">
        <f>IF(ISNA(VLOOKUP(TB_curr[[#This Row],[Synt]],GL[[#Headers],[#Data],[subtotal label]],1,FALSE)),0,(VLOOKUP(TB_curr[[#This Row],[Synt]],GL[[#Headers],[#Data],[subtotal label]],1,FALSE)))</f>
        <v/>
      </c>
      <c r="AF155" s="1063" t="e">
        <f>IF((TB_curr[[#This Row],[Synt]]-TB_curr[[#This Row],[Subtotal Y/N]])=0,0,VLOOKUP(TB_curr[[#This Row],[Synt]],GL[[Account]:[Line]],3,FALSE))</f>
        <v>#VALUE!</v>
      </c>
      <c r="AG155" s="1063" t="e">
        <f>VLOOKUP(TB_curr[[#This Row],[Synt]],GL[[Account]:[B/P]],4,FALSE)</f>
        <v>#N/A</v>
      </c>
      <c r="AH155" s="1066" t="e">
        <v>#VALUE!</v>
      </c>
      <c r="AI155" s="1065" t="e">
        <f>TB_curr[[#This Row],[Synt]]&amp;TB_curr[[#This Row],[Line No. manual corr.]]</f>
        <v>#VALUE!</v>
      </c>
      <c r="AJ155" s="1064">
        <f t="shared" si="11"/>
        <v>0</v>
      </c>
      <c r="AK155" s="1064">
        <f t="shared" si="12"/>
        <v>0</v>
      </c>
      <c r="AL155" s="1064">
        <f t="shared" si="13"/>
        <v>0</v>
      </c>
      <c r="AM155" s="1064">
        <f t="shared" si="14"/>
        <v>0</v>
      </c>
      <c r="AN155" s="1064"/>
      <c r="AO155" s="1064">
        <f>TB_curr[[#This Row],[Closing balance]]+TB_curr[[#This Row],[Rounding]]</f>
        <v>0</v>
      </c>
    </row>
    <row r="156" spans="30:41" x14ac:dyDescent="0.25">
      <c r="AD156" s="1067" t="str">
        <f t="shared" si="10"/>
        <v/>
      </c>
      <c r="AE156" s="1063" t="str">
        <f>IF(ISNA(VLOOKUP(TB_curr[[#This Row],[Synt]],GL[[#Headers],[#Data],[subtotal label]],1,FALSE)),0,(VLOOKUP(TB_curr[[#This Row],[Synt]],GL[[#Headers],[#Data],[subtotal label]],1,FALSE)))</f>
        <v/>
      </c>
      <c r="AF156" s="1063" t="e">
        <f>IF((TB_curr[[#This Row],[Synt]]-TB_curr[[#This Row],[Subtotal Y/N]])=0,0,VLOOKUP(TB_curr[[#This Row],[Synt]],GL[[Account]:[Line]],3,FALSE))</f>
        <v>#VALUE!</v>
      </c>
      <c r="AG156" s="1063" t="e">
        <f>VLOOKUP(TB_curr[[#This Row],[Synt]],GL[[Account]:[B/P]],4,FALSE)</f>
        <v>#N/A</v>
      </c>
      <c r="AH156" s="1066" t="e">
        <v>#VALUE!</v>
      </c>
      <c r="AI156" s="1065" t="e">
        <f>TB_curr[[#This Row],[Synt]]&amp;TB_curr[[#This Row],[Line No. manual corr.]]</f>
        <v>#VALUE!</v>
      </c>
      <c r="AJ156" s="1064">
        <f t="shared" si="11"/>
        <v>0</v>
      </c>
      <c r="AK156" s="1064">
        <f t="shared" si="12"/>
        <v>0</v>
      </c>
      <c r="AL156" s="1064">
        <f t="shared" si="13"/>
        <v>0</v>
      </c>
      <c r="AM156" s="1064">
        <f t="shared" si="14"/>
        <v>0</v>
      </c>
      <c r="AN156" s="1064"/>
      <c r="AO156" s="1064">
        <f>TB_curr[[#This Row],[Closing balance]]+TB_curr[[#This Row],[Rounding]]</f>
        <v>0</v>
      </c>
    </row>
    <row r="157" spans="30:41" x14ac:dyDescent="0.25">
      <c r="AD157" s="1067" t="str">
        <f t="shared" si="10"/>
        <v/>
      </c>
      <c r="AE157" s="1063" t="str">
        <f>IF(ISNA(VLOOKUP(TB_curr[[#This Row],[Synt]],GL[[#Headers],[#Data],[subtotal label]],1,FALSE)),0,(VLOOKUP(TB_curr[[#This Row],[Synt]],GL[[#Headers],[#Data],[subtotal label]],1,FALSE)))</f>
        <v/>
      </c>
      <c r="AF157" s="1063" t="e">
        <f>IF((TB_curr[[#This Row],[Synt]]-TB_curr[[#This Row],[Subtotal Y/N]])=0,0,VLOOKUP(TB_curr[[#This Row],[Synt]],GL[[Account]:[Line]],3,FALSE))</f>
        <v>#VALUE!</v>
      </c>
      <c r="AG157" s="1063" t="e">
        <f>VLOOKUP(TB_curr[[#This Row],[Synt]],GL[[Account]:[B/P]],4,FALSE)</f>
        <v>#N/A</v>
      </c>
      <c r="AH157" s="1066" t="e">
        <v>#VALUE!</v>
      </c>
      <c r="AI157" s="1065" t="e">
        <f>TB_curr[[#This Row],[Synt]]&amp;TB_curr[[#This Row],[Line No. manual corr.]]</f>
        <v>#VALUE!</v>
      </c>
      <c r="AJ157" s="1064">
        <f t="shared" si="11"/>
        <v>0</v>
      </c>
      <c r="AK157" s="1064">
        <f t="shared" si="12"/>
        <v>0</v>
      </c>
      <c r="AL157" s="1064">
        <f t="shared" si="13"/>
        <v>0</v>
      </c>
      <c r="AM157" s="1064">
        <f t="shared" si="14"/>
        <v>0</v>
      </c>
      <c r="AN157" s="1064"/>
      <c r="AO157" s="1064">
        <f>TB_curr[[#This Row],[Closing balance]]+TB_curr[[#This Row],[Rounding]]</f>
        <v>0</v>
      </c>
    </row>
    <row r="158" spans="30:41" x14ac:dyDescent="0.25">
      <c r="AD158" s="1067" t="str">
        <f t="shared" si="10"/>
        <v/>
      </c>
      <c r="AE158" s="1063" t="str">
        <f>IF(ISNA(VLOOKUP(TB_curr[[#This Row],[Synt]],GL[[#Headers],[#Data],[subtotal label]],1,FALSE)),0,(VLOOKUP(TB_curr[[#This Row],[Synt]],GL[[#Headers],[#Data],[subtotal label]],1,FALSE)))</f>
        <v/>
      </c>
      <c r="AF158" s="1063" t="e">
        <f>IF((TB_curr[[#This Row],[Synt]]-TB_curr[[#This Row],[Subtotal Y/N]])=0,0,VLOOKUP(TB_curr[[#This Row],[Synt]],GL[[Account]:[Line]],3,FALSE))</f>
        <v>#VALUE!</v>
      </c>
      <c r="AG158" s="1063" t="e">
        <f>VLOOKUP(TB_curr[[#This Row],[Synt]],GL[[Account]:[B/P]],4,FALSE)</f>
        <v>#N/A</v>
      </c>
      <c r="AH158" s="1066" t="e">
        <v>#VALUE!</v>
      </c>
      <c r="AI158" s="1065" t="e">
        <f>TB_curr[[#This Row],[Synt]]&amp;TB_curr[[#This Row],[Line No. manual corr.]]</f>
        <v>#VALUE!</v>
      </c>
      <c r="AJ158" s="1064">
        <f t="shared" si="11"/>
        <v>0</v>
      </c>
      <c r="AK158" s="1064">
        <f t="shared" si="12"/>
        <v>0</v>
      </c>
      <c r="AL158" s="1064">
        <f t="shared" si="13"/>
        <v>0</v>
      </c>
      <c r="AM158" s="1064">
        <f t="shared" si="14"/>
        <v>0</v>
      </c>
      <c r="AN158" s="1064"/>
      <c r="AO158" s="1064">
        <f>TB_curr[[#This Row],[Closing balance]]+TB_curr[[#This Row],[Rounding]]</f>
        <v>0</v>
      </c>
    </row>
    <row r="159" spans="30:41" x14ac:dyDescent="0.25">
      <c r="AD159" s="1067" t="str">
        <f t="shared" si="10"/>
        <v/>
      </c>
      <c r="AE159" s="1063" t="str">
        <f>IF(ISNA(VLOOKUP(TB_curr[[#This Row],[Synt]],GL[[#Headers],[#Data],[subtotal label]],1,FALSE)),0,(VLOOKUP(TB_curr[[#This Row],[Synt]],GL[[#Headers],[#Data],[subtotal label]],1,FALSE)))</f>
        <v/>
      </c>
      <c r="AF159" s="1063" t="e">
        <f>IF((TB_curr[[#This Row],[Synt]]-TB_curr[[#This Row],[Subtotal Y/N]])=0,0,VLOOKUP(TB_curr[[#This Row],[Synt]],GL[[Account]:[Line]],3,FALSE))</f>
        <v>#VALUE!</v>
      </c>
      <c r="AG159" s="1063" t="e">
        <f>VLOOKUP(TB_curr[[#This Row],[Synt]],GL[[Account]:[B/P]],4,FALSE)</f>
        <v>#N/A</v>
      </c>
      <c r="AH159" s="1066" t="e">
        <v>#VALUE!</v>
      </c>
      <c r="AI159" s="1065" t="e">
        <f>TB_curr[[#This Row],[Synt]]&amp;TB_curr[[#This Row],[Line No. manual corr.]]</f>
        <v>#VALUE!</v>
      </c>
      <c r="AJ159" s="1064">
        <f t="shared" si="11"/>
        <v>0</v>
      </c>
      <c r="AK159" s="1064">
        <f t="shared" si="12"/>
        <v>0</v>
      </c>
      <c r="AL159" s="1064">
        <f t="shared" si="13"/>
        <v>0</v>
      </c>
      <c r="AM159" s="1064">
        <f t="shared" si="14"/>
        <v>0</v>
      </c>
      <c r="AN159" s="1064"/>
      <c r="AO159" s="1064">
        <f>TB_curr[[#This Row],[Closing balance]]+TB_curr[[#This Row],[Rounding]]</f>
        <v>0</v>
      </c>
    </row>
    <row r="160" spans="30:41" x14ac:dyDescent="0.25">
      <c r="AD160" s="1067" t="str">
        <f t="shared" si="10"/>
        <v/>
      </c>
      <c r="AE160" s="1063" t="str">
        <f>IF(ISNA(VLOOKUP(TB_curr[[#This Row],[Synt]],GL[[#Headers],[#Data],[subtotal label]],1,FALSE)),0,(VLOOKUP(TB_curr[[#This Row],[Synt]],GL[[#Headers],[#Data],[subtotal label]],1,FALSE)))</f>
        <v/>
      </c>
      <c r="AF160" s="1063" t="e">
        <f>IF((TB_curr[[#This Row],[Synt]]-TB_curr[[#This Row],[Subtotal Y/N]])=0,0,VLOOKUP(TB_curr[[#This Row],[Synt]],GL[[Account]:[Line]],3,FALSE))</f>
        <v>#VALUE!</v>
      </c>
      <c r="AG160" s="1063" t="e">
        <f>VLOOKUP(TB_curr[[#This Row],[Synt]],GL[[Account]:[B/P]],4,FALSE)</f>
        <v>#N/A</v>
      </c>
      <c r="AH160" s="1066" t="e">
        <v>#VALUE!</v>
      </c>
      <c r="AI160" s="1065" t="e">
        <f>TB_curr[[#This Row],[Synt]]&amp;TB_curr[[#This Row],[Line No. manual corr.]]</f>
        <v>#VALUE!</v>
      </c>
      <c r="AJ160" s="1064">
        <f t="shared" si="11"/>
        <v>0</v>
      </c>
      <c r="AK160" s="1064">
        <f t="shared" si="12"/>
        <v>0</v>
      </c>
      <c r="AL160" s="1064">
        <f t="shared" si="13"/>
        <v>0</v>
      </c>
      <c r="AM160" s="1064">
        <f t="shared" si="14"/>
        <v>0</v>
      </c>
      <c r="AN160" s="1064"/>
      <c r="AO160" s="1064">
        <f>TB_curr[[#This Row],[Closing balance]]+TB_curr[[#This Row],[Rounding]]</f>
        <v>0</v>
      </c>
    </row>
    <row r="161" spans="30:41" x14ac:dyDescent="0.25">
      <c r="AD161" s="1067" t="str">
        <f t="shared" si="10"/>
        <v/>
      </c>
      <c r="AE161" s="1063" t="str">
        <f>IF(ISNA(VLOOKUP(TB_curr[[#This Row],[Synt]],GL[[#Headers],[#Data],[subtotal label]],1,FALSE)),0,(VLOOKUP(TB_curr[[#This Row],[Synt]],GL[[#Headers],[#Data],[subtotal label]],1,FALSE)))</f>
        <v/>
      </c>
      <c r="AF161" s="1063" t="e">
        <f>IF((TB_curr[[#This Row],[Synt]]-TB_curr[[#This Row],[Subtotal Y/N]])=0,0,VLOOKUP(TB_curr[[#This Row],[Synt]],GL[[Account]:[Line]],3,FALSE))</f>
        <v>#VALUE!</v>
      </c>
      <c r="AG161" s="1063" t="e">
        <f>VLOOKUP(TB_curr[[#This Row],[Synt]],GL[[Account]:[B/P]],4,FALSE)</f>
        <v>#N/A</v>
      </c>
      <c r="AH161" s="1066" t="e">
        <v>#VALUE!</v>
      </c>
      <c r="AI161" s="1065" t="e">
        <f>TB_curr[[#This Row],[Synt]]&amp;TB_curr[[#This Row],[Line No. manual corr.]]</f>
        <v>#VALUE!</v>
      </c>
      <c r="AJ161" s="1064">
        <f t="shared" si="11"/>
        <v>0</v>
      </c>
      <c r="AK161" s="1064">
        <f t="shared" si="12"/>
        <v>0</v>
      </c>
      <c r="AL161" s="1064">
        <f t="shared" si="13"/>
        <v>0</v>
      </c>
      <c r="AM161" s="1064">
        <f t="shared" si="14"/>
        <v>0</v>
      </c>
      <c r="AN161" s="1064"/>
      <c r="AO161" s="1064">
        <f>TB_curr[[#This Row],[Closing balance]]+TB_curr[[#This Row],[Rounding]]</f>
        <v>0</v>
      </c>
    </row>
    <row r="162" spans="30:41" x14ac:dyDescent="0.25">
      <c r="AD162" s="1067" t="str">
        <f t="shared" si="10"/>
        <v/>
      </c>
      <c r="AE162" s="1063" t="str">
        <f>IF(ISNA(VLOOKUP(TB_curr[[#This Row],[Synt]],GL[[#Headers],[#Data],[subtotal label]],1,FALSE)),0,(VLOOKUP(TB_curr[[#This Row],[Synt]],GL[[#Headers],[#Data],[subtotal label]],1,FALSE)))</f>
        <v/>
      </c>
      <c r="AF162" s="1063" t="e">
        <f>IF((TB_curr[[#This Row],[Synt]]-TB_curr[[#This Row],[Subtotal Y/N]])=0,0,VLOOKUP(TB_curr[[#This Row],[Synt]],GL[[Account]:[Line]],3,FALSE))</f>
        <v>#VALUE!</v>
      </c>
      <c r="AG162" s="1063" t="e">
        <f>VLOOKUP(TB_curr[[#This Row],[Synt]],GL[[Account]:[B/P]],4,FALSE)</f>
        <v>#N/A</v>
      </c>
      <c r="AH162" s="1066" t="e">
        <v>#VALUE!</v>
      </c>
      <c r="AI162" s="1065" t="e">
        <f>TB_curr[[#This Row],[Synt]]&amp;TB_curr[[#This Row],[Line No. manual corr.]]</f>
        <v>#VALUE!</v>
      </c>
      <c r="AJ162" s="1064">
        <f t="shared" si="11"/>
        <v>0</v>
      </c>
      <c r="AK162" s="1064">
        <f t="shared" si="12"/>
        <v>0</v>
      </c>
      <c r="AL162" s="1064">
        <f t="shared" si="13"/>
        <v>0</v>
      </c>
      <c r="AM162" s="1064">
        <f t="shared" si="14"/>
        <v>0</v>
      </c>
      <c r="AN162" s="1064"/>
      <c r="AO162" s="1064">
        <f>TB_curr[[#This Row],[Closing balance]]+TB_curr[[#This Row],[Rounding]]</f>
        <v>0</v>
      </c>
    </row>
    <row r="163" spans="30:41" x14ac:dyDescent="0.25">
      <c r="AD163" s="1067" t="str">
        <f t="shared" si="10"/>
        <v/>
      </c>
      <c r="AE163" s="1063" t="str">
        <f>IF(ISNA(VLOOKUP(TB_curr[[#This Row],[Synt]],GL[[#Headers],[#Data],[subtotal label]],1,FALSE)),0,(VLOOKUP(TB_curr[[#This Row],[Synt]],GL[[#Headers],[#Data],[subtotal label]],1,FALSE)))</f>
        <v/>
      </c>
      <c r="AF163" s="1063" t="e">
        <f>IF((TB_curr[[#This Row],[Synt]]-TB_curr[[#This Row],[Subtotal Y/N]])=0,0,VLOOKUP(TB_curr[[#This Row],[Synt]],GL[[Account]:[Line]],3,FALSE))</f>
        <v>#VALUE!</v>
      </c>
      <c r="AG163" s="1063" t="e">
        <f>VLOOKUP(TB_curr[[#This Row],[Synt]],GL[[Account]:[B/P]],4,FALSE)</f>
        <v>#N/A</v>
      </c>
      <c r="AH163" s="1066" t="e">
        <v>#VALUE!</v>
      </c>
      <c r="AI163" s="1065" t="e">
        <f>TB_curr[[#This Row],[Synt]]&amp;TB_curr[[#This Row],[Line No. manual corr.]]</f>
        <v>#VALUE!</v>
      </c>
      <c r="AJ163" s="1064">
        <f t="shared" si="11"/>
        <v>0</v>
      </c>
      <c r="AK163" s="1064">
        <f t="shared" si="12"/>
        <v>0</v>
      </c>
      <c r="AL163" s="1064">
        <f t="shared" si="13"/>
        <v>0</v>
      </c>
      <c r="AM163" s="1064">
        <f t="shared" si="14"/>
        <v>0</v>
      </c>
      <c r="AN163" s="1064"/>
      <c r="AO163" s="1064">
        <f>TB_curr[[#This Row],[Closing balance]]+TB_curr[[#This Row],[Rounding]]</f>
        <v>0</v>
      </c>
    </row>
    <row r="164" spans="30:41" x14ac:dyDescent="0.25">
      <c r="AD164" s="1067" t="str">
        <f t="shared" si="10"/>
        <v/>
      </c>
      <c r="AE164" s="1063" t="str">
        <f>IF(ISNA(VLOOKUP(TB_curr[[#This Row],[Synt]],GL[[#Headers],[#Data],[subtotal label]],1,FALSE)),0,(VLOOKUP(TB_curr[[#This Row],[Synt]],GL[[#Headers],[#Data],[subtotal label]],1,FALSE)))</f>
        <v/>
      </c>
      <c r="AF164" s="1063" t="e">
        <f>IF((TB_curr[[#This Row],[Synt]]-TB_curr[[#This Row],[Subtotal Y/N]])=0,0,VLOOKUP(TB_curr[[#This Row],[Synt]],GL[[Account]:[Line]],3,FALSE))</f>
        <v>#VALUE!</v>
      </c>
      <c r="AG164" s="1063" t="e">
        <f>VLOOKUP(TB_curr[[#This Row],[Synt]],GL[[Account]:[B/P]],4,FALSE)</f>
        <v>#N/A</v>
      </c>
      <c r="AH164" s="1066" t="e">
        <v>#VALUE!</v>
      </c>
      <c r="AI164" s="1065" t="e">
        <f>TB_curr[[#This Row],[Synt]]&amp;TB_curr[[#This Row],[Line No. manual corr.]]</f>
        <v>#VALUE!</v>
      </c>
      <c r="AJ164" s="1064">
        <f t="shared" si="11"/>
        <v>0</v>
      </c>
      <c r="AK164" s="1064">
        <f t="shared" si="12"/>
        <v>0</v>
      </c>
      <c r="AL164" s="1064">
        <f t="shared" si="13"/>
        <v>0</v>
      </c>
      <c r="AM164" s="1064">
        <f t="shared" si="14"/>
        <v>0</v>
      </c>
      <c r="AN164" s="1064"/>
      <c r="AO164" s="1064">
        <f>TB_curr[[#This Row],[Closing balance]]+TB_curr[[#This Row],[Rounding]]</f>
        <v>0</v>
      </c>
    </row>
    <row r="165" spans="30:41" x14ac:dyDescent="0.25">
      <c r="AD165" s="1067" t="str">
        <f t="shared" si="10"/>
        <v/>
      </c>
      <c r="AE165" s="1063" t="str">
        <f>IF(ISNA(VLOOKUP(TB_curr[[#This Row],[Synt]],GL[[#Headers],[#Data],[subtotal label]],1,FALSE)),0,(VLOOKUP(TB_curr[[#This Row],[Synt]],GL[[#Headers],[#Data],[subtotal label]],1,FALSE)))</f>
        <v/>
      </c>
      <c r="AF165" s="1063" t="e">
        <f>IF((TB_curr[[#This Row],[Synt]]-TB_curr[[#This Row],[Subtotal Y/N]])=0,0,VLOOKUP(TB_curr[[#This Row],[Synt]],GL[[Account]:[Line]],3,FALSE))</f>
        <v>#VALUE!</v>
      </c>
      <c r="AG165" s="1063" t="e">
        <f>VLOOKUP(TB_curr[[#This Row],[Synt]],GL[[Account]:[B/P]],4,FALSE)</f>
        <v>#N/A</v>
      </c>
      <c r="AH165" s="1066" t="e">
        <v>#VALUE!</v>
      </c>
      <c r="AI165" s="1065" t="e">
        <f>TB_curr[[#This Row],[Synt]]&amp;TB_curr[[#This Row],[Line No. manual corr.]]</f>
        <v>#VALUE!</v>
      </c>
      <c r="AJ165" s="1064">
        <f t="shared" si="11"/>
        <v>0</v>
      </c>
      <c r="AK165" s="1064">
        <f t="shared" si="12"/>
        <v>0</v>
      </c>
      <c r="AL165" s="1064">
        <f t="shared" si="13"/>
        <v>0</v>
      </c>
      <c r="AM165" s="1064">
        <f t="shared" si="14"/>
        <v>0</v>
      </c>
      <c r="AN165" s="1064"/>
      <c r="AO165" s="1064">
        <f>TB_curr[[#This Row],[Closing balance]]+TB_curr[[#This Row],[Rounding]]</f>
        <v>0</v>
      </c>
    </row>
    <row r="166" spans="30:41" x14ac:dyDescent="0.25">
      <c r="AD166" s="1067" t="str">
        <f t="shared" si="10"/>
        <v/>
      </c>
      <c r="AE166" s="1063" t="str">
        <f>IF(ISNA(VLOOKUP(TB_curr[[#This Row],[Synt]],GL[[#Headers],[#Data],[subtotal label]],1,FALSE)),0,(VLOOKUP(TB_curr[[#This Row],[Synt]],GL[[#Headers],[#Data],[subtotal label]],1,FALSE)))</f>
        <v/>
      </c>
      <c r="AF166" s="1063" t="e">
        <f>IF((TB_curr[[#This Row],[Synt]]-TB_curr[[#This Row],[Subtotal Y/N]])=0,0,VLOOKUP(TB_curr[[#This Row],[Synt]],GL[[Account]:[Line]],3,FALSE))</f>
        <v>#VALUE!</v>
      </c>
      <c r="AG166" s="1063" t="e">
        <f>VLOOKUP(TB_curr[[#This Row],[Synt]],GL[[Account]:[B/P]],4,FALSE)</f>
        <v>#N/A</v>
      </c>
      <c r="AH166" s="1066" t="e">
        <v>#VALUE!</v>
      </c>
      <c r="AI166" s="1065" t="e">
        <f>TB_curr[[#This Row],[Synt]]&amp;TB_curr[[#This Row],[Line No. manual corr.]]</f>
        <v>#VALUE!</v>
      </c>
      <c r="AJ166" s="1064">
        <f t="shared" si="11"/>
        <v>0</v>
      </c>
      <c r="AK166" s="1064">
        <f t="shared" si="12"/>
        <v>0</v>
      </c>
      <c r="AL166" s="1064">
        <f t="shared" si="13"/>
        <v>0</v>
      </c>
      <c r="AM166" s="1064">
        <f t="shared" si="14"/>
        <v>0</v>
      </c>
      <c r="AN166" s="1064"/>
      <c r="AO166" s="1064">
        <f>TB_curr[[#This Row],[Closing balance]]+TB_curr[[#This Row],[Rounding]]</f>
        <v>0</v>
      </c>
    </row>
    <row r="167" spans="30:41" x14ac:dyDescent="0.25">
      <c r="AD167" s="1067" t="str">
        <f t="shared" si="10"/>
        <v/>
      </c>
      <c r="AE167" s="1063" t="str">
        <f>IF(ISNA(VLOOKUP(TB_curr[[#This Row],[Synt]],GL[[#Headers],[#Data],[subtotal label]],1,FALSE)),0,(VLOOKUP(TB_curr[[#This Row],[Synt]],GL[[#Headers],[#Data],[subtotal label]],1,FALSE)))</f>
        <v/>
      </c>
      <c r="AF167" s="1063" t="e">
        <f>IF((TB_curr[[#This Row],[Synt]]-TB_curr[[#This Row],[Subtotal Y/N]])=0,0,VLOOKUP(TB_curr[[#This Row],[Synt]],GL[[Account]:[Line]],3,FALSE))</f>
        <v>#VALUE!</v>
      </c>
      <c r="AG167" s="1063" t="e">
        <f>VLOOKUP(TB_curr[[#This Row],[Synt]],GL[[Account]:[B/P]],4,FALSE)</f>
        <v>#N/A</v>
      </c>
      <c r="AH167" s="1066" t="e">
        <v>#VALUE!</v>
      </c>
      <c r="AI167" s="1065" t="e">
        <f>TB_curr[[#This Row],[Synt]]&amp;TB_curr[[#This Row],[Line No. manual corr.]]</f>
        <v>#VALUE!</v>
      </c>
      <c r="AJ167" s="1064">
        <f t="shared" si="11"/>
        <v>0</v>
      </c>
      <c r="AK167" s="1064">
        <f t="shared" si="12"/>
        <v>0</v>
      </c>
      <c r="AL167" s="1064">
        <f t="shared" si="13"/>
        <v>0</v>
      </c>
      <c r="AM167" s="1064">
        <f t="shared" si="14"/>
        <v>0</v>
      </c>
      <c r="AN167" s="1064"/>
      <c r="AO167" s="1064">
        <f>TB_curr[[#This Row],[Closing balance]]+TB_curr[[#This Row],[Rounding]]</f>
        <v>0</v>
      </c>
    </row>
    <row r="168" spans="30:41" x14ac:dyDescent="0.25">
      <c r="AD168" s="1067" t="str">
        <f t="shared" si="10"/>
        <v/>
      </c>
      <c r="AE168" s="1063" t="str">
        <f>IF(ISNA(VLOOKUP(TB_curr[[#This Row],[Synt]],GL[[#Headers],[#Data],[subtotal label]],1,FALSE)),0,(VLOOKUP(TB_curr[[#This Row],[Synt]],GL[[#Headers],[#Data],[subtotal label]],1,FALSE)))</f>
        <v/>
      </c>
      <c r="AF168" s="1063" t="e">
        <f>IF((TB_curr[[#This Row],[Synt]]-TB_curr[[#This Row],[Subtotal Y/N]])=0,0,VLOOKUP(TB_curr[[#This Row],[Synt]],GL[[Account]:[Line]],3,FALSE))</f>
        <v>#VALUE!</v>
      </c>
      <c r="AG168" s="1063" t="e">
        <f>VLOOKUP(TB_curr[[#This Row],[Synt]],GL[[Account]:[B/P]],4,FALSE)</f>
        <v>#N/A</v>
      </c>
      <c r="AH168" s="1066" t="e">
        <v>#VALUE!</v>
      </c>
      <c r="AI168" s="1065" t="e">
        <f>TB_curr[[#This Row],[Synt]]&amp;TB_curr[[#This Row],[Line No. manual corr.]]</f>
        <v>#VALUE!</v>
      </c>
      <c r="AJ168" s="1064">
        <f t="shared" si="11"/>
        <v>0</v>
      </c>
      <c r="AK168" s="1064">
        <f t="shared" si="12"/>
        <v>0</v>
      </c>
      <c r="AL168" s="1064">
        <f t="shared" si="13"/>
        <v>0</v>
      </c>
      <c r="AM168" s="1064">
        <f t="shared" si="14"/>
        <v>0</v>
      </c>
      <c r="AN168" s="1064"/>
      <c r="AO168" s="1064">
        <f>TB_curr[[#This Row],[Closing balance]]+TB_curr[[#This Row],[Rounding]]</f>
        <v>0</v>
      </c>
    </row>
    <row r="169" spans="30:41" x14ac:dyDescent="0.25">
      <c r="AD169" s="1067" t="str">
        <f t="shared" si="10"/>
        <v/>
      </c>
      <c r="AE169" s="1063" t="str">
        <f>IF(ISNA(VLOOKUP(TB_curr[[#This Row],[Synt]],GL[[#Headers],[#Data],[subtotal label]],1,FALSE)),0,(VLOOKUP(TB_curr[[#This Row],[Synt]],GL[[#Headers],[#Data],[subtotal label]],1,FALSE)))</f>
        <v/>
      </c>
      <c r="AF169" s="1063" t="e">
        <f>IF((TB_curr[[#This Row],[Synt]]-TB_curr[[#This Row],[Subtotal Y/N]])=0,0,VLOOKUP(TB_curr[[#This Row],[Synt]],GL[[Account]:[Line]],3,FALSE))</f>
        <v>#VALUE!</v>
      </c>
      <c r="AG169" s="1063" t="e">
        <f>VLOOKUP(TB_curr[[#This Row],[Synt]],GL[[Account]:[B/P]],4,FALSE)</f>
        <v>#N/A</v>
      </c>
      <c r="AH169" s="1066" t="e">
        <v>#VALUE!</v>
      </c>
      <c r="AI169" s="1065" t="e">
        <f>TB_curr[[#This Row],[Synt]]&amp;TB_curr[[#This Row],[Line No. manual corr.]]</f>
        <v>#VALUE!</v>
      </c>
      <c r="AJ169" s="1064">
        <f t="shared" si="11"/>
        <v>0</v>
      </c>
      <c r="AK169" s="1064">
        <f t="shared" si="12"/>
        <v>0</v>
      </c>
      <c r="AL169" s="1064">
        <f t="shared" si="13"/>
        <v>0</v>
      </c>
      <c r="AM169" s="1064">
        <f t="shared" si="14"/>
        <v>0</v>
      </c>
      <c r="AN169" s="1064"/>
      <c r="AO169" s="1064">
        <f>TB_curr[[#This Row],[Closing balance]]+TB_curr[[#This Row],[Rounding]]</f>
        <v>0</v>
      </c>
    </row>
    <row r="170" spans="30:41" x14ac:dyDescent="0.25">
      <c r="AD170" s="1067" t="str">
        <f t="shared" si="10"/>
        <v/>
      </c>
      <c r="AE170" s="1063" t="str">
        <f>IF(ISNA(VLOOKUP(TB_curr[[#This Row],[Synt]],GL[[#Headers],[#Data],[subtotal label]],1,FALSE)),0,(VLOOKUP(TB_curr[[#This Row],[Synt]],GL[[#Headers],[#Data],[subtotal label]],1,FALSE)))</f>
        <v/>
      </c>
      <c r="AF170" s="1063" t="e">
        <f>IF((TB_curr[[#This Row],[Synt]]-TB_curr[[#This Row],[Subtotal Y/N]])=0,0,VLOOKUP(TB_curr[[#This Row],[Synt]],GL[[Account]:[Line]],3,FALSE))</f>
        <v>#VALUE!</v>
      </c>
      <c r="AG170" s="1063" t="e">
        <f>VLOOKUP(TB_curr[[#This Row],[Synt]],GL[[Account]:[B/P]],4,FALSE)</f>
        <v>#N/A</v>
      </c>
      <c r="AH170" s="1066" t="e">
        <v>#VALUE!</v>
      </c>
      <c r="AI170" s="1065" t="e">
        <f>TB_curr[[#This Row],[Synt]]&amp;TB_curr[[#This Row],[Line No. manual corr.]]</f>
        <v>#VALUE!</v>
      </c>
      <c r="AJ170" s="1064">
        <f t="shared" si="11"/>
        <v>0</v>
      </c>
      <c r="AK170" s="1064">
        <f t="shared" si="12"/>
        <v>0</v>
      </c>
      <c r="AL170" s="1064">
        <f t="shared" si="13"/>
        <v>0</v>
      </c>
      <c r="AM170" s="1064">
        <f t="shared" si="14"/>
        <v>0</v>
      </c>
      <c r="AN170" s="1064"/>
      <c r="AO170" s="1064">
        <f>TB_curr[[#This Row],[Closing balance]]+TB_curr[[#This Row],[Rounding]]</f>
        <v>0</v>
      </c>
    </row>
    <row r="171" spans="30:41" x14ac:dyDescent="0.25">
      <c r="AD171" s="1067" t="str">
        <f t="shared" si="10"/>
        <v/>
      </c>
      <c r="AE171" s="1063" t="str">
        <f>IF(ISNA(VLOOKUP(TB_curr[[#This Row],[Synt]],GL[[#Headers],[#Data],[subtotal label]],1,FALSE)),0,(VLOOKUP(TB_curr[[#This Row],[Synt]],GL[[#Headers],[#Data],[subtotal label]],1,FALSE)))</f>
        <v/>
      </c>
      <c r="AF171" s="1063" t="e">
        <f>IF((TB_curr[[#This Row],[Synt]]-TB_curr[[#This Row],[Subtotal Y/N]])=0,0,VLOOKUP(TB_curr[[#This Row],[Synt]],GL[[Account]:[Line]],3,FALSE))</f>
        <v>#VALUE!</v>
      </c>
      <c r="AG171" s="1063" t="e">
        <f>VLOOKUP(TB_curr[[#This Row],[Synt]],GL[[Account]:[B/P]],4,FALSE)</f>
        <v>#N/A</v>
      </c>
      <c r="AH171" s="1066" t="e">
        <v>#VALUE!</v>
      </c>
      <c r="AI171" s="1065" t="e">
        <f>TB_curr[[#This Row],[Synt]]&amp;TB_curr[[#This Row],[Line No. manual corr.]]</f>
        <v>#VALUE!</v>
      </c>
      <c r="AJ171" s="1064">
        <f t="shared" si="11"/>
        <v>0</v>
      </c>
      <c r="AK171" s="1064">
        <f t="shared" si="12"/>
        <v>0</v>
      </c>
      <c r="AL171" s="1064">
        <f t="shared" si="13"/>
        <v>0</v>
      </c>
      <c r="AM171" s="1064">
        <f t="shared" si="14"/>
        <v>0</v>
      </c>
      <c r="AN171" s="1064"/>
      <c r="AO171" s="1064">
        <f>TB_curr[[#This Row],[Closing balance]]+TB_curr[[#This Row],[Rounding]]</f>
        <v>0</v>
      </c>
    </row>
    <row r="172" spans="30:41" x14ac:dyDescent="0.25">
      <c r="AD172" s="1067" t="str">
        <f t="shared" si="10"/>
        <v/>
      </c>
      <c r="AE172" s="1063" t="str">
        <f>IF(ISNA(VLOOKUP(TB_curr[[#This Row],[Synt]],GL[[#Headers],[#Data],[subtotal label]],1,FALSE)),0,(VLOOKUP(TB_curr[[#This Row],[Synt]],GL[[#Headers],[#Data],[subtotal label]],1,FALSE)))</f>
        <v/>
      </c>
      <c r="AF172" s="1063" t="e">
        <f>IF((TB_curr[[#This Row],[Synt]]-TB_curr[[#This Row],[Subtotal Y/N]])=0,0,VLOOKUP(TB_curr[[#This Row],[Synt]],GL[[Account]:[Line]],3,FALSE))</f>
        <v>#VALUE!</v>
      </c>
      <c r="AG172" s="1063" t="e">
        <f>VLOOKUP(TB_curr[[#This Row],[Synt]],GL[[Account]:[B/P]],4,FALSE)</f>
        <v>#N/A</v>
      </c>
      <c r="AH172" s="1066" t="e">
        <v>#VALUE!</v>
      </c>
      <c r="AI172" s="1065" t="e">
        <f>TB_curr[[#This Row],[Synt]]&amp;TB_curr[[#This Row],[Line No. manual corr.]]</f>
        <v>#VALUE!</v>
      </c>
      <c r="AJ172" s="1064">
        <f t="shared" si="11"/>
        <v>0</v>
      </c>
      <c r="AK172" s="1064">
        <f t="shared" si="12"/>
        <v>0</v>
      </c>
      <c r="AL172" s="1064">
        <f t="shared" si="13"/>
        <v>0</v>
      </c>
      <c r="AM172" s="1064">
        <f t="shared" si="14"/>
        <v>0</v>
      </c>
      <c r="AN172" s="1064"/>
      <c r="AO172" s="1064">
        <f>TB_curr[[#This Row],[Closing balance]]+TB_curr[[#This Row],[Rounding]]</f>
        <v>0</v>
      </c>
    </row>
    <row r="173" spans="30:41" x14ac:dyDescent="0.25">
      <c r="AD173" s="1067" t="str">
        <f t="shared" si="10"/>
        <v/>
      </c>
      <c r="AE173" s="1063" t="str">
        <f>IF(ISNA(VLOOKUP(TB_curr[[#This Row],[Synt]],GL[[#Headers],[#Data],[subtotal label]],1,FALSE)),0,(VLOOKUP(TB_curr[[#This Row],[Synt]],GL[[#Headers],[#Data],[subtotal label]],1,FALSE)))</f>
        <v/>
      </c>
      <c r="AF173" s="1063" t="e">
        <f>IF((TB_curr[[#This Row],[Synt]]-TB_curr[[#This Row],[Subtotal Y/N]])=0,0,VLOOKUP(TB_curr[[#This Row],[Synt]],GL[[Account]:[Line]],3,FALSE))</f>
        <v>#VALUE!</v>
      </c>
      <c r="AG173" s="1063" t="e">
        <f>VLOOKUP(TB_curr[[#This Row],[Synt]],GL[[Account]:[B/P]],4,FALSE)</f>
        <v>#N/A</v>
      </c>
      <c r="AH173" s="1066" t="e">
        <v>#VALUE!</v>
      </c>
      <c r="AI173" s="1065" t="e">
        <f>TB_curr[[#This Row],[Synt]]&amp;TB_curr[[#This Row],[Line No. manual corr.]]</f>
        <v>#VALUE!</v>
      </c>
      <c r="AJ173" s="1064">
        <f t="shared" si="11"/>
        <v>0</v>
      </c>
      <c r="AK173" s="1064">
        <f t="shared" si="12"/>
        <v>0</v>
      </c>
      <c r="AL173" s="1064">
        <f t="shared" si="13"/>
        <v>0</v>
      </c>
      <c r="AM173" s="1064">
        <f t="shared" si="14"/>
        <v>0</v>
      </c>
      <c r="AN173" s="1064"/>
      <c r="AO173" s="1064">
        <f>TB_curr[[#This Row],[Closing balance]]+TB_curr[[#This Row],[Rounding]]</f>
        <v>0</v>
      </c>
    </row>
    <row r="174" spans="30:41" x14ac:dyDescent="0.25">
      <c r="AD174" s="1067" t="str">
        <f t="shared" si="10"/>
        <v/>
      </c>
      <c r="AE174" s="1063" t="str">
        <f>IF(ISNA(VLOOKUP(TB_curr[[#This Row],[Synt]],GL[[#Headers],[#Data],[subtotal label]],1,FALSE)),0,(VLOOKUP(TB_curr[[#This Row],[Synt]],GL[[#Headers],[#Data],[subtotal label]],1,FALSE)))</f>
        <v/>
      </c>
      <c r="AF174" s="1063" t="e">
        <f>IF((TB_curr[[#This Row],[Synt]]-TB_curr[[#This Row],[Subtotal Y/N]])=0,0,VLOOKUP(TB_curr[[#This Row],[Synt]],GL[[Account]:[Line]],3,FALSE))</f>
        <v>#VALUE!</v>
      </c>
      <c r="AG174" s="1063" t="e">
        <f>VLOOKUP(TB_curr[[#This Row],[Synt]],GL[[Account]:[B/P]],4,FALSE)</f>
        <v>#N/A</v>
      </c>
      <c r="AH174" s="1066" t="e">
        <v>#VALUE!</v>
      </c>
      <c r="AI174" s="1065" t="e">
        <f>TB_curr[[#This Row],[Synt]]&amp;TB_curr[[#This Row],[Line No. manual corr.]]</f>
        <v>#VALUE!</v>
      </c>
      <c r="AJ174" s="1064">
        <f t="shared" si="11"/>
        <v>0</v>
      </c>
      <c r="AK174" s="1064">
        <f t="shared" si="12"/>
        <v>0</v>
      </c>
      <c r="AL174" s="1064">
        <f t="shared" si="13"/>
        <v>0</v>
      </c>
      <c r="AM174" s="1064">
        <f t="shared" si="14"/>
        <v>0</v>
      </c>
      <c r="AN174" s="1064"/>
      <c r="AO174" s="1064">
        <f>TB_curr[[#This Row],[Closing balance]]+TB_curr[[#This Row],[Rounding]]</f>
        <v>0</v>
      </c>
    </row>
    <row r="175" spans="30:41" x14ac:dyDescent="0.25">
      <c r="AD175" s="1067" t="str">
        <f t="shared" si="10"/>
        <v/>
      </c>
      <c r="AE175" s="1063" t="str">
        <f>IF(ISNA(VLOOKUP(TB_curr[[#This Row],[Synt]],GL[[#Headers],[#Data],[subtotal label]],1,FALSE)),0,(VLOOKUP(TB_curr[[#This Row],[Synt]],GL[[#Headers],[#Data],[subtotal label]],1,FALSE)))</f>
        <v/>
      </c>
      <c r="AF175" s="1063" t="e">
        <f>IF((TB_curr[[#This Row],[Synt]]-TB_curr[[#This Row],[Subtotal Y/N]])=0,0,VLOOKUP(TB_curr[[#This Row],[Synt]],GL[[Account]:[Line]],3,FALSE))</f>
        <v>#VALUE!</v>
      </c>
      <c r="AG175" s="1063" t="e">
        <f>VLOOKUP(TB_curr[[#This Row],[Synt]],GL[[Account]:[B/P]],4,FALSE)</f>
        <v>#N/A</v>
      </c>
      <c r="AH175" s="1066" t="e">
        <v>#VALUE!</v>
      </c>
      <c r="AI175" s="1065" t="e">
        <f>TB_curr[[#This Row],[Synt]]&amp;TB_curr[[#This Row],[Line No. manual corr.]]</f>
        <v>#VALUE!</v>
      </c>
      <c r="AJ175" s="1064">
        <f t="shared" si="11"/>
        <v>0</v>
      </c>
      <c r="AK175" s="1064">
        <f t="shared" si="12"/>
        <v>0</v>
      </c>
      <c r="AL175" s="1064">
        <f t="shared" si="13"/>
        <v>0</v>
      </c>
      <c r="AM175" s="1064">
        <f t="shared" si="14"/>
        <v>0</v>
      </c>
      <c r="AN175" s="1064"/>
      <c r="AO175" s="1064">
        <f>TB_curr[[#This Row],[Closing balance]]+TB_curr[[#This Row],[Rounding]]</f>
        <v>0</v>
      </c>
    </row>
    <row r="176" spans="30:41" x14ac:dyDescent="0.25">
      <c r="AD176" s="1067" t="str">
        <f t="shared" si="10"/>
        <v/>
      </c>
      <c r="AE176" s="1063" t="str">
        <f>IF(ISNA(VLOOKUP(TB_curr[[#This Row],[Synt]],GL[[#Headers],[#Data],[subtotal label]],1,FALSE)),0,(VLOOKUP(TB_curr[[#This Row],[Synt]],GL[[#Headers],[#Data],[subtotal label]],1,FALSE)))</f>
        <v/>
      </c>
      <c r="AF176" s="1063" t="e">
        <f>IF((TB_curr[[#This Row],[Synt]]-TB_curr[[#This Row],[Subtotal Y/N]])=0,0,VLOOKUP(TB_curr[[#This Row],[Synt]],GL[[Account]:[Line]],3,FALSE))</f>
        <v>#VALUE!</v>
      </c>
      <c r="AG176" s="1063" t="e">
        <f>VLOOKUP(TB_curr[[#This Row],[Synt]],GL[[Account]:[B/P]],4,FALSE)</f>
        <v>#N/A</v>
      </c>
      <c r="AH176" s="1066" t="e">
        <v>#VALUE!</v>
      </c>
      <c r="AI176" s="1065" t="e">
        <f>TB_curr[[#This Row],[Synt]]&amp;TB_curr[[#This Row],[Line No. manual corr.]]</f>
        <v>#VALUE!</v>
      </c>
      <c r="AJ176" s="1064">
        <f t="shared" si="11"/>
        <v>0</v>
      </c>
      <c r="AK176" s="1064">
        <f t="shared" si="12"/>
        <v>0</v>
      </c>
      <c r="AL176" s="1064">
        <f t="shared" si="13"/>
        <v>0</v>
      </c>
      <c r="AM176" s="1064">
        <f t="shared" si="14"/>
        <v>0</v>
      </c>
      <c r="AN176" s="1064"/>
      <c r="AO176" s="1064">
        <f>TB_curr[[#This Row],[Closing balance]]+TB_curr[[#This Row],[Rounding]]</f>
        <v>0</v>
      </c>
    </row>
    <row r="177" spans="30:41" x14ac:dyDescent="0.25">
      <c r="AD177" s="1067" t="str">
        <f t="shared" si="10"/>
        <v/>
      </c>
      <c r="AE177" s="1063" t="str">
        <f>IF(ISNA(VLOOKUP(TB_curr[[#This Row],[Synt]],GL[[#Headers],[#Data],[subtotal label]],1,FALSE)),0,(VLOOKUP(TB_curr[[#This Row],[Synt]],GL[[#Headers],[#Data],[subtotal label]],1,FALSE)))</f>
        <v/>
      </c>
      <c r="AF177" s="1063" t="e">
        <f>IF((TB_curr[[#This Row],[Synt]]-TB_curr[[#This Row],[Subtotal Y/N]])=0,0,VLOOKUP(TB_curr[[#This Row],[Synt]],GL[[Account]:[Line]],3,FALSE))</f>
        <v>#VALUE!</v>
      </c>
      <c r="AG177" s="1063" t="e">
        <f>VLOOKUP(TB_curr[[#This Row],[Synt]],GL[[Account]:[B/P]],4,FALSE)</f>
        <v>#N/A</v>
      </c>
      <c r="AH177" s="1066" t="e">
        <v>#VALUE!</v>
      </c>
      <c r="AI177" s="1065" t="e">
        <f>TB_curr[[#This Row],[Synt]]&amp;TB_curr[[#This Row],[Line No. manual corr.]]</f>
        <v>#VALUE!</v>
      </c>
      <c r="AJ177" s="1064">
        <f t="shared" si="11"/>
        <v>0</v>
      </c>
      <c r="AK177" s="1064">
        <f t="shared" si="12"/>
        <v>0</v>
      </c>
      <c r="AL177" s="1064">
        <f t="shared" si="13"/>
        <v>0</v>
      </c>
      <c r="AM177" s="1064">
        <f t="shared" si="14"/>
        <v>0</v>
      </c>
      <c r="AN177" s="1064"/>
      <c r="AO177" s="1064">
        <f>TB_curr[[#This Row],[Closing balance]]+TB_curr[[#This Row],[Rounding]]</f>
        <v>0</v>
      </c>
    </row>
    <row r="178" spans="30:41" x14ac:dyDescent="0.25">
      <c r="AD178" s="1067" t="str">
        <f t="shared" si="10"/>
        <v/>
      </c>
      <c r="AE178" s="1063" t="str">
        <f>IF(ISNA(VLOOKUP(TB_curr[[#This Row],[Synt]],GL[[#Headers],[#Data],[subtotal label]],1,FALSE)),0,(VLOOKUP(TB_curr[[#This Row],[Synt]],GL[[#Headers],[#Data],[subtotal label]],1,FALSE)))</f>
        <v/>
      </c>
      <c r="AF178" s="1063" t="e">
        <f>IF((TB_curr[[#This Row],[Synt]]-TB_curr[[#This Row],[Subtotal Y/N]])=0,0,VLOOKUP(TB_curr[[#This Row],[Synt]],GL[[Account]:[Line]],3,FALSE))</f>
        <v>#VALUE!</v>
      </c>
      <c r="AG178" s="1063" t="e">
        <f>VLOOKUP(TB_curr[[#This Row],[Synt]],GL[[Account]:[B/P]],4,FALSE)</f>
        <v>#N/A</v>
      </c>
      <c r="AH178" s="1066" t="e">
        <v>#VALUE!</v>
      </c>
      <c r="AI178" s="1065" t="e">
        <f>TB_curr[[#This Row],[Synt]]&amp;TB_curr[[#This Row],[Line No. manual corr.]]</f>
        <v>#VALUE!</v>
      </c>
      <c r="AJ178" s="1064">
        <f t="shared" si="11"/>
        <v>0</v>
      </c>
      <c r="AK178" s="1064">
        <f t="shared" si="12"/>
        <v>0</v>
      </c>
      <c r="AL178" s="1064">
        <f t="shared" si="13"/>
        <v>0</v>
      </c>
      <c r="AM178" s="1064">
        <f t="shared" si="14"/>
        <v>0</v>
      </c>
      <c r="AN178" s="1064"/>
      <c r="AO178" s="1064">
        <f>TB_curr[[#This Row],[Closing balance]]+TB_curr[[#This Row],[Rounding]]</f>
        <v>0</v>
      </c>
    </row>
    <row r="179" spans="30:41" x14ac:dyDescent="0.25">
      <c r="AD179" s="1067" t="str">
        <f t="shared" si="10"/>
        <v/>
      </c>
      <c r="AE179" s="1063" t="str">
        <f>IF(ISNA(VLOOKUP(TB_curr[[#This Row],[Synt]],GL[[#Headers],[#Data],[subtotal label]],1,FALSE)),0,(VLOOKUP(TB_curr[[#This Row],[Synt]],GL[[#Headers],[#Data],[subtotal label]],1,FALSE)))</f>
        <v/>
      </c>
      <c r="AF179" s="1063" t="e">
        <f>IF((TB_curr[[#This Row],[Synt]]-TB_curr[[#This Row],[Subtotal Y/N]])=0,0,VLOOKUP(TB_curr[[#This Row],[Synt]],GL[[Account]:[Line]],3,FALSE))</f>
        <v>#VALUE!</v>
      </c>
      <c r="AG179" s="1063" t="e">
        <f>VLOOKUP(TB_curr[[#This Row],[Synt]],GL[[Account]:[B/P]],4,FALSE)</f>
        <v>#N/A</v>
      </c>
      <c r="AH179" s="1066" t="e">
        <v>#VALUE!</v>
      </c>
      <c r="AI179" s="1065" t="e">
        <f>TB_curr[[#This Row],[Synt]]&amp;TB_curr[[#This Row],[Line No. manual corr.]]</f>
        <v>#VALUE!</v>
      </c>
      <c r="AJ179" s="1064">
        <f t="shared" si="11"/>
        <v>0</v>
      </c>
      <c r="AK179" s="1064">
        <f t="shared" si="12"/>
        <v>0</v>
      </c>
      <c r="AL179" s="1064">
        <f t="shared" si="13"/>
        <v>0</v>
      </c>
      <c r="AM179" s="1064">
        <f t="shared" si="14"/>
        <v>0</v>
      </c>
      <c r="AN179" s="1064"/>
      <c r="AO179" s="1064">
        <f>TB_curr[[#This Row],[Closing balance]]+TB_curr[[#This Row],[Rounding]]</f>
        <v>0</v>
      </c>
    </row>
    <row r="180" spans="30:41" x14ac:dyDescent="0.25">
      <c r="AD180" s="1067" t="str">
        <f t="shared" si="10"/>
        <v/>
      </c>
      <c r="AE180" s="1063" t="str">
        <f>IF(ISNA(VLOOKUP(TB_curr[[#This Row],[Synt]],GL[[#Headers],[#Data],[subtotal label]],1,FALSE)),0,(VLOOKUP(TB_curr[[#This Row],[Synt]],GL[[#Headers],[#Data],[subtotal label]],1,FALSE)))</f>
        <v/>
      </c>
      <c r="AF180" s="1063" t="e">
        <f>IF((TB_curr[[#This Row],[Synt]]-TB_curr[[#This Row],[Subtotal Y/N]])=0,0,VLOOKUP(TB_curr[[#This Row],[Synt]],GL[[Account]:[Line]],3,FALSE))</f>
        <v>#VALUE!</v>
      </c>
      <c r="AG180" s="1063" t="e">
        <f>VLOOKUP(TB_curr[[#This Row],[Synt]],GL[[Account]:[B/P]],4,FALSE)</f>
        <v>#N/A</v>
      </c>
      <c r="AH180" s="1066" t="e">
        <v>#VALUE!</v>
      </c>
      <c r="AI180" s="1065" t="e">
        <f>TB_curr[[#This Row],[Synt]]&amp;TB_curr[[#This Row],[Line No. manual corr.]]</f>
        <v>#VALUE!</v>
      </c>
      <c r="AJ180" s="1064">
        <f t="shared" si="11"/>
        <v>0</v>
      </c>
      <c r="AK180" s="1064">
        <f t="shared" si="12"/>
        <v>0</v>
      </c>
      <c r="AL180" s="1064">
        <f t="shared" si="13"/>
        <v>0</v>
      </c>
      <c r="AM180" s="1064">
        <f t="shared" si="14"/>
        <v>0</v>
      </c>
      <c r="AN180" s="1064"/>
      <c r="AO180" s="1064">
        <f>TB_curr[[#This Row],[Closing balance]]+TB_curr[[#This Row],[Rounding]]</f>
        <v>0</v>
      </c>
    </row>
    <row r="181" spans="30:41" x14ac:dyDescent="0.25">
      <c r="AD181" s="1067" t="str">
        <f t="shared" si="10"/>
        <v/>
      </c>
      <c r="AE181" s="1063" t="str">
        <f>IF(ISNA(VLOOKUP(TB_curr[[#This Row],[Synt]],GL[[#Headers],[#Data],[subtotal label]],1,FALSE)),0,(VLOOKUP(TB_curr[[#This Row],[Synt]],GL[[#Headers],[#Data],[subtotal label]],1,FALSE)))</f>
        <v/>
      </c>
      <c r="AF181" s="1063" t="e">
        <f>IF((TB_curr[[#This Row],[Synt]]-TB_curr[[#This Row],[Subtotal Y/N]])=0,0,VLOOKUP(TB_curr[[#This Row],[Synt]],GL[[Account]:[Line]],3,FALSE))</f>
        <v>#VALUE!</v>
      </c>
      <c r="AG181" s="1063" t="e">
        <f>VLOOKUP(TB_curr[[#This Row],[Synt]],GL[[Account]:[B/P]],4,FALSE)</f>
        <v>#N/A</v>
      </c>
      <c r="AH181" s="1066" t="e">
        <v>#VALUE!</v>
      </c>
      <c r="AI181" s="1065" t="e">
        <f>TB_curr[[#This Row],[Synt]]&amp;TB_curr[[#This Row],[Line No. manual corr.]]</f>
        <v>#VALUE!</v>
      </c>
      <c r="AJ181" s="1064">
        <f t="shared" si="11"/>
        <v>0</v>
      </c>
      <c r="AK181" s="1064">
        <f t="shared" si="12"/>
        <v>0</v>
      </c>
      <c r="AL181" s="1064">
        <f t="shared" si="13"/>
        <v>0</v>
      </c>
      <c r="AM181" s="1064">
        <f t="shared" si="14"/>
        <v>0</v>
      </c>
      <c r="AN181" s="1064"/>
      <c r="AO181" s="1064">
        <f>TB_curr[[#This Row],[Closing balance]]+TB_curr[[#This Row],[Rounding]]</f>
        <v>0</v>
      </c>
    </row>
    <row r="182" spans="30:41" x14ac:dyDescent="0.25">
      <c r="AD182" s="1067" t="str">
        <f t="shared" si="10"/>
        <v/>
      </c>
      <c r="AE182" s="1063" t="str">
        <f>IF(ISNA(VLOOKUP(TB_curr[[#This Row],[Synt]],GL[[#Headers],[#Data],[subtotal label]],1,FALSE)),0,(VLOOKUP(TB_curr[[#This Row],[Synt]],GL[[#Headers],[#Data],[subtotal label]],1,FALSE)))</f>
        <v/>
      </c>
      <c r="AF182" s="1063" t="e">
        <f>IF((TB_curr[[#This Row],[Synt]]-TB_curr[[#This Row],[Subtotal Y/N]])=0,0,VLOOKUP(TB_curr[[#This Row],[Synt]],GL[[Account]:[Line]],3,FALSE))</f>
        <v>#VALUE!</v>
      </c>
      <c r="AG182" s="1063" t="e">
        <f>VLOOKUP(TB_curr[[#This Row],[Synt]],GL[[Account]:[B/P]],4,FALSE)</f>
        <v>#N/A</v>
      </c>
      <c r="AH182" s="1066" t="e">
        <v>#VALUE!</v>
      </c>
      <c r="AI182" s="1065" t="e">
        <f>TB_curr[[#This Row],[Synt]]&amp;TB_curr[[#This Row],[Line No. manual corr.]]</f>
        <v>#VALUE!</v>
      </c>
      <c r="AJ182" s="1064">
        <f t="shared" si="11"/>
        <v>0</v>
      </c>
      <c r="AK182" s="1064">
        <f t="shared" si="12"/>
        <v>0</v>
      </c>
      <c r="AL182" s="1064">
        <f t="shared" si="13"/>
        <v>0</v>
      </c>
      <c r="AM182" s="1064">
        <f t="shared" si="14"/>
        <v>0</v>
      </c>
      <c r="AN182" s="1064"/>
      <c r="AO182" s="1064">
        <f>TB_curr[[#This Row],[Closing balance]]+TB_curr[[#This Row],[Rounding]]</f>
        <v>0</v>
      </c>
    </row>
    <row r="183" spans="30:41" x14ac:dyDescent="0.25">
      <c r="AD183" s="1067" t="str">
        <f t="shared" si="10"/>
        <v/>
      </c>
      <c r="AE183" s="1063" t="str">
        <f>IF(ISNA(VLOOKUP(TB_curr[[#This Row],[Synt]],GL[[#Headers],[#Data],[subtotal label]],1,FALSE)),0,(VLOOKUP(TB_curr[[#This Row],[Synt]],GL[[#Headers],[#Data],[subtotal label]],1,FALSE)))</f>
        <v/>
      </c>
      <c r="AF183" s="1063" t="e">
        <f>IF((TB_curr[[#This Row],[Synt]]-TB_curr[[#This Row],[Subtotal Y/N]])=0,0,VLOOKUP(TB_curr[[#This Row],[Synt]],GL[[Account]:[Line]],3,FALSE))</f>
        <v>#VALUE!</v>
      </c>
      <c r="AG183" s="1063" t="e">
        <f>VLOOKUP(TB_curr[[#This Row],[Synt]],GL[[Account]:[B/P]],4,FALSE)</f>
        <v>#N/A</v>
      </c>
      <c r="AH183" s="1066" t="e">
        <v>#VALUE!</v>
      </c>
      <c r="AI183" s="1065" t="e">
        <f>TB_curr[[#This Row],[Synt]]&amp;TB_curr[[#This Row],[Line No. manual corr.]]</f>
        <v>#VALUE!</v>
      </c>
      <c r="AJ183" s="1064">
        <f t="shared" si="11"/>
        <v>0</v>
      </c>
      <c r="AK183" s="1064">
        <f t="shared" si="12"/>
        <v>0</v>
      </c>
      <c r="AL183" s="1064">
        <f t="shared" si="13"/>
        <v>0</v>
      </c>
      <c r="AM183" s="1064">
        <f t="shared" si="14"/>
        <v>0</v>
      </c>
      <c r="AN183" s="1064"/>
      <c r="AO183" s="1064">
        <f>TB_curr[[#This Row],[Closing balance]]+TB_curr[[#This Row],[Rounding]]</f>
        <v>0</v>
      </c>
    </row>
    <row r="184" spans="30:41" x14ac:dyDescent="0.25">
      <c r="AD184" s="1067" t="str">
        <f t="shared" si="10"/>
        <v/>
      </c>
      <c r="AE184" s="1063" t="str">
        <f>IF(ISNA(VLOOKUP(TB_curr[[#This Row],[Synt]],GL[[#Headers],[#Data],[subtotal label]],1,FALSE)),0,(VLOOKUP(TB_curr[[#This Row],[Synt]],GL[[#Headers],[#Data],[subtotal label]],1,FALSE)))</f>
        <v/>
      </c>
      <c r="AF184" s="1063" t="e">
        <f>IF((TB_curr[[#This Row],[Synt]]-TB_curr[[#This Row],[Subtotal Y/N]])=0,0,VLOOKUP(TB_curr[[#This Row],[Synt]],GL[[Account]:[Line]],3,FALSE))</f>
        <v>#VALUE!</v>
      </c>
      <c r="AG184" s="1063" t="e">
        <f>VLOOKUP(TB_curr[[#This Row],[Synt]],GL[[Account]:[B/P]],4,FALSE)</f>
        <v>#N/A</v>
      </c>
      <c r="AH184" s="1066" t="e">
        <v>#VALUE!</v>
      </c>
      <c r="AI184" s="1065" t="e">
        <f>TB_curr[[#This Row],[Synt]]&amp;TB_curr[[#This Row],[Line No. manual corr.]]</f>
        <v>#VALUE!</v>
      </c>
      <c r="AJ184" s="1064">
        <f t="shared" si="11"/>
        <v>0</v>
      </c>
      <c r="AK184" s="1064">
        <f t="shared" si="12"/>
        <v>0</v>
      </c>
      <c r="AL184" s="1064">
        <f t="shared" si="13"/>
        <v>0</v>
      </c>
      <c r="AM184" s="1064">
        <f t="shared" si="14"/>
        <v>0</v>
      </c>
      <c r="AN184" s="1064"/>
      <c r="AO184" s="1064">
        <f>TB_curr[[#This Row],[Closing balance]]+TB_curr[[#This Row],[Rounding]]</f>
        <v>0</v>
      </c>
    </row>
    <row r="185" spans="30:41" x14ac:dyDescent="0.25">
      <c r="AD185" s="1067" t="str">
        <f t="shared" si="10"/>
        <v/>
      </c>
      <c r="AE185" s="1063" t="str">
        <f>IF(ISNA(VLOOKUP(TB_curr[[#This Row],[Synt]],GL[[#Headers],[#Data],[subtotal label]],1,FALSE)),0,(VLOOKUP(TB_curr[[#This Row],[Synt]],GL[[#Headers],[#Data],[subtotal label]],1,FALSE)))</f>
        <v/>
      </c>
      <c r="AF185" s="1063" t="e">
        <f>IF((TB_curr[[#This Row],[Synt]]-TB_curr[[#This Row],[Subtotal Y/N]])=0,0,VLOOKUP(TB_curr[[#This Row],[Synt]],GL[[Account]:[Line]],3,FALSE))</f>
        <v>#VALUE!</v>
      </c>
      <c r="AG185" s="1063" t="e">
        <f>VLOOKUP(TB_curr[[#This Row],[Synt]],GL[[Account]:[B/P]],4,FALSE)</f>
        <v>#N/A</v>
      </c>
      <c r="AH185" s="1066" t="e">
        <v>#VALUE!</v>
      </c>
      <c r="AI185" s="1065" t="e">
        <f>TB_curr[[#This Row],[Synt]]&amp;TB_curr[[#This Row],[Line No. manual corr.]]</f>
        <v>#VALUE!</v>
      </c>
      <c r="AJ185" s="1064">
        <f t="shared" si="11"/>
        <v>0</v>
      </c>
      <c r="AK185" s="1064">
        <f t="shared" si="12"/>
        <v>0</v>
      </c>
      <c r="AL185" s="1064">
        <f t="shared" si="13"/>
        <v>0</v>
      </c>
      <c r="AM185" s="1064">
        <f t="shared" si="14"/>
        <v>0</v>
      </c>
      <c r="AN185" s="1064"/>
      <c r="AO185" s="1064">
        <f>TB_curr[[#This Row],[Closing balance]]+TB_curr[[#This Row],[Rounding]]</f>
        <v>0</v>
      </c>
    </row>
    <row r="186" spans="30:41" x14ac:dyDescent="0.25">
      <c r="AD186" s="1067" t="str">
        <f t="shared" si="10"/>
        <v/>
      </c>
      <c r="AE186" s="1063" t="str">
        <f>IF(ISNA(VLOOKUP(TB_curr[[#This Row],[Synt]],GL[[#Headers],[#Data],[subtotal label]],1,FALSE)),0,(VLOOKUP(TB_curr[[#This Row],[Synt]],GL[[#Headers],[#Data],[subtotal label]],1,FALSE)))</f>
        <v/>
      </c>
      <c r="AF186" s="1063" t="e">
        <f>IF((TB_curr[[#This Row],[Synt]]-TB_curr[[#This Row],[Subtotal Y/N]])=0,0,VLOOKUP(TB_curr[[#This Row],[Synt]],GL[[Account]:[Line]],3,FALSE))</f>
        <v>#VALUE!</v>
      </c>
      <c r="AG186" s="1063" t="e">
        <f>VLOOKUP(TB_curr[[#This Row],[Synt]],GL[[Account]:[B/P]],4,FALSE)</f>
        <v>#N/A</v>
      </c>
      <c r="AH186" s="1066" t="e">
        <v>#VALUE!</v>
      </c>
      <c r="AI186" s="1065" t="e">
        <f>TB_curr[[#This Row],[Synt]]&amp;TB_curr[[#This Row],[Line No. manual corr.]]</f>
        <v>#VALUE!</v>
      </c>
      <c r="AJ186" s="1064">
        <f t="shared" si="11"/>
        <v>0</v>
      </c>
      <c r="AK186" s="1064">
        <f t="shared" si="12"/>
        <v>0</v>
      </c>
      <c r="AL186" s="1064">
        <f t="shared" si="13"/>
        <v>0</v>
      </c>
      <c r="AM186" s="1064">
        <f t="shared" si="14"/>
        <v>0</v>
      </c>
      <c r="AN186" s="1064"/>
      <c r="AO186" s="1064">
        <f>TB_curr[[#This Row],[Closing balance]]+TB_curr[[#This Row],[Rounding]]</f>
        <v>0</v>
      </c>
    </row>
    <row r="187" spans="30:41" x14ac:dyDescent="0.25">
      <c r="AD187" s="1067" t="str">
        <f t="shared" si="10"/>
        <v/>
      </c>
      <c r="AE187" s="1063" t="str">
        <f>IF(ISNA(VLOOKUP(TB_curr[[#This Row],[Synt]],GL[[#Headers],[#Data],[subtotal label]],1,FALSE)),0,(VLOOKUP(TB_curr[[#This Row],[Synt]],GL[[#Headers],[#Data],[subtotal label]],1,FALSE)))</f>
        <v/>
      </c>
      <c r="AF187" s="1063" t="e">
        <f>IF((TB_curr[[#This Row],[Synt]]-TB_curr[[#This Row],[Subtotal Y/N]])=0,0,VLOOKUP(TB_curr[[#This Row],[Synt]],GL[[Account]:[Line]],3,FALSE))</f>
        <v>#VALUE!</v>
      </c>
      <c r="AG187" s="1063" t="e">
        <f>VLOOKUP(TB_curr[[#This Row],[Synt]],GL[[Account]:[B/P]],4,FALSE)</f>
        <v>#N/A</v>
      </c>
      <c r="AH187" s="1066" t="e">
        <v>#VALUE!</v>
      </c>
      <c r="AI187" s="1065" t="e">
        <f>TB_curr[[#This Row],[Synt]]&amp;TB_curr[[#This Row],[Line No. manual corr.]]</f>
        <v>#VALUE!</v>
      </c>
      <c r="AJ187" s="1064">
        <f t="shared" si="11"/>
        <v>0</v>
      </c>
      <c r="AK187" s="1064">
        <f t="shared" si="12"/>
        <v>0</v>
      </c>
      <c r="AL187" s="1064">
        <f t="shared" si="13"/>
        <v>0</v>
      </c>
      <c r="AM187" s="1064">
        <f t="shared" si="14"/>
        <v>0</v>
      </c>
      <c r="AN187" s="1064"/>
      <c r="AO187" s="1064">
        <f>TB_curr[[#This Row],[Closing balance]]+TB_curr[[#This Row],[Rounding]]</f>
        <v>0</v>
      </c>
    </row>
    <row r="188" spans="30:41" x14ac:dyDescent="0.25">
      <c r="AD188" s="1067" t="str">
        <f t="shared" si="10"/>
        <v/>
      </c>
      <c r="AE188" s="1063" t="str">
        <f>IF(ISNA(VLOOKUP(TB_curr[[#This Row],[Synt]],GL[[#Headers],[#Data],[subtotal label]],1,FALSE)),0,(VLOOKUP(TB_curr[[#This Row],[Synt]],GL[[#Headers],[#Data],[subtotal label]],1,FALSE)))</f>
        <v/>
      </c>
      <c r="AF188" s="1063" t="e">
        <f>IF((TB_curr[[#This Row],[Synt]]-TB_curr[[#This Row],[Subtotal Y/N]])=0,0,VLOOKUP(TB_curr[[#This Row],[Synt]],GL[[Account]:[Line]],3,FALSE))</f>
        <v>#VALUE!</v>
      </c>
      <c r="AG188" s="1063" t="e">
        <f>VLOOKUP(TB_curr[[#This Row],[Synt]],GL[[Account]:[B/P]],4,FALSE)</f>
        <v>#N/A</v>
      </c>
      <c r="AH188" s="1066" t="e">
        <v>#VALUE!</v>
      </c>
      <c r="AI188" s="1065" t="e">
        <f>TB_curr[[#This Row],[Synt]]&amp;TB_curr[[#This Row],[Line No. manual corr.]]</f>
        <v>#VALUE!</v>
      </c>
      <c r="AJ188" s="1064">
        <f t="shared" si="11"/>
        <v>0</v>
      </c>
      <c r="AK188" s="1064">
        <f t="shared" si="12"/>
        <v>0</v>
      </c>
      <c r="AL188" s="1064">
        <f t="shared" si="13"/>
        <v>0</v>
      </c>
      <c r="AM188" s="1064">
        <f t="shared" si="14"/>
        <v>0</v>
      </c>
      <c r="AN188" s="1064"/>
      <c r="AO188" s="1064">
        <f>TB_curr[[#This Row],[Closing balance]]+TB_curr[[#This Row],[Rounding]]</f>
        <v>0</v>
      </c>
    </row>
    <row r="189" spans="30:41" x14ac:dyDescent="0.25">
      <c r="AD189" s="1067" t="str">
        <f t="shared" si="10"/>
        <v/>
      </c>
      <c r="AE189" s="1063" t="str">
        <f>IF(ISNA(VLOOKUP(TB_curr[[#This Row],[Synt]],GL[[#Headers],[#Data],[subtotal label]],1,FALSE)),0,(VLOOKUP(TB_curr[[#This Row],[Synt]],GL[[#Headers],[#Data],[subtotal label]],1,FALSE)))</f>
        <v/>
      </c>
      <c r="AF189" s="1063" t="e">
        <f>IF((TB_curr[[#This Row],[Synt]]-TB_curr[[#This Row],[Subtotal Y/N]])=0,0,VLOOKUP(TB_curr[[#This Row],[Synt]],GL[[Account]:[Line]],3,FALSE))</f>
        <v>#VALUE!</v>
      </c>
      <c r="AG189" s="1063" t="e">
        <f>VLOOKUP(TB_curr[[#This Row],[Synt]],GL[[Account]:[B/P]],4,FALSE)</f>
        <v>#N/A</v>
      </c>
      <c r="AH189" s="1066" t="e">
        <v>#VALUE!</v>
      </c>
      <c r="AI189" s="1065" t="e">
        <f>TB_curr[[#This Row],[Synt]]&amp;TB_curr[[#This Row],[Line No. manual corr.]]</f>
        <v>#VALUE!</v>
      </c>
      <c r="AJ189" s="1064">
        <f t="shared" si="11"/>
        <v>0</v>
      </c>
      <c r="AK189" s="1064">
        <f t="shared" si="12"/>
        <v>0</v>
      </c>
      <c r="AL189" s="1064">
        <f t="shared" si="13"/>
        <v>0</v>
      </c>
      <c r="AM189" s="1064">
        <f t="shared" si="14"/>
        <v>0</v>
      </c>
      <c r="AN189" s="1064"/>
      <c r="AO189" s="1064">
        <f>TB_curr[[#This Row],[Closing balance]]+TB_curr[[#This Row],[Rounding]]</f>
        <v>0</v>
      </c>
    </row>
    <row r="190" spans="30:41" x14ac:dyDescent="0.25">
      <c r="AD190" s="1067" t="str">
        <f t="shared" si="10"/>
        <v/>
      </c>
      <c r="AE190" s="1063" t="str">
        <f>IF(ISNA(VLOOKUP(TB_curr[[#This Row],[Synt]],GL[[#Headers],[#Data],[subtotal label]],1,FALSE)),0,(VLOOKUP(TB_curr[[#This Row],[Synt]],GL[[#Headers],[#Data],[subtotal label]],1,FALSE)))</f>
        <v/>
      </c>
      <c r="AF190" s="1063" t="e">
        <f>IF((TB_curr[[#This Row],[Synt]]-TB_curr[[#This Row],[Subtotal Y/N]])=0,0,VLOOKUP(TB_curr[[#This Row],[Synt]],GL[[Account]:[Line]],3,FALSE))</f>
        <v>#VALUE!</v>
      </c>
      <c r="AG190" s="1063" t="e">
        <f>VLOOKUP(TB_curr[[#This Row],[Synt]],GL[[Account]:[B/P]],4,FALSE)</f>
        <v>#N/A</v>
      </c>
      <c r="AH190" s="1066" t="e">
        <v>#VALUE!</v>
      </c>
      <c r="AI190" s="1065" t="e">
        <f>TB_curr[[#This Row],[Synt]]&amp;TB_curr[[#This Row],[Line No. manual corr.]]</f>
        <v>#VALUE!</v>
      </c>
      <c r="AJ190" s="1064">
        <f t="shared" si="11"/>
        <v>0</v>
      </c>
      <c r="AK190" s="1064">
        <f t="shared" si="12"/>
        <v>0</v>
      </c>
      <c r="AL190" s="1064">
        <f t="shared" si="13"/>
        <v>0</v>
      </c>
      <c r="AM190" s="1064">
        <f t="shared" si="14"/>
        <v>0</v>
      </c>
      <c r="AN190" s="1064"/>
      <c r="AO190" s="1064">
        <f>TB_curr[[#This Row],[Closing balance]]+TB_curr[[#This Row],[Rounding]]</f>
        <v>0</v>
      </c>
    </row>
    <row r="191" spans="30:41" x14ac:dyDescent="0.25">
      <c r="AD191" s="1067" t="str">
        <f t="shared" si="10"/>
        <v/>
      </c>
      <c r="AE191" s="1063" t="str">
        <f>IF(ISNA(VLOOKUP(TB_curr[[#This Row],[Synt]],GL[[#Headers],[#Data],[subtotal label]],1,FALSE)),0,(VLOOKUP(TB_curr[[#This Row],[Synt]],GL[[#Headers],[#Data],[subtotal label]],1,FALSE)))</f>
        <v/>
      </c>
      <c r="AF191" s="1063" t="e">
        <f>IF((TB_curr[[#This Row],[Synt]]-TB_curr[[#This Row],[Subtotal Y/N]])=0,0,VLOOKUP(TB_curr[[#This Row],[Synt]],GL[[Account]:[Line]],3,FALSE))</f>
        <v>#VALUE!</v>
      </c>
      <c r="AG191" s="1063" t="e">
        <f>VLOOKUP(TB_curr[[#This Row],[Synt]],GL[[Account]:[B/P]],4,FALSE)</f>
        <v>#N/A</v>
      </c>
      <c r="AH191" s="1066" t="e">
        <v>#VALUE!</v>
      </c>
      <c r="AI191" s="1065" t="e">
        <f>TB_curr[[#This Row],[Synt]]&amp;TB_curr[[#This Row],[Line No. manual corr.]]</f>
        <v>#VALUE!</v>
      </c>
      <c r="AJ191" s="1064">
        <f t="shared" si="11"/>
        <v>0</v>
      </c>
      <c r="AK191" s="1064">
        <f t="shared" si="12"/>
        <v>0</v>
      </c>
      <c r="AL191" s="1064">
        <f t="shared" si="13"/>
        <v>0</v>
      </c>
      <c r="AM191" s="1064">
        <f t="shared" si="14"/>
        <v>0</v>
      </c>
      <c r="AN191" s="1064"/>
      <c r="AO191" s="1064">
        <f>TB_curr[[#This Row],[Closing balance]]+TB_curr[[#This Row],[Rounding]]</f>
        <v>0</v>
      </c>
    </row>
    <row r="192" spans="30:41" x14ac:dyDescent="0.25">
      <c r="AD192" s="1067" t="str">
        <f t="shared" si="10"/>
        <v/>
      </c>
      <c r="AE192" s="1063" t="str">
        <f>IF(ISNA(VLOOKUP(TB_curr[[#This Row],[Synt]],GL[[#Headers],[#Data],[subtotal label]],1,FALSE)),0,(VLOOKUP(TB_curr[[#This Row],[Synt]],GL[[#Headers],[#Data],[subtotal label]],1,FALSE)))</f>
        <v/>
      </c>
      <c r="AF192" s="1063" t="e">
        <f>IF((TB_curr[[#This Row],[Synt]]-TB_curr[[#This Row],[Subtotal Y/N]])=0,0,VLOOKUP(TB_curr[[#This Row],[Synt]],GL[[Account]:[Line]],3,FALSE))</f>
        <v>#VALUE!</v>
      </c>
      <c r="AG192" s="1063" t="e">
        <f>VLOOKUP(TB_curr[[#This Row],[Synt]],GL[[Account]:[B/P]],4,FALSE)</f>
        <v>#N/A</v>
      </c>
      <c r="AH192" s="1066" t="e">
        <v>#VALUE!</v>
      </c>
      <c r="AI192" s="1065" t="e">
        <f>TB_curr[[#This Row],[Synt]]&amp;TB_curr[[#This Row],[Line No. manual corr.]]</f>
        <v>#VALUE!</v>
      </c>
      <c r="AJ192" s="1064">
        <f t="shared" si="11"/>
        <v>0</v>
      </c>
      <c r="AK192" s="1064">
        <f t="shared" si="12"/>
        <v>0</v>
      </c>
      <c r="AL192" s="1064">
        <f t="shared" si="13"/>
        <v>0</v>
      </c>
      <c r="AM192" s="1064">
        <f t="shared" si="14"/>
        <v>0</v>
      </c>
      <c r="AN192" s="1064"/>
      <c r="AO192" s="1064">
        <f>TB_curr[[#This Row],[Closing balance]]+TB_curr[[#This Row],[Rounding]]</f>
        <v>0</v>
      </c>
    </row>
    <row r="193" spans="30:41" x14ac:dyDescent="0.25">
      <c r="AD193" s="1067" t="str">
        <f t="shared" si="10"/>
        <v/>
      </c>
      <c r="AE193" s="1063" t="str">
        <f>IF(ISNA(VLOOKUP(TB_curr[[#This Row],[Synt]],GL[[#Headers],[#Data],[subtotal label]],1,FALSE)),0,(VLOOKUP(TB_curr[[#This Row],[Synt]],GL[[#Headers],[#Data],[subtotal label]],1,FALSE)))</f>
        <v/>
      </c>
      <c r="AF193" s="1063" t="e">
        <f>IF((TB_curr[[#This Row],[Synt]]-TB_curr[[#This Row],[Subtotal Y/N]])=0,0,VLOOKUP(TB_curr[[#This Row],[Synt]],GL[[Account]:[Line]],3,FALSE))</f>
        <v>#VALUE!</v>
      </c>
      <c r="AG193" s="1063" t="e">
        <f>VLOOKUP(TB_curr[[#This Row],[Synt]],GL[[Account]:[B/P]],4,FALSE)</f>
        <v>#N/A</v>
      </c>
      <c r="AH193" s="1066" t="e">
        <v>#VALUE!</v>
      </c>
      <c r="AI193" s="1065" t="e">
        <f>TB_curr[[#This Row],[Synt]]&amp;TB_curr[[#This Row],[Line No. manual corr.]]</f>
        <v>#VALUE!</v>
      </c>
      <c r="AJ193" s="1064">
        <f t="shared" si="11"/>
        <v>0</v>
      </c>
      <c r="AK193" s="1064">
        <f t="shared" si="12"/>
        <v>0</v>
      </c>
      <c r="AL193" s="1064">
        <f t="shared" si="13"/>
        <v>0</v>
      </c>
      <c r="AM193" s="1064">
        <f t="shared" si="14"/>
        <v>0</v>
      </c>
      <c r="AN193" s="1064"/>
      <c r="AO193" s="1064">
        <f>TB_curr[[#This Row],[Closing balance]]+TB_curr[[#This Row],[Rounding]]</f>
        <v>0</v>
      </c>
    </row>
    <row r="194" spans="30:41" x14ac:dyDescent="0.25">
      <c r="AD194" s="1067" t="str">
        <f t="shared" si="10"/>
        <v/>
      </c>
      <c r="AE194" s="1063" t="str">
        <f>IF(ISNA(VLOOKUP(TB_curr[[#This Row],[Synt]],GL[[#Headers],[#Data],[subtotal label]],1,FALSE)),0,(VLOOKUP(TB_curr[[#This Row],[Synt]],GL[[#Headers],[#Data],[subtotal label]],1,FALSE)))</f>
        <v/>
      </c>
      <c r="AF194" s="1063" t="e">
        <f>IF((TB_curr[[#This Row],[Synt]]-TB_curr[[#This Row],[Subtotal Y/N]])=0,0,VLOOKUP(TB_curr[[#This Row],[Synt]],GL[[Account]:[Line]],3,FALSE))</f>
        <v>#VALUE!</v>
      </c>
      <c r="AG194" s="1063" t="e">
        <f>VLOOKUP(TB_curr[[#This Row],[Synt]],GL[[Account]:[B/P]],4,FALSE)</f>
        <v>#N/A</v>
      </c>
      <c r="AH194" s="1066" t="e">
        <v>#VALUE!</v>
      </c>
      <c r="AI194" s="1065" t="e">
        <f>TB_curr[[#This Row],[Synt]]&amp;TB_curr[[#This Row],[Line No. manual corr.]]</f>
        <v>#VALUE!</v>
      </c>
      <c r="AJ194" s="1064">
        <f t="shared" si="11"/>
        <v>0</v>
      </c>
      <c r="AK194" s="1064">
        <f t="shared" si="12"/>
        <v>0</v>
      </c>
      <c r="AL194" s="1064">
        <f t="shared" si="13"/>
        <v>0</v>
      </c>
      <c r="AM194" s="1064">
        <f t="shared" si="14"/>
        <v>0</v>
      </c>
      <c r="AN194" s="1064"/>
      <c r="AO194" s="1064">
        <f>TB_curr[[#This Row],[Closing balance]]+TB_curr[[#This Row],[Rounding]]</f>
        <v>0</v>
      </c>
    </row>
    <row r="195" spans="30:41" x14ac:dyDescent="0.25">
      <c r="AD195" s="1067" t="str">
        <f t="shared" si="10"/>
        <v/>
      </c>
      <c r="AE195" s="1063" t="str">
        <f>IF(ISNA(VLOOKUP(TB_curr[[#This Row],[Synt]],GL[[#Headers],[#Data],[subtotal label]],1,FALSE)),0,(VLOOKUP(TB_curr[[#This Row],[Synt]],GL[[#Headers],[#Data],[subtotal label]],1,FALSE)))</f>
        <v/>
      </c>
      <c r="AF195" s="1063" t="e">
        <f>IF((TB_curr[[#This Row],[Synt]]-TB_curr[[#This Row],[Subtotal Y/N]])=0,0,VLOOKUP(TB_curr[[#This Row],[Synt]],GL[[Account]:[Line]],3,FALSE))</f>
        <v>#VALUE!</v>
      </c>
      <c r="AG195" s="1063" t="e">
        <f>VLOOKUP(TB_curr[[#This Row],[Synt]],GL[[Account]:[B/P]],4,FALSE)</f>
        <v>#N/A</v>
      </c>
      <c r="AH195" s="1066" t="e">
        <v>#VALUE!</v>
      </c>
      <c r="AI195" s="1065" t="e">
        <f>TB_curr[[#This Row],[Synt]]&amp;TB_curr[[#This Row],[Line No. manual corr.]]</f>
        <v>#VALUE!</v>
      </c>
      <c r="AJ195" s="1064">
        <f t="shared" si="11"/>
        <v>0</v>
      </c>
      <c r="AK195" s="1064">
        <f t="shared" si="12"/>
        <v>0</v>
      </c>
      <c r="AL195" s="1064">
        <f t="shared" si="13"/>
        <v>0</v>
      </c>
      <c r="AM195" s="1064">
        <f t="shared" si="14"/>
        <v>0</v>
      </c>
      <c r="AN195" s="1064"/>
      <c r="AO195" s="1064">
        <f>TB_curr[[#This Row],[Closing balance]]+TB_curr[[#This Row],[Rounding]]</f>
        <v>0</v>
      </c>
    </row>
    <row r="196" spans="30:41" x14ac:dyDescent="0.25">
      <c r="AD196" s="1067" t="str">
        <f t="shared" si="10"/>
        <v/>
      </c>
      <c r="AE196" s="1063" t="str">
        <f>IF(ISNA(VLOOKUP(TB_curr[[#This Row],[Synt]],GL[[#Headers],[#Data],[subtotal label]],1,FALSE)),0,(VLOOKUP(TB_curr[[#This Row],[Synt]],GL[[#Headers],[#Data],[subtotal label]],1,FALSE)))</f>
        <v/>
      </c>
      <c r="AF196" s="1063" t="e">
        <f>IF((TB_curr[[#This Row],[Synt]]-TB_curr[[#This Row],[Subtotal Y/N]])=0,0,VLOOKUP(TB_curr[[#This Row],[Synt]],GL[[Account]:[Line]],3,FALSE))</f>
        <v>#VALUE!</v>
      </c>
      <c r="AG196" s="1063" t="e">
        <f>VLOOKUP(TB_curr[[#This Row],[Synt]],GL[[Account]:[B/P]],4,FALSE)</f>
        <v>#N/A</v>
      </c>
      <c r="AH196" s="1066" t="e">
        <v>#VALUE!</v>
      </c>
      <c r="AI196" s="1065" t="e">
        <f>TB_curr[[#This Row],[Synt]]&amp;TB_curr[[#This Row],[Line No. manual corr.]]</f>
        <v>#VALUE!</v>
      </c>
      <c r="AJ196" s="1064">
        <f t="shared" si="11"/>
        <v>0</v>
      </c>
      <c r="AK196" s="1064">
        <f t="shared" si="12"/>
        <v>0</v>
      </c>
      <c r="AL196" s="1064">
        <f t="shared" si="13"/>
        <v>0</v>
      </c>
      <c r="AM196" s="1064">
        <f t="shared" si="14"/>
        <v>0</v>
      </c>
      <c r="AN196" s="1064"/>
      <c r="AO196" s="1064">
        <f>TB_curr[[#This Row],[Closing balance]]+TB_curr[[#This Row],[Rounding]]</f>
        <v>0</v>
      </c>
    </row>
    <row r="197" spans="30:41" x14ac:dyDescent="0.25">
      <c r="AD197" s="1067" t="str">
        <f t="shared" si="10"/>
        <v/>
      </c>
      <c r="AE197" s="1063" t="str">
        <f>IF(ISNA(VLOOKUP(TB_curr[[#This Row],[Synt]],GL[[#Headers],[#Data],[subtotal label]],1,FALSE)),0,(VLOOKUP(TB_curr[[#This Row],[Synt]],GL[[#Headers],[#Data],[subtotal label]],1,FALSE)))</f>
        <v/>
      </c>
      <c r="AF197" s="1063" t="e">
        <f>IF((TB_curr[[#This Row],[Synt]]-TB_curr[[#This Row],[Subtotal Y/N]])=0,0,VLOOKUP(TB_curr[[#This Row],[Synt]],GL[[Account]:[Line]],3,FALSE))</f>
        <v>#VALUE!</v>
      </c>
      <c r="AG197" s="1063" t="e">
        <f>VLOOKUP(TB_curr[[#This Row],[Synt]],GL[[Account]:[B/P]],4,FALSE)</f>
        <v>#N/A</v>
      </c>
      <c r="AH197" s="1066" t="e">
        <v>#VALUE!</v>
      </c>
      <c r="AI197" s="1065" t="e">
        <f>TB_curr[[#This Row],[Synt]]&amp;TB_curr[[#This Row],[Line No. manual corr.]]</f>
        <v>#VALUE!</v>
      </c>
      <c r="AJ197" s="1064">
        <f t="shared" si="11"/>
        <v>0</v>
      </c>
      <c r="AK197" s="1064">
        <f t="shared" si="12"/>
        <v>0</v>
      </c>
      <c r="AL197" s="1064">
        <f t="shared" si="13"/>
        <v>0</v>
      </c>
      <c r="AM197" s="1064">
        <f t="shared" si="14"/>
        <v>0</v>
      </c>
      <c r="AN197" s="1064"/>
      <c r="AO197" s="1064">
        <f>TB_curr[[#This Row],[Closing balance]]+TB_curr[[#This Row],[Rounding]]</f>
        <v>0</v>
      </c>
    </row>
    <row r="198" spans="30:41" x14ac:dyDescent="0.25">
      <c r="AD198" s="1067" t="str">
        <f t="shared" si="10"/>
        <v/>
      </c>
      <c r="AE198" s="1063" t="str">
        <f>IF(ISNA(VLOOKUP(TB_curr[[#This Row],[Synt]],GL[[#Headers],[#Data],[subtotal label]],1,FALSE)),0,(VLOOKUP(TB_curr[[#This Row],[Synt]],GL[[#Headers],[#Data],[subtotal label]],1,FALSE)))</f>
        <v/>
      </c>
      <c r="AF198" s="1063" t="e">
        <f>IF((TB_curr[[#This Row],[Synt]]-TB_curr[[#This Row],[Subtotal Y/N]])=0,0,VLOOKUP(TB_curr[[#This Row],[Synt]],GL[[Account]:[Line]],3,FALSE))</f>
        <v>#VALUE!</v>
      </c>
      <c r="AG198" s="1063" t="e">
        <f>VLOOKUP(TB_curr[[#This Row],[Synt]],GL[[Account]:[B/P]],4,FALSE)</f>
        <v>#N/A</v>
      </c>
      <c r="AH198" s="1066" t="e">
        <v>#VALUE!</v>
      </c>
      <c r="AI198" s="1065" t="e">
        <f>TB_curr[[#This Row],[Synt]]&amp;TB_curr[[#This Row],[Line No. manual corr.]]</f>
        <v>#VALUE!</v>
      </c>
      <c r="AJ198" s="1064">
        <f t="shared" si="11"/>
        <v>0</v>
      </c>
      <c r="AK198" s="1064">
        <f t="shared" si="12"/>
        <v>0</v>
      </c>
      <c r="AL198" s="1064">
        <f t="shared" si="13"/>
        <v>0</v>
      </c>
      <c r="AM198" s="1064">
        <f t="shared" si="14"/>
        <v>0</v>
      </c>
      <c r="AN198" s="1064"/>
      <c r="AO198" s="1064">
        <f>TB_curr[[#This Row],[Closing balance]]+TB_curr[[#This Row],[Rounding]]</f>
        <v>0</v>
      </c>
    </row>
    <row r="199" spans="30:41" x14ac:dyDescent="0.25">
      <c r="AD199" s="1067" t="str">
        <f t="shared" si="10"/>
        <v/>
      </c>
      <c r="AE199" s="1063" t="str">
        <f>IF(ISNA(VLOOKUP(TB_curr[[#This Row],[Synt]],GL[[#Headers],[#Data],[subtotal label]],1,FALSE)),0,(VLOOKUP(TB_curr[[#This Row],[Synt]],GL[[#Headers],[#Data],[subtotal label]],1,FALSE)))</f>
        <v/>
      </c>
      <c r="AF199" s="1063" t="e">
        <f>IF((TB_curr[[#This Row],[Synt]]-TB_curr[[#This Row],[Subtotal Y/N]])=0,0,VLOOKUP(TB_curr[[#This Row],[Synt]],GL[[Account]:[Line]],3,FALSE))</f>
        <v>#VALUE!</v>
      </c>
      <c r="AG199" s="1063" t="e">
        <f>VLOOKUP(TB_curr[[#This Row],[Synt]],GL[[Account]:[B/P]],4,FALSE)</f>
        <v>#N/A</v>
      </c>
      <c r="AH199" s="1066" t="e">
        <v>#VALUE!</v>
      </c>
      <c r="AI199" s="1065" t="e">
        <f>TB_curr[[#This Row],[Synt]]&amp;TB_curr[[#This Row],[Line No. manual corr.]]</f>
        <v>#VALUE!</v>
      </c>
      <c r="AJ199" s="1064">
        <f t="shared" si="11"/>
        <v>0</v>
      </c>
      <c r="AK199" s="1064">
        <f t="shared" si="12"/>
        <v>0</v>
      </c>
      <c r="AL199" s="1064">
        <f t="shared" si="13"/>
        <v>0</v>
      </c>
      <c r="AM199" s="1064">
        <f t="shared" si="14"/>
        <v>0</v>
      </c>
      <c r="AN199" s="1064"/>
      <c r="AO199" s="1064">
        <f>TB_curr[[#This Row],[Closing balance]]+TB_curr[[#This Row],[Rounding]]</f>
        <v>0</v>
      </c>
    </row>
    <row r="200" spans="30:41" x14ac:dyDescent="0.25">
      <c r="AD200" s="1067" t="str">
        <f t="shared" ref="AD200:AD263" si="15">LEFT(B200,3)</f>
        <v/>
      </c>
      <c r="AE200" s="1063" t="str">
        <f>IF(ISNA(VLOOKUP(TB_curr[[#This Row],[Synt]],GL[[#Headers],[#Data],[subtotal label]],1,FALSE)),0,(VLOOKUP(TB_curr[[#This Row],[Synt]],GL[[#Headers],[#Data],[subtotal label]],1,FALSE)))</f>
        <v/>
      </c>
      <c r="AF200" s="1063" t="e">
        <f>IF((TB_curr[[#This Row],[Synt]]-TB_curr[[#This Row],[Subtotal Y/N]])=0,0,VLOOKUP(TB_curr[[#This Row],[Synt]],GL[[Account]:[Line]],3,FALSE))</f>
        <v>#VALUE!</v>
      </c>
      <c r="AG200" s="1063" t="e">
        <f>VLOOKUP(TB_curr[[#This Row],[Synt]],GL[[Account]:[B/P]],4,FALSE)</f>
        <v>#N/A</v>
      </c>
      <c r="AH200" s="1066" t="e">
        <v>#VALUE!</v>
      </c>
      <c r="AI200" s="1065" t="e">
        <f>TB_curr[[#This Row],[Synt]]&amp;TB_curr[[#This Row],[Line No. manual corr.]]</f>
        <v>#VALUE!</v>
      </c>
      <c r="AJ200" s="1064">
        <f t="shared" ref="AJ200:AJ263" si="16">K200-N200</f>
        <v>0</v>
      </c>
      <c r="AK200" s="1064">
        <f t="shared" ref="AK200:AK263" si="17">Q200</f>
        <v>0</v>
      </c>
      <c r="AL200" s="1064">
        <f t="shared" ref="AL200:AL263" si="18">U200</f>
        <v>0</v>
      </c>
      <c r="AM200" s="1064">
        <f t="shared" ref="AM200:AM263" si="19">X200-AB200</f>
        <v>0</v>
      </c>
      <c r="AN200" s="1064"/>
      <c r="AO200" s="1064">
        <f>TB_curr[[#This Row],[Closing balance]]+TB_curr[[#This Row],[Rounding]]</f>
        <v>0</v>
      </c>
    </row>
    <row r="201" spans="30:41" x14ac:dyDescent="0.25">
      <c r="AD201" s="1067" t="str">
        <f t="shared" si="15"/>
        <v/>
      </c>
      <c r="AE201" s="1063" t="str">
        <f>IF(ISNA(VLOOKUP(TB_curr[[#This Row],[Synt]],GL[[#Headers],[#Data],[subtotal label]],1,FALSE)),0,(VLOOKUP(TB_curr[[#This Row],[Synt]],GL[[#Headers],[#Data],[subtotal label]],1,FALSE)))</f>
        <v/>
      </c>
      <c r="AF201" s="1063" t="e">
        <f>IF((TB_curr[[#This Row],[Synt]]-TB_curr[[#This Row],[Subtotal Y/N]])=0,0,VLOOKUP(TB_curr[[#This Row],[Synt]],GL[[Account]:[Line]],3,FALSE))</f>
        <v>#VALUE!</v>
      </c>
      <c r="AG201" s="1063" t="e">
        <f>VLOOKUP(TB_curr[[#This Row],[Synt]],GL[[Account]:[B/P]],4,FALSE)</f>
        <v>#N/A</v>
      </c>
      <c r="AH201" s="1066" t="e">
        <v>#VALUE!</v>
      </c>
      <c r="AI201" s="1065" t="e">
        <f>TB_curr[[#This Row],[Synt]]&amp;TB_curr[[#This Row],[Line No. manual corr.]]</f>
        <v>#VALUE!</v>
      </c>
      <c r="AJ201" s="1064">
        <f t="shared" si="16"/>
        <v>0</v>
      </c>
      <c r="AK201" s="1064">
        <f t="shared" si="17"/>
        <v>0</v>
      </c>
      <c r="AL201" s="1064">
        <f t="shared" si="18"/>
        <v>0</v>
      </c>
      <c r="AM201" s="1064">
        <f t="shared" si="19"/>
        <v>0</v>
      </c>
      <c r="AN201" s="1064"/>
      <c r="AO201" s="1064">
        <f>TB_curr[[#This Row],[Closing balance]]+TB_curr[[#This Row],[Rounding]]</f>
        <v>0</v>
      </c>
    </row>
    <row r="202" spans="30:41" x14ac:dyDescent="0.25">
      <c r="AD202" s="1067" t="str">
        <f t="shared" si="15"/>
        <v/>
      </c>
      <c r="AE202" s="1063" t="str">
        <f>IF(ISNA(VLOOKUP(TB_curr[[#This Row],[Synt]],GL[[#Headers],[#Data],[subtotal label]],1,FALSE)),0,(VLOOKUP(TB_curr[[#This Row],[Synt]],GL[[#Headers],[#Data],[subtotal label]],1,FALSE)))</f>
        <v/>
      </c>
      <c r="AF202" s="1063" t="e">
        <f>IF((TB_curr[[#This Row],[Synt]]-TB_curr[[#This Row],[Subtotal Y/N]])=0,0,VLOOKUP(TB_curr[[#This Row],[Synt]],GL[[Account]:[Line]],3,FALSE))</f>
        <v>#VALUE!</v>
      </c>
      <c r="AG202" s="1063" t="e">
        <f>VLOOKUP(TB_curr[[#This Row],[Synt]],GL[[Account]:[B/P]],4,FALSE)</f>
        <v>#N/A</v>
      </c>
      <c r="AH202" s="1066" t="e">
        <v>#VALUE!</v>
      </c>
      <c r="AI202" s="1065" t="e">
        <f>TB_curr[[#This Row],[Synt]]&amp;TB_curr[[#This Row],[Line No. manual corr.]]</f>
        <v>#VALUE!</v>
      </c>
      <c r="AJ202" s="1064">
        <f t="shared" si="16"/>
        <v>0</v>
      </c>
      <c r="AK202" s="1064">
        <f t="shared" si="17"/>
        <v>0</v>
      </c>
      <c r="AL202" s="1064">
        <f t="shared" si="18"/>
        <v>0</v>
      </c>
      <c r="AM202" s="1064">
        <f t="shared" si="19"/>
        <v>0</v>
      </c>
      <c r="AN202" s="1064"/>
      <c r="AO202" s="1064">
        <f>TB_curr[[#This Row],[Closing balance]]+TB_curr[[#This Row],[Rounding]]</f>
        <v>0</v>
      </c>
    </row>
    <row r="203" spans="30:41" x14ac:dyDescent="0.25">
      <c r="AD203" s="1067" t="str">
        <f t="shared" si="15"/>
        <v/>
      </c>
      <c r="AE203" s="1063" t="str">
        <f>IF(ISNA(VLOOKUP(TB_curr[[#This Row],[Synt]],GL[[#Headers],[#Data],[subtotal label]],1,FALSE)),0,(VLOOKUP(TB_curr[[#This Row],[Synt]],GL[[#Headers],[#Data],[subtotal label]],1,FALSE)))</f>
        <v/>
      </c>
      <c r="AF203" s="1063" t="e">
        <f>IF((TB_curr[[#This Row],[Synt]]-TB_curr[[#This Row],[Subtotal Y/N]])=0,0,VLOOKUP(TB_curr[[#This Row],[Synt]],GL[[Account]:[Line]],3,FALSE))</f>
        <v>#VALUE!</v>
      </c>
      <c r="AG203" s="1063" t="e">
        <f>VLOOKUP(TB_curr[[#This Row],[Synt]],GL[[Account]:[B/P]],4,FALSE)</f>
        <v>#N/A</v>
      </c>
      <c r="AH203" s="1066" t="e">
        <v>#VALUE!</v>
      </c>
      <c r="AI203" s="1065" t="e">
        <f>TB_curr[[#This Row],[Synt]]&amp;TB_curr[[#This Row],[Line No. manual corr.]]</f>
        <v>#VALUE!</v>
      </c>
      <c r="AJ203" s="1064">
        <f t="shared" si="16"/>
        <v>0</v>
      </c>
      <c r="AK203" s="1064">
        <f t="shared" si="17"/>
        <v>0</v>
      </c>
      <c r="AL203" s="1064">
        <f t="shared" si="18"/>
        <v>0</v>
      </c>
      <c r="AM203" s="1064">
        <f t="shared" si="19"/>
        <v>0</v>
      </c>
      <c r="AN203" s="1064"/>
      <c r="AO203" s="1064">
        <f>TB_curr[[#This Row],[Closing balance]]+TB_curr[[#This Row],[Rounding]]</f>
        <v>0</v>
      </c>
    </row>
    <row r="204" spans="30:41" x14ac:dyDescent="0.25">
      <c r="AD204" s="1067" t="str">
        <f t="shared" si="15"/>
        <v/>
      </c>
      <c r="AE204" s="1063" t="str">
        <f>IF(ISNA(VLOOKUP(TB_curr[[#This Row],[Synt]],GL[[#Headers],[#Data],[subtotal label]],1,FALSE)),0,(VLOOKUP(TB_curr[[#This Row],[Synt]],GL[[#Headers],[#Data],[subtotal label]],1,FALSE)))</f>
        <v/>
      </c>
      <c r="AF204" s="1063" t="e">
        <f>IF((TB_curr[[#This Row],[Synt]]-TB_curr[[#This Row],[Subtotal Y/N]])=0,0,VLOOKUP(TB_curr[[#This Row],[Synt]],GL[[Account]:[Line]],3,FALSE))</f>
        <v>#VALUE!</v>
      </c>
      <c r="AG204" s="1063" t="e">
        <f>VLOOKUP(TB_curr[[#This Row],[Synt]],GL[[Account]:[B/P]],4,FALSE)</f>
        <v>#N/A</v>
      </c>
      <c r="AH204" s="1066" t="e">
        <v>#VALUE!</v>
      </c>
      <c r="AI204" s="1065" t="e">
        <f>TB_curr[[#This Row],[Synt]]&amp;TB_curr[[#This Row],[Line No. manual corr.]]</f>
        <v>#VALUE!</v>
      </c>
      <c r="AJ204" s="1064">
        <f t="shared" si="16"/>
        <v>0</v>
      </c>
      <c r="AK204" s="1064">
        <f t="shared" si="17"/>
        <v>0</v>
      </c>
      <c r="AL204" s="1064">
        <f t="shared" si="18"/>
        <v>0</v>
      </c>
      <c r="AM204" s="1064">
        <f t="shared" si="19"/>
        <v>0</v>
      </c>
      <c r="AN204" s="1064"/>
      <c r="AO204" s="1064">
        <f>TB_curr[[#This Row],[Closing balance]]+TB_curr[[#This Row],[Rounding]]</f>
        <v>0</v>
      </c>
    </row>
    <row r="205" spans="30:41" x14ac:dyDescent="0.25">
      <c r="AD205" s="1067" t="str">
        <f t="shared" si="15"/>
        <v/>
      </c>
      <c r="AE205" s="1063" t="str">
        <f>IF(ISNA(VLOOKUP(TB_curr[[#This Row],[Synt]],GL[[#Headers],[#Data],[subtotal label]],1,FALSE)),0,(VLOOKUP(TB_curr[[#This Row],[Synt]],GL[[#Headers],[#Data],[subtotal label]],1,FALSE)))</f>
        <v/>
      </c>
      <c r="AF205" s="1063" t="e">
        <f>IF((TB_curr[[#This Row],[Synt]]-TB_curr[[#This Row],[Subtotal Y/N]])=0,0,VLOOKUP(TB_curr[[#This Row],[Synt]],GL[[Account]:[Line]],3,FALSE))</f>
        <v>#VALUE!</v>
      </c>
      <c r="AG205" s="1063" t="e">
        <f>VLOOKUP(TB_curr[[#This Row],[Synt]],GL[[Account]:[B/P]],4,FALSE)</f>
        <v>#N/A</v>
      </c>
      <c r="AH205" s="1066" t="e">
        <v>#VALUE!</v>
      </c>
      <c r="AI205" s="1065" t="e">
        <f>TB_curr[[#This Row],[Synt]]&amp;TB_curr[[#This Row],[Line No. manual corr.]]</f>
        <v>#VALUE!</v>
      </c>
      <c r="AJ205" s="1064">
        <f t="shared" si="16"/>
        <v>0</v>
      </c>
      <c r="AK205" s="1064">
        <f t="shared" si="17"/>
        <v>0</v>
      </c>
      <c r="AL205" s="1064">
        <f t="shared" si="18"/>
        <v>0</v>
      </c>
      <c r="AM205" s="1064">
        <f t="shared" si="19"/>
        <v>0</v>
      </c>
      <c r="AN205" s="1064"/>
      <c r="AO205" s="1064">
        <f>TB_curr[[#This Row],[Closing balance]]+TB_curr[[#This Row],[Rounding]]</f>
        <v>0</v>
      </c>
    </row>
    <row r="206" spans="30:41" x14ac:dyDescent="0.25">
      <c r="AD206" s="1067" t="str">
        <f t="shared" si="15"/>
        <v/>
      </c>
      <c r="AE206" s="1063" t="str">
        <f>IF(ISNA(VLOOKUP(TB_curr[[#This Row],[Synt]],GL[[#Headers],[#Data],[subtotal label]],1,FALSE)),0,(VLOOKUP(TB_curr[[#This Row],[Synt]],GL[[#Headers],[#Data],[subtotal label]],1,FALSE)))</f>
        <v/>
      </c>
      <c r="AF206" s="1063" t="e">
        <f>IF((TB_curr[[#This Row],[Synt]]-TB_curr[[#This Row],[Subtotal Y/N]])=0,0,VLOOKUP(TB_curr[[#This Row],[Synt]],GL[[Account]:[Line]],3,FALSE))</f>
        <v>#VALUE!</v>
      </c>
      <c r="AG206" s="1063" t="e">
        <f>VLOOKUP(TB_curr[[#This Row],[Synt]],GL[[Account]:[B/P]],4,FALSE)</f>
        <v>#N/A</v>
      </c>
      <c r="AH206" s="1066" t="e">
        <v>#VALUE!</v>
      </c>
      <c r="AI206" s="1065" t="e">
        <f>TB_curr[[#This Row],[Synt]]&amp;TB_curr[[#This Row],[Line No. manual corr.]]</f>
        <v>#VALUE!</v>
      </c>
      <c r="AJ206" s="1064">
        <f t="shared" si="16"/>
        <v>0</v>
      </c>
      <c r="AK206" s="1064">
        <f t="shared" si="17"/>
        <v>0</v>
      </c>
      <c r="AL206" s="1064">
        <f t="shared" si="18"/>
        <v>0</v>
      </c>
      <c r="AM206" s="1064">
        <f t="shared" si="19"/>
        <v>0</v>
      </c>
      <c r="AN206" s="1064"/>
      <c r="AO206" s="1064">
        <f>TB_curr[[#This Row],[Closing balance]]+TB_curr[[#This Row],[Rounding]]</f>
        <v>0</v>
      </c>
    </row>
    <row r="207" spans="30:41" x14ac:dyDescent="0.25">
      <c r="AD207" s="1067" t="str">
        <f t="shared" si="15"/>
        <v/>
      </c>
      <c r="AE207" s="1063" t="str">
        <f>IF(ISNA(VLOOKUP(TB_curr[[#This Row],[Synt]],GL[[#Headers],[#Data],[subtotal label]],1,FALSE)),0,(VLOOKUP(TB_curr[[#This Row],[Synt]],GL[[#Headers],[#Data],[subtotal label]],1,FALSE)))</f>
        <v/>
      </c>
      <c r="AF207" s="1063" t="e">
        <f>IF((TB_curr[[#This Row],[Synt]]-TB_curr[[#This Row],[Subtotal Y/N]])=0,0,VLOOKUP(TB_curr[[#This Row],[Synt]],GL[[Account]:[Line]],3,FALSE))</f>
        <v>#VALUE!</v>
      </c>
      <c r="AG207" s="1063" t="e">
        <f>VLOOKUP(TB_curr[[#This Row],[Synt]],GL[[Account]:[B/P]],4,FALSE)</f>
        <v>#N/A</v>
      </c>
      <c r="AH207" s="1066" t="e">
        <v>#VALUE!</v>
      </c>
      <c r="AI207" s="1065" t="e">
        <f>TB_curr[[#This Row],[Synt]]&amp;TB_curr[[#This Row],[Line No. manual corr.]]</f>
        <v>#VALUE!</v>
      </c>
      <c r="AJ207" s="1064">
        <f t="shared" si="16"/>
        <v>0</v>
      </c>
      <c r="AK207" s="1064">
        <f t="shared" si="17"/>
        <v>0</v>
      </c>
      <c r="AL207" s="1064">
        <f t="shared" si="18"/>
        <v>0</v>
      </c>
      <c r="AM207" s="1064">
        <f t="shared" si="19"/>
        <v>0</v>
      </c>
      <c r="AN207" s="1064"/>
      <c r="AO207" s="1064">
        <f>TB_curr[[#This Row],[Closing balance]]+TB_curr[[#This Row],[Rounding]]</f>
        <v>0</v>
      </c>
    </row>
    <row r="208" spans="30:41" x14ac:dyDescent="0.25">
      <c r="AD208" s="1067" t="str">
        <f t="shared" si="15"/>
        <v/>
      </c>
      <c r="AE208" s="1063" t="str">
        <f>IF(ISNA(VLOOKUP(TB_curr[[#This Row],[Synt]],GL[[#Headers],[#Data],[subtotal label]],1,FALSE)),0,(VLOOKUP(TB_curr[[#This Row],[Synt]],GL[[#Headers],[#Data],[subtotal label]],1,FALSE)))</f>
        <v/>
      </c>
      <c r="AF208" s="1063" t="e">
        <f>IF((TB_curr[[#This Row],[Synt]]-TB_curr[[#This Row],[Subtotal Y/N]])=0,0,VLOOKUP(TB_curr[[#This Row],[Synt]],GL[[Account]:[Line]],3,FALSE))</f>
        <v>#VALUE!</v>
      </c>
      <c r="AG208" s="1063" t="e">
        <f>VLOOKUP(TB_curr[[#This Row],[Synt]],GL[[Account]:[B/P]],4,FALSE)</f>
        <v>#N/A</v>
      </c>
      <c r="AH208" s="1066" t="e">
        <v>#VALUE!</v>
      </c>
      <c r="AI208" s="1065" t="e">
        <f>TB_curr[[#This Row],[Synt]]&amp;TB_curr[[#This Row],[Line No. manual corr.]]</f>
        <v>#VALUE!</v>
      </c>
      <c r="AJ208" s="1064">
        <f t="shared" si="16"/>
        <v>0</v>
      </c>
      <c r="AK208" s="1064">
        <f t="shared" si="17"/>
        <v>0</v>
      </c>
      <c r="AL208" s="1064">
        <f t="shared" si="18"/>
        <v>0</v>
      </c>
      <c r="AM208" s="1064">
        <f t="shared" si="19"/>
        <v>0</v>
      </c>
      <c r="AN208" s="1064"/>
      <c r="AO208" s="1064">
        <f>TB_curr[[#This Row],[Closing balance]]+TB_curr[[#This Row],[Rounding]]</f>
        <v>0</v>
      </c>
    </row>
    <row r="209" spans="30:41" x14ac:dyDescent="0.25">
      <c r="AD209" s="1067" t="str">
        <f t="shared" si="15"/>
        <v/>
      </c>
      <c r="AE209" s="1063" t="str">
        <f>IF(ISNA(VLOOKUP(TB_curr[[#This Row],[Synt]],GL[[#Headers],[#Data],[subtotal label]],1,FALSE)),0,(VLOOKUP(TB_curr[[#This Row],[Synt]],GL[[#Headers],[#Data],[subtotal label]],1,FALSE)))</f>
        <v/>
      </c>
      <c r="AF209" s="1063" t="e">
        <f>IF((TB_curr[[#This Row],[Synt]]-TB_curr[[#This Row],[Subtotal Y/N]])=0,0,VLOOKUP(TB_curr[[#This Row],[Synt]],GL[[Account]:[Line]],3,FALSE))</f>
        <v>#VALUE!</v>
      </c>
      <c r="AG209" s="1063" t="e">
        <f>VLOOKUP(TB_curr[[#This Row],[Synt]],GL[[Account]:[B/P]],4,FALSE)</f>
        <v>#N/A</v>
      </c>
      <c r="AH209" s="1066" t="e">
        <v>#VALUE!</v>
      </c>
      <c r="AI209" s="1065" t="e">
        <f>TB_curr[[#This Row],[Synt]]&amp;TB_curr[[#This Row],[Line No. manual corr.]]</f>
        <v>#VALUE!</v>
      </c>
      <c r="AJ209" s="1064">
        <f t="shared" si="16"/>
        <v>0</v>
      </c>
      <c r="AK209" s="1064">
        <f t="shared" si="17"/>
        <v>0</v>
      </c>
      <c r="AL209" s="1064">
        <f t="shared" si="18"/>
        <v>0</v>
      </c>
      <c r="AM209" s="1064">
        <f t="shared" si="19"/>
        <v>0</v>
      </c>
      <c r="AN209" s="1064"/>
      <c r="AO209" s="1064">
        <f>TB_curr[[#This Row],[Closing balance]]+TB_curr[[#This Row],[Rounding]]</f>
        <v>0</v>
      </c>
    </row>
    <row r="210" spans="30:41" x14ac:dyDescent="0.25">
      <c r="AD210" s="1067" t="str">
        <f t="shared" si="15"/>
        <v/>
      </c>
      <c r="AE210" s="1063" t="str">
        <f>IF(ISNA(VLOOKUP(TB_curr[[#This Row],[Synt]],GL[[#Headers],[#Data],[subtotal label]],1,FALSE)),0,(VLOOKUP(TB_curr[[#This Row],[Synt]],GL[[#Headers],[#Data],[subtotal label]],1,FALSE)))</f>
        <v/>
      </c>
      <c r="AF210" s="1063" t="e">
        <f>IF((TB_curr[[#This Row],[Synt]]-TB_curr[[#This Row],[Subtotal Y/N]])=0,0,VLOOKUP(TB_curr[[#This Row],[Synt]],GL[[Account]:[Line]],3,FALSE))</f>
        <v>#VALUE!</v>
      </c>
      <c r="AG210" s="1063" t="e">
        <f>VLOOKUP(TB_curr[[#This Row],[Synt]],GL[[Account]:[B/P]],4,FALSE)</f>
        <v>#N/A</v>
      </c>
      <c r="AH210" s="1066" t="e">
        <v>#VALUE!</v>
      </c>
      <c r="AI210" s="1065" t="e">
        <f>TB_curr[[#This Row],[Synt]]&amp;TB_curr[[#This Row],[Line No. manual corr.]]</f>
        <v>#VALUE!</v>
      </c>
      <c r="AJ210" s="1064">
        <f t="shared" si="16"/>
        <v>0</v>
      </c>
      <c r="AK210" s="1064">
        <f t="shared" si="17"/>
        <v>0</v>
      </c>
      <c r="AL210" s="1064">
        <f t="shared" si="18"/>
        <v>0</v>
      </c>
      <c r="AM210" s="1064">
        <f t="shared" si="19"/>
        <v>0</v>
      </c>
      <c r="AN210" s="1064"/>
      <c r="AO210" s="1064">
        <f>TB_curr[[#This Row],[Closing balance]]+TB_curr[[#This Row],[Rounding]]</f>
        <v>0</v>
      </c>
    </row>
    <row r="211" spans="30:41" x14ac:dyDescent="0.25">
      <c r="AD211" s="1067" t="str">
        <f t="shared" si="15"/>
        <v/>
      </c>
      <c r="AE211" s="1063" t="str">
        <f>IF(ISNA(VLOOKUP(TB_curr[[#This Row],[Synt]],GL[[#Headers],[#Data],[subtotal label]],1,FALSE)),0,(VLOOKUP(TB_curr[[#This Row],[Synt]],GL[[#Headers],[#Data],[subtotal label]],1,FALSE)))</f>
        <v/>
      </c>
      <c r="AF211" s="1063" t="e">
        <f>IF((TB_curr[[#This Row],[Synt]]-TB_curr[[#This Row],[Subtotal Y/N]])=0,0,VLOOKUP(TB_curr[[#This Row],[Synt]],GL[[Account]:[Line]],3,FALSE))</f>
        <v>#VALUE!</v>
      </c>
      <c r="AG211" s="1063" t="e">
        <f>VLOOKUP(TB_curr[[#This Row],[Synt]],GL[[Account]:[B/P]],4,FALSE)</f>
        <v>#N/A</v>
      </c>
      <c r="AH211" s="1066" t="e">
        <v>#VALUE!</v>
      </c>
      <c r="AI211" s="1065" t="e">
        <f>TB_curr[[#This Row],[Synt]]&amp;TB_curr[[#This Row],[Line No. manual corr.]]</f>
        <v>#VALUE!</v>
      </c>
      <c r="AJ211" s="1064">
        <f t="shared" si="16"/>
        <v>0</v>
      </c>
      <c r="AK211" s="1064">
        <f t="shared" si="17"/>
        <v>0</v>
      </c>
      <c r="AL211" s="1064">
        <f t="shared" si="18"/>
        <v>0</v>
      </c>
      <c r="AM211" s="1064">
        <f t="shared" si="19"/>
        <v>0</v>
      </c>
      <c r="AN211" s="1064"/>
      <c r="AO211" s="1064">
        <f>TB_curr[[#This Row],[Closing balance]]+TB_curr[[#This Row],[Rounding]]</f>
        <v>0</v>
      </c>
    </row>
    <row r="212" spans="30:41" x14ac:dyDescent="0.25">
      <c r="AD212" s="1067" t="str">
        <f t="shared" si="15"/>
        <v/>
      </c>
      <c r="AE212" s="1063" t="str">
        <f>IF(ISNA(VLOOKUP(TB_curr[[#This Row],[Synt]],GL[[#Headers],[#Data],[subtotal label]],1,FALSE)),0,(VLOOKUP(TB_curr[[#This Row],[Synt]],GL[[#Headers],[#Data],[subtotal label]],1,FALSE)))</f>
        <v/>
      </c>
      <c r="AF212" s="1063" t="e">
        <f>IF((TB_curr[[#This Row],[Synt]]-TB_curr[[#This Row],[Subtotal Y/N]])=0,0,VLOOKUP(TB_curr[[#This Row],[Synt]],GL[[Account]:[Line]],3,FALSE))</f>
        <v>#VALUE!</v>
      </c>
      <c r="AG212" s="1063" t="e">
        <f>VLOOKUP(TB_curr[[#This Row],[Synt]],GL[[Account]:[B/P]],4,FALSE)</f>
        <v>#N/A</v>
      </c>
      <c r="AH212" s="1066" t="e">
        <v>#VALUE!</v>
      </c>
      <c r="AI212" s="1065" t="e">
        <f>TB_curr[[#This Row],[Synt]]&amp;TB_curr[[#This Row],[Line No. manual corr.]]</f>
        <v>#VALUE!</v>
      </c>
      <c r="AJ212" s="1064">
        <f t="shared" si="16"/>
        <v>0</v>
      </c>
      <c r="AK212" s="1064">
        <f t="shared" si="17"/>
        <v>0</v>
      </c>
      <c r="AL212" s="1064">
        <f t="shared" si="18"/>
        <v>0</v>
      </c>
      <c r="AM212" s="1064">
        <f t="shared" si="19"/>
        <v>0</v>
      </c>
      <c r="AN212" s="1064"/>
      <c r="AO212" s="1064">
        <f>TB_curr[[#This Row],[Closing balance]]+TB_curr[[#This Row],[Rounding]]</f>
        <v>0</v>
      </c>
    </row>
    <row r="213" spans="30:41" x14ac:dyDescent="0.25">
      <c r="AD213" s="1067" t="str">
        <f t="shared" si="15"/>
        <v/>
      </c>
      <c r="AE213" s="1063" t="str">
        <f>IF(ISNA(VLOOKUP(TB_curr[[#This Row],[Synt]],GL[[#Headers],[#Data],[subtotal label]],1,FALSE)),0,(VLOOKUP(TB_curr[[#This Row],[Synt]],GL[[#Headers],[#Data],[subtotal label]],1,FALSE)))</f>
        <v/>
      </c>
      <c r="AF213" s="1063" t="e">
        <f>IF((TB_curr[[#This Row],[Synt]]-TB_curr[[#This Row],[Subtotal Y/N]])=0,0,VLOOKUP(TB_curr[[#This Row],[Synt]],GL[[Account]:[Line]],3,FALSE))</f>
        <v>#VALUE!</v>
      </c>
      <c r="AG213" s="1063" t="e">
        <f>VLOOKUP(TB_curr[[#This Row],[Synt]],GL[[Account]:[B/P]],4,FALSE)</f>
        <v>#N/A</v>
      </c>
      <c r="AH213" s="1066" t="e">
        <v>#VALUE!</v>
      </c>
      <c r="AI213" s="1065" t="e">
        <f>TB_curr[[#This Row],[Synt]]&amp;TB_curr[[#This Row],[Line No. manual corr.]]</f>
        <v>#VALUE!</v>
      </c>
      <c r="AJ213" s="1064">
        <f t="shared" si="16"/>
        <v>0</v>
      </c>
      <c r="AK213" s="1064">
        <f t="shared" si="17"/>
        <v>0</v>
      </c>
      <c r="AL213" s="1064">
        <f t="shared" si="18"/>
        <v>0</v>
      </c>
      <c r="AM213" s="1064">
        <f t="shared" si="19"/>
        <v>0</v>
      </c>
      <c r="AN213" s="1064"/>
      <c r="AO213" s="1064">
        <f>TB_curr[[#This Row],[Closing balance]]+TB_curr[[#This Row],[Rounding]]</f>
        <v>0</v>
      </c>
    </row>
    <row r="214" spans="30:41" x14ac:dyDescent="0.25">
      <c r="AD214" s="1067" t="str">
        <f t="shared" si="15"/>
        <v/>
      </c>
      <c r="AE214" s="1063" t="str">
        <f>IF(ISNA(VLOOKUP(TB_curr[[#This Row],[Synt]],GL[[#Headers],[#Data],[subtotal label]],1,FALSE)),0,(VLOOKUP(TB_curr[[#This Row],[Synt]],GL[[#Headers],[#Data],[subtotal label]],1,FALSE)))</f>
        <v/>
      </c>
      <c r="AF214" s="1063" t="e">
        <f>IF((TB_curr[[#This Row],[Synt]]-TB_curr[[#This Row],[Subtotal Y/N]])=0,0,VLOOKUP(TB_curr[[#This Row],[Synt]],GL[[Account]:[Line]],3,FALSE))</f>
        <v>#VALUE!</v>
      </c>
      <c r="AG214" s="1063" t="e">
        <f>VLOOKUP(TB_curr[[#This Row],[Synt]],GL[[Account]:[B/P]],4,FALSE)</f>
        <v>#N/A</v>
      </c>
      <c r="AH214" s="1066" t="e">
        <v>#VALUE!</v>
      </c>
      <c r="AI214" s="1065" t="e">
        <f>TB_curr[[#This Row],[Synt]]&amp;TB_curr[[#This Row],[Line No. manual corr.]]</f>
        <v>#VALUE!</v>
      </c>
      <c r="AJ214" s="1064">
        <f t="shared" si="16"/>
        <v>0</v>
      </c>
      <c r="AK214" s="1064">
        <f t="shared" si="17"/>
        <v>0</v>
      </c>
      <c r="AL214" s="1064">
        <f t="shared" si="18"/>
        <v>0</v>
      </c>
      <c r="AM214" s="1064">
        <f t="shared" si="19"/>
        <v>0</v>
      </c>
      <c r="AN214" s="1064"/>
      <c r="AO214" s="1064">
        <f>TB_curr[[#This Row],[Closing balance]]+TB_curr[[#This Row],[Rounding]]</f>
        <v>0</v>
      </c>
    </row>
    <row r="215" spans="30:41" x14ac:dyDescent="0.25">
      <c r="AD215" s="1067" t="str">
        <f t="shared" si="15"/>
        <v/>
      </c>
      <c r="AE215" s="1063" t="str">
        <f>IF(ISNA(VLOOKUP(TB_curr[[#This Row],[Synt]],GL[[#Headers],[#Data],[subtotal label]],1,FALSE)),0,(VLOOKUP(TB_curr[[#This Row],[Synt]],GL[[#Headers],[#Data],[subtotal label]],1,FALSE)))</f>
        <v/>
      </c>
      <c r="AF215" s="1063" t="e">
        <f>IF((TB_curr[[#This Row],[Synt]]-TB_curr[[#This Row],[Subtotal Y/N]])=0,0,VLOOKUP(TB_curr[[#This Row],[Synt]],GL[[Account]:[Line]],3,FALSE))</f>
        <v>#VALUE!</v>
      </c>
      <c r="AG215" s="1063" t="e">
        <f>VLOOKUP(TB_curr[[#This Row],[Synt]],GL[[Account]:[B/P]],4,FALSE)</f>
        <v>#N/A</v>
      </c>
      <c r="AH215" s="1066" t="e">
        <v>#VALUE!</v>
      </c>
      <c r="AI215" s="1065" t="e">
        <f>TB_curr[[#This Row],[Synt]]&amp;TB_curr[[#This Row],[Line No. manual corr.]]</f>
        <v>#VALUE!</v>
      </c>
      <c r="AJ215" s="1064">
        <f t="shared" si="16"/>
        <v>0</v>
      </c>
      <c r="AK215" s="1064">
        <f t="shared" si="17"/>
        <v>0</v>
      </c>
      <c r="AL215" s="1064">
        <f t="shared" si="18"/>
        <v>0</v>
      </c>
      <c r="AM215" s="1064">
        <f t="shared" si="19"/>
        <v>0</v>
      </c>
      <c r="AN215" s="1064"/>
      <c r="AO215" s="1064">
        <f>TB_curr[[#This Row],[Closing balance]]+TB_curr[[#This Row],[Rounding]]</f>
        <v>0</v>
      </c>
    </row>
    <row r="216" spans="30:41" x14ac:dyDescent="0.25">
      <c r="AD216" s="1067" t="str">
        <f t="shared" si="15"/>
        <v/>
      </c>
      <c r="AE216" s="1063" t="str">
        <f>IF(ISNA(VLOOKUP(TB_curr[[#This Row],[Synt]],GL[[#Headers],[#Data],[subtotal label]],1,FALSE)),0,(VLOOKUP(TB_curr[[#This Row],[Synt]],GL[[#Headers],[#Data],[subtotal label]],1,FALSE)))</f>
        <v/>
      </c>
      <c r="AF216" s="1063" t="e">
        <f>IF((TB_curr[[#This Row],[Synt]]-TB_curr[[#This Row],[Subtotal Y/N]])=0,0,VLOOKUP(TB_curr[[#This Row],[Synt]],GL[[Account]:[Line]],3,FALSE))</f>
        <v>#VALUE!</v>
      </c>
      <c r="AG216" s="1063" t="e">
        <f>VLOOKUP(TB_curr[[#This Row],[Synt]],GL[[Account]:[B/P]],4,FALSE)</f>
        <v>#N/A</v>
      </c>
      <c r="AH216" s="1066" t="e">
        <v>#VALUE!</v>
      </c>
      <c r="AI216" s="1065" t="e">
        <f>TB_curr[[#This Row],[Synt]]&amp;TB_curr[[#This Row],[Line No. manual corr.]]</f>
        <v>#VALUE!</v>
      </c>
      <c r="AJ216" s="1064">
        <f t="shared" si="16"/>
        <v>0</v>
      </c>
      <c r="AK216" s="1064">
        <f t="shared" si="17"/>
        <v>0</v>
      </c>
      <c r="AL216" s="1064">
        <f t="shared" si="18"/>
        <v>0</v>
      </c>
      <c r="AM216" s="1064">
        <f t="shared" si="19"/>
        <v>0</v>
      </c>
      <c r="AN216" s="1064"/>
      <c r="AO216" s="1064">
        <f>TB_curr[[#This Row],[Closing balance]]+TB_curr[[#This Row],[Rounding]]</f>
        <v>0</v>
      </c>
    </row>
    <row r="217" spans="30:41" x14ac:dyDescent="0.25">
      <c r="AD217" s="1067" t="str">
        <f t="shared" si="15"/>
        <v/>
      </c>
      <c r="AE217" s="1063" t="str">
        <f>IF(ISNA(VLOOKUP(TB_curr[[#This Row],[Synt]],GL[[#Headers],[#Data],[subtotal label]],1,FALSE)),0,(VLOOKUP(TB_curr[[#This Row],[Synt]],GL[[#Headers],[#Data],[subtotal label]],1,FALSE)))</f>
        <v/>
      </c>
      <c r="AF217" s="1063" t="e">
        <f>IF((TB_curr[[#This Row],[Synt]]-TB_curr[[#This Row],[Subtotal Y/N]])=0,0,VLOOKUP(TB_curr[[#This Row],[Synt]],GL[[Account]:[Line]],3,FALSE))</f>
        <v>#VALUE!</v>
      </c>
      <c r="AG217" s="1063" t="e">
        <f>VLOOKUP(TB_curr[[#This Row],[Synt]],GL[[Account]:[B/P]],4,FALSE)</f>
        <v>#N/A</v>
      </c>
      <c r="AH217" s="1066" t="e">
        <v>#VALUE!</v>
      </c>
      <c r="AI217" s="1065" t="e">
        <f>TB_curr[[#This Row],[Synt]]&amp;TB_curr[[#This Row],[Line No. manual corr.]]</f>
        <v>#VALUE!</v>
      </c>
      <c r="AJ217" s="1064">
        <f t="shared" si="16"/>
        <v>0</v>
      </c>
      <c r="AK217" s="1064">
        <f t="shared" si="17"/>
        <v>0</v>
      </c>
      <c r="AL217" s="1064">
        <f t="shared" si="18"/>
        <v>0</v>
      </c>
      <c r="AM217" s="1064">
        <f t="shared" si="19"/>
        <v>0</v>
      </c>
      <c r="AN217" s="1064"/>
      <c r="AO217" s="1064">
        <f>TB_curr[[#This Row],[Closing balance]]+TB_curr[[#This Row],[Rounding]]</f>
        <v>0</v>
      </c>
    </row>
    <row r="218" spans="30:41" x14ac:dyDescent="0.25">
      <c r="AD218" s="1067" t="str">
        <f t="shared" si="15"/>
        <v/>
      </c>
      <c r="AE218" s="1063" t="str">
        <f>IF(ISNA(VLOOKUP(TB_curr[[#This Row],[Synt]],GL[[#Headers],[#Data],[subtotal label]],1,FALSE)),0,(VLOOKUP(TB_curr[[#This Row],[Synt]],GL[[#Headers],[#Data],[subtotal label]],1,FALSE)))</f>
        <v/>
      </c>
      <c r="AF218" s="1063" t="e">
        <f>IF((TB_curr[[#This Row],[Synt]]-TB_curr[[#This Row],[Subtotal Y/N]])=0,0,VLOOKUP(TB_curr[[#This Row],[Synt]],GL[[Account]:[Line]],3,FALSE))</f>
        <v>#VALUE!</v>
      </c>
      <c r="AG218" s="1063" t="e">
        <f>VLOOKUP(TB_curr[[#This Row],[Synt]],GL[[Account]:[B/P]],4,FALSE)</f>
        <v>#N/A</v>
      </c>
      <c r="AH218" s="1066" t="e">
        <v>#VALUE!</v>
      </c>
      <c r="AI218" s="1065" t="e">
        <f>TB_curr[[#This Row],[Synt]]&amp;TB_curr[[#This Row],[Line No. manual corr.]]</f>
        <v>#VALUE!</v>
      </c>
      <c r="AJ218" s="1064">
        <f t="shared" si="16"/>
        <v>0</v>
      </c>
      <c r="AK218" s="1064">
        <f t="shared" si="17"/>
        <v>0</v>
      </c>
      <c r="AL218" s="1064">
        <f t="shared" si="18"/>
        <v>0</v>
      </c>
      <c r="AM218" s="1064">
        <f t="shared" si="19"/>
        <v>0</v>
      </c>
      <c r="AN218" s="1064"/>
      <c r="AO218" s="1064">
        <f>TB_curr[[#This Row],[Closing balance]]+TB_curr[[#This Row],[Rounding]]</f>
        <v>0</v>
      </c>
    </row>
    <row r="219" spans="30:41" x14ac:dyDescent="0.25">
      <c r="AD219" s="1067" t="str">
        <f t="shared" si="15"/>
        <v/>
      </c>
      <c r="AE219" s="1063" t="str">
        <f>IF(ISNA(VLOOKUP(TB_curr[[#This Row],[Synt]],GL[[#Headers],[#Data],[subtotal label]],1,FALSE)),0,(VLOOKUP(TB_curr[[#This Row],[Synt]],GL[[#Headers],[#Data],[subtotal label]],1,FALSE)))</f>
        <v/>
      </c>
      <c r="AF219" s="1063" t="e">
        <f>IF((TB_curr[[#This Row],[Synt]]-TB_curr[[#This Row],[Subtotal Y/N]])=0,0,VLOOKUP(TB_curr[[#This Row],[Synt]],GL[[Account]:[Line]],3,FALSE))</f>
        <v>#VALUE!</v>
      </c>
      <c r="AG219" s="1063" t="e">
        <f>VLOOKUP(TB_curr[[#This Row],[Synt]],GL[[Account]:[B/P]],4,FALSE)</f>
        <v>#N/A</v>
      </c>
      <c r="AH219" s="1066" t="e">
        <v>#VALUE!</v>
      </c>
      <c r="AI219" s="1065" t="e">
        <f>TB_curr[[#This Row],[Synt]]&amp;TB_curr[[#This Row],[Line No. manual corr.]]</f>
        <v>#VALUE!</v>
      </c>
      <c r="AJ219" s="1064">
        <f t="shared" si="16"/>
        <v>0</v>
      </c>
      <c r="AK219" s="1064">
        <f t="shared" si="17"/>
        <v>0</v>
      </c>
      <c r="AL219" s="1064">
        <f t="shared" si="18"/>
        <v>0</v>
      </c>
      <c r="AM219" s="1064">
        <f t="shared" si="19"/>
        <v>0</v>
      </c>
      <c r="AN219" s="1064"/>
      <c r="AO219" s="1064">
        <f>TB_curr[[#This Row],[Closing balance]]+TB_curr[[#This Row],[Rounding]]</f>
        <v>0</v>
      </c>
    </row>
    <row r="220" spans="30:41" x14ac:dyDescent="0.25">
      <c r="AD220" s="1067" t="str">
        <f t="shared" si="15"/>
        <v/>
      </c>
      <c r="AE220" s="1063" t="str">
        <f>IF(ISNA(VLOOKUP(TB_curr[[#This Row],[Synt]],GL[[#Headers],[#Data],[subtotal label]],1,FALSE)),0,(VLOOKUP(TB_curr[[#This Row],[Synt]],GL[[#Headers],[#Data],[subtotal label]],1,FALSE)))</f>
        <v/>
      </c>
      <c r="AF220" s="1063" t="e">
        <f>IF((TB_curr[[#This Row],[Synt]]-TB_curr[[#This Row],[Subtotal Y/N]])=0,0,VLOOKUP(TB_curr[[#This Row],[Synt]],GL[[Account]:[Line]],3,FALSE))</f>
        <v>#VALUE!</v>
      </c>
      <c r="AG220" s="1063" t="e">
        <f>VLOOKUP(TB_curr[[#This Row],[Synt]],GL[[Account]:[B/P]],4,FALSE)</f>
        <v>#N/A</v>
      </c>
      <c r="AH220" s="1066" t="e">
        <v>#VALUE!</v>
      </c>
      <c r="AI220" s="1065" t="e">
        <f>TB_curr[[#This Row],[Synt]]&amp;TB_curr[[#This Row],[Line No. manual corr.]]</f>
        <v>#VALUE!</v>
      </c>
      <c r="AJ220" s="1064">
        <f t="shared" si="16"/>
        <v>0</v>
      </c>
      <c r="AK220" s="1064">
        <f t="shared" si="17"/>
        <v>0</v>
      </c>
      <c r="AL220" s="1064">
        <f t="shared" si="18"/>
        <v>0</v>
      </c>
      <c r="AM220" s="1064">
        <f t="shared" si="19"/>
        <v>0</v>
      </c>
      <c r="AN220" s="1064"/>
      <c r="AO220" s="1064">
        <f>TB_curr[[#This Row],[Closing balance]]+TB_curr[[#This Row],[Rounding]]</f>
        <v>0</v>
      </c>
    </row>
    <row r="221" spans="30:41" x14ac:dyDescent="0.25">
      <c r="AD221" s="1067" t="str">
        <f t="shared" si="15"/>
        <v/>
      </c>
      <c r="AE221" s="1063" t="str">
        <f>IF(ISNA(VLOOKUP(TB_curr[[#This Row],[Synt]],GL[[#Headers],[#Data],[subtotal label]],1,FALSE)),0,(VLOOKUP(TB_curr[[#This Row],[Synt]],GL[[#Headers],[#Data],[subtotal label]],1,FALSE)))</f>
        <v/>
      </c>
      <c r="AF221" s="1063" t="e">
        <f>IF((TB_curr[[#This Row],[Synt]]-TB_curr[[#This Row],[Subtotal Y/N]])=0,0,VLOOKUP(TB_curr[[#This Row],[Synt]],GL[[Account]:[Line]],3,FALSE))</f>
        <v>#VALUE!</v>
      </c>
      <c r="AG221" s="1063" t="e">
        <f>VLOOKUP(TB_curr[[#This Row],[Synt]],GL[[Account]:[B/P]],4,FALSE)</f>
        <v>#N/A</v>
      </c>
      <c r="AH221" s="1066" t="e">
        <v>#VALUE!</v>
      </c>
      <c r="AI221" s="1065" t="e">
        <f>TB_curr[[#This Row],[Synt]]&amp;TB_curr[[#This Row],[Line No. manual corr.]]</f>
        <v>#VALUE!</v>
      </c>
      <c r="AJ221" s="1064">
        <f t="shared" si="16"/>
        <v>0</v>
      </c>
      <c r="AK221" s="1064">
        <f t="shared" si="17"/>
        <v>0</v>
      </c>
      <c r="AL221" s="1064">
        <f t="shared" si="18"/>
        <v>0</v>
      </c>
      <c r="AM221" s="1064">
        <f t="shared" si="19"/>
        <v>0</v>
      </c>
      <c r="AN221" s="1064"/>
      <c r="AO221" s="1064">
        <f>TB_curr[[#This Row],[Closing balance]]+TB_curr[[#This Row],[Rounding]]</f>
        <v>0</v>
      </c>
    </row>
    <row r="222" spans="30:41" x14ac:dyDescent="0.25">
      <c r="AD222" s="1067" t="str">
        <f t="shared" si="15"/>
        <v/>
      </c>
      <c r="AE222" s="1063" t="str">
        <f>IF(ISNA(VLOOKUP(TB_curr[[#This Row],[Synt]],GL[[#Headers],[#Data],[subtotal label]],1,FALSE)),0,(VLOOKUP(TB_curr[[#This Row],[Synt]],GL[[#Headers],[#Data],[subtotal label]],1,FALSE)))</f>
        <v/>
      </c>
      <c r="AF222" s="1063" t="e">
        <f>IF((TB_curr[[#This Row],[Synt]]-TB_curr[[#This Row],[Subtotal Y/N]])=0,0,VLOOKUP(TB_curr[[#This Row],[Synt]],GL[[Account]:[Line]],3,FALSE))</f>
        <v>#VALUE!</v>
      </c>
      <c r="AG222" s="1063" t="e">
        <f>VLOOKUP(TB_curr[[#This Row],[Synt]],GL[[Account]:[B/P]],4,FALSE)</f>
        <v>#N/A</v>
      </c>
      <c r="AH222" s="1066" t="e">
        <v>#VALUE!</v>
      </c>
      <c r="AI222" s="1065" t="e">
        <f>TB_curr[[#This Row],[Synt]]&amp;TB_curr[[#This Row],[Line No. manual corr.]]</f>
        <v>#VALUE!</v>
      </c>
      <c r="AJ222" s="1064">
        <f t="shared" si="16"/>
        <v>0</v>
      </c>
      <c r="AK222" s="1064">
        <f t="shared" si="17"/>
        <v>0</v>
      </c>
      <c r="AL222" s="1064">
        <f t="shared" si="18"/>
        <v>0</v>
      </c>
      <c r="AM222" s="1064">
        <f t="shared" si="19"/>
        <v>0</v>
      </c>
      <c r="AN222" s="1064"/>
      <c r="AO222" s="1064">
        <f>TB_curr[[#This Row],[Closing balance]]+TB_curr[[#This Row],[Rounding]]</f>
        <v>0</v>
      </c>
    </row>
    <row r="223" spans="30:41" x14ac:dyDescent="0.25">
      <c r="AD223" s="1067" t="str">
        <f t="shared" si="15"/>
        <v/>
      </c>
      <c r="AE223" s="1063" t="str">
        <f>IF(ISNA(VLOOKUP(TB_curr[[#This Row],[Synt]],GL[[#Headers],[#Data],[subtotal label]],1,FALSE)),0,(VLOOKUP(TB_curr[[#This Row],[Synt]],GL[[#Headers],[#Data],[subtotal label]],1,FALSE)))</f>
        <v/>
      </c>
      <c r="AF223" s="1063" t="e">
        <f>IF((TB_curr[[#This Row],[Synt]]-TB_curr[[#This Row],[Subtotal Y/N]])=0,0,VLOOKUP(TB_curr[[#This Row],[Synt]],GL[[Account]:[Line]],3,FALSE))</f>
        <v>#VALUE!</v>
      </c>
      <c r="AG223" s="1063" t="e">
        <f>VLOOKUP(TB_curr[[#This Row],[Synt]],GL[[Account]:[B/P]],4,FALSE)</f>
        <v>#N/A</v>
      </c>
      <c r="AH223" s="1066" t="e">
        <v>#VALUE!</v>
      </c>
      <c r="AI223" s="1065" t="e">
        <f>TB_curr[[#This Row],[Synt]]&amp;TB_curr[[#This Row],[Line No. manual corr.]]</f>
        <v>#VALUE!</v>
      </c>
      <c r="AJ223" s="1064">
        <f t="shared" si="16"/>
        <v>0</v>
      </c>
      <c r="AK223" s="1064">
        <f t="shared" si="17"/>
        <v>0</v>
      </c>
      <c r="AL223" s="1064">
        <f t="shared" si="18"/>
        <v>0</v>
      </c>
      <c r="AM223" s="1064">
        <f t="shared" si="19"/>
        <v>0</v>
      </c>
      <c r="AN223" s="1064"/>
      <c r="AO223" s="1064">
        <f>TB_curr[[#This Row],[Closing balance]]+TB_curr[[#This Row],[Rounding]]</f>
        <v>0</v>
      </c>
    </row>
    <row r="224" spans="30:41" x14ac:dyDescent="0.25">
      <c r="AD224" s="1067" t="str">
        <f t="shared" si="15"/>
        <v/>
      </c>
      <c r="AE224" s="1063" t="str">
        <f>IF(ISNA(VLOOKUP(TB_curr[[#This Row],[Synt]],GL[[#Headers],[#Data],[subtotal label]],1,FALSE)),0,(VLOOKUP(TB_curr[[#This Row],[Synt]],GL[[#Headers],[#Data],[subtotal label]],1,FALSE)))</f>
        <v/>
      </c>
      <c r="AF224" s="1063" t="e">
        <f>IF((TB_curr[[#This Row],[Synt]]-TB_curr[[#This Row],[Subtotal Y/N]])=0,0,VLOOKUP(TB_curr[[#This Row],[Synt]],GL[[Account]:[Line]],3,FALSE))</f>
        <v>#VALUE!</v>
      </c>
      <c r="AG224" s="1063" t="e">
        <f>VLOOKUP(TB_curr[[#This Row],[Synt]],GL[[Account]:[B/P]],4,FALSE)</f>
        <v>#N/A</v>
      </c>
      <c r="AH224" s="1066" t="e">
        <v>#VALUE!</v>
      </c>
      <c r="AI224" s="1065" t="e">
        <f>TB_curr[[#This Row],[Synt]]&amp;TB_curr[[#This Row],[Line No. manual corr.]]</f>
        <v>#VALUE!</v>
      </c>
      <c r="AJ224" s="1064">
        <f t="shared" si="16"/>
        <v>0</v>
      </c>
      <c r="AK224" s="1064">
        <f t="shared" si="17"/>
        <v>0</v>
      </c>
      <c r="AL224" s="1064">
        <f t="shared" si="18"/>
        <v>0</v>
      </c>
      <c r="AM224" s="1064">
        <f t="shared" si="19"/>
        <v>0</v>
      </c>
      <c r="AN224" s="1064"/>
      <c r="AO224" s="1064">
        <f>TB_curr[[#This Row],[Closing balance]]+TB_curr[[#This Row],[Rounding]]</f>
        <v>0</v>
      </c>
    </row>
    <row r="225" spans="30:41" x14ac:dyDescent="0.25">
      <c r="AD225" s="1067" t="str">
        <f t="shared" si="15"/>
        <v/>
      </c>
      <c r="AE225" s="1063" t="str">
        <f>IF(ISNA(VLOOKUP(TB_curr[[#This Row],[Synt]],GL[[#Headers],[#Data],[subtotal label]],1,FALSE)),0,(VLOOKUP(TB_curr[[#This Row],[Synt]],GL[[#Headers],[#Data],[subtotal label]],1,FALSE)))</f>
        <v/>
      </c>
      <c r="AF225" s="1063" t="e">
        <f>IF((TB_curr[[#This Row],[Synt]]-TB_curr[[#This Row],[Subtotal Y/N]])=0,0,VLOOKUP(TB_curr[[#This Row],[Synt]],GL[[Account]:[Line]],3,FALSE))</f>
        <v>#VALUE!</v>
      </c>
      <c r="AG225" s="1063" t="e">
        <f>VLOOKUP(TB_curr[[#This Row],[Synt]],GL[[Account]:[B/P]],4,FALSE)</f>
        <v>#N/A</v>
      </c>
      <c r="AH225" s="1066" t="e">
        <v>#VALUE!</v>
      </c>
      <c r="AI225" s="1065" t="e">
        <f>TB_curr[[#This Row],[Synt]]&amp;TB_curr[[#This Row],[Line No. manual corr.]]</f>
        <v>#VALUE!</v>
      </c>
      <c r="AJ225" s="1064">
        <f t="shared" si="16"/>
        <v>0</v>
      </c>
      <c r="AK225" s="1064">
        <f t="shared" si="17"/>
        <v>0</v>
      </c>
      <c r="AL225" s="1064">
        <f t="shared" si="18"/>
        <v>0</v>
      </c>
      <c r="AM225" s="1064">
        <f t="shared" si="19"/>
        <v>0</v>
      </c>
      <c r="AN225" s="1064"/>
      <c r="AO225" s="1064">
        <f>TB_curr[[#This Row],[Closing balance]]+TB_curr[[#This Row],[Rounding]]</f>
        <v>0</v>
      </c>
    </row>
    <row r="226" spans="30:41" x14ac:dyDescent="0.25">
      <c r="AD226" s="1067" t="str">
        <f t="shared" si="15"/>
        <v/>
      </c>
      <c r="AE226" s="1063" t="str">
        <f>IF(ISNA(VLOOKUP(TB_curr[[#This Row],[Synt]],GL[[#Headers],[#Data],[subtotal label]],1,FALSE)),0,(VLOOKUP(TB_curr[[#This Row],[Synt]],GL[[#Headers],[#Data],[subtotal label]],1,FALSE)))</f>
        <v/>
      </c>
      <c r="AF226" s="1063" t="e">
        <f>IF((TB_curr[[#This Row],[Synt]]-TB_curr[[#This Row],[Subtotal Y/N]])=0,0,VLOOKUP(TB_curr[[#This Row],[Synt]],GL[[Account]:[Line]],3,FALSE))</f>
        <v>#VALUE!</v>
      </c>
      <c r="AG226" s="1063" t="e">
        <f>VLOOKUP(TB_curr[[#This Row],[Synt]],GL[[Account]:[B/P]],4,FALSE)</f>
        <v>#N/A</v>
      </c>
      <c r="AH226" s="1066" t="e">
        <v>#VALUE!</v>
      </c>
      <c r="AI226" s="1065" t="e">
        <f>TB_curr[[#This Row],[Synt]]&amp;TB_curr[[#This Row],[Line No. manual corr.]]</f>
        <v>#VALUE!</v>
      </c>
      <c r="AJ226" s="1064">
        <f t="shared" si="16"/>
        <v>0</v>
      </c>
      <c r="AK226" s="1064">
        <f t="shared" si="17"/>
        <v>0</v>
      </c>
      <c r="AL226" s="1064">
        <f t="shared" si="18"/>
        <v>0</v>
      </c>
      <c r="AM226" s="1064">
        <f t="shared" si="19"/>
        <v>0</v>
      </c>
      <c r="AN226" s="1064"/>
      <c r="AO226" s="1064">
        <f>TB_curr[[#This Row],[Closing balance]]+TB_curr[[#This Row],[Rounding]]</f>
        <v>0</v>
      </c>
    </row>
    <row r="227" spans="30:41" x14ac:dyDescent="0.25">
      <c r="AD227" s="1067" t="str">
        <f t="shared" si="15"/>
        <v/>
      </c>
      <c r="AE227" s="1063" t="str">
        <f>IF(ISNA(VLOOKUP(TB_curr[[#This Row],[Synt]],GL[[#Headers],[#Data],[subtotal label]],1,FALSE)),0,(VLOOKUP(TB_curr[[#This Row],[Synt]],GL[[#Headers],[#Data],[subtotal label]],1,FALSE)))</f>
        <v/>
      </c>
      <c r="AF227" s="1063" t="e">
        <f>IF((TB_curr[[#This Row],[Synt]]-TB_curr[[#This Row],[Subtotal Y/N]])=0,0,VLOOKUP(TB_curr[[#This Row],[Synt]],GL[[Account]:[Line]],3,FALSE))</f>
        <v>#VALUE!</v>
      </c>
      <c r="AG227" s="1063" t="e">
        <f>VLOOKUP(TB_curr[[#This Row],[Synt]],GL[[Account]:[B/P]],4,FALSE)</f>
        <v>#N/A</v>
      </c>
      <c r="AH227" s="1066" t="e">
        <v>#VALUE!</v>
      </c>
      <c r="AI227" s="1065" t="e">
        <f>TB_curr[[#This Row],[Synt]]&amp;TB_curr[[#This Row],[Line No. manual corr.]]</f>
        <v>#VALUE!</v>
      </c>
      <c r="AJ227" s="1064">
        <f t="shared" si="16"/>
        <v>0</v>
      </c>
      <c r="AK227" s="1064">
        <f t="shared" si="17"/>
        <v>0</v>
      </c>
      <c r="AL227" s="1064">
        <f t="shared" si="18"/>
        <v>0</v>
      </c>
      <c r="AM227" s="1064">
        <f t="shared" si="19"/>
        <v>0</v>
      </c>
      <c r="AN227" s="1064"/>
      <c r="AO227" s="1064">
        <f>TB_curr[[#This Row],[Closing balance]]+TB_curr[[#This Row],[Rounding]]</f>
        <v>0</v>
      </c>
    </row>
    <row r="228" spans="30:41" x14ac:dyDescent="0.25">
      <c r="AD228" s="1067" t="str">
        <f t="shared" si="15"/>
        <v/>
      </c>
      <c r="AE228" s="1063" t="str">
        <f>IF(ISNA(VLOOKUP(TB_curr[[#This Row],[Synt]],GL[[#Headers],[#Data],[subtotal label]],1,FALSE)),0,(VLOOKUP(TB_curr[[#This Row],[Synt]],GL[[#Headers],[#Data],[subtotal label]],1,FALSE)))</f>
        <v/>
      </c>
      <c r="AF228" s="1063" t="e">
        <f>IF((TB_curr[[#This Row],[Synt]]-TB_curr[[#This Row],[Subtotal Y/N]])=0,0,VLOOKUP(TB_curr[[#This Row],[Synt]],GL[[Account]:[Line]],3,FALSE))</f>
        <v>#VALUE!</v>
      </c>
      <c r="AG228" s="1063" t="e">
        <f>VLOOKUP(TB_curr[[#This Row],[Synt]],GL[[Account]:[B/P]],4,FALSE)</f>
        <v>#N/A</v>
      </c>
      <c r="AH228" s="1066" t="e">
        <v>#VALUE!</v>
      </c>
      <c r="AI228" s="1065" t="e">
        <f>TB_curr[[#This Row],[Synt]]&amp;TB_curr[[#This Row],[Line No. manual corr.]]</f>
        <v>#VALUE!</v>
      </c>
      <c r="AJ228" s="1064">
        <f t="shared" si="16"/>
        <v>0</v>
      </c>
      <c r="AK228" s="1064">
        <f t="shared" si="17"/>
        <v>0</v>
      </c>
      <c r="AL228" s="1064">
        <f t="shared" si="18"/>
        <v>0</v>
      </c>
      <c r="AM228" s="1064">
        <f t="shared" si="19"/>
        <v>0</v>
      </c>
      <c r="AN228" s="1064"/>
      <c r="AO228" s="1064">
        <f>TB_curr[[#This Row],[Closing balance]]+TB_curr[[#This Row],[Rounding]]</f>
        <v>0</v>
      </c>
    </row>
    <row r="229" spans="30:41" x14ac:dyDescent="0.25">
      <c r="AD229" s="1067" t="str">
        <f t="shared" si="15"/>
        <v/>
      </c>
      <c r="AE229" s="1063" t="str">
        <f>IF(ISNA(VLOOKUP(TB_curr[[#This Row],[Synt]],GL[[#Headers],[#Data],[subtotal label]],1,FALSE)),0,(VLOOKUP(TB_curr[[#This Row],[Synt]],GL[[#Headers],[#Data],[subtotal label]],1,FALSE)))</f>
        <v/>
      </c>
      <c r="AF229" s="1063" t="e">
        <f>IF((TB_curr[[#This Row],[Synt]]-TB_curr[[#This Row],[Subtotal Y/N]])=0,0,VLOOKUP(TB_curr[[#This Row],[Synt]],GL[[Account]:[Line]],3,FALSE))</f>
        <v>#VALUE!</v>
      </c>
      <c r="AG229" s="1063" t="e">
        <f>VLOOKUP(TB_curr[[#This Row],[Synt]],GL[[Account]:[B/P]],4,FALSE)</f>
        <v>#N/A</v>
      </c>
      <c r="AH229" s="1066" t="e">
        <v>#VALUE!</v>
      </c>
      <c r="AI229" s="1065" t="e">
        <f>TB_curr[[#This Row],[Synt]]&amp;TB_curr[[#This Row],[Line No. manual corr.]]</f>
        <v>#VALUE!</v>
      </c>
      <c r="AJ229" s="1064">
        <f t="shared" si="16"/>
        <v>0</v>
      </c>
      <c r="AK229" s="1064">
        <f t="shared" si="17"/>
        <v>0</v>
      </c>
      <c r="AL229" s="1064">
        <f t="shared" si="18"/>
        <v>0</v>
      </c>
      <c r="AM229" s="1064">
        <f t="shared" si="19"/>
        <v>0</v>
      </c>
      <c r="AN229" s="1064"/>
      <c r="AO229" s="1064">
        <f>TB_curr[[#This Row],[Closing balance]]+TB_curr[[#This Row],[Rounding]]</f>
        <v>0</v>
      </c>
    </row>
    <row r="230" spans="30:41" x14ac:dyDescent="0.25">
      <c r="AD230" s="1067" t="str">
        <f t="shared" si="15"/>
        <v/>
      </c>
      <c r="AE230" s="1063" t="str">
        <f>IF(ISNA(VLOOKUP(TB_curr[[#This Row],[Synt]],GL[[#Headers],[#Data],[subtotal label]],1,FALSE)),0,(VLOOKUP(TB_curr[[#This Row],[Synt]],GL[[#Headers],[#Data],[subtotal label]],1,FALSE)))</f>
        <v/>
      </c>
      <c r="AF230" s="1063" t="e">
        <f>IF((TB_curr[[#This Row],[Synt]]-TB_curr[[#This Row],[Subtotal Y/N]])=0,0,VLOOKUP(TB_curr[[#This Row],[Synt]],GL[[Account]:[Line]],3,FALSE))</f>
        <v>#VALUE!</v>
      </c>
      <c r="AG230" s="1063" t="e">
        <f>VLOOKUP(TB_curr[[#This Row],[Synt]],GL[[Account]:[B/P]],4,FALSE)</f>
        <v>#N/A</v>
      </c>
      <c r="AH230" s="1066" t="e">
        <v>#VALUE!</v>
      </c>
      <c r="AI230" s="1065" t="e">
        <f>TB_curr[[#This Row],[Synt]]&amp;TB_curr[[#This Row],[Line No. manual corr.]]</f>
        <v>#VALUE!</v>
      </c>
      <c r="AJ230" s="1064">
        <f t="shared" si="16"/>
        <v>0</v>
      </c>
      <c r="AK230" s="1064">
        <f t="shared" si="17"/>
        <v>0</v>
      </c>
      <c r="AL230" s="1064">
        <f t="shared" si="18"/>
        <v>0</v>
      </c>
      <c r="AM230" s="1064">
        <f t="shared" si="19"/>
        <v>0</v>
      </c>
      <c r="AN230" s="1064"/>
      <c r="AO230" s="1064">
        <f>TB_curr[[#This Row],[Closing balance]]+TB_curr[[#This Row],[Rounding]]</f>
        <v>0</v>
      </c>
    </row>
    <row r="231" spans="30:41" x14ac:dyDescent="0.25">
      <c r="AD231" s="1067" t="str">
        <f t="shared" si="15"/>
        <v/>
      </c>
      <c r="AE231" s="1063" t="str">
        <f>IF(ISNA(VLOOKUP(TB_curr[[#This Row],[Synt]],GL[[#Headers],[#Data],[subtotal label]],1,FALSE)),0,(VLOOKUP(TB_curr[[#This Row],[Synt]],GL[[#Headers],[#Data],[subtotal label]],1,FALSE)))</f>
        <v/>
      </c>
      <c r="AF231" s="1063" t="e">
        <f>IF((TB_curr[[#This Row],[Synt]]-TB_curr[[#This Row],[Subtotal Y/N]])=0,0,VLOOKUP(TB_curr[[#This Row],[Synt]],GL[[Account]:[Line]],3,FALSE))</f>
        <v>#VALUE!</v>
      </c>
      <c r="AG231" s="1063" t="e">
        <f>VLOOKUP(TB_curr[[#This Row],[Synt]],GL[[Account]:[B/P]],4,FALSE)</f>
        <v>#N/A</v>
      </c>
      <c r="AH231" s="1066" t="e">
        <v>#VALUE!</v>
      </c>
      <c r="AI231" s="1065" t="e">
        <f>TB_curr[[#This Row],[Synt]]&amp;TB_curr[[#This Row],[Line No. manual corr.]]</f>
        <v>#VALUE!</v>
      </c>
      <c r="AJ231" s="1064">
        <f t="shared" si="16"/>
        <v>0</v>
      </c>
      <c r="AK231" s="1064">
        <f t="shared" si="17"/>
        <v>0</v>
      </c>
      <c r="AL231" s="1064">
        <f t="shared" si="18"/>
        <v>0</v>
      </c>
      <c r="AM231" s="1064">
        <f t="shared" si="19"/>
        <v>0</v>
      </c>
      <c r="AN231" s="1064"/>
      <c r="AO231" s="1064">
        <f>TB_curr[[#This Row],[Closing balance]]+TB_curr[[#This Row],[Rounding]]</f>
        <v>0</v>
      </c>
    </row>
    <row r="232" spans="30:41" x14ac:dyDescent="0.25">
      <c r="AD232" s="1067" t="str">
        <f t="shared" si="15"/>
        <v/>
      </c>
      <c r="AE232" s="1063" t="str">
        <f>IF(ISNA(VLOOKUP(TB_curr[[#This Row],[Synt]],GL[[#Headers],[#Data],[subtotal label]],1,FALSE)),0,(VLOOKUP(TB_curr[[#This Row],[Synt]],GL[[#Headers],[#Data],[subtotal label]],1,FALSE)))</f>
        <v/>
      </c>
      <c r="AF232" s="1063" t="e">
        <f>IF((TB_curr[[#This Row],[Synt]]-TB_curr[[#This Row],[Subtotal Y/N]])=0,0,VLOOKUP(TB_curr[[#This Row],[Synt]],GL[[Account]:[Line]],3,FALSE))</f>
        <v>#VALUE!</v>
      </c>
      <c r="AG232" s="1063" t="e">
        <f>VLOOKUP(TB_curr[[#This Row],[Synt]],GL[[Account]:[B/P]],4,FALSE)</f>
        <v>#N/A</v>
      </c>
      <c r="AH232" s="1066" t="e">
        <v>#VALUE!</v>
      </c>
      <c r="AI232" s="1065" t="e">
        <f>TB_curr[[#This Row],[Synt]]&amp;TB_curr[[#This Row],[Line No. manual corr.]]</f>
        <v>#VALUE!</v>
      </c>
      <c r="AJ232" s="1064">
        <f t="shared" si="16"/>
        <v>0</v>
      </c>
      <c r="AK232" s="1064">
        <f t="shared" si="17"/>
        <v>0</v>
      </c>
      <c r="AL232" s="1064">
        <f t="shared" si="18"/>
        <v>0</v>
      </c>
      <c r="AM232" s="1064">
        <f t="shared" si="19"/>
        <v>0</v>
      </c>
      <c r="AN232" s="1064"/>
      <c r="AO232" s="1064">
        <f>TB_curr[[#This Row],[Closing balance]]+TB_curr[[#This Row],[Rounding]]</f>
        <v>0</v>
      </c>
    </row>
    <row r="233" spans="30:41" x14ac:dyDescent="0.25">
      <c r="AD233" s="1067" t="str">
        <f t="shared" si="15"/>
        <v/>
      </c>
      <c r="AE233" s="1063" t="str">
        <f>IF(ISNA(VLOOKUP(TB_curr[[#This Row],[Synt]],GL[[#Headers],[#Data],[subtotal label]],1,FALSE)),0,(VLOOKUP(TB_curr[[#This Row],[Synt]],GL[[#Headers],[#Data],[subtotal label]],1,FALSE)))</f>
        <v/>
      </c>
      <c r="AF233" s="1063" t="e">
        <f>IF((TB_curr[[#This Row],[Synt]]-TB_curr[[#This Row],[Subtotal Y/N]])=0,0,VLOOKUP(TB_curr[[#This Row],[Synt]],GL[[Account]:[Line]],3,FALSE))</f>
        <v>#VALUE!</v>
      </c>
      <c r="AG233" s="1063" t="e">
        <f>VLOOKUP(TB_curr[[#This Row],[Synt]],GL[[Account]:[B/P]],4,FALSE)</f>
        <v>#N/A</v>
      </c>
      <c r="AH233" s="1066" t="e">
        <v>#VALUE!</v>
      </c>
      <c r="AI233" s="1065" t="e">
        <f>TB_curr[[#This Row],[Synt]]&amp;TB_curr[[#This Row],[Line No. manual corr.]]</f>
        <v>#VALUE!</v>
      </c>
      <c r="AJ233" s="1064">
        <f t="shared" si="16"/>
        <v>0</v>
      </c>
      <c r="AK233" s="1064">
        <f t="shared" si="17"/>
        <v>0</v>
      </c>
      <c r="AL233" s="1064">
        <f t="shared" si="18"/>
        <v>0</v>
      </c>
      <c r="AM233" s="1064">
        <f t="shared" si="19"/>
        <v>0</v>
      </c>
      <c r="AN233" s="1064"/>
      <c r="AO233" s="1064">
        <f>TB_curr[[#This Row],[Closing balance]]+TB_curr[[#This Row],[Rounding]]</f>
        <v>0</v>
      </c>
    </row>
    <row r="234" spans="30:41" x14ac:dyDescent="0.25">
      <c r="AD234" s="1067" t="str">
        <f t="shared" si="15"/>
        <v/>
      </c>
      <c r="AE234" s="1063" t="str">
        <f>IF(ISNA(VLOOKUP(TB_curr[[#This Row],[Synt]],GL[[#Headers],[#Data],[subtotal label]],1,FALSE)),0,(VLOOKUP(TB_curr[[#This Row],[Synt]],GL[[#Headers],[#Data],[subtotal label]],1,FALSE)))</f>
        <v/>
      </c>
      <c r="AF234" s="1063" t="e">
        <f>IF((TB_curr[[#This Row],[Synt]]-TB_curr[[#This Row],[Subtotal Y/N]])=0,0,VLOOKUP(TB_curr[[#This Row],[Synt]],GL[[Account]:[Line]],3,FALSE))</f>
        <v>#VALUE!</v>
      </c>
      <c r="AG234" s="1063" t="e">
        <f>VLOOKUP(TB_curr[[#This Row],[Synt]],GL[[Account]:[B/P]],4,FALSE)</f>
        <v>#N/A</v>
      </c>
      <c r="AH234" s="1066" t="e">
        <v>#VALUE!</v>
      </c>
      <c r="AI234" s="1065" t="e">
        <f>TB_curr[[#This Row],[Synt]]&amp;TB_curr[[#This Row],[Line No. manual corr.]]</f>
        <v>#VALUE!</v>
      </c>
      <c r="AJ234" s="1064">
        <f t="shared" si="16"/>
        <v>0</v>
      </c>
      <c r="AK234" s="1064">
        <f t="shared" si="17"/>
        <v>0</v>
      </c>
      <c r="AL234" s="1064">
        <f t="shared" si="18"/>
        <v>0</v>
      </c>
      <c r="AM234" s="1064">
        <f t="shared" si="19"/>
        <v>0</v>
      </c>
      <c r="AN234" s="1064"/>
      <c r="AO234" s="1064">
        <f>TB_curr[[#This Row],[Closing balance]]+TB_curr[[#This Row],[Rounding]]</f>
        <v>0</v>
      </c>
    </row>
    <row r="235" spans="30:41" x14ac:dyDescent="0.25">
      <c r="AD235" s="1067" t="str">
        <f t="shared" si="15"/>
        <v/>
      </c>
      <c r="AE235" s="1063" t="str">
        <f>IF(ISNA(VLOOKUP(TB_curr[[#This Row],[Synt]],GL[[#Headers],[#Data],[subtotal label]],1,FALSE)),0,(VLOOKUP(TB_curr[[#This Row],[Synt]],GL[[#Headers],[#Data],[subtotal label]],1,FALSE)))</f>
        <v/>
      </c>
      <c r="AF235" s="1063" t="e">
        <f>IF((TB_curr[[#This Row],[Synt]]-TB_curr[[#This Row],[Subtotal Y/N]])=0,0,VLOOKUP(TB_curr[[#This Row],[Synt]],GL[[Account]:[Line]],3,FALSE))</f>
        <v>#VALUE!</v>
      </c>
      <c r="AG235" s="1063" t="e">
        <f>VLOOKUP(TB_curr[[#This Row],[Synt]],GL[[Account]:[B/P]],4,FALSE)</f>
        <v>#N/A</v>
      </c>
      <c r="AH235" s="1066" t="e">
        <v>#VALUE!</v>
      </c>
      <c r="AI235" s="1065" t="e">
        <f>TB_curr[[#This Row],[Synt]]&amp;TB_curr[[#This Row],[Line No. manual corr.]]</f>
        <v>#VALUE!</v>
      </c>
      <c r="AJ235" s="1064">
        <f t="shared" si="16"/>
        <v>0</v>
      </c>
      <c r="AK235" s="1064">
        <f t="shared" si="17"/>
        <v>0</v>
      </c>
      <c r="AL235" s="1064">
        <f t="shared" si="18"/>
        <v>0</v>
      </c>
      <c r="AM235" s="1064">
        <f t="shared" si="19"/>
        <v>0</v>
      </c>
      <c r="AN235" s="1064"/>
      <c r="AO235" s="1064">
        <f>TB_curr[[#This Row],[Closing balance]]+TB_curr[[#This Row],[Rounding]]</f>
        <v>0</v>
      </c>
    </row>
    <row r="236" spans="30:41" x14ac:dyDescent="0.25">
      <c r="AD236" s="1067" t="str">
        <f t="shared" si="15"/>
        <v/>
      </c>
      <c r="AE236" s="1063" t="str">
        <f>IF(ISNA(VLOOKUP(TB_curr[[#This Row],[Synt]],GL[[#Headers],[#Data],[subtotal label]],1,FALSE)),0,(VLOOKUP(TB_curr[[#This Row],[Synt]],GL[[#Headers],[#Data],[subtotal label]],1,FALSE)))</f>
        <v/>
      </c>
      <c r="AF236" s="1063" t="e">
        <f>IF((TB_curr[[#This Row],[Synt]]-TB_curr[[#This Row],[Subtotal Y/N]])=0,0,VLOOKUP(TB_curr[[#This Row],[Synt]],GL[[Account]:[Line]],3,FALSE))</f>
        <v>#VALUE!</v>
      </c>
      <c r="AG236" s="1063" t="e">
        <f>VLOOKUP(TB_curr[[#This Row],[Synt]],GL[[Account]:[B/P]],4,FALSE)</f>
        <v>#N/A</v>
      </c>
      <c r="AH236" s="1066" t="e">
        <v>#VALUE!</v>
      </c>
      <c r="AI236" s="1065" t="e">
        <f>TB_curr[[#This Row],[Synt]]&amp;TB_curr[[#This Row],[Line No. manual corr.]]</f>
        <v>#VALUE!</v>
      </c>
      <c r="AJ236" s="1064">
        <f t="shared" si="16"/>
        <v>0</v>
      </c>
      <c r="AK236" s="1064">
        <f t="shared" si="17"/>
        <v>0</v>
      </c>
      <c r="AL236" s="1064">
        <f t="shared" si="18"/>
        <v>0</v>
      </c>
      <c r="AM236" s="1064">
        <f t="shared" si="19"/>
        <v>0</v>
      </c>
      <c r="AN236" s="1064"/>
      <c r="AO236" s="1064">
        <f>TB_curr[[#This Row],[Closing balance]]+TB_curr[[#This Row],[Rounding]]</f>
        <v>0</v>
      </c>
    </row>
    <row r="237" spans="30:41" x14ac:dyDescent="0.25">
      <c r="AD237" s="1067" t="str">
        <f t="shared" si="15"/>
        <v/>
      </c>
      <c r="AE237" s="1063" t="str">
        <f>IF(ISNA(VLOOKUP(TB_curr[[#This Row],[Synt]],GL[[#Headers],[#Data],[subtotal label]],1,FALSE)),0,(VLOOKUP(TB_curr[[#This Row],[Synt]],GL[[#Headers],[#Data],[subtotal label]],1,FALSE)))</f>
        <v/>
      </c>
      <c r="AF237" s="1063" t="e">
        <f>IF((TB_curr[[#This Row],[Synt]]-TB_curr[[#This Row],[Subtotal Y/N]])=0,0,VLOOKUP(TB_curr[[#This Row],[Synt]],GL[[Account]:[Line]],3,FALSE))</f>
        <v>#VALUE!</v>
      </c>
      <c r="AG237" s="1063" t="e">
        <f>VLOOKUP(TB_curr[[#This Row],[Synt]],GL[[Account]:[B/P]],4,FALSE)</f>
        <v>#N/A</v>
      </c>
      <c r="AH237" s="1066" t="e">
        <v>#VALUE!</v>
      </c>
      <c r="AI237" s="1065" t="e">
        <f>TB_curr[[#This Row],[Synt]]&amp;TB_curr[[#This Row],[Line No. manual corr.]]</f>
        <v>#VALUE!</v>
      </c>
      <c r="AJ237" s="1064">
        <f t="shared" si="16"/>
        <v>0</v>
      </c>
      <c r="AK237" s="1064">
        <f t="shared" si="17"/>
        <v>0</v>
      </c>
      <c r="AL237" s="1064">
        <f t="shared" si="18"/>
        <v>0</v>
      </c>
      <c r="AM237" s="1064">
        <f t="shared" si="19"/>
        <v>0</v>
      </c>
      <c r="AN237" s="1064"/>
      <c r="AO237" s="1064">
        <f>TB_curr[[#This Row],[Closing balance]]+TB_curr[[#This Row],[Rounding]]</f>
        <v>0</v>
      </c>
    </row>
    <row r="238" spans="30:41" x14ac:dyDescent="0.25">
      <c r="AD238" s="1067" t="str">
        <f t="shared" si="15"/>
        <v/>
      </c>
      <c r="AE238" s="1063" t="str">
        <f>IF(ISNA(VLOOKUP(TB_curr[[#This Row],[Synt]],GL[[#Headers],[#Data],[subtotal label]],1,FALSE)),0,(VLOOKUP(TB_curr[[#This Row],[Synt]],GL[[#Headers],[#Data],[subtotal label]],1,FALSE)))</f>
        <v/>
      </c>
      <c r="AF238" s="1063" t="e">
        <f>IF((TB_curr[[#This Row],[Synt]]-TB_curr[[#This Row],[Subtotal Y/N]])=0,0,VLOOKUP(TB_curr[[#This Row],[Synt]],GL[[Account]:[Line]],3,FALSE))</f>
        <v>#VALUE!</v>
      </c>
      <c r="AG238" s="1063" t="e">
        <f>VLOOKUP(TB_curr[[#This Row],[Synt]],GL[[Account]:[B/P]],4,FALSE)</f>
        <v>#N/A</v>
      </c>
      <c r="AH238" s="1066" t="e">
        <v>#VALUE!</v>
      </c>
      <c r="AI238" s="1065" t="e">
        <f>TB_curr[[#This Row],[Synt]]&amp;TB_curr[[#This Row],[Line No. manual corr.]]</f>
        <v>#VALUE!</v>
      </c>
      <c r="AJ238" s="1064">
        <f t="shared" si="16"/>
        <v>0</v>
      </c>
      <c r="AK238" s="1064">
        <f t="shared" si="17"/>
        <v>0</v>
      </c>
      <c r="AL238" s="1064">
        <f t="shared" si="18"/>
        <v>0</v>
      </c>
      <c r="AM238" s="1064">
        <f t="shared" si="19"/>
        <v>0</v>
      </c>
      <c r="AN238" s="1064"/>
      <c r="AO238" s="1064">
        <f>TB_curr[[#This Row],[Closing balance]]+TB_curr[[#This Row],[Rounding]]</f>
        <v>0</v>
      </c>
    </row>
    <row r="239" spans="30:41" x14ac:dyDescent="0.25">
      <c r="AD239" s="1067" t="str">
        <f t="shared" si="15"/>
        <v/>
      </c>
      <c r="AE239" s="1063" t="str">
        <f>IF(ISNA(VLOOKUP(TB_curr[[#This Row],[Synt]],GL[[#Headers],[#Data],[subtotal label]],1,FALSE)),0,(VLOOKUP(TB_curr[[#This Row],[Synt]],GL[[#Headers],[#Data],[subtotal label]],1,FALSE)))</f>
        <v/>
      </c>
      <c r="AF239" s="1063" t="e">
        <f>IF((TB_curr[[#This Row],[Synt]]-TB_curr[[#This Row],[Subtotal Y/N]])=0,0,VLOOKUP(TB_curr[[#This Row],[Synt]],GL[[Account]:[Line]],3,FALSE))</f>
        <v>#VALUE!</v>
      </c>
      <c r="AG239" s="1063" t="e">
        <f>VLOOKUP(TB_curr[[#This Row],[Synt]],GL[[Account]:[B/P]],4,FALSE)</f>
        <v>#N/A</v>
      </c>
      <c r="AH239" s="1066" t="e">
        <v>#VALUE!</v>
      </c>
      <c r="AI239" s="1065" t="e">
        <f>TB_curr[[#This Row],[Synt]]&amp;TB_curr[[#This Row],[Line No. manual corr.]]</f>
        <v>#VALUE!</v>
      </c>
      <c r="AJ239" s="1064">
        <f t="shared" si="16"/>
        <v>0</v>
      </c>
      <c r="AK239" s="1064">
        <f t="shared" si="17"/>
        <v>0</v>
      </c>
      <c r="AL239" s="1064">
        <f t="shared" si="18"/>
        <v>0</v>
      </c>
      <c r="AM239" s="1064">
        <f t="shared" si="19"/>
        <v>0</v>
      </c>
      <c r="AN239" s="1064"/>
      <c r="AO239" s="1064">
        <f>TB_curr[[#This Row],[Closing balance]]+TB_curr[[#This Row],[Rounding]]</f>
        <v>0</v>
      </c>
    </row>
    <row r="240" spans="30:41" x14ac:dyDescent="0.25">
      <c r="AD240" s="1067" t="str">
        <f t="shared" si="15"/>
        <v/>
      </c>
      <c r="AE240" s="1063" t="str">
        <f>IF(ISNA(VLOOKUP(TB_curr[[#This Row],[Synt]],GL[[#Headers],[#Data],[subtotal label]],1,FALSE)),0,(VLOOKUP(TB_curr[[#This Row],[Synt]],GL[[#Headers],[#Data],[subtotal label]],1,FALSE)))</f>
        <v/>
      </c>
      <c r="AF240" s="1063" t="e">
        <f>IF((TB_curr[[#This Row],[Synt]]-TB_curr[[#This Row],[Subtotal Y/N]])=0,0,VLOOKUP(TB_curr[[#This Row],[Synt]],GL[[Account]:[Line]],3,FALSE))</f>
        <v>#VALUE!</v>
      </c>
      <c r="AG240" s="1063" t="e">
        <f>VLOOKUP(TB_curr[[#This Row],[Synt]],GL[[Account]:[B/P]],4,FALSE)</f>
        <v>#N/A</v>
      </c>
      <c r="AH240" s="1066" t="e">
        <v>#VALUE!</v>
      </c>
      <c r="AI240" s="1065" t="e">
        <f>TB_curr[[#This Row],[Synt]]&amp;TB_curr[[#This Row],[Line No. manual corr.]]</f>
        <v>#VALUE!</v>
      </c>
      <c r="AJ240" s="1064">
        <f t="shared" si="16"/>
        <v>0</v>
      </c>
      <c r="AK240" s="1064">
        <f t="shared" si="17"/>
        <v>0</v>
      </c>
      <c r="AL240" s="1064">
        <f t="shared" si="18"/>
        <v>0</v>
      </c>
      <c r="AM240" s="1064">
        <f t="shared" si="19"/>
        <v>0</v>
      </c>
      <c r="AN240" s="1064"/>
      <c r="AO240" s="1064">
        <f>TB_curr[[#This Row],[Closing balance]]+TB_curr[[#This Row],[Rounding]]</f>
        <v>0</v>
      </c>
    </row>
    <row r="241" spans="30:41" x14ac:dyDescent="0.25">
      <c r="AD241" s="1067" t="str">
        <f t="shared" si="15"/>
        <v/>
      </c>
      <c r="AE241" s="1063" t="str">
        <f>IF(ISNA(VLOOKUP(TB_curr[[#This Row],[Synt]],GL[[#Headers],[#Data],[subtotal label]],1,FALSE)),0,(VLOOKUP(TB_curr[[#This Row],[Synt]],GL[[#Headers],[#Data],[subtotal label]],1,FALSE)))</f>
        <v/>
      </c>
      <c r="AF241" s="1063" t="e">
        <f>IF((TB_curr[[#This Row],[Synt]]-TB_curr[[#This Row],[Subtotal Y/N]])=0,0,VLOOKUP(TB_curr[[#This Row],[Synt]],GL[[Account]:[Line]],3,FALSE))</f>
        <v>#VALUE!</v>
      </c>
      <c r="AG241" s="1063" t="e">
        <f>VLOOKUP(TB_curr[[#This Row],[Synt]],GL[[Account]:[B/P]],4,FALSE)</f>
        <v>#N/A</v>
      </c>
      <c r="AH241" s="1066" t="e">
        <v>#VALUE!</v>
      </c>
      <c r="AI241" s="1065" t="e">
        <f>TB_curr[[#This Row],[Synt]]&amp;TB_curr[[#This Row],[Line No. manual corr.]]</f>
        <v>#VALUE!</v>
      </c>
      <c r="AJ241" s="1064">
        <f t="shared" si="16"/>
        <v>0</v>
      </c>
      <c r="AK241" s="1064">
        <f t="shared" si="17"/>
        <v>0</v>
      </c>
      <c r="AL241" s="1064">
        <f t="shared" si="18"/>
        <v>0</v>
      </c>
      <c r="AM241" s="1064">
        <f t="shared" si="19"/>
        <v>0</v>
      </c>
      <c r="AN241" s="1064"/>
      <c r="AO241" s="1064">
        <f>TB_curr[[#This Row],[Closing balance]]+TB_curr[[#This Row],[Rounding]]</f>
        <v>0</v>
      </c>
    </row>
    <row r="242" spans="30:41" x14ac:dyDescent="0.25">
      <c r="AD242" s="1067" t="str">
        <f t="shared" si="15"/>
        <v/>
      </c>
      <c r="AE242" s="1063" t="str">
        <f>IF(ISNA(VLOOKUP(TB_curr[[#This Row],[Synt]],GL[[#Headers],[#Data],[subtotal label]],1,FALSE)),0,(VLOOKUP(TB_curr[[#This Row],[Synt]],GL[[#Headers],[#Data],[subtotal label]],1,FALSE)))</f>
        <v/>
      </c>
      <c r="AF242" s="1063" t="e">
        <f>IF((TB_curr[[#This Row],[Synt]]-TB_curr[[#This Row],[Subtotal Y/N]])=0,0,VLOOKUP(TB_curr[[#This Row],[Synt]],GL[[Account]:[Line]],3,FALSE))</f>
        <v>#VALUE!</v>
      </c>
      <c r="AG242" s="1063" t="e">
        <f>VLOOKUP(TB_curr[[#This Row],[Synt]],GL[[Account]:[B/P]],4,FALSE)</f>
        <v>#N/A</v>
      </c>
      <c r="AH242" s="1066" t="e">
        <v>#VALUE!</v>
      </c>
      <c r="AI242" s="1065" t="e">
        <f>TB_curr[[#This Row],[Synt]]&amp;TB_curr[[#This Row],[Line No. manual corr.]]</f>
        <v>#VALUE!</v>
      </c>
      <c r="AJ242" s="1064">
        <f t="shared" si="16"/>
        <v>0</v>
      </c>
      <c r="AK242" s="1064">
        <f t="shared" si="17"/>
        <v>0</v>
      </c>
      <c r="AL242" s="1064">
        <f t="shared" si="18"/>
        <v>0</v>
      </c>
      <c r="AM242" s="1064">
        <f t="shared" si="19"/>
        <v>0</v>
      </c>
      <c r="AN242" s="1064"/>
      <c r="AO242" s="1064">
        <f>TB_curr[[#This Row],[Closing balance]]+TB_curr[[#This Row],[Rounding]]</f>
        <v>0</v>
      </c>
    </row>
    <row r="243" spans="30:41" x14ac:dyDescent="0.25">
      <c r="AD243" s="1067" t="str">
        <f t="shared" si="15"/>
        <v/>
      </c>
      <c r="AE243" s="1063" t="str">
        <f>IF(ISNA(VLOOKUP(TB_curr[[#This Row],[Synt]],GL[[#Headers],[#Data],[subtotal label]],1,FALSE)),0,(VLOOKUP(TB_curr[[#This Row],[Synt]],GL[[#Headers],[#Data],[subtotal label]],1,FALSE)))</f>
        <v/>
      </c>
      <c r="AF243" s="1063" t="e">
        <f>IF((TB_curr[[#This Row],[Synt]]-TB_curr[[#This Row],[Subtotal Y/N]])=0,0,VLOOKUP(TB_curr[[#This Row],[Synt]],GL[[Account]:[Line]],3,FALSE))</f>
        <v>#VALUE!</v>
      </c>
      <c r="AG243" s="1063" t="e">
        <f>VLOOKUP(TB_curr[[#This Row],[Synt]],GL[[Account]:[B/P]],4,FALSE)</f>
        <v>#N/A</v>
      </c>
      <c r="AH243" s="1066" t="e">
        <v>#VALUE!</v>
      </c>
      <c r="AI243" s="1065" t="e">
        <f>TB_curr[[#This Row],[Synt]]&amp;TB_curr[[#This Row],[Line No. manual corr.]]</f>
        <v>#VALUE!</v>
      </c>
      <c r="AJ243" s="1064">
        <f t="shared" si="16"/>
        <v>0</v>
      </c>
      <c r="AK243" s="1064">
        <f t="shared" si="17"/>
        <v>0</v>
      </c>
      <c r="AL243" s="1064">
        <f t="shared" si="18"/>
        <v>0</v>
      </c>
      <c r="AM243" s="1064">
        <f t="shared" si="19"/>
        <v>0</v>
      </c>
      <c r="AN243" s="1064"/>
      <c r="AO243" s="1064">
        <f>TB_curr[[#This Row],[Closing balance]]+TB_curr[[#This Row],[Rounding]]</f>
        <v>0</v>
      </c>
    </row>
    <row r="244" spans="30:41" x14ac:dyDescent="0.25">
      <c r="AD244" s="1067" t="str">
        <f t="shared" si="15"/>
        <v/>
      </c>
      <c r="AE244" s="1063" t="str">
        <f>IF(ISNA(VLOOKUP(TB_curr[[#This Row],[Synt]],GL[[#Headers],[#Data],[subtotal label]],1,FALSE)),0,(VLOOKUP(TB_curr[[#This Row],[Synt]],GL[[#Headers],[#Data],[subtotal label]],1,FALSE)))</f>
        <v/>
      </c>
      <c r="AF244" s="1063" t="e">
        <f>IF((TB_curr[[#This Row],[Synt]]-TB_curr[[#This Row],[Subtotal Y/N]])=0,0,VLOOKUP(TB_curr[[#This Row],[Synt]],GL[[Account]:[Line]],3,FALSE))</f>
        <v>#VALUE!</v>
      </c>
      <c r="AG244" s="1063" t="e">
        <f>VLOOKUP(TB_curr[[#This Row],[Synt]],GL[[Account]:[B/P]],4,FALSE)</f>
        <v>#N/A</v>
      </c>
      <c r="AH244" s="1066" t="e">
        <v>#VALUE!</v>
      </c>
      <c r="AI244" s="1065" t="e">
        <f>TB_curr[[#This Row],[Synt]]&amp;TB_curr[[#This Row],[Line No. manual corr.]]</f>
        <v>#VALUE!</v>
      </c>
      <c r="AJ244" s="1064">
        <f t="shared" si="16"/>
        <v>0</v>
      </c>
      <c r="AK244" s="1064">
        <f t="shared" si="17"/>
        <v>0</v>
      </c>
      <c r="AL244" s="1064">
        <f t="shared" si="18"/>
        <v>0</v>
      </c>
      <c r="AM244" s="1064">
        <f t="shared" si="19"/>
        <v>0</v>
      </c>
      <c r="AN244" s="1064"/>
      <c r="AO244" s="1064">
        <f>TB_curr[[#This Row],[Closing balance]]+TB_curr[[#This Row],[Rounding]]</f>
        <v>0</v>
      </c>
    </row>
    <row r="245" spans="30:41" x14ac:dyDescent="0.25">
      <c r="AD245" s="1067" t="str">
        <f t="shared" si="15"/>
        <v/>
      </c>
      <c r="AE245" s="1063" t="str">
        <f>IF(ISNA(VLOOKUP(TB_curr[[#This Row],[Synt]],GL[[#Headers],[#Data],[subtotal label]],1,FALSE)),0,(VLOOKUP(TB_curr[[#This Row],[Synt]],GL[[#Headers],[#Data],[subtotal label]],1,FALSE)))</f>
        <v/>
      </c>
      <c r="AF245" s="1063" t="e">
        <f>IF((TB_curr[[#This Row],[Synt]]-TB_curr[[#This Row],[Subtotal Y/N]])=0,0,VLOOKUP(TB_curr[[#This Row],[Synt]],GL[[Account]:[Line]],3,FALSE))</f>
        <v>#VALUE!</v>
      </c>
      <c r="AG245" s="1063" t="e">
        <f>VLOOKUP(TB_curr[[#This Row],[Synt]],GL[[Account]:[B/P]],4,FALSE)</f>
        <v>#N/A</v>
      </c>
      <c r="AH245" s="1066" t="e">
        <v>#VALUE!</v>
      </c>
      <c r="AI245" s="1065" t="e">
        <f>TB_curr[[#This Row],[Synt]]&amp;TB_curr[[#This Row],[Line No. manual corr.]]</f>
        <v>#VALUE!</v>
      </c>
      <c r="AJ245" s="1064">
        <f t="shared" si="16"/>
        <v>0</v>
      </c>
      <c r="AK245" s="1064">
        <f t="shared" si="17"/>
        <v>0</v>
      </c>
      <c r="AL245" s="1064">
        <f t="shared" si="18"/>
        <v>0</v>
      </c>
      <c r="AM245" s="1064">
        <f t="shared" si="19"/>
        <v>0</v>
      </c>
      <c r="AN245" s="1064"/>
      <c r="AO245" s="1064">
        <f>TB_curr[[#This Row],[Closing balance]]+TB_curr[[#This Row],[Rounding]]</f>
        <v>0</v>
      </c>
    </row>
    <row r="246" spans="30:41" x14ac:dyDescent="0.25">
      <c r="AD246" s="1067" t="str">
        <f t="shared" si="15"/>
        <v/>
      </c>
      <c r="AE246" s="1063" t="str">
        <f>IF(ISNA(VLOOKUP(TB_curr[[#This Row],[Synt]],GL[[#Headers],[#Data],[subtotal label]],1,FALSE)),0,(VLOOKUP(TB_curr[[#This Row],[Synt]],GL[[#Headers],[#Data],[subtotal label]],1,FALSE)))</f>
        <v/>
      </c>
      <c r="AF246" s="1063" t="e">
        <f>IF((TB_curr[[#This Row],[Synt]]-TB_curr[[#This Row],[Subtotal Y/N]])=0,0,VLOOKUP(TB_curr[[#This Row],[Synt]],GL[[Account]:[Line]],3,FALSE))</f>
        <v>#VALUE!</v>
      </c>
      <c r="AG246" s="1063" t="e">
        <f>VLOOKUP(TB_curr[[#This Row],[Synt]],GL[[Account]:[B/P]],4,FALSE)</f>
        <v>#N/A</v>
      </c>
      <c r="AH246" s="1066" t="e">
        <v>#VALUE!</v>
      </c>
      <c r="AI246" s="1065" t="e">
        <f>TB_curr[[#This Row],[Synt]]&amp;TB_curr[[#This Row],[Line No. manual corr.]]</f>
        <v>#VALUE!</v>
      </c>
      <c r="AJ246" s="1064">
        <f t="shared" si="16"/>
        <v>0</v>
      </c>
      <c r="AK246" s="1064">
        <f t="shared" si="17"/>
        <v>0</v>
      </c>
      <c r="AL246" s="1064">
        <f t="shared" si="18"/>
        <v>0</v>
      </c>
      <c r="AM246" s="1064">
        <f t="shared" si="19"/>
        <v>0</v>
      </c>
      <c r="AN246" s="1064"/>
      <c r="AO246" s="1064">
        <f>TB_curr[[#This Row],[Closing balance]]+TB_curr[[#This Row],[Rounding]]</f>
        <v>0</v>
      </c>
    </row>
    <row r="247" spans="30:41" x14ac:dyDescent="0.25">
      <c r="AD247" s="1067" t="str">
        <f t="shared" si="15"/>
        <v/>
      </c>
      <c r="AE247" s="1063" t="str">
        <f>IF(ISNA(VLOOKUP(TB_curr[[#This Row],[Synt]],GL[[#Headers],[#Data],[subtotal label]],1,FALSE)),0,(VLOOKUP(TB_curr[[#This Row],[Synt]],GL[[#Headers],[#Data],[subtotal label]],1,FALSE)))</f>
        <v/>
      </c>
      <c r="AF247" s="1063" t="e">
        <f>IF((TB_curr[[#This Row],[Synt]]-TB_curr[[#This Row],[Subtotal Y/N]])=0,0,VLOOKUP(TB_curr[[#This Row],[Synt]],GL[[Account]:[Line]],3,FALSE))</f>
        <v>#VALUE!</v>
      </c>
      <c r="AG247" s="1063" t="e">
        <f>VLOOKUP(TB_curr[[#This Row],[Synt]],GL[[Account]:[B/P]],4,FALSE)</f>
        <v>#N/A</v>
      </c>
      <c r="AH247" s="1066" t="e">
        <v>#VALUE!</v>
      </c>
      <c r="AI247" s="1065" t="e">
        <f>TB_curr[[#This Row],[Synt]]&amp;TB_curr[[#This Row],[Line No. manual corr.]]</f>
        <v>#VALUE!</v>
      </c>
      <c r="AJ247" s="1064">
        <f t="shared" si="16"/>
        <v>0</v>
      </c>
      <c r="AK247" s="1064">
        <f t="shared" si="17"/>
        <v>0</v>
      </c>
      <c r="AL247" s="1064">
        <f t="shared" si="18"/>
        <v>0</v>
      </c>
      <c r="AM247" s="1064">
        <f t="shared" si="19"/>
        <v>0</v>
      </c>
      <c r="AN247" s="1064"/>
      <c r="AO247" s="1064">
        <f>TB_curr[[#This Row],[Closing balance]]+TB_curr[[#This Row],[Rounding]]</f>
        <v>0</v>
      </c>
    </row>
    <row r="248" spans="30:41" x14ac:dyDescent="0.25">
      <c r="AD248" s="1067" t="str">
        <f t="shared" si="15"/>
        <v/>
      </c>
      <c r="AE248" s="1063" t="str">
        <f>IF(ISNA(VLOOKUP(TB_curr[[#This Row],[Synt]],GL[[#Headers],[#Data],[subtotal label]],1,FALSE)),0,(VLOOKUP(TB_curr[[#This Row],[Synt]],GL[[#Headers],[#Data],[subtotal label]],1,FALSE)))</f>
        <v/>
      </c>
      <c r="AF248" s="1063" t="e">
        <f>IF((TB_curr[[#This Row],[Synt]]-TB_curr[[#This Row],[Subtotal Y/N]])=0,0,VLOOKUP(TB_curr[[#This Row],[Synt]],GL[[Account]:[Line]],3,FALSE))</f>
        <v>#VALUE!</v>
      </c>
      <c r="AG248" s="1063" t="e">
        <f>VLOOKUP(TB_curr[[#This Row],[Synt]],GL[[Account]:[B/P]],4,FALSE)</f>
        <v>#N/A</v>
      </c>
      <c r="AH248" s="1066" t="e">
        <v>#VALUE!</v>
      </c>
      <c r="AI248" s="1065" t="e">
        <f>TB_curr[[#This Row],[Synt]]&amp;TB_curr[[#This Row],[Line No. manual corr.]]</f>
        <v>#VALUE!</v>
      </c>
      <c r="AJ248" s="1064">
        <f t="shared" si="16"/>
        <v>0</v>
      </c>
      <c r="AK248" s="1064">
        <f t="shared" si="17"/>
        <v>0</v>
      </c>
      <c r="AL248" s="1064">
        <f t="shared" si="18"/>
        <v>0</v>
      </c>
      <c r="AM248" s="1064">
        <f t="shared" si="19"/>
        <v>0</v>
      </c>
      <c r="AN248" s="1064"/>
      <c r="AO248" s="1064">
        <f>TB_curr[[#This Row],[Closing balance]]+TB_curr[[#This Row],[Rounding]]</f>
        <v>0</v>
      </c>
    </row>
    <row r="249" spans="30:41" x14ac:dyDescent="0.25">
      <c r="AD249" s="1067" t="str">
        <f t="shared" si="15"/>
        <v/>
      </c>
      <c r="AE249" s="1063" t="str">
        <f>IF(ISNA(VLOOKUP(TB_curr[[#This Row],[Synt]],GL[[#Headers],[#Data],[subtotal label]],1,FALSE)),0,(VLOOKUP(TB_curr[[#This Row],[Synt]],GL[[#Headers],[#Data],[subtotal label]],1,FALSE)))</f>
        <v/>
      </c>
      <c r="AF249" s="1063" t="e">
        <f>IF((TB_curr[[#This Row],[Synt]]-TB_curr[[#This Row],[Subtotal Y/N]])=0,0,VLOOKUP(TB_curr[[#This Row],[Synt]],GL[[Account]:[Line]],3,FALSE))</f>
        <v>#VALUE!</v>
      </c>
      <c r="AG249" s="1063" t="e">
        <f>VLOOKUP(TB_curr[[#This Row],[Synt]],GL[[Account]:[B/P]],4,FALSE)</f>
        <v>#N/A</v>
      </c>
      <c r="AH249" s="1066" t="e">
        <v>#VALUE!</v>
      </c>
      <c r="AI249" s="1065" t="e">
        <f>TB_curr[[#This Row],[Synt]]&amp;TB_curr[[#This Row],[Line No. manual corr.]]</f>
        <v>#VALUE!</v>
      </c>
      <c r="AJ249" s="1064">
        <f t="shared" si="16"/>
        <v>0</v>
      </c>
      <c r="AK249" s="1064">
        <f t="shared" si="17"/>
        <v>0</v>
      </c>
      <c r="AL249" s="1064">
        <f t="shared" si="18"/>
        <v>0</v>
      </c>
      <c r="AM249" s="1064">
        <f t="shared" si="19"/>
        <v>0</v>
      </c>
      <c r="AN249" s="1064"/>
      <c r="AO249" s="1064">
        <f>TB_curr[[#This Row],[Closing balance]]+TB_curr[[#This Row],[Rounding]]</f>
        <v>0</v>
      </c>
    </row>
    <row r="250" spans="30:41" x14ac:dyDescent="0.25">
      <c r="AD250" s="1067" t="str">
        <f t="shared" si="15"/>
        <v/>
      </c>
      <c r="AE250" s="1063" t="str">
        <f>IF(ISNA(VLOOKUP(TB_curr[[#This Row],[Synt]],GL[[#Headers],[#Data],[subtotal label]],1,FALSE)),0,(VLOOKUP(TB_curr[[#This Row],[Synt]],GL[[#Headers],[#Data],[subtotal label]],1,FALSE)))</f>
        <v/>
      </c>
      <c r="AF250" s="1063" t="e">
        <f>IF((TB_curr[[#This Row],[Synt]]-TB_curr[[#This Row],[Subtotal Y/N]])=0,0,VLOOKUP(TB_curr[[#This Row],[Synt]],GL[[Account]:[Line]],3,FALSE))</f>
        <v>#VALUE!</v>
      </c>
      <c r="AG250" s="1063" t="e">
        <f>VLOOKUP(TB_curr[[#This Row],[Synt]],GL[[Account]:[B/P]],4,FALSE)</f>
        <v>#N/A</v>
      </c>
      <c r="AH250" s="1066" t="e">
        <v>#VALUE!</v>
      </c>
      <c r="AI250" s="1065" t="e">
        <f>TB_curr[[#This Row],[Synt]]&amp;TB_curr[[#This Row],[Line No. manual corr.]]</f>
        <v>#VALUE!</v>
      </c>
      <c r="AJ250" s="1064">
        <f t="shared" si="16"/>
        <v>0</v>
      </c>
      <c r="AK250" s="1064">
        <f t="shared" si="17"/>
        <v>0</v>
      </c>
      <c r="AL250" s="1064">
        <f t="shared" si="18"/>
        <v>0</v>
      </c>
      <c r="AM250" s="1064">
        <f t="shared" si="19"/>
        <v>0</v>
      </c>
      <c r="AN250" s="1064"/>
      <c r="AO250" s="1064">
        <f>TB_curr[[#This Row],[Closing balance]]+TB_curr[[#This Row],[Rounding]]</f>
        <v>0</v>
      </c>
    </row>
    <row r="251" spans="30:41" x14ac:dyDescent="0.25">
      <c r="AD251" s="1067" t="str">
        <f t="shared" si="15"/>
        <v/>
      </c>
      <c r="AE251" s="1063" t="str">
        <f>IF(ISNA(VLOOKUP(TB_curr[[#This Row],[Synt]],GL[[#Headers],[#Data],[subtotal label]],1,FALSE)),0,(VLOOKUP(TB_curr[[#This Row],[Synt]],GL[[#Headers],[#Data],[subtotal label]],1,FALSE)))</f>
        <v/>
      </c>
      <c r="AF251" s="1063" t="e">
        <f>IF((TB_curr[[#This Row],[Synt]]-TB_curr[[#This Row],[Subtotal Y/N]])=0,0,VLOOKUP(TB_curr[[#This Row],[Synt]],GL[[Account]:[Line]],3,FALSE))</f>
        <v>#VALUE!</v>
      </c>
      <c r="AG251" s="1063" t="e">
        <f>VLOOKUP(TB_curr[[#This Row],[Synt]],GL[[Account]:[B/P]],4,FALSE)</f>
        <v>#N/A</v>
      </c>
      <c r="AH251" s="1066" t="e">
        <v>#VALUE!</v>
      </c>
      <c r="AI251" s="1065" t="e">
        <f>TB_curr[[#This Row],[Synt]]&amp;TB_curr[[#This Row],[Line No. manual corr.]]</f>
        <v>#VALUE!</v>
      </c>
      <c r="AJ251" s="1064">
        <f t="shared" si="16"/>
        <v>0</v>
      </c>
      <c r="AK251" s="1064">
        <f t="shared" si="17"/>
        <v>0</v>
      </c>
      <c r="AL251" s="1064">
        <f t="shared" si="18"/>
        <v>0</v>
      </c>
      <c r="AM251" s="1064">
        <f t="shared" si="19"/>
        <v>0</v>
      </c>
      <c r="AN251" s="1064"/>
      <c r="AO251" s="1064">
        <f>TB_curr[[#This Row],[Closing balance]]+TB_curr[[#This Row],[Rounding]]</f>
        <v>0</v>
      </c>
    </row>
    <row r="252" spans="30:41" x14ac:dyDescent="0.25">
      <c r="AD252" s="1067" t="str">
        <f t="shared" si="15"/>
        <v/>
      </c>
      <c r="AE252" s="1063" t="str">
        <f>IF(ISNA(VLOOKUP(TB_curr[[#This Row],[Synt]],GL[[#Headers],[#Data],[subtotal label]],1,FALSE)),0,(VLOOKUP(TB_curr[[#This Row],[Synt]],GL[[#Headers],[#Data],[subtotal label]],1,FALSE)))</f>
        <v/>
      </c>
      <c r="AF252" s="1063" t="e">
        <f>IF((TB_curr[[#This Row],[Synt]]-TB_curr[[#This Row],[Subtotal Y/N]])=0,0,VLOOKUP(TB_curr[[#This Row],[Synt]],GL[[Account]:[Line]],3,FALSE))</f>
        <v>#VALUE!</v>
      </c>
      <c r="AG252" s="1063" t="e">
        <f>VLOOKUP(TB_curr[[#This Row],[Synt]],GL[[Account]:[B/P]],4,FALSE)</f>
        <v>#N/A</v>
      </c>
      <c r="AH252" s="1066" t="e">
        <v>#VALUE!</v>
      </c>
      <c r="AI252" s="1065" t="e">
        <f>TB_curr[[#This Row],[Synt]]&amp;TB_curr[[#This Row],[Line No. manual corr.]]</f>
        <v>#VALUE!</v>
      </c>
      <c r="AJ252" s="1064">
        <f t="shared" si="16"/>
        <v>0</v>
      </c>
      <c r="AK252" s="1064">
        <f t="shared" si="17"/>
        <v>0</v>
      </c>
      <c r="AL252" s="1064">
        <f t="shared" si="18"/>
        <v>0</v>
      </c>
      <c r="AM252" s="1064">
        <f t="shared" si="19"/>
        <v>0</v>
      </c>
      <c r="AN252" s="1064"/>
      <c r="AO252" s="1064">
        <f>TB_curr[[#This Row],[Closing balance]]+TB_curr[[#This Row],[Rounding]]</f>
        <v>0</v>
      </c>
    </row>
    <row r="253" spans="30:41" x14ac:dyDescent="0.25">
      <c r="AD253" s="1067" t="str">
        <f t="shared" si="15"/>
        <v/>
      </c>
      <c r="AE253" s="1063" t="str">
        <f>IF(ISNA(VLOOKUP(TB_curr[[#This Row],[Synt]],GL[[#Headers],[#Data],[subtotal label]],1,FALSE)),0,(VLOOKUP(TB_curr[[#This Row],[Synt]],GL[[#Headers],[#Data],[subtotal label]],1,FALSE)))</f>
        <v/>
      </c>
      <c r="AF253" s="1063" t="e">
        <f>IF((TB_curr[[#This Row],[Synt]]-TB_curr[[#This Row],[Subtotal Y/N]])=0,0,VLOOKUP(TB_curr[[#This Row],[Synt]],GL[[Account]:[Line]],3,FALSE))</f>
        <v>#VALUE!</v>
      </c>
      <c r="AG253" s="1063" t="e">
        <f>VLOOKUP(TB_curr[[#This Row],[Synt]],GL[[Account]:[B/P]],4,FALSE)</f>
        <v>#N/A</v>
      </c>
      <c r="AH253" s="1066" t="e">
        <v>#VALUE!</v>
      </c>
      <c r="AI253" s="1065" t="e">
        <f>TB_curr[[#This Row],[Synt]]&amp;TB_curr[[#This Row],[Line No. manual corr.]]</f>
        <v>#VALUE!</v>
      </c>
      <c r="AJ253" s="1064">
        <f t="shared" si="16"/>
        <v>0</v>
      </c>
      <c r="AK253" s="1064">
        <f t="shared" si="17"/>
        <v>0</v>
      </c>
      <c r="AL253" s="1064">
        <f t="shared" si="18"/>
        <v>0</v>
      </c>
      <c r="AM253" s="1064">
        <f t="shared" si="19"/>
        <v>0</v>
      </c>
      <c r="AN253" s="1064"/>
      <c r="AO253" s="1064">
        <f>TB_curr[[#This Row],[Closing balance]]+TB_curr[[#This Row],[Rounding]]</f>
        <v>0</v>
      </c>
    </row>
    <row r="254" spans="30:41" x14ac:dyDescent="0.25">
      <c r="AD254" s="1067" t="str">
        <f t="shared" si="15"/>
        <v/>
      </c>
      <c r="AE254" s="1063" t="str">
        <f>IF(ISNA(VLOOKUP(TB_curr[[#This Row],[Synt]],GL[[#Headers],[#Data],[subtotal label]],1,FALSE)),0,(VLOOKUP(TB_curr[[#This Row],[Synt]],GL[[#Headers],[#Data],[subtotal label]],1,FALSE)))</f>
        <v/>
      </c>
      <c r="AF254" s="1063" t="e">
        <f>IF((TB_curr[[#This Row],[Synt]]-TB_curr[[#This Row],[Subtotal Y/N]])=0,0,VLOOKUP(TB_curr[[#This Row],[Synt]],GL[[Account]:[Line]],3,FALSE))</f>
        <v>#VALUE!</v>
      </c>
      <c r="AG254" s="1063" t="e">
        <f>VLOOKUP(TB_curr[[#This Row],[Synt]],GL[[Account]:[B/P]],4,FALSE)</f>
        <v>#N/A</v>
      </c>
      <c r="AH254" s="1066" t="e">
        <v>#VALUE!</v>
      </c>
      <c r="AI254" s="1065" t="e">
        <f>TB_curr[[#This Row],[Synt]]&amp;TB_curr[[#This Row],[Line No. manual corr.]]</f>
        <v>#VALUE!</v>
      </c>
      <c r="AJ254" s="1064">
        <f t="shared" si="16"/>
        <v>0</v>
      </c>
      <c r="AK254" s="1064">
        <f t="shared" si="17"/>
        <v>0</v>
      </c>
      <c r="AL254" s="1064">
        <f t="shared" si="18"/>
        <v>0</v>
      </c>
      <c r="AM254" s="1064">
        <f t="shared" si="19"/>
        <v>0</v>
      </c>
      <c r="AN254" s="1064"/>
      <c r="AO254" s="1064">
        <f>TB_curr[[#This Row],[Closing balance]]+TB_curr[[#This Row],[Rounding]]</f>
        <v>0</v>
      </c>
    </row>
    <row r="255" spans="30:41" x14ac:dyDescent="0.25">
      <c r="AD255" s="1067" t="str">
        <f t="shared" si="15"/>
        <v/>
      </c>
      <c r="AE255" s="1063" t="str">
        <f>IF(ISNA(VLOOKUP(TB_curr[[#This Row],[Synt]],GL[[#Headers],[#Data],[subtotal label]],1,FALSE)),0,(VLOOKUP(TB_curr[[#This Row],[Synt]],GL[[#Headers],[#Data],[subtotal label]],1,FALSE)))</f>
        <v/>
      </c>
      <c r="AF255" s="1063" t="e">
        <f>IF((TB_curr[[#This Row],[Synt]]-TB_curr[[#This Row],[Subtotal Y/N]])=0,0,VLOOKUP(TB_curr[[#This Row],[Synt]],GL[[Account]:[Line]],3,FALSE))</f>
        <v>#VALUE!</v>
      </c>
      <c r="AG255" s="1063" t="e">
        <f>VLOOKUP(TB_curr[[#This Row],[Synt]],GL[[Account]:[B/P]],4,FALSE)</f>
        <v>#N/A</v>
      </c>
      <c r="AH255" s="1066" t="e">
        <v>#VALUE!</v>
      </c>
      <c r="AI255" s="1065" t="e">
        <f>TB_curr[[#This Row],[Synt]]&amp;TB_curr[[#This Row],[Line No. manual corr.]]</f>
        <v>#VALUE!</v>
      </c>
      <c r="AJ255" s="1064">
        <f t="shared" si="16"/>
        <v>0</v>
      </c>
      <c r="AK255" s="1064">
        <f t="shared" si="17"/>
        <v>0</v>
      </c>
      <c r="AL255" s="1064">
        <f t="shared" si="18"/>
        <v>0</v>
      </c>
      <c r="AM255" s="1064">
        <f t="shared" si="19"/>
        <v>0</v>
      </c>
      <c r="AN255" s="1064"/>
      <c r="AO255" s="1064">
        <f>TB_curr[[#This Row],[Closing balance]]+TB_curr[[#This Row],[Rounding]]</f>
        <v>0</v>
      </c>
    </row>
    <row r="256" spans="30:41" x14ac:dyDescent="0.25">
      <c r="AD256" s="1067" t="str">
        <f t="shared" si="15"/>
        <v/>
      </c>
      <c r="AE256" s="1063" t="str">
        <f>IF(ISNA(VLOOKUP(TB_curr[[#This Row],[Synt]],GL[[#Headers],[#Data],[subtotal label]],1,FALSE)),0,(VLOOKUP(TB_curr[[#This Row],[Synt]],GL[[#Headers],[#Data],[subtotal label]],1,FALSE)))</f>
        <v/>
      </c>
      <c r="AF256" s="1063" t="e">
        <f>IF((TB_curr[[#This Row],[Synt]]-TB_curr[[#This Row],[Subtotal Y/N]])=0,0,VLOOKUP(TB_curr[[#This Row],[Synt]],GL[[Account]:[Line]],3,FALSE))</f>
        <v>#VALUE!</v>
      </c>
      <c r="AG256" s="1063" t="e">
        <f>VLOOKUP(TB_curr[[#This Row],[Synt]],GL[[Account]:[B/P]],4,FALSE)</f>
        <v>#N/A</v>
      </c>
      <c r="AH256" s="1066" t="e">
        <v>#VALUE!</v>
      </c>
      <c r="AI256" s="1065" t="e">
        <f>TB_curr[[#This Row],[Synt]]&amp;TB_curr[[#This Row],[Line No. manual corr.]]</f>
        <v>#VALUE!</v>
      </c>
      <c r="AJ256" s="1064">
        <f t="shared" si="16"/>
        <v>0</v>
      </c>
      <c r="AK256" s="1064">
        <f t="shared" si="17"/>
        <v>0</v>
      </c>
      <c r="AL256" s="1064">
        <f t="shared" si="18"/>
        <v>0</v>
      </c>
      <c r="AM256" s="1064">
        <f t="shared" si="19"/>
        <v>0</v>
      </c>
      <c r="AN256" s="1064"/>
      <c r="AO256" s="1064">
        <f>TB_curr[[#This Row],[Closing balance]]+TB_curr[[#This Row],[Rounding]]</f>
        <v>0</v>
      </c>
    </row>
    <row r="257" spans="30:41" x14ac:dyDescent="0.25">
      <c r="AD257" s="1067" t="str">
        <f t="shared" si="15"/>
        <v/>
      </c>
      <c r="AE257" s="1063" t="str">
        <f>IF(ISNA(VLOOKUP(TB_curr[[#This Row],[Synt]],GL[[#Headers],[#Data],[subtotal label]],1,FALSE)),0,(VLOOKUP(TB_curr[[#This Row],[Synt]],GL[[#Headers],[#Data],[subtotal label]],1,FALSE)))</f>
        <v/>
      </c>
      <c r="AF257" s="1063" t="e">
        <f>IF((TB_curr[[#This Row],[Synt]]-TB_curr[[#This Row],[Subtotal Y/N]])=0,0,VLOOKUP(TB_curr[[#This Row],[Synt]],GL[[Account]:[Line]],3,FALSE))</f>
        <v>#VALUE!</v>
      </c>
      <c r="AG257" s="1063" t="e">
        <f>VLOOKUP(TB_curr[[#This Row],[Synt]],GL[[Account]:[B/P]],4,FALSE)</f>
        <v>#N/A</v>
      </c>
      <c r="AH257" s="1066" t="e">
        <v>#VALUE!</v>
      </c>
      <c r="AI257" s="1065" t="e">
        <f>TB_curr[[#This Row],[Synt]]&amp;TB_curr[[#This Row],[Line No. manual corr.]]</f>
        <v>#VALUE!</v>
      </c>
      <c r="AJ257" s="1064">
        <f t="shared" si="16"/>
        <v>0</v>
      </c>
      <c r="AK257" s="1064">
        <f t="shared" si="17"/>
        <v>0</v>
      </c>
      <c r="AL257" s="1064">
        <f t="shared" si="18"/>
        <v>0</v>
      </c>
      <c r="AM257" s="1064">
        <f t="shared" si="19"/>
        <v>0</v>
      </c>
      <c r="AN257" s="1064"/>
      <c r="AO257" s="1064">
        <f>TB_curr[[#This Row],[Closing balance]]+TB_curr[[#This Row],[Rounding]]</f>
        <v>0</v>
      </c>
    </row>
    <row r="258" spans="30:41" x14ac:dyDescent="0.25">
      <c r="AD258" s="1067" t="str">
        <f t="shared" si="15"/>
        <v/>
      </c>
      <c r="AE258" s="1063" t="str">
        <f>IF(ISNA(VLOOKUP(TB_curr[[#This Row],[Synt]],GL[[#Headers],[#Data],[subtotal label]],1,FALSE)),0,(VLOOKUP(TB_curr[[#This Row],[Synt]],GL[[#Headers],[#Data],[subtotal label]],1,FALSE)))</f>
        <v/>
      </c>
      <c r="AF258" s="1063" t="e">
        <f>IF((TB_curr[[#This Row],[Synt]]-TB_curr[[#This Row],[Subtotal Y/N]])=0,0,VLOOKUP(TB_curr[[#This Row],[Synt]],GL[[Account]:[Line]],3,FALSE))</f>
        <v>#VALUE!</v>
      </c>
      <c r="AG258" s="1063" t="e">
        <f>VLOOKUP(TB_curr[[#This Row],[Synt]],GL[[Account]:[B/P]],4,FALSE)</f>
        <v>#N/A</v>
      </c>
      <c r="AH258" s="1066" t="e">
        <v>#VALUE!</v>
      </c>
      <c r="AI258" s="1065" t="e">
        <f>TB_curr[[#This Row],[Synt]]&amp;TB_curr[[#This Row],[Line No. manual corr.]]</f>
        <v>#VALUE!</v>
      </c>
      <c r="AJ258" s="1064">
        <f t="shared" si="16"/>
        <v>0</v>
      </c>
      <c r="AK258" s="1064">
        <f t="shared" si="17"/>
        <v>0</v>
      </c>
      <c r="AL258" s="1064">
        <f t="shared" si="18"/>
        <v>0</v>
      </c>
      <c r="AM258" s="1064">
        <f t="shared" si="19"/>
        <v>0</v>
      </c>
      <c r="AN258" s="1064"/>
      <c r="AO258" s="1064">
        <f>TB_curr[[#This Row],[Closing balance]]+TB_curr[[#This Row],[Rounding]]</f>
        <v>0</v>
      </c>
    </row>
    <row r="259" spans="30:41" x14ac:dyDescent="0.25">
      <c r="AD259" s="1067" t="str">
        <f t="shared" si="15"/>
        <v/>
      </c>
      <c r="AE259" s="1063" t="str">
        <f>IF(ISNA(VLOOKUP(TB_curr[[#This Row],[Synt]],GL[[#Headers],[#Data],[subtotal label]],1,FALSE)),0,(VLOOKUP(TB_curr[[#This Row],[Synt]],GL[[#Headers],[#Data],[subtotal label]],1,FALSE)))</f>
        <v/>
      </c>
      <c r="AF259" s="1063" t="e">
        <f>IF((TB_curr[[#This Row],[Synt]]-TB_curr[[#This Row],[Subtotal Y/N]])=0,0,VLOOKUP(TB_curr[[#This Row],[Synt]],GL[[Account]:[Line]],3,FALSE))</f>
        <v>#VALUE!</v>
      </c>
      <c r="AG259" s="1063" t="e">
        <f>VLOOKUP(TB_curr[[#This Row],[Synt]],GL[[Account]:[B/P]],4,FALSE)</f>
        <v>#N/A</v>
      </c>
      <c r="AH259" s="1066" t="e">
        <v>#VALUE!</v>
      </c>
      <c r="AI259" s="1065" t="e">
        <f>TB_curr[[#This Row],[Synt]]&amp;TB_curr[[#This Row],[Line No. manual corr.]]</f>
        <v>#VALUE!</v>
      </c>
      <c r="AJ259" s="1064">
        <f t="shared" si="16"/>
        <v>0</v>
      </c>
      <c r="AK259" s="1064">
        <f t="shared" si="17"/>
        <v>0</v>
      </c>
      <c r="AL259" s="1064">
        <f t="shared" si="18"/>
        <v>0</v>
      </c>
      <c r="AM259" s="1064">
        <f t="shared" si="19"/>
        <v>0</v>
      </c>
      <c r="AN259" s="1064"/>
      <c r="AO259" s="1064">
        <f>TB_curr[[#This Row],[Closing balance]]+TB_curr[[#This Row],[Rounding]]</f>
        <v>0</v>
      </c>
    </row>
    <row r="260" spans="30:41" x14ac:dyDescent="0.25">
      <c r="AD260" s="1067" t="str">
        <f t="shared" si="15"/>
        <v/>
      </c>
      <c r="AE260" s="1063" t="str">
        <f>IF(ISNA(VLOOKUP(TB_curr[[#This Row],[Synt]],GL[[#Headers],[#Data],[subtotal label]],1,FALSE)),0,(VLOOKUP(TB_curr[[#This Row],[Synt]],GL[[#Headers],[#Data],[subtotal label]],1,FALSE)))</f>
        <v/>
      </c>
      <c r="AF260" s="1063" t="e">
        <f>IF((TB_curr[[#This Row],[Synt]]-TB_curr[[#This Row],[Subtotal Y/N]])=0,0,VLOOKUP(TB_curr[[#This Row],[Synt]],GL[[Account]:[Line]],3,FALSE))</f>
        <v>#VALUE!</v>
      </c>
      <c r="AG260" s="1063" t="e">
        <f>VLOOKUP(TB_curr[[#This Row],[Synt]],GL[[Account]:[B/P]],4,FALSE)</f>
        <v>#N/A</v>
      </c>
      <c r="AH260" s="1066" t="e">
        <v>#VALUE!</v>
      </c>
      <c r="AI260" s="1065" t="e">
        <f>TB_curr[[#This Row],[Synt]]&amp;TB_curr[[#This Row],[Line No. manual corr.]]</f>
        <v>#VALUE!</v>
      </c>
      <c r="AJ260" s="1064">
        <f t="shared" si="16"/>
        <v>0</v>
      </c>
      <c r="AK260" s="1064">
        <f t="shared" si="17"/>
        <v>0</v>
      </c>
      <c r="AL260" s="1064">
        <f t="shared" si="18"/>
        <v>0</v>
      </c>
      <c r="AM260" s="1064">
        <f t="shared" si="19"/>
        <v>0</v>
      </c>
      <c r="AN260" s="1064"/>
      <c r="AO260" s="1064">
        <f>TB_curr[[#This Row],[Closing balance]]+TB_curr[[#This Row],[Rounding]]</f>
        <v>0</v>
      </c>
    </row>
    <row r="261" spans="30:41" x14ac:dyDescent="0.25">
      <c r="AD261" s="1067" t="str">
        <f t="shared" si="15"/>
        <v/>
      </c>
      <c r="AE261" s="1063" t="str">
        <f>IF(ISNA(VLOOKUP(TB_curr[[#This Row],[Synt]],GL[[#Headers],[#Data],[subtotal label]],1,FALSE)),0,(VLOOKUP(TB_curr[[#This Row],[Synt]],GL[[#Headers],[#Data],[subtotal label]],1,FALSE)))</f>
        <v/>
      </c>
      <c r="AF261" s="1063" t="e">
        <f>IF((TB_curr[[#This Row],[Synt]]-TB_curr[[#This Row],[Subtotal Y/N]])=0,0,VLOOKUP(TB_curr[[#This Row],[Synt]],GL[[Account]:[Line]],3,FALSE))</f>
        <v>#VALUE!</v>
      </c>
      <c r="AG261" s="1063" t="e">
        <f>VLOOKUP(TB_curr[[#This Row],[Synt]],GL[[Account]:[B/P]],4,FALSE)</f>
        <v>#N/A</v>
      </c>
      <c r="AH261" s="1066" t="e">
        <v>#VALUE!</v>
      </c>
      <c r="AI261" s="1065" t="e">
        <f>TB_curr[[#This Row],[Synt]]&amp;TB_curr[[#This Row],[Line No. manual corr.]]</f>
        <v>#VALUE!</v>
      </c>
      <c r="AJ261" s="1064">
        <f t="shared" si="16"/>
        <v>0</v>
      </c>
      <c r="AK261" s="1064">
        <f t="shared" si="17"/>
        <v>0</v>
      </c>
      <c r="AL261" s="1064">
        <f t="shared" si="18"/>
        <v>0</v>
      </c>
      <c r="AM261" s="1064">
        <f t="shared" si="19"/>
        <v>0</v>
      </c>
      <c r="AN261" s="1064"/>
      <c r="AO261" s="1064">
        <f>TB_curr[[#This Row],[Closing balance]]+TB_curr[[#This Row],[Rounding]]</f>
        <v>0</v>
      </c>
    </row>
    <row r="262" spans="30:41" x14ac:dyDescent="0.25">
      <c r="AD262" s="1067" t="str">
        <f t="shared" si="15"/>
        <v/>
      </c>
      <c r="AE262" s="1063" t="str">
        <f>IF(ISNA(VLOOKUP(TB_curr[[#This Row],[Synt]],GL[[#Headers],[#Data],[subtotal label]],1,FALSE)),0,(VLOOKUP(TB_curr[[#This Row],[Synt]],GL[[#Headers],[#Data],[subtotal label]],1,FALSE)))</f>
        <v/>
      </c>
      <c r="AF262" s="1063" t="e">
        <f>IF((TB_curr[[#This Row],[Synt]]-TB_curr[[#This Row],[Subtotal Y/N]])=0,0,VLOOKUP(TB_curr[[#This Row],[Synt]],GL[[Account]:[Line]],3,FALSE))</f>
        <v>#VALUE!</v>
      </c>
      <c r="AG262" s="1063" t="e">
        <f>VLOOKUP(TB_curr[[#This Row],[Synt]],GL[[Account]:[B/P]],4,FALSE)</f>
        <v>#N/A</v>
      </c>
      <c r="AH262" s="1066" t="e">
        <v>#VALUE!</v>
      </c>
      <c r="AI262" s="1065" t="e">
        <f>TB_curr[[#This Row],[Synt]]&amp;TB_curr[[#This Row],[Line No. manual corr.]]</f>
        <v>#VALUE!</v>
      </c>
      <c r="AJ262" s="1064">
        <f t="shared" si="16"/>
        <v>0</v>
      </c>
      <c r="AK262" s="1064">
        <f t="shared" si="17"/>
        <v>0</v>
      </c>
      <c r="AL262" s="1064">
        <f t="shared" si="18"/>
        <v>0</v>
      </c>
      <c r="AM262" s="1064">
        <f t="shared" si="19"/>
        <v>0</v>
      </c>
      <c r="AN262" s="1064"/>
      <c r="AO262" s="1064">
        <f>TB_curr[[#This Row],[Closing balance]]+TB_curr[[#This Row],[Rounding]]</f>
        <v>0</v>
      </c>
    </row>
    <row r="263" spans="30:41" x14ac:dyDescent="0.25">
      <c r="AD263" s="1067" t="str">
        <f t="shared" si="15"/>
        <v/>
      </c>
      <c r="AE263" s="1063" t="str">
        <f>IF(ISNA(VLOOKUP(TB_curr[[#This Row],[Synt]],GL[[#Headers],[#Data],[subtotal label]],1,FALSE)),0,(VLOOKUP(TB_curr[[#This Row],[Synt]],GL[[#Headers],[#Data],[subtotal label]],1,FALSE)))</f>
        <v/>
      </c>
      <c r="AF263" s="1063" t="e">
        <f>IF((TB_curr[[#This Row],[Synt]]-TB_curr[[#This Row],[Subtotal Y/N]])=0,0,VLOOKUP(TB_curr[[#This Row],[Synt]],GL[[Account]:[Line]],3,FALSE))</f>
        <v>#VALUE!</v>
      </c>
      <c r="AG263" s="1063" t="e">
        <f>VLOOKUP(TB_curr[[#This Row],[Synt]],GL[[Account]:[B/P]],4,FALSE)</f>
        <v>#N/A</v>
      </c>
      <c r="AH263" s="1066" t="e">
        <v>#VALUE!</v>
      </c>
      <c r="AI263" s="1065" t="e">
        <f>TB_curr[[#This Row],[Synt]]&amp;TB_curr[[#This Row],[Line No. manual corr.]]</f>
        <v>#VALUE!</v>
      </c>
      <c r="AJ263" s="1064">
        <f t="shared" si="16"/>
        <v>0</v>
      </c>
      <c r="AK263" s="1064">
        <f t="shared" si="17"/>
        <v>0</v>
      </c>
      <c r="AL263" s="1064">
        <f t="shared" si="18"/>
        <v>0</v>
      </c>
      <c r="AM263" s="1064">
        <f t="shared" si="19"/>
        <v>0</v>
      </c>
      <c r="AN263" s="1064"/>
      <c r="AO263" s="1064">
        <f>TB_curr[[#This Row],[Closing balance]]+TB_curr[[#This Row],[Rounding]]</f>
        <v>0</v>
      </c>
    </row>
    <row r="264" spans="30:41" x14ac:dyDescent="0.25">
      <c r="AD264" s="1067" t="str">
        <f t="shared" ref="AD264:AD327" si="20">LEFT(B264,3)</f>
        <v/>
      </c>
      <c r="AE264" s="1063" t="str">
        <f>IF(ISNA(VLOOKUP(TB_curr[[#This Row],[Synt]],GL[[#Headers],[#Data],[subtotal label]],1,FALSE)),0,(VLOOKUP(TB_curr[[#This Row],[Synt]],GL[[#Headers],[#Data],[subtotal label]],1,FALSE)))</f>
        <v/>
      </c>
      <c r="AF264" s="1063" t="e">
        <f>IF((TB_curr[[#This Row],[Synt]]-TB_curr[[#This Row],[Subtotal Y/N]])=0,0,VLOOKUP(TB_curr[[#This Row],[Synt]],GL[[Account]:[Line]],3,FALSE))</f>
        <v>#VALUE!</v>
      </c>
      <c r="AG264" s="1063" t="e">
        <f>VLOOKUP(TB_curr[[#This Row],[Synt]],GL[[Account]:[B/P]],4,FALSE)</f>
        <v>#N/A</v>
      </c>
      <c r="AH264" s="1066" t="e">
        <v>#VALUE!</v>
      </c>
      <c r="AI264" s="1065" t="e">
        <f>TB_curr[[#This Row],[Synt]]&amp;TB_curr[[#This Row],[Line No. manual corr.]]</f>
        <v>#VALUE!</v>
      </c>
      <c r="AJ264" s="1064">
        <f t="shared" ref="AJ264:AJ327" si="21">K264-N264</f>
        <v>0</v>
      </c>
      <c r="AK264" s="1064">
        <f t="shared" ref="AK264:AK327" si="22">Q264</f>
        <v>0</v>
      </c>
      <c r="AL264" s="1064">
        <f t="shared" ref="AL264:AL327" si="23">U264</f>
        <v>0</v>
      </c>
      <c r="AM264" s="1064">
        <f t="shared" ref="AM264:AM327" si="24">X264-AB264</f>
        <v>0</v>
      </c>
      <c r="AN264" s="1064"/>
      <c r="AO264" s="1064">
        <f>TB_curr[[#This Row],[Closing balance]]+TB_curr[[#This Row],[Rounding]]</f>
        <v>0</v>
      </c>
    </row>
    <row r="265" spans="30:41" x14ac:dyDescent="0.25">
      <c r="AD265" s="1067" t="str">
        <f t="shared" si="20"/>
        <v/>
      </c>
      <c r="AE265" s="1063" t="str">
        <f>IF(ISNA(VLOOKUP(TB_curr[[#This Row],[Synt]],GL[[#Headers],[#Data],[subtotal label]],1,FALSE)),0,(VLOOKUP(TB_curr[[#This Row],[Synt]],GL[[#Headers],[#Data],[subtotal label]],1,FALSE)))</f>
        <v/>
      </c>
      <c r="AF265" s="1063" t="e">
        <f>IF((TB_curr[[#This Row],[Synt]]-TB_curr[[#This Row],[Subtotal Y/N]])=0,0,VLOOKUP(TB_curr[[#This Row],[Synt]],GL[[Account]:[Line]],3,FALSE))</f>
        <v>#VALUE!</v>
      </c>
      <c r="AG265" s="1063" t="e">
        <f>VLOOKUP(TB_curr[[#This Row],[Synt]],GL[[Account]:[B/P]],4,FALSE)</f>
        <v>#N/A</v>
      </c>
      <c r="AH265" s="1066" t="e">
        <v>#VALUE!</v>
      </c>
      <c r="AI265" s="1065" t="e">
        <f>TB_curr[[#This Row],[Synt]]&amp;TB_curr[[#This Row],[Line No. manual corr.]]</f>
        <v>#VALUE!</v>
      </c>
      <c r="AJ265" s="1064">
        <f t="shared" si="21"/>
        <v>0</v>
      </c>
      <c r="AK265" s="1064">
        <f t="shared" si="22"/>
        <v>0</v>
      </c>
      <c r="AL265" s="1064">
        <f t="shared" si="23"/>
        <v>0</v>
      </c>
      <c r="AM265" s="1064">
        <f t="shared" si="24"/>
        <v>0</v>
      </c>
      <c r="AN265" s="1064"/>
      <c r="AO265" s="1064">
        <f>TB_curr[[#This Row],[Closing balance]]+TB_curr[[#This Row],[Rounding]]</f>
        <v>0</v>
      </c>
    </row>
    <row r="266" spans="30:41" x14ac:dyDescent="0.25">
      <c r="AD266" s="1067" t="str">
        <f t="shared" si="20"/>
        <v/>
      </c>
      <c r="AE266" s="1063" t="str">
        <f>IF(ISNA(VLOOKUP(TB_curr[[#This Row],[Synt]],GL[[#Headers],[#Data],[subtotal label]],1,FALSE)),0,(VLOOKUP(TB_curr[[#This Row],[Synt]],GL[[#Headers],[#Data],[subtotal label]],1,FALSE)))</f>
        <v/>
      </c>
      <c r="AF266" s="1063" t="e">
        <f>IF((TB_curr[[#This Row],[Synt]]-TB_curr[[#This Row],[Subtotal Y/N]])=0,0,VLOOKUP(TB_curr[[#This Row],[Synt]],GL[[Account]:[Line]],3,FALSE))</f>
        <v>#VALUE!</v>
      </c>
      <c r="AG266" s="1063" t="e">
        <f>VLOOKUP(TB_curr[[#This Row],[Synt]],GL[[Account]:[B/P]],4,FALSE)</f>
        <v>#N/A</v>
      </c>
      <c r="AH266" s="1066" t="e">
        <v>#VALUE!</v>
      </c>
      <c r="AI266" s="1065" t="e">
        <f>TB_curr[[#This Row],[Synt]]&amp;TB_curr[[#This Row],[Line No. manual corr.]]</f>
        <v>#VALUE!</v>
      </c>
      <c r="AJ266" s="1064">
        <f t="shared" si="21"/>
        <v>0</v>
      </c>
      <c r="AK266" s="1064">
        <f t="shared" si="22"/>
        <v>0</v>
      </c>
      <c r="AL266" s="1064">
        <f t="shared" si="23"/>
        <v>0</v>
      </c>
      <c r="AM266" s="1064">
        <f t="shared" si="24"/>
        <v>0</v>
      </c>
      <c r="AN266" s="1064"/>
      <c r="AO266" s="1064">
        <f>TB_curr[[#This Row],[Closing balance]]+TB_curr[[#This Row],[Rounding]]</f>
        <v>0</v>
      </c>
    </row>
    <row r="267" spans="30:41" x14ac:dyDescent="0.25">
      <c r="AD267" s="1067" t="str">
        <f t="shared" si="20"/>
        <v/>
      </c>
      <c r="AE267" s="1063" t="str">
        <f>IF(ISNA(VLOOKUP(TB_curr[[#This Row],[Synt]],GL[[#Headers],[#Data],[subtotal label]],1,FALSE)),0,(VLOOKUP(TB_curr[[#This Row],[Synt]],GL[[#Headers],[#Data],[subtotal label]],1,FALSE)))</f>
        <v/>
      </c>
      <c r="AF267" s="1063" t="e">
        <f>IF((TB_curr[[#This Row],[Synt]]-TB_curr[[#This Row],[Subtotal Y/N]])=0,0,VLOOKUP(TB_curr[[#This Row],[Synt]],GL[[Account]:[Line]],3,FALSE))</f>
        <v>#VALUE!</v>
      </c>
      <c r="AG267" s="1063" t="e">
        <f>VLOOKUP(TB_curr[[#This Row],[Synt]],GL[[Account]:[B/P]],4,FALSE)</f>
        <v>#N/A</v>
      </c>
      <c r="AH267" s="1066" t="e">
        <v>#VALUE!</v>
      </c>
      <c r="AI267" s="1065" t="e">
        <f>TB_curr[[#This Row],[Synt]]&amp;TB_curr[[#This Row],[Line No. manual corr.]]</f>
        <v>#VALUE!</v>
      </c>
      <c r="AJ267" s="1064">
        <f t="shared" si="21"/>
        <v>0</v>
      </c>
      <c r="AK267" s="1064">
        <f t="shared" si="22"/>
        <v>0</v>
      </c>
      <c r="AL267" s="1064">
        <f t="shared" si="23"/>
        <v>0</v>
      </c>
      <c r="AM267" s="1064">
        <f t="shared" si="24"/>
        <v>0</v>
      </c>
      <c r="AN267" s="1064"/>
      <c r="AO267" s="1064">
        <f>TB_curr[[#This Row],[Closing balance]]+TB_curr[[#This Row],[Rounding]]</f>
        <v>0</v>
      </c>
    </row>
    <row r="268" spans="30:41" x14ac:dyDescent="0.25">
      <c r="AD268" s="1067" t="str">
        <f t="shared" si="20"/>
        <v/>
      </c>
      <c r="AE268" s="1063" t="str">
        <f>IF(ISNA(VLOOKUP(TB_curr[[#This Row],[Synt]],GL[[#Headers],[#Data],[subtotal label]],1,FALSE)),0,(VLOOKUP(TB_curr[[#This Row],[Synt]],GL[[#Headers],[#Data],[subtotal label]],1,FALSE)))</f>
        <v/>
      </c>
      <c r="AF268" s="1063" t="e">
        <f>IF((TB_curr[[#This Row],[Synt]]-TB_curr[[#This Row],[Subtotal Y/N]])=0,0,VLOOKUP(TB_curr[[#This Row],[Synt]],GL[[Account]:[Line]],3,FALSE))</f>
        <v>#VALUE!</v>
      </c>
      <c r="AG268" s="1063" t="e">
        <f>VLOOKUP(TB_curr[[#This Row],[Synt]],GL[[Account]:[B/P]],4,FALSE)</f>
        <v>#N/A</v>
      </c>
      <c r="AH268" s="1066" t="e">
        <v>#VALUE!</v>
      </c>
      <c r="AI268" s="1065" t="e">
        <f>TB_curr[[#This Row],[Synt]]&amp;TB_curr[[#This Row],[Line No. manual corr.]]</f>
        <v>#VALUE!</v>
      </c>
      <c r="AJ268" s="1064">
        <f t="shared" si="21"/>
        <v>0</v>
      </c>
      <c r="AK268" s="1064">
        <f t="shared" si="22"/>
        <v>0</v>
      </c>
      <c r="AL268" s="1064">
        <f t="shared" si="23"/>
        <v>0</v>
      </c>
      <c r="AM268" s="1064">
        <f t="shared" si="24"/>
        <v>0</v>
      </c>
      <c r="AN268" s="1064"/>
      <c r="AO268" s="1064">
        <f>TB_curr[[#This Row],[Closing balance]]+TB_curr[[#This Row],[Rounding]]</f>
        <v>0</v>
      </c>
    </row>
    <row r="269" spans="30:41" x14ac:dyDescent="0.25">
      <c r="AD269" s="1067" t="str">
        <f t="shared" si="20"/>
        <v/>
      </c>
      <c r="AE269" s="1063" t="str">
        <f>IF(ISNA(VLOOKUP(TB_curr[[#This Row],[Synt]],GL[[#Headers],[#Data],[subtotal label]],1,FALSE)),0,(VLOOKUP(TB_curr[[#This Row],[Synt]],GL[[#Headers],[#Data],[subtotal label]],1,FALSE)))</f>
        <v/>
      </c>
      <c r="AF269" s="1063" t="e">
        <f>IF((TB_curr[[#This Row],[Synt]]-TB_curr[[#This Row],[Subtotal Y/N]])=0,0,VLOOKUP(TB_curr[[#This Row],[Synt]],GL[[Account]:[Line]],3,FALSE))</f>
        <v>#VALUE!</v>
      </c>
      <c r="AG269" s="1063" t="e">
        <f>VLOOKUP(TB_curr[[#This Row],[Synt]],GL[[Account]:[B/P]],4,FALSE)</f>
        <v>#N/A</v>
      </c>
      <c r="AH269" s="1066" t="e">
        <v>#VALUE!</v>
      </c>
      <c r="AI269" s="1065" t="e">
        <f>TB_curr[[#This Row],[Synt]]&amp;TB_curr[[#This Row],[Line No. manual corr.]]</f>
        <v>#VALUE!</v>
      </c>
      <c r="AJ269" s="1064">
        <f t="shared" si="21"/>
        <v>0</v>
      </c>
      <c r="AK269" s="1064">
        <f t="shared" si="22"/>
        <v>0</v>
      </c>
      <c r="AL269" s="1064">
        <f t="shared" si="23"/>
        <v>0</v>
      </c>
      <c r="AM269" s="1064">
        <f t="shared" si="24"/>
        <v>0</v>
      </c>
      <c r="AN269" s="1064"/>
      <c r="AO269" s="1064">
        <f>TB_curr[[#This Row],[Closing balance]]+TB_curr[[#This Row],[Rounding]]</f>
        <v>0</v>
      </c>
    </row>
    <row r="270" spans="30:41" x14ac:dyDescent="0.25">
      <c r="AD270" s="1067" t="str">
        <f t="shared" si="20"/>
        <v/>
      </c>
      <c r="AE270" s="1063" t="str">
        <f>IF(ISNA(VLOOKUP(TB_curr[[#This Row],[Synt]],GL[[#Headers],[#Data],[subtotal label]],1,FALSE)),0,(VLOOKUP(TB_curr[[#This Row],[Synt]],GL[[#Headers],[#Data],[subtotal label]],1,FALSE)))</f>
        <v/>
      </c>
      <c r="AF270" s="1063" t="e">
        <f>IF((TB_curr[[#This Row],[Synt]]-TB_curr[[#This Row],[Subtotal Y/N]])=0,0,VLOOKUP(TB_curr[[#This Row],[Synt]],GL[[Account]:[Line]],3,FALSE))</f>
        <v>#VALUE!</v>
      </c>
      <c r="AG270" s="1063" t="e">
        <f>VLOOKUP(TB_curr[[#This Row],[Synt]],GL[[Account]:[B/P]],4,FALSE)</f>
        <v>#N/A</v>
      </c>
      <c r="AH270" s="1066" t="e">
        <v>#VALUE!</v>
      </c>
      <c r="AI270" s="1065" t="e">
        <f>TB_curr[[#This Row],[Synt]]&amp;TB_curr[[#This Row],[Line No. manual corr.]]</f>
        <v>#VALUE!</v>
      </c>
      <c r="AJ270" s="1064">
        <f t="shared" si="21"/>
        <v>0</v>
      </c>
      <c r="AK270" s="1064">
        <f t="shared" si="22"/>
        <v>0</v>
      </c>
      <c r="AL270" s="1064">
        <f t="shared" si="23"/>
        <v>0</v>
      </c>
      <c r="AM270" s="1064">
        <f t="shared" si="24"/>
        <v>0</v>
      </c>
      <c r="AN270" s="1064"/>
      <c r="AO270" s="1064">
        <f>TB_curr[[#This Row],[Closing balance]]+TB_curr[[#This Row],[Rounding]]</f>
        <v>0</v>
      </c>
    </row>
    <row r="271" spans="30:41" x14ac:dyDescent="0.25">
      <c r="AD271" s="1067" t="str">
        <f t="shared" si="20"/>
        <v/>
      </c>
      <c r="AE271" s="1063" t="str">
        <f>IF(ISNA(VLOOKUP(TB_curr[[#This Row],[Synt]],GL[[#Headers],[#Data],[subtotal label]],1,FALSE)),0,(VLOOKUP(TB_curr[[#This Row],[Synt]],GL[[#Headers],[#Data],[subtotal label]],1,FALSE)))</f>
        <v/>
      </c>
      <c r="AF271" s="1063" t="e">
        <f>IF((TB_curr[[#This Row],[Synt]]-TB_curr[[#This Row],[Subtotal Y/N]])=0,0,VLOOKUP(TB_curr[[#This Row],[Synt]],GL[[Account]:[Line]],3,FALSE))</f>
        <v>#VALUE!</v>
      </c>
      <c r="AG271" s="1063" t="e">
        <f>VLOOKUP(TB_curr[[#This Row],[Synt]],GL[[Account]:[B/P]],4,FALSE)</f>
        <v>#N/A</v>
      </c>
      <c r="AH271" s="1066" t="e">
        <v>#VALUE!</v>
      </c>
      <c r="AI271" s="1065" t="e">
        <f>TB_curr[[#This Row],[Synt]]&amp;TB_curr[[#This Row],[Line No. manual corr.]]</f>
        <v>#VALUE!</v>
      </c>
      <c r="AJ271" s="1064">
        <f t="shared" si="21"/>
        <v>0</v>
      </c>
      <c r="AK271" s="1064">
        <f t="shared" si="22"/>
        <v>0</v>
      </c>
      <c r="AL271" s="1064">
        <f t="shared" si="23"/>
        <v>0</v>
      </c>
      <c r="AM271" s="1064">
        <f t="shared" si="24"/>
        <v>0</v>
      </c>
      <c r="AN271" s="1064"/>
      <c r="AO271" s="1064">
        <f>TB_curr[[#This Row],[Closing balance]]+TB_curr[[#This Row],[Rounding]]</f>
        <v>0</v>
      </c>
    </row>
    <row r="272" spans="30:41" x14ac:dyDescent="0.25">
      <c r="AD272" s="1067" t="str">
        <f t="shared" si="20"/>
        <v/>
      </c>
      <c r="AE272" s="1063" t="str">
        <f>IF(ISNA(VLOOKUP(TB_curr[[#This Row],[Synt]],GL[[#Headers],[#Data],[subtotal label]],1,FALSE)),0,(VLOOKUP(TB_curr[[#This Row],[Synt]],GL[[#Headers],[#Data],[subtotal label]],1,FALSE)))</f>
        <v/>
      </c>
      <c r="AF272" s="1063" t="e">
        <f>IF((TB_curr[[#This Row],[Synt]]-TB_curr[[#This Row],[Subtotal Y/N]])=0,0,VLOOKUP(TB_curr[[#This Row],[Synt]],GL[[Account]:[Line]],3,FALSE))</f>
        <v>#VALUE!</v>
      </c>
      <c r="AG272" s="1063" t="e">
        <f>VLOOKUP(TB_curr[[#This Row],[Synt]],GL[[Account]:[B/P]],4,FALSE)</f>
        <v>#N/A</v>
      </c>
      <c r="AH272" s="1066" t="e">
        <v>#VALUE!</v>
      </c>
      <c r="AI272" s="1065" t="e">
        <f>TB_curr[[#This Row],[Synt]]&amp;TB_curr[[#This Row],[Line No. manual corr.]]</f>
        <v>#VALUE!</v>
      </c>
      <c r="AJ272" s="1064">
        <f t="shared" si="21"/>
        <v>0</v>
      </c>
      <c r="AK272" s="1064">
        <f t="shared" si="22"/>
        <v>0</v>
      </c>
      <c r="AL272" s="1064">
        <f t="shared" si="23"/>
        <v>0</v>
      </c>
      <c r="AM272" s="1064">
        <f t="shared" si="24"/>
        <v>0</v>
      </c>
      <c r="AN272" s="1064"/>
      <c r="AO272" s="1064">
        <f>TB_curr[[#This Row],[Closing balance]]+TB_curr[[#This Row],[Rounding]]</f>
        <v>0</v>
      </c>
    </row>
    <row r="273" spans="30:41" x14ac:dyDescent="0.25">
      <c r="AD273" s="1067" t="str">
        <f t="shared" si="20"/>
        <v/>
      </c>
      <c r="AE273" s="1063" t="str">
        <f>IF(ISNA(VLOOKUP(TB_curr[[#This Row],[Synt]],GL[[#Headers],[#Data],[subtotal label]],1,FALSE)),0,(VLOOKUP(TB_curr[[#This Row],[Synt]],GL[[#Headers],[#Data],[subtotal label]],1,FALSE)))</f>
        <v/>
      </c>
      <c r="AF273" s="1063" t="e">
        <f>IF((TB_curr[[#This Row],[Synt]]-TB_curr[[#This Row],[Subtotal Y/N]])=0,0,VLOOKUP(TB_curr[[#This Row],[Synt]],GL[[Account]:[Line]],3,FALSE))</f>
        <v>#VALUE!</v>
      </c>
      <c r="AG273" s="1063" t="e">
        <f>VLOOKUP(TB_curr[[#This Row],[Synt]],GL[[Account]:[B/P]],4,FALSE)</f>
        <v>#N/A</v>
      </c>
      <c r="AH273" s="1066" t="e">
        <v>#VALUE!</v>
      </c>
      <c r="AI273" s="1065" t="e">
        <f>TB_curr[[#This Row],[Synt]]&amp;TB_curr[[#This Row],[Line No. manual corr.]]</f>
        <v>#VALUE!</v>
      </c>
      <c r="AJ273" s="1064">
        <f t="shared" si="21"/>
        <v>0</v>
      </c>
      <c r="AK273" s="1064">
        <f t="shared" si="22"/>
        <v>0</v>
      </c>
      <c r="AL273" s="1064">
        <f t="shared" si="23"/>
        <v>0</v>
      </c>
      <c r="AM273" s="1064">
        <f t="shared" si="24"/>
        <v>0</v>
      </c>
      <c r="AN273" s="1064"/>
      <c r="AO273" s="1064">
        <f>TB_curr[[#This Row],[Closing balance]]+TB_curr[[#This Row],[Rounding]]</f>
        <v>0</v>
      </c>
    </row>
    <row r="274" spans="30:41" x14ac:dyDescent="0.25">
      <c r="AD274" s="1067" t="str">
        <f t="shared" si="20"/>
        <v/>
      </c>
      <c r="AE274" s="1063" t="str">
        <f>IF(ISNA(VLOOKUP(TB_curr[[#This Row],[Synt]],GL[[#Headers],[#Data],[subtotal label]],1,FALSE)),0,(VLOOKUP(TB_curr[[#This Row],[Synt]],GL[[#Headers],[#Data],[subtotal label]],1,FALSE)))</f>
        <v/>
      </c>
      <c r="AF274" s="1063" t="e">
        <f>IF((TB_curr[[#This Row],[Synt]]-TB_curr[[#This Row],[Subtotal Y/N]])=0,0,VLOOKUP(TB_curr[[#This Row],[Synt]],GL[[Account]:[Line]],3,FALSE))</f>
        <v>#VALUE!</v>
      </c>
      <c r="AG274" s="1063" t="e">
        <f>VLOOKUP(TB_curr[[#This Row],[Synt]],GL[[Account]:[B/P]],4,FALSE)</f>
        <v>#N/A</v>
      </c>
      <c r="AH274" s="1066" t="e">
        <v>#VALUE!</v>
      </c>
      <c r="AI274" s="1065" t="e">
        <f>TB_curr[[#This Row],[Synt]]&amp;TB_curr[[#This Row],[Line No. manual corr.]]</f>
        <v>#VALUE!</v>
      </c>
      <c r="AJ274" s="1064">
        <f t="shared" si="21"/>
        <v>0</v>
      </c>
      <c r="AK274" s="1064">
        <f t="shared" si="22"/>
        <v>0</v>
      </c>
      <c r="AL274" s="1064">
        <f t="shared" si="23"/>
        <v>0</v>
      </c>
      <c r="AM274" s="1064">
        <f t="shared" si="24"/>
        <v>0</v>
      </c>
      <c r="AN274" s="1064"/>
      <c r="AO274" s="1064">
        <f>TB_curr[[#This Row],[Closing balance]]+TB_curr[[#This Row],[Rounding]]</f>
        <v>0</v>
      </c>
    </row>
    <row r="275" spans="30:41" x14ac:dyDescent="0.25">
      <c r="AD275" s="1067" t="str">
        <f t="shared" si="20"/>
        <v/>
      </c>
      <c r="AE275" s="1063" t="str">
        <f>IF(ISNA(VLOOKUP(TB_curr[[#This Row],[Synt]],GL[[#Headers],[#Data],[subtotal label]],1,FALSE)),0,(VLOOKUP(TB_curr[[#This Row],[Synt]],GL[[#Headers],[#Data],[subtotal label]],1,FALSE)))</f>
        <v/>
      </c>
      <c r="AF275" s="1063" t="e">
        <f>IF((TB_curr[[#This Row],[Synt]]-TB_curr[[#This Row],[Subtotal Y/N]])=0,0,VLOOKUP(TB_curr[[#This Row],[Synt]],GL[[Account]:[Line]],3,FALSE))</f>
        <v>#VALUE!</v>
      </c>
      <c r="AG275" s="1063" t="e">
        <f>VLOOKUP(TB_curr[[#This Row],[Synt]],GL[[Account]:[B/P]],4,FALSE)</f>
        <v>#N/A</v>
      </c>
      <c r="AH275" s="1066" t="e">
        <v>#VALUE!</v>
      </c>
      <c r="AI275" s="1065" t="e">
        <f>TB_curr[[#This Row],[Synt]]&amp;TB_curr[[#This Row],[Line No. manual corr.]]</f>
        <v>#VALUE!</v>
      </c>
      <c r="AJ275" s="1064">
        <f t="shared" si="21"/>
        <v>0</v>
      </c>
      <c r="AK275" s="1064">
        <f t="shared" si="22"/>
        <v>0</v>
      </c>
      <c r="AL275" s="1064">
        <f t="shared" si="23"/>
        <v>0</v>
      </c>
      <c r="AM275" s="1064">
        <f t="shared" si="24"/>
        <v>0</v>
      </c>
      <c r="AN275" s="1064"/>
      <c r="AO275" s="1064">
        <f>TB_curr[[#This Row],[Closing balance]]+TB_curr[[#This Row],[Rounding]]</f>
        <v>0</v>
      </c>
    </row>
    <row r="276" spans="30:41" x14ac:dyDescent="0.25">
      <c r="AD276" s="1067" t="str">
        <f t="shared" si="20"/>
        <v/>
      </c>
      <c r="AE276" s="1063" t="str">
        <f>IF(ISNA(VLOOKUP(TB_curr[[#This Row],[Synt]],GL[[#Headers],[#Data],[subtotal label]],1,FALSE)),0,(VLOOKUP(TB_curr[[#This Row],[Synt]],GL[[#Headers],[#Data],[subtotal label]],1,FALSE)))</f>
        <v/>
      </c>
      <c r="AF276" s="1063" t="e">
        <f>IF((TB_curr[[#This Row],[Synt]]-TB_curr[[#This Row],[Subtotal Y/N]])=0,0,VLOOKUP(TB_curr[[#This Row],[Synt]],GL[[Account]:[Line]],3,FALSE))</f>
        <v>#VALUE!</v>
      </c>
      <c r="AG276" s="1063" t="e">
        <f>VLOOKUP(TB_curr[[#This Row],[Synt]],GL[[Account]:[B/P]],4,FALSE)</f>
        <v>#N/A</v>
      </c>
      <c r="AH276" s="1066" t="e">
        <v>#VALUE!</v>
      </c>
      <c r="AI276" s="1065" t="e">
        <f>TB_curr[[#This Row],[Synt]]&amp;TB_curr[[#This Row],[Line No. manual corr.]]</f>
        <v>#VALUE!</v>
      </c>
      <c r="AJ276" s="1064">
        <f t="shared" si="21"/>
        <v>0</v>
      </c>
      <c r="AK276" s="1064">
        <f t="shared" si="22"/>
        <v>0</v>
      </c>
      <c r="AL276" s="1064">
        <f t="shared" si="23"/>
        <v>0</v>
      </c>
      <c r="AM276" s="1064">
        <f t="shared" si="24"/>
        <v>0</v>
      </c>
      <c r="AN276" s="1064"/>
      <c r="AO276" s="1064">
        <f>TB_curr[[#This Row],[Closing balance]]+TB_curr[[#This Row],[Rounding]]</f>
        <v>0</v>
      </c>
    </row>
    <row r="277" spans="30:41" x14ac:dyDescent="0.25">
      <c r="AD277" s="1067" t="str">
        <f t="shared" si="20"/>
        <v/>
      </c>
      <c r="AE277" s="1063" t="str">
        <f>IF(ISNA(VLOOKUP(TB_curr[[#This Row],[Synt]],GL[[#Headers],[#Data],[subtotal label]],1,FALSE)),0,(VLOOKUP(TB_curr[[#This Row],[Synt]],GL[[#Headers],[#Data],[subtotal label]],1,FALSE)))</f>
        <v/>
      </c>
      <c r="AF277" s="1063" t="e">
        <f>IF((TB_curr[[#This Row],[Synt]]-TB_curr[[#This Row],[Subtotal Y/N]])=0,0,VLOOKUP(TB_curr[[#This Row],[Synt]],GL[[Account]:[Line]],3,FALSE))</f>
        <v>#VALUE!</v>
      </c>
      <c r="AG277" s="1063" t="e">
        <f>VLOOKUP(TB_curr[[#This Row],[Synt]],GL[[Account]:[B/P]],4,FALSE)</f>
        <v>#N/A</v>
      </c>
      <c r="AH277" s="1066" t="e">
        <v>#VALUE!</v>
      </c>
      <c r="AI277" s="1065" t="e">
        <f>TB_curr[[#This Row],[Synt]]&amp;TB_curr[[#This Row],[Line No. manual corr.]]</f>
        <v>#VALUE!</v>
      </c>
      <c r="AJ277" s="1064">
        <f t="shared" si="21"/>
        <v>0</v>
      </c>
      <c r="AK277" s="1064">
        <f t="shared" si="22"/>
        <v>0</v>
      </c>
      <c r="AL277" s="1064">
        <f t="shared" si="23"/>
        <v>0</v>
      </c>
      <c r="AM277" s="1064">
        <f t="shared" si="24"/>
        <v>0</v>
      </c>
      <c r="AN277" s="1064"/>
      <c r="AO277" s="1064">
        <f>TB_curr[[#This Row],[Closing balance]]+TB_curr[[#This Row],[Rounding]]</f>
        <v>0</v>
      </c>
    </row>
    <row r="278" spans="30:41" x14ac:dyDescent="0.25">
      <c r="AD278" s="1067" t="str">
        <f t="shared" si="20"/>
        <v/>
      </c>
      <c r="AE278" s="1063" t="str">
        <f>IF(ISNA(VLOOKUP(TB_curr[[#This Row],[Synt]],GL[[#Headers],[#Data],[subtotal label]],1,FALSE)),0,(VLOOKUP(TB_curr[[#This Row],[Synt]],GL[[#Headers],[#Data],[subtotal label]],1,FALSE)))</f>
        <v/>
      </c>
      <c r="AF278" s="1063" t="e">
        <f>IF((TB_curr[[#This Row],[Synt]]-TB_curr[[#This Row],[Subtotal Y/N]])=0,0,VLOOKUP(TB_curr[[#This Row],[Synt]],GL[[Account]:[Line]],3,FALSE))</f>
        <v>#VALUE!</v>
      </c>
      <c r="AG278" s="1063" t="e">
        <f>VLOOKUP(TB_curr[[#This Row],[Synt]],GL[[Account]:[B/P]],4,FALSE)</f>
        <v>#N/A</v>
      </c>
      <c r="AH278" s="1066" t="e">
        <v>#VALUE!</v>
      </c>
      <c r="AI278" s="1065" t="e">
        <f>TB_curr[[#This Row],[Synt]]&amp;TB_curr[[#This Row],[Line No. manual corr.]]</f>
        <v>#VALUE!</v>
      </c>
      <c r="AJ278" s="1064">
        <f t="shared" si="21"/>
        <v>0</v>
      </c>
      <c r="AK278" s="1064">
        <f t="shared" si="22"/>
        <v>0</v>
      </c>
      <c r="AL278" s="1064">
        <f t="shared" si="23"/>
        <v>0</v>
      </c>
      <c r="AM278" s="1064">
        <f t="shared" si="24"/>
        <v>0</v>
      </c>
      <c r="AN278" s="1064"/>
      <c r="AO278" s="1064">
        <f>TB_curr[[#This Row],[Closing balance]]+TB_curr[[#This Row],[Rounding]]</f>
        <v>0</v>
      </c>
    </row>
    <row r="279" spans="30:41" x14ac:dyDescent="0.25">
      <c r="AD279" s="1067" t="str">
        <f t="shared" si="20"/>
        <v/>
      </c>
      <c r="AE279" s="1063" t="str">
        <f>IF(ISNA(VLOOKUP(TB_curr[[#This Row],[Synt]],GL[[#Headers],[#Data],[subtotal label]],1,FALSE)),0,(VLOOKUP(TB_curr[[#This Row],[Synt]],GL[[#Headers],[#Data],[subtotal label]],1,FALSE)))</f>
        <v/>
      </c>
      <c r="AF279" s="1063" t="e">
        <f>IF((TB_curr[[#This Row],[Synt]]-TB_curr[[#This Row],[Subtotal Y/N]])=0,0,VLOOKUP(TB_curr[[#This Row],[Synt]],GL[[Account]:[Line]],3,FALSE))</f>
        <v>#VALUE!</v>
      </c>
      <c r="AG279" s="1063" t="e">
        <f>VLOOKUP(TB_curr[[#This Row],[Synt]],GL[[Account]:[B/P]],4,FALSE)</f>
        <v>#N/A</v>
      </c>
      <c r="AH279" s="1066" t="e">
        <v>#VALUE!</v>
      </c>
      <c r="AI279" s="1065" t="e">
        <f>TB_curr[[#This Row],[Synt]]&amp;TB_curr[[#This Row],[Line No. manual corr.]]</f>
        <v>#VALUE!</v>
      </c>
      <c r="AJ279" s="1064">
        <f t="shared" si="21"/>
        <v>0</v>
      </c>
      <c r="AK279" s="1064">
        <f t="shared" si="22"/>
        <v>0</v>
      </c>
      <c r="AL279" s="1064">
        <f t="shared" si="23"/>
        <v>0</v>
      </c>
      <c r="AM279" s="1064">
        <f t="shared" si="24"/>
        <v>0</v>
      </c>
      <c r="AN279" s="1064"/>
      <c r="AO279" s="1064">
        <f>TB_curr[[#This Row],[Closing balance]]+TB_curr[[#This Row],[Rounding]]</f>
        <v>0</v>
      </c>
    </row>
    <row r="280" spans="30:41" x14ac:dyDescent="0.25">
      <c r="AD280" s="1067" t="str">
        <f t="shared" si="20"/>
        <v/>
      </c>
      <c r="AE280" s="1063" t="str">
        <f>IF(ISNA(VLOOKUP(TB_curr[[#This Row],[Synt]],GL[[#Headers],[#Data],[subtotal label]],1,FALSE)),0,(VLOOKUP(TB_curr[[#This Row],[Synt]],GL[[#Headers],[#Data],[subtotal label]],1,FALSE)))</f>
        <v/>
      </c>
      <c r="AF280" s="1063" t="e">
        <f>IF((TB_curr[[#This Row],[Synt]]-TB_curr[[#This Row],[Subtotal Y/N]])=0,0,VLOOKUP(TB_curr[[#This Row],[Synt]],GL[[Account]:[Line]],3,FALSE))</f>
        <v>#VALUE!</v>
      </c>
      <c r="AG280" s="1063" t="e">
        <f>VLOOKUP(TB_curr[[#This Row],[Synt]],GL[[Account]:[B/P]],4,FALSE)</f>
        <v>#N/A</v>
      </c>
      <c r="AH280" s="1066" t="e">
        <v>#VALUE!</v>
      </c>
      <c r="AI280" s="1065" t="e">
        <f>TB_curr[[#This Row],[Synt]]&amp;TB_curr[[#This Row],[Line No. manual corr.]]</f>
        <v>#VALUE!</v>
      </c>
      <c r="AJ280" s="1064">
        <f t="shared" si="21"/>
        <v>0</v>
      </c>
      <c r="AK280" s="1064">
        <f t="shared" si="22"/>
        <v>0</v>
      </c>
      <c r="AL280" s="1064">
        <f t="shared" si="23"/>
        <v>0</v>
      </c>
      <c r="AM280" s="1064">
        <f t="shared" si="24"/>
        <v>0</v>
      </c>
      <c r="AN280" s="1064"/>
      <c r="AO280" s="1064">
        <f>TB_curr[[#This Row],[Closing balance]]+TB_curr[[#This Row],[Rounding]]</f>
        <v>0</v>
      </c>
    </row>
    <row r="281" spans="30:41" x14ac:dyDescent="0.25">
      <c r="AD281" s="1067" t="str">
        <f t="shared" si="20"/>
        <v/>
      </c>
      <c r="AE281" s="1063" t="str">
        <f>IF(ISNA(VLOOKUP(TB_curr[[#This Row],[Synt]],GL[[#Headers],[#Data],[subtotal label]],1,FALSE)),0,(VLOOKUP(TB_curr[[#This Row],[Synt]],GL[[#Headers],[#Data],[subtotal label]],1,FALSE)))</f>
        <v/>
      </c>
      <c r="AF281" s="1063" t="e">
        <f>IF((TB_curr[[#This Row],[Synt]]-TB_curr[[#This Row],[Subtotal Y/N]])=0,0,VLOOKUP(TB_curr[[#This Row],[Synt]],GL[[Account]:[Line]],3,FALSE))</f>
        <v>#VALUE!</v>
      </c>
      <c r="AG281" s="1063" t="e">
        <f>VLOOKUP(TB_curr[[#This Row],[Synt]],GL[[Account]:[B/P]],4,FALSE)</f>
        <v>#N/A</v>
      </c>
      <c r="AH281" s="1066" t="e">
        <v>#VALUE!</v>
      </c>
      <c r="AI281" s="1065" t="e">
        <f>TB_curr[[#This Row],[Synt]]&amp;TB_curr[[#This Row],[Line No. manual corr.]]</f>
        <v>#VALUE!</v>
      </c>
      <c r="AJ281" s="1064">
        <f t="shared" si="21"/>
        <v>0</v>
      </c>
      <c r="AK281" s="1064">
        <f t="shared" si="22"/>
        <v>0</v>
      </c>
      <c r="AL281" s="1064">
        <f t="shared" si="23"/>
        <v>0</v>
      </c>
      <c r="AM281" s="1064">
        <f t="shared" si="24"/>
        <v>0</v>
      </c>
      <c r="AN281" s="1064"/>
      <c r="AO281" s="1064">
        <f>TB_curr[[#This Row],[Closing balance]]+TB_curr[[#This Row],[Rounding]]</f>
        <v>0</v>
      </c>
    </row>
    <row r="282" spans="30:41" x14ac:dyDescent="0.25">
      <c r="AD282" s="1067" t="str">
        <f t="shared" si="20"/>
        <v/>
      </c>
      <c r="AE282" s="1063" t="str">
        <f>IF(ISNA(VLOOKUP(TB_curr[[#This Row],[Synt]],GL[[#Headers],[#Data],[subtotal label]],1,FALSE)),0,(VLOOKUP(TB_curr[[#This Row],[Synt]],GL[[#Headers],[#Data],[subtotal label]],1,FALSE)))</f>
        <v/>
      </c>
      <c r="AF282" s="1063" t="e">
        <f>IF((TB_curr[[#This Row],[Synt]]-TB_curr[[#This Row],[Subtotal Y/N]])=0,0,VLOOKUP(TB_curr[[#This Row],[Synt]],GL[[Account]:[Line]],3,FALSE))</f>
        <v>#VALUE!</v>
      </c>
      <c r="AG282" s="1063" t="e">
        <f>VLOOKUP(TB_curr[[#This Row],[Synt]],GL[[Account]:[B/P]],4,FALSE)</f>
        <v>#N/A</v>
      </c>
      <c r="AH282" s="1066" t="e">
        <v>#VALUE!</v>
      </c>
      <c r="AI282" s="1065" t="e">
        <f>TB_curr[[#This Row],[Synt]]&amp;TB_curr[[#This Row],[Line No. manual corr.]]</f>
        <v>#VALUE!</v>
      </c>
      <c r="AJ282" s="1064">
        <f t="shared" si="21"/>
        <v>0</v>
      </c>
      <c r="AK282" s="1064">
        <f t="shared" si="22"/>
        <v>0</v>
      </c>
      <c r="AL282" s="1064">
        <f t="shared" si="23"/>
        <v>0</v>
      </c>
      <c r="AM282" s="1064">
        <f t="shared" si="24"/>
        <v>0</v>
      </c>
      <c r="AN282" s="1064"/>
      <c r="AO282" s="1064">
        <f>TB_curr[[#This Row],[Closing balance]]+TB_curr[[#This Row],[Rounding]]</f>
        <v>0</v>
      </c>
    </row>
    <row r="283" spans="30:41" x14ac:dyDescent="0.25">
      <c r="AD283" s="1067" t="str">
        <f t="shared" si="20"/>
        <v/>
      </c>
      <c r="AE283" s="1063" t="str">
        <f>IF(ISNA(VLOOKUP(TB_curr[[#This Row],[Synt]],GL[[#Headers],[#Data],[subtotal label]],1,FALSE)),0,(VLOOKUP(TB_curr[[#This Row],[Synt]],GL[[#Headers],[#Data],[subtotal label]],1,FALSE)))</f>
        <v/>
      </c>
      <c r="AF283" s="1063" t="e">
        <f>IF((TB_curr[[#This Row],[Synt]]-TB_curr[[#This Row],[Subtotal Y/N]])=0,0,VLOOKUP(TB_curr[[#This Row],[Synt]],GL[[Account]:[Line]],3,FALSE))</f>
        <v>#VALUE!</v>
      </c>
      <c r="AG283" s="1063" t="e">
        <f>VLOOKUP(TB_curr[[#This Row],[Synt]],GL[[Account]:[B/P]],4,FALSE)</f>
        <v>#N/A</v>
      </c>
      <c r="AH283" s="1066" t="e">
        <v>#VALUE!</v>
      </c>
      <c r="AI283" s="1065" t="e">
        <f>TB_curr[[#This Row],[Synt]]&amp;TB_curr[[#This Row],[Line No. manual corr.]]</f>
        <v>#VALUE!</v>
      </c>
      <c r="AJ283" s="1064">
        <f t="shared" si="21"/>
        <v>0</v>
      </c>
      <c r="AK283" s="1064">
        <f t="shared" si="22"/>
        <v>0</v>
      </c>
      <c r="AL283" s="1064">
        <f t="shared" si="23"/>
        <v>0</v>
      </c>
      <c r="AM283" s="1064">
        <f t="shared" si="24"/>
        <v>0</v>
      </c>
      <c r="AN283" s="1064"/>
      <c r="AO283" s="1064">
        <f>TB_curr[[#This Row],[Closing balance]]+TB_curr[[#This Row],[Rounding]]</f>
        <v>0</v>
      </c>
    </row>
    <row r="284" spans="30:41" x14ac:dyDescent="0.25">
      <c r="AD284" s="1067" t="str">
        <f t="shared" si="20"/>
        <v/>
      </c>
      <c r="AE284" s="1063" t="str">
        <f>IF(ISNA(VLOOKUP(TB_curr[[#This Row],[Synt]],GL[[#Headers],[#Data],[subtotal label]],1,FALSE)),0,(VLOOKUP(TB_curr[[#This Row],[Synt]],GL[[#Headers],[#Data],[subtotal label]],1,FALSE)))</f>
        <v/>
      </c>
      <c r="AF284" s="1063" t="e">
        <f>IF((TB_curr[[#This Row],[Synt]]-TB_curr[[#This Row],[Subtotal Y/N]])=0,0,VLOOKUP(TB_curr[[#This Row],[Synt]],GL[[Account]:[Line]],3,FALSE))</f>
        <v>#VALUE!</v>
      </c>
      <c r="AG284" s="1063" t="e">
        <f>VLOOKUP(TB_curr[[#This Row],[Synt]],GL[[Account]:[B/P]],4,FALSE)</f>
        <v>#N/A</v>
      </c>
      <c r="AH284" s="1066" t="e">
        <v>#VALUE!</v>
      </c>
      <c r="AI284" s="1065" t="e">
        <f>TB_curr[[#This Row],[Synt]]&amp;TB_curr[[#This Row],[Line No. manual corr.]]</f>
        <v>#VALUE!</v>
      </c>
      <c r="AJ284" s="1064">
        <f t="shared" si="21"/>
        <v>0</v>
      </c>
      <c r="AK284" s="1064">
        <f t="shared" si="22"/>
        <v>0</v>
      </c>
      <c r="AL284" s="1064">
        <f t="shared" si="23"/>
        <v>0</v>
      </c>
      <c r="AM284" s="1064">
        <f t="shared" si="24"/>
        <v>0</v>
      </c>
      <c r="AN284" s="1064"/>
      <c r="AO284" s="1064">
        <f>TB_curr[[#This Row],[Closing balance]]+TB_curr[[#This Row],[Rounding]]</f>
        <v>0</v>
      </c>
    </row>
    <row r="285" spans="30:41" x14ac:dyDescent="0.25">
      <c r="AD285" s="1067" t="str">
        <f t="shared" si="20"/>
        <v/>
      </c>
      <c r="AE285" s="1063" t="str">
        <f>IF(ISNA(VLOOKUP(TB_curr[[#This Row],[Synt]],GL[[#Headers],[#Data],[subtotal label]],1,FALSE)),0,(VLOOKUP(TB_curr[[#This Row],[Synt]],GL[[#Headers],[#Data],[subtotal label]],1,FALSE)))</f>
        <v/>
      </c>
      <c r="AF285" s="1063" t="e">
        <f>IF((TB_curr[[#This Row],[Synt]]-TB_curr[[#This Row],[Subtotal Y/N]])=0,0,VLOOKUP(TB_curr[[#This Row],[Synt]],GL[[Account]:[Line]],3,FALSE))</f>
        <v>#VALUE!</v>
      </c>
      <c r="AG285" s="1063" t="e">
        <f>VLOOKUP(TB_curr[[#This Row],[Synt]],GL[[Account]:[B/P]],4,FALSE)</f>
        <v>#N/A</v>
      </c>
      <c r="AH285" s="1066" t="e">
        <v>#VALUE!</v>
      </c>
      <c r="AI285" s="1065" t="e">
        <f>TB_curr[[#This Row],[Synt]]&amp;TB_curr[[#This Row],[Line No. manual corr.]]</f>
        <v>#VALUE!</v>
      </c>
      <c r="AJ285" s="1064">
        <f t="shared" si="21"/>
        <v>0</v>
      </c>
      <c r="AK285" s="1064">
        <f t="shared" si="22"/>
        <v>0</v>
      </c>
      <c r="AL285" s="1064">
        <f t="shared" si="23"/>
        <v>0</v>
      </c>
      <c r="AM285" s="1064">
        <f t="shared" si="24"/>
        <v>0</v>
      </c>
      <c r="AN285" s="1064"/>
      <c r="AO285" s="1064">
        <f>TB_curr[[#This Row],[Closing balance]]+TB_curr[[#This Row],[Rounding]]</f>
        <v>0</v>
      </c>
    </row>
    <row r="286" spans="30:41" x14ac:dyDescent="0.25">
      <c r="AD286" s="1067" t="str">
        <f t="shared" si="20"/>
        <v/>
      </c>
      <c r="AE286" s="1063" t="str">
        <f>IF(ISNA(VLOOKUP(TB_curr[[#This Row],[Synt]],GL[[#Headers],[#Data],[subtotal label]],1,FALSE)),0,(VLOOKUP(TB_curr[[#This Row],[Synt]],GL[[#Headers],[#Data],[subtotal label]],1,FALSE)))</f>
        <v/>
      </c>
      <c r="AF286" s="1063" t="e">
        <f>IF((TB_curr[[#This Row],[Synt]]-TB_curr[[#This Row],[Subtotal Y/N]])=0,0,VLOOKUP(TB_curr[[#This Row],[Synt]],GL[[Account]:[Line]],3,FALSE))</f>
        <v>#VALUE!</v>
      </c>
      <c r="AG286" s="1063" t="e">
        <f>VLOOKUP(TB_curr[[#This Row],[Synt]],GL[[Account]:[B/P]],4,FALSE)</f>
        <v>#N/A</v>
      </c>
      <c r="AH286" s="1066" t="e">
        <v>#VALUE!</v>
      </c>
      <c r="AI286" s="1065" t="e">
        <f>TB_curr[[#This Row],[Synt]]&amp;TB_curr[[#This Row],[Line No. manual corr.]]</f>
        <v>#VALUE!</v>
      </c>
      <c r="AJ286" s="1064">
        <f t="shared" si="21"/>
        <v>0</v>
      </c>
      <c r="AK286" s="1064">
        <f t="shared" si="22"/>
        <v>0</v>
      </c>
      <c r="AL286" s="1064">
        <f t="shared" si="23"/>
        <v>0</v>
      </c>
      <c r="AM286" s="1064">
        <f t="shared" si="24"/>
        <v>0</v>
      </c>
      <c r="AN286" s="1064"/>
      <c r="AO286" s="1064">
        <f>TB_curr[[#This Row],[Closing balance]]+TB_curr[[#This Row],[Rounding]]</f>
        <v>0</v>
      </c>
    </row>
    <row r="287" spans="30:41" x14ac:dyDescent="0.25">
      <c r="AD287" s="1067" t="str">
        <f t="shared" si="20"/>
        <v/>
      </c>
      <c r="AE287" s="1063" t="str">
        <f>IF(ISNA(VLOOKUP(TB_curr[[#This Row],[Synt]],GL[[#Headers],[#Data],[subtotal label]],1,FALSE)),0,(VLOOKUP(TB_curr[[#This Row],[Synt]],GL[[#Headers],[#Data],[subtotal label]],1,FALSE)))</f>
        <v/>
      </c>
      <c r="AF287" s="1063" t="e">
        <f>IF((TB_curr[[#This Row],[Synt]]-TB_curr[[#This Row],[Subtotal Y/N]])=0,0,VLOOKUP(TB_curr[[#This Row],[Synt]],GL[[Account]:[Line]],3,FALSE))</f>
        <v>#VALUE!</v>
      </c>
      <c r="AG287" s="1063" t="e">
        <f>VLOOKUP(TB_curr[[#This Row],[Synt]],GL[[Account]:[B/P]],4,FALSE)</f>
        <v>#N/A</v>
      </c>
      <c r="AH287" s="1066" t="e">
        <v>#VALUE!</v>
      </c>
      <c r="AI287" s="1065" t="e">
        <f>TB_curr[[#This Row],[Synt]]&amp;TB_curr[[#This Row],[Line No. manual corr.]]</f>
        <v>#VALUE!</v>
      </c>
      <c r="AJ287" s="1064">
        <f t="shared" si="21"/>
        <v>0</v>
      </c>
      <c r="AK287" s="1064">
        <f t="shared" si="22"/>
        <v>0</v>
      </c>
      <c r="AL287" s="1064">
        <f t="shared" si="23"/>
        <v>0</v>
      </c>
      <c r="AM287" s="1064">
        <f t="shared" si="24"/>
        <v>0</v>
      </c>
      <c r="AN287" s="1064"/>
      <c r="AO287" s="1064">
        <f>TB_curr[[#This Row],[Closing balance]]+TB_curr[[#This Row],[Rounding]]</f>
        <v>0</v>
      </c>
    </row>
    <row r="288" spans="30:41" x14ac:dyDescent="0.25">
      <c r="AD288" s="1067" t="str">
        <f t="shared" si="20"/>
        <v/>
      </c>
      <c r="AE288" s="1063" t="str">
        <f>IF(ISNA(VLOOKUP(TB_curr[[#This Row],[Synt]],GL[[#Headers],[#Data],[subtotal label]],1,FALSE)),0,(VLOOKUP(TB_curr[[#This Row],[Synt]],GL[[#Headers],[#Data],[subtotal label]],1,FALSE)))</f>
        <v/>
      </c>
      <c r="AF288" s="1063" t="e">
        <f>IF((TB_curr[[#This Row],[Synt]]-TB_curr[[#This Row],[Subtotal Y/N]])=0,0,VLOOKUP(TB_curr[[#This Row],[Synt]],GL[[Account]:[Line]],3,FALSE))</f>
        <v>#VALUE!</v>
      </c>
      <c r="AG288" s="1063" t="e">
        <f>VLOOKUP(TB_curr[[#This Row],[Synt]],GL[[Account]:[B/P]],4,FALSE)</f>
        <v>#N/A</v>
      </c>
      <c r="AH288" s="1066" t="e">
        <v>#VALUE!</v>
      </c>
      <c r="AI288" s="1065" t="e">
        <f>TB_curr[[#This Row],[Synt]]&amp;TB_curr[[#This Row],[Line No. manual corr.]]</f>
        <v>#VALUE!</v>
      </c>
      <c r="AJ288" s="1064">
        <f t="shared" si="21"/>
        <v>0</v>
      </c>
      <c r="AK288" s="1064">
        <f t="shared" si="22"/>
        <v>0</v>
      </c>
      <c r="AL288" s="1064">
        <f t="shared" si="23"/>
        <v>0</v>
      </c>
      <c r="AM288" s="1064">
        <f t="shared" si="24"/>
        <v>0</v>
      </c>
      <c r="AN288" s="1064"/>
      <c r="AO288" s="1064">
        <f>TB_curr[[#This Row],[Closing balance]]+TB_curr[[#This Row],[Rounding]]</f>
        <v>0</v>
      </c>
    </row>
    <row r="289" spans="30:41" x14ac:dyDescent="0.25">
      <c r="AD289" s="1067" t="str">
        <f t="shared" si="20"/>
        <v/>
      </c>
      <c r="AE289" s="1063" t="str">
        <f>IF(ISNA(VLOOKUP(TB_curr[[#This Row],[Synt]],GL[[#Headers],[#Data],[subtotal label]],1,FALSE)),0,(VLOOKUP(TB_curr[[#This Row],[Synt]],GL[[#Headers],[#Data],[subtotal label]],1,FALSE)))</f>
        <v/>
      </c>
      <c r="AF289" s="1063" t="e">
        <f>IF((TB_curr[[#This Row],[Synt]]-TB_curr[[#This Row],[Subtotal Y/N]])=0,0,VLOOKUP(TB_curr[[#This Row],[Synt]],GL[[Account]:[Line]],3,FALSE))</f>
        <v>#VALUE!</v>
      </c>
      <c r="AG289" s="1063" t="e">
        <f>VLOOKUP(TB_curr[[#This Row],[Synt]],GL[[Account]:[B/P]],4,FALSE)</f>
        <v>#N/A</v>
      </c>
      <c r="AH289" s="1066" t="e">
        <v>#VALUE!</v>
      </c>
      <c r="AI289" s="1065" t="e">
        <f>TB_curr[[#This Row],[Synt]]&amp;TB_curr[[#This Row],[Line No. manual corr.]]</f>
        <v>#VALUE!</v>
      </c>
      <c r="AJ289" s="1064">
        <f t="shared" si="21"/>
        <v>0</v>
      </c>
      <c r="AK289" s="1064">
        <f t="shared" si="22"/>
        <v>0</v>
      </c>
      <c r="AL289" s="1064">
        <f t="shared" si="23"/>
        <v>0</v>
      </c>
      <c r="AM289" s="1064">
        <f t="shared" si="24"/>
        <v>0</v>
      </c>
      <c r="AN289" s="1064"/>
      <c r="AO289" s="1064">
        <f>TB_curr[[#This Row],[Closing balance]]+TB_curr[[#This Row],[Rounding]]</f>
        <v>0</v>
      </c>
    </row>
    <row r="290" spans="30:41" x14ac:dyDescent="0.25">
      <c r="AD290" s="1067" t="str">
        <f t="shared" si="20"/>
        <v/>
      </c>
      <c r="AE290" s="1063" t="str">
        <f>IF(ISNA(VLOOKUP(TB_curr[[#This Row],[Synt]],GL[[#Headers],[#Data],[subtotal label]],1,FALSE)),0,(VLOOKUP(TB_curr[[#This Row],[Synt]],GL[[#Headers],[#Data],[subtotal label]],1,FALSE)))</f>
        <v/>
      </c>
      <c r="AF290" s="1063" t="e">
        <f>IF((TB_curr[[#This Row],[Synt]]-TB_curr[[#This Row],[Subtotal Y/N]])=0,0,VLOOKUP(TB_curr[[#This Row],[Synt]],GL[[Account]:[Line]],3,FALSE))</f>
        <v>#VALUE!</v>
      </c>
      <c r="AG290" s="1063" t="e">
        <f>VLOOKUP(TB_curr[[#This Row],[Synt]],GL[[Account]:[B/P]],4,FALSE)</f>
        <v>#N/A</v>
      </c>
      <c r="AH290" s="1066" t="e">
        <v>#VALUE!</v>
      </c>
      <c r="AI290" s="1065" t="e">
        <f>TB_curr[[#This Row],[Synt]]&amp;TB_curr[[#This Row],[Line No. manual corr.]]</f>
        <v>#VALUE!</v>
      </c>
      <c r="AJ290" s="1064">
        <f t="shared" si="21"/>
        <v>0</v>
      </c>
      <c r="AK290" s="1064">
        <f t="shared" si="22"/>
        <v>0</v>
      </c>
      <c r="AL290" s="1064">
        <f t="shared" si="23"/>
        <v>0</v>
      </c>
      <c r="AM290" s="1064">
        <f t="shared" si="24"/>
        <v>0</v>
      </c>
      <c r="AN290" s="1064"/>
      <c r="AO290" s="1064">
        <f>TB_curr[[#This Row],[Closing balance]]+TB_curr[[#This Row],[Rounding]]</f>
        <v>0</v>
      </c>
    </row>
    <row r="291" spans="30:41" x14ac:dyDescent="0.25">
      <c r="AD291" s="1067" t="str">
        <f t="shared" si="20"/>
        <v/>
      </c>
      <c r="AE291" s="1063" t="str">
        <f>IF(ISNA(VLOOKUP(TB_curr[[#This Row],[Synt]],GL[[#Headers],[#Data],[subtotal label]],1,FALSE)),0,(VLOOKUP(TB_curr[[#This Row],[Synt]],GL[[#Headers],[#Data],[subtotal label]],1,FALSE)))</f>
        <v/>
      </c>
      <c r="AF291" s="1063" t="e">
        <f>IF((TB_curr[[#This Row],[Synt]]-TB_curr[[#This Row],[Subtotal Y/N]])=0,0,VLOOKUP(TB_curr[[#This Row],[Synt]],GL[[Account]:[Line]],3,FALSE))</f>
        <v>#VALUE!</v>
      </c>
      <c r="AG291" s="1063" t="e">
        <f>VLOOKUP(TB_curr[[#This Row],[Synt]],GL[[Account]:[B/P]],4,FALSE)</f>
        <v>#N/A</v>
      </c>
      <c r="AH291" s="1066" t="e">
        <v>#VALUE!</v>
      </c>
      <c r="AI291" s="1065" t="e">
        <f>TB_curr[[#This Row],[Synt]]&amp;TB_curr[[#This Row],[Line No. manual corr.]]</f>
        <v>#VALUE!</v>
      </c>
      <c r="AJ291" s="1064">
        <f t="shared" si="21"/>
        <v>0</v>
      </c>
      <c r="AK291" s="1064">
        <f t="shared" si="22"/>
        <v>0</v>
      </c>
      <c r="AL291" s="1064">
        <f t="shared" si="23"/>
        <v>0</v>
      </c>
      <c r="AM291" s="1064">
        <f t="shared" si="24"/>
        <v>0</v>
      </c>
      <c r="AN291" s="1064"/>
      <c r="AO291" s="1064">
        <f>TB_curr[[#This Row],[Closing balance]]+TB_curr[[#This Row],[Rounding]]</f>
        <v>0</v>
      </c>
    </row>
    <row r="292" spans="30:41" x14ac:dyDescent="0.25">
      <c r="AD292" s="1067" t="str">
        <f t="shared" si="20"/>
        <v/>
      </c>
      <c r="AE292" s="1063" t="str">
        <f>IF(ISNA(VLOOKUP(TB_curr[[#This Row],[Synt]],GL[[#Headers],[#Data],[subtotal label]],1,FALSE)),0,(VLOOKUP(TB_curr[[#This Row],[Synt]],GL[[#Headers],[#Data],[subtotal label]],1,FALSE)))</f>
        <v/>
      </c>
      <c r="AF292" s="1063" t="e">
        <f>IF((TB_curr[[#This Row],[Synt]]-TB_curr[[#This Row],[Subtotal Y/N]])=0,0,VLOOKUP(TB_curr[[#This Row],[Synt]],GL[[Account]:[Line]],3,FALSE))</f>
        <v>#VALUE!</v>
      </c>
      <c r="AG292" s="1063" t="e">
        <f>VLOOKUP(TB_curr[[#This Row],[Synt]],GL[[Account]:[B/P]],4,FALSE)</f>
        <v>#N/A</v>
      </c>
      <c r="AH292" s="1066" t="e">
        <v>#VALUE!</v>
      </c>
      <c r="AI292" s="1065" t="e">
        <f>TB_curr[[#This Row],[Synt]]&amp;TB_curr[[#This Row],[Line No. manual corr.]]</f>
        <v>#VALUE!</v>
      </c>
      <c r="AJ292" s="1064">
        <f t="shared" si="21"/>
        <v>0</v>
      </c>
      <c r="AK292" s="1064">
        <f t="shared" si="22"/>
        <v>0</v>
      </c>
      <c r="AL292" s="1064">
        <f t="shared" si="23"/>
        <v>0</v>
      </c>
      <c r="AM292" s="1064">
        <f t="shared" si="24"/>
        <v>0</v>
      </c>
      <c r="AN292" s="1064"/>
      <c r="AO292" s="1064">
        <f>TB_curr[[#This Row],[Closing balance]]+TB_curr[[#This Row],[Rounding]]</f>
        <v>0</v>
      </c>
    </row>
    <row r="293" spans="30:41" x14ac:dyDescent="0.25">
      <c r="AD293" s="1067" t="str">
        <f t="shared" si="20"/>
        <v/>
      </c>
      <c r="AE293" s="1063" t="str">
        <f>IF(ISNA(VLOOKUP(TB_curr[[#This Row],[Synt]],GL[[#Headers],[#Data],[subtotal label]],1,FALSE)),0,(VLOOKUP(TB_curr[[#This Row],[Synt]],GL[[#Headers],[#Data],[subtotal label]],1,FALSE)))</f>
        <v/>
      </c>
      <c r="AF293" s="1063" t="e">
        <f>IF((TB_curr[[#This Row],[Synt]]-TB_curr[[#This Row],[Subtotal Y/N]])=0,0,VLOOKUP(TB_curr[[#This Row],[Synt]],GL[[Account]:[Line]],3,FALSE))</f>
        <v>#VALUE!</v>
      </c>
      <c r="AG293" s="1063" t="e">
        <f>VLOOKUP(TB_curr[[#This Row],[Synt]],GL[[Account]:[B/P]],4,FALSE)</f>
        <v>#N/A</v>
      </c>
      <c r="AH293" s="1066" t="e">
        <v>#VALUE!</v>
      </c>
      <c r="AI293" s="1065" t="e">
        <f>TB_curr[[#This Row],[Synt]]&amp;TB_curr[[#This Row],[Line No. manual corr.]]</f>
        <v>#VALUE!</v>
      </c>
      <c r="AJ293" s="1064">
        <f t="shared" si="21"/>
        <v>0</v>
      </c>
      <c r="AK293" s="1064">
        <f t="shared" si="22"/>
        <v>0</v>
      </c>
      <c r="AL293" s="1064">
        <f t="shared" si="23"/>
        <v>0</v>
      </c>
      <c r="AM293" s="1064">
        <f t="shared" si="24"/>
        <v>0</v>
      </c>
      <c r="AN293" s="1064"/>
      <c r="AO293" s="1064">
        <f>TB_curr[[#This Row],[Closing balance]]+TB_curr[[#This Row],[Rounding]]</f>
        <v>0</v>
      </c>
    </row>
    <row r="294" spans="30:41" x14ac:dyDescent="0.25">
      <c r="AD294" s="1067" t="str">
        <f t="shared" si="20"/>
        <v/>
      </c>
      <c r="AE294" s="1063" t="str">
        <f>IF(ISNA(VLOOKUP(TB_curr[[#This Row],[Synt]],GL[[#Headers],[#Data],[subtotal label]],1,FALSE)),0,(VLOOKUP(TB_curr[[#This Row],[Synt]],GL[[#Headers],[#Data],[subtotal label]],1,FALSE)))</f>
        <v/>
      </c>
      <c r="AF294" s="1063" t="e">
        <f>IF((TB_curr[[#This Row],[Synt]]-TB_curr[[#This Row],[Subtotal Y/N]])=0,0,VLOOKUP(TB_curr[[#This Row],[Synt]],GL[[Account]:[Line]],3,FALSE))</f>
        <v>#VALUE!</v>
      </c>
      <c r="AG294" s="1063" t="e">
        <f>VLOOKUP(TB_curr[[#This Row],[Synt]],GL[[Account]:[B/P]],4,FALSE)</f>
        <v>#N/A</v>
      </c>
      <c r="AH294" s="1066" t="e">
        <v>#VALUE!</v>
      </c>
      <c r="AI294" s="1065" t="e">
        <f>TB_curr[[#This Row],[Synt]]&amp;TB_curr[[#This Row],[Line No. manual corr.]]</f>
        <v>#VALUE!</v>
      </c>
      <c r="AJ294" s="1064">
        <f t="shared" si="21"/>
        <v>0</v>
      </c>
      <c r="AK294" s="1064">
        <f t="shared" si="22"/>
        <v>0</v>
      </c>
      <c r="AL294" s="1064">
        <f t="shared" si="23"/>
        <v>0</v>
      </c>
      <c r="AM294" s="1064">
        <f t="shared" si="24"/>
        <v>0</v>
      </c>
      <c r="AN294" s="1064"/>
      <c r="AO294" s="1064">
        <f>TB_curr[[#This Row],[Closing balance]]+TB_curr[[#This Row],[Rounding]]</f>
        <v>0</v>
      </c>
    </row>
    <row r="295" spans="30:41" x14ac:dyDescent="0.25">
      <c r="AD295" s="1067" t="str">
        <f t="shared" si="20"/>
        <v/>
      </c>
      <c r="AE295" s="1063" t="str">
        <f>IF(ISNA(VLOOKUP(TB_curr[[#This Row],[Synt]],GL[[#Headers],[#Data],[subtotal label]],1,FALSE)),0,(VLOOKUP(TB_curr[[#This Row],[Synt]],GL[[#Headers],[#Data],[subtotal label]],1,FALSE)))</f>
        <v/>
      </c>
      <c r="AF295" s="1063" t="e">
        <f>IF((TB_curr[[#This Row],[Synt]]-TB_curr[[#This Row],[Subtotal Y/N]])=0,0,VLOOKUP(TB_curr[[#This Row],[Synt]],GL[[Account]:[Line]],3,FALSE))</f>
        <v>#VALUE!</v>
      </c>
      <c r="AG295" s="1063" t="e">
        <f>VLOOKUP(TB_curr[[#This Row],[Synt]],GL[[Account]:[B/P]],4,FALSE)</f>
        <v>#N/A</v>
      </c>
      <c r="AH295" s="1066" t="e">
        <v>#VALUE!</v>
      </c>
      <c r="AI295" s="1065" t="e">
        <f>TB_curr[[#This Row],[Synt]]&amp;TB_curr[[#This Row],[Line No. manual corr.]]</f>
        <v>#VALUE!</v>
      </c>
      <c r="AJ295" s="1064">
        <f t="shared" si="21"/>
        <v>0</v>
      </c>
      <c r="AK295" s="1064">
        <f t="shared" si="22"/>
        <v>0</v>
      </c>
      <c r="AL295" s="1064">
        <f t="shared" si="23"/>
        <v>0</v>
      </c>
      <c r="AM295" s="1064">
        <f t="shared" si="24"/>
        <v>0</v>
      </c>
      <c r="AN295" s="1064"/>
      <c r="AO295" s="1064">
        <f>TB_curr[[#This Row],[Closing balance]]+TB_curr[[#This Row],[Rounding]]</f>
        <v>0</v>
      </c>
    </row>
    <row r="296" spans="30:41" x14ac:dyDescent="0.25">
      <c r="AD296" s="1067" t="str">
        <f t="shared" si="20"/>
        <v/>
      </c>
      <c r="AE296" s="1063" t="str">
        <f>IF(ISNA(VLOOKUP(TB_curr[[#This Row],[Synt]],GL[[#Headers],[#Data],[subtotal label]],1,FALSE)),0,(VLOOKUP(TB_curr[[#This Row],[Synt]],GL[[#Headers],[#Data],[subtotal label]],1,FALSE)))</f>
        <v/>
      </c>
      <c r="AF296" s="1063" t="e">
        <f>IF((TB_curr[[#This Row],[Synt]]-TB_curr[[#This Row],[Subtotal Y/N]])=0,0,VLOOKUP(TB_curr[[#This Row],[Synt]],GL[[Account]:[Line]],3,FALSE))</f>
        <v>#VALUE!</v>
      </c>
      <c r="AG296" s="1063" t="e">
        <f>VLOOKUP(TB_curr[[#This Row],[Synt]],GL[[Account]:[B/P]],4,FALSE)</f>
        <v>#N/A</v>
      </c>
      <c r="AH296" s="1066" t="e">
        <v>#VALUE!</v>
      </c>
      <c r="AI296" s="1065" t="e">
        <f>TB_curr[[#This Row],[Synt]]&amp;TB_curr[[#This Row],[Line No. manual corr.]]</f>
        <v>#VALUE!</v>
      </c>
      <c r="AJ296" s="1064">
        <f t="shared" si="21"/>
        <v>0</v>
      </c>
      <c r="AK296" s="1064">
        <f t="shared" si="22"/>
        <v>0</v>
      </c>
      <c r="AL296" s="1064">
        <f t="shared" si="23"/>
        <v>0</v>
      </c>
      <c r="AM296" s="1064">
        <f t="shared" si="24"/>
        <v>0</v>
      </c>
      <c r="AN296" s="1064"/>
      <c r="AO296" s="1064">
        <f>TB_curr[[#This Row],[Closing balance]]+TB_curr[[#This Row],[Rounding]]</f>
        <v>0</v>
      </c>
    </row>
    <row r="297" spans="30:41" x14ac:dyDescent="0.25">
      <c r="AD297" s="1067" t="str">
        <f t="shared" si="20"/>
        <v/>
      </c>
      <c r="AE297" s="1063" t="str">
        <f>IF(ISNA(VLOOKUP(TB_curr[[#This Row],[Synt]],GL[[#Headers],[#Data],[subtotal label]],1,FALSE)),0,(VLOOKUP(TB_curr[[#This Row],[Synt]],GL[[#Headers],[#Data],[subtotal label]],1,FALSE)))</f>
        <v/>
      </c>
      <c r="AF297" s="1063" t="e">
        <f>IF((TB_curr[[#This Row],[Synt]]-TB_curr[[#This Row],[Subtotal Y/N]])=0,0,VLOOKUP(TB_curr[[#This Row],[Synt]],GL[[Account]:[Line]],3,FALSE))</f>
        <v>#VALUE!</v>
      </c>
      <c r="AG297" s="1063" t="e">
        <f>VLOOKUP(TB_curr[[#This Row],[Synt]],GL[[Account]:[B/P]],4,FALSE)</f>
        <v>#N/A</v>
      </c>
      <c r="AH297" s="1066" t="e">
        <v>#VALUE!</v>
      </c>
      <c r="AI297" s="1065" t="e">
        <f>TB_curr[[#This Row],[Synt]]&amp;TB_curr[[#This Row],[Line No. manual corr.]]</f>
        <v>#VALUE!</v>
      </c>
      <c r="AJ297" s="1064">
        <f t="shared" si="21"/>
        <v>0</v>
      </c>
      <c r="AK297" s="1064">
        <f t="shared" si="22"/>
        <v>0</v>
      </c>
      <c r="AL297" s="1064">
        <f t="shared" si="23"/>
        <v>0</v>
      </c>
      <c r="AM297" s="1064">
        <f t="shared" si="24"/>
        <v>0</v>
      </c>
      <c r="AN297" s="1064"/>
      <c r="AO297" s="1064">
        <f>TB_curr[[#This Row],[Closing balance]]+TB_curr[[#This Row],[Rounding]]</f>
        <v>0</v>
      </c>
    </row>
    <row r="298" spans="30:41" x14ac:dyDescent="0.25">
      <c r="AD298" s="1067" t="str">
        <f t="shared" si="20"/>
        <v/>
      </c>
      <c r="AE298" s="1063" t="str">
        <f>IF(ISNA(VLOOKUP(TB_curr[[#This Row],[Synt]],GL[[#Headers],[#Data],[subtotal label]],1,FALSE)),0,(VLOOKUP(TB_curr[[#This Row],[Synt]],GL[[#Headers],[#Data],[subtotal label]],1,FALSE)))</f>
        <v/>
      </c>
      <c r="AF298" s="1063" t="e">
        <f>IF((TB_curr[[#This Row],[Synt]]-TB_curr[[#This Row],[Subtotal Y/N]])=0,0,VLOOKUP(TB_curr[[#This Row],[Synt]],GL[[Account]:[Line]],3,FALSE))</f>
        <v>#VALUE!</v>
      </c>
      <c r="AG298" s="1063" t="e">
        <f>VLOOKUP(TB_curr[[#This Row],[Synt]],GL[[Account]:[B/P]],4,FALSE)</f>
        <v>#N/A</v>
      </c>
      <c r="AH298" s="1066" t="e">
        <v>#VALUE!</v>
      </c>
      <c r="AI298" s="1065" t="e">
        <f>TB_curr[[#This Row],[Synt]]&amp;TB_curr[[#This Row],[Line No. manual corr.]]</f>
        <v>#VALUE!</v>
      </c>
      <c r="AJ298" s="1064">
        <f t="shared" si="21"/>
        <v>0</v>
      </c>
      <c r="AK298" s="1064">
        <f t="shared" si="22"/>
        <v>0</v>
      </c>
      <c r="AL298" s="1064">
        <f t="shared" si="23"/>
        <v>0</v>
      </c>
      <c r="AM298" s="1064">
        <f t="shared" si="24"/>
        <v>0</v>
      </c>
      <c r="AN298" s="1064"/>
      <c r="AO298" s="1064">
        <f>TB_curr[[#This Row],[Closing balance]]+TB_curr[[#This Row],[Rounding]]</f>
        <v>0</v>
      </c>
    </row>
    <row r="299" spans="30:41" x14ac:dyDescent="0.25">
      <c r="AD299" s="1067" t="str">
        <f t="shared" si="20"/>
        <v/>
      </c>
      <c r="AE299" s="1063" t="str">
        <f>IF(ISNA(VLOOKUP(TB_curr[[#This Row],[Synt]],GL[[#Headers],[#Data],[subtotal label]],1,FALSE)),0,(VLOOKUP(TB_curr[[#This Row],[Synt]],GL[[#Headers],[#Data],[subtotal label]],1,FALSE)))</f>
        <v/>
      </c>
      <c r="AF299" s="1063" t="e">
        <f>IF((TB_curr[[#This Row],[Synt]]-TB_curr[[#This Row],[Subtotal Y/N]])=0,0,VLOOKUP(TB_curr[[#This Row],[Synt]],GL[[Account]:[Line]],3,FALSE))</f>
        <v>#VALUE!</v>
      </c>
      <c r="AG299" s="1063" t="e">
        <f>VLOOKUP(TB_curr[[#This Row],[Synt]],GL[[Account]:[B/P]],4,FALSE)</f>
        <v>#N/A</v>
      </c>
      <c r="AH299" s="1066" t="e">
        <v>#VALUE!</v>
      </c>
      <c r="AI299" s="1065" t="e">
        <f>TB_curr[[#This Row],[Synt]]&amp;TB_curr[[#This Row],[Line No. manual corr.]]</f>
        <v>#VALUE!</v>
      </c>
      <c r="AJ299" s="1064">
        <f t="shared" si="21"/>
        <v>0</v>
      </c>
      <c r="AK299" s="1064">
        <f t="shared" si="22"/>
        <v>0</v>
      </c>
      <c r="AL299" s="1064">
        <f t="shared" si="23"/>
        <v>0</v>
      </c>
      <c r="AM299" s="1064">
        <f t="shared" si="24"/>
        <v>0</v>
      </c>
      <c r="AN299" s="1064"/>
      <c r="AO299" s="1064">
        <f>TB_curr[[#This Row],[Closing balance]]+TB_curr[[#This Row],[Rounding]]</f>
        <v>0</v>
      </c>
    </row>
    <row r="300" spans="30:41" x14ac:dyDescent="0.25">
      <c r="AD300" s="1067" t="str">
        <f t="shared" si="20"/>
        <v/>
      </c>
      <c r="AE300" s="1063" t="str">
        <f>IF(ISNA(VLOOKUP(TB_curr[[#This Row],[Synt]],GL[[#Headers],[#Data],[subtotal label]],1,FALSE)),0,(VLOOKUP(TB_curr[[#This Row],[Synt]],GL[[#Headers],[#Data],[subtotal label]],1,FALSE)))</f>
        <v/>
      </c>
      <c r="AF300" s="1063" t="e">
        <f>IF((TB_curr[[#This Row],[Synt]]-TB_curr[[#This Row],[Subtotal Y/N]])=0,0,VLOOKUP(TB_curr[[#This Row],[Synt]],GL[[Account]:[Line]],3,FALSE))</f>
        <v>#VALUE!</v>
      </c>
      <c r="AG300" s="1063" t="e">
        <f>VLOOKUP(TB_curr[[#This Row],[Synt]],GL[[Account]:[B/P]],4,FALSE)</f>
        <v>#N/A</v>
      </c>
      <c r="AH300" s="1066" t="e">
        <v>#VALUE!</v>
      </c>
      <c r="AI300" s="1065" t="e">
        <f>TB_curr[[#This Row],[Synt]]&amp;TB_curr[[#This Row],[Line No. manual corr.]]</f>
        <v>#VALUE!</v>
      </c>
      <c r="AJ300" s="1064">
        <f t="shared" si="21"/>
        <v>0</v>
      </c>
      <c r="AK300" s="1064">
        <f t="shared" si="22"/>
        <v>0</v>
      </c>
      <c r="AL300" s="1064">
        <f t="shared" si="23"/>
        <v>0</v>
      </c>
      <c r="AM300" s="1064">
        <f t="shared" si="24"/>
        <v>0</v>
      </c>
      <c r="AN300" s="1064"/>
      <c r="AO300" s="1064">
        <f>TB_curr[[#This Row],[Closing balance]]+TB_curr[[#This Row],[Rounding]]</f>
        <v>0</v>
      </c>
    </row>
    <row r="301" spans="30:41" x14ac:dyDescent="0.25">
      <c r="AD301" s="1067" t="str">
        <f t="shared" si="20"/>
        <v/>
      </c>
      <c r="AE301" s="1063" t="str">
        <f>IF(ISNA(VLOOKUP(TB_curr[[#This Row],[Synt]],GL[[#Headers],[#Data],[subtotal label]],1,FALSE)),0,(VLOOKUP(TB_curr[[#This Row],[Synt]],GL[[#Headers],[#Data],[subtotal label]],1,FALSE)))</f>
        <v/>
      </c>
      <c r="AF301" s="1063" t="e">
        <f>IF((TB_curr[[#This Row],[Synt]]-TB_curr[[#This Row],[Subtotal Y/N]])=0,0,VLOOKUP(TB_curr[[#This Row],[Synt]],GL[[Account]:[Line]],3,FALSE))</f>
        <v>#VALUE!</v>
      </c>
      <c r="AG301" s="1063" t="e">
        <f>VLOOKUP(TB_curr[[#This Row],[Synt]],GL[[Account]:[B/P]],4,FALSE)</f>
        <v>#N/A</v>
      </c>
      <c r="AH301" s="1066" t="e">
        <v>#VALUE!</v>
      </c>
      <c r="AI301" s="1065" t="e">
        <f>TB_curr[[#This Row],[Synt]]&amp;TB_curr[[#This Row],[Line No. manual corr.]]</f>
        <v>#VALUE!</v>
      </c>
      <c r="AJ301" s="1064">
        <f t="shared" si="21"/>
        <v>0</v>
      </c>
      <c r="AK301" s="1064">
        <f t="shared" si="22"/>
        <v>0</v>
      </c>
      <c r="AL301" s="1064">
        <f t="shared" si="23"/>
        <v>0</v>
      </c>
      <c r="AM301" s="1064">
        <f t="shared" si="24"/>
        <v>0</v>
      </c>
      <c r="AN301" s="1064"/>
      <c r="AO301" s="1064">
        <f>TB_curr[[#This Row],[Closing balance]]+TB_curr[[#This Row],[Rounding]]</f>
        <v>0</v>
      </c>
    </row>
    <row r="302" spans="30:41" x14ac:dyDescent="0.25">
      <c r="AD302" s="1067" t="str">
        <f t="shared" si="20"/>
        <v/>
      </c>
      <c r="AE302" s="1063" t="str">
        <f>IF(ISNA(VLOOKUP(TB_curr[[#This Row],[Synt]],GL[[#Headers],[#Data],[subtotal label]],1,FALSE)),0,(VLOOKUP(TB_curr[[#This Row],[Synt]],GL[[#Headers],[#Data],[subtotal label]],1,FALSE)))</f>
        <v/>
      </c>
      <c r="AF302" s="1063" t="e">
        <f>IF((TB_curr[[#This Row],[Synt]]-TB_curr[[#This Row],[Subtotal Y/N]])=0,0,VLOOKUP(TB_curr[[#This Row],[Synt]],GL[[Account]:[Line]],3,FALSE))</f>
        <v>#VALUE!</v>
      </c>
      <c r="AG302" s="1063" t="e">
        <f>VLOOKUP(TB_curr[[#This Row],[Synt]],GL[[Account]:[B/P]],4,FALSE)</f>
        <v>#N/A</v>
      </c>
      <c r="AH302" s="1066" t="e">
        <v>#VALUE!</v>
      </c>
      <c r="AI302" s="1065" t="e">
        <f>TB_curr[[#This Row],[Synt]]&amp;TB_curr[[#This Row],[Line No. manual corr.]]</f>
        <v>#VALUE!</v>
      </c>
      <c r="AJ302" s="1064">
        <f t="shared" si="21"/>
        <v>0</v>
      </c>
      <c r="AK302" s="1064">
        <f t="shared" si="22"/>
        <v>0</v>
      </c>
      <c r="AL302" s="1064">
        <f t="shared" si="23"/>
        <v>0</v>
      </c>
      <c r="AM302" s="1064">
        <f t="shared" si="24"/>
        <v>0</v>
      </c>
      <c r="AN302" s="1064"/>
      <c r="AO302" s="1064">
        <f>TB_curr[[#This Row],[Closing balance]]+TB_curr[[#This Row],[Rounding]]</f>
        <v>0</v>
      </c>
    </row>
    <row r="303" spans="30:41" x14ac:dyDescent="0.25">
      <c r="AD303" s="1067" t="str">
        <f t="shared" si="20"/>
        <v/>
      </c>
      <c r="AE303" s="1063" t="str">
        <f>IF(ISNA(VLOOKUP(TB_curr[[#This Row],[Synt]],GL[[#Headers],[#Data],[subtotal label]],1,FALSE)),0,(VLOOKUP(TB_curr[[#This Row],[Synt]],GL[[#Headers],[#Data],[subtotal label]],1,FALSE)))</f>
        <v/>
      </c>
      <c r="AF303" s="1063" t="e">
        <f>IF((TB_curr[[#This Row],[Synt]]-TB_curr[[#This Row],[Subtotal Y/N]])=0,0,VLOOKUP(TB_curr[[#This Row],[Synt]],GL[[Account]:[Line]],3,FALSE))</f>
        <v>#VALUE!</v>
      </c>
      <c r="AG303" s="1063" t="e">
        <f>VLOOKUP(TB_curr[[#This Row],[Synt]],GL[[Account]:[B/P]],4,FALSE)</f>
        <v>#N/A</v>
      </c>
      <c r="AH303" s="1066" t="e">
        <v>#VALUE!</v>
      </c>
      <c r="AI303" s="1065" t="e">
        <f>TB_curr[[#This Row],[Synt]]&amp;TB_curr[[#This Row],[Line No. manual corr.]]</f>
        <v>#VALUE!</v>
      </c>
      <c r="AJ303" s="1064">
        <f t="shared" si="21"/>
        <v>0</v>
      </c>
      <c r="AK303" s="1064">
        <f t="shared" si="22"/>
        <v>0</v>
      </c>
      <c r="AL303" s="1064">
        <f t="shared" si="23"/>
        <v>0</v>
      </c>
      <c r="AM303" s="1064">
        <f t="shared" si="24"/>
        <v>0</v>
      </c>
      <c r="AN303" s="1064"/>
      <c r="AO303" s="1064">
        <f>TB_curr[[#This Row],[Closing balance]]+TB_curr[[#This Row],[Rounding]]</f>
        <v>0</v>
      </c>
    </row>
    <row r="304" spans="30:41" x14ac:dyDescent="0.25">
      <c r="AD304" s="1067" t="str">
        <f t="shared" si="20"/>
        <v/>
      </c>
      <c r="AE304" s="1063" t="str">
        <f>IF(ISNA(VLOOKUP(TB_curr[[#This Row],[Synt]],GL[[#Headers],[#Data],[subtotal label]],1,FALSE)),0,(VLOOKUP(TB_curr[[#This Row],[Synt]],GL[[#Headers],[#Data],[subtotal label]],1,FALSE)))</f>
        <v/>
      </c>
      <c r="AF304" s="1063" t="e">
        <f>IF((TB_curr[[#This Row],[Synt]]-TB_curr[[#This Row],[Subtotal Y/N]])=0,0,VLOOKUP(TB_curr[[#This Row],[Synt]],GL[[Account]:[Line]],3,FALSE))</f>
        <v>#VALUE!</v>
      </c>
      <c r="AG304" s="1063" t="e">
        <f>VLOOKUP(TB_curr[[#This Row],[Synt]],GL[[Account]:[B/P]],4,FALSE)</f>
        <v>#N/A</v>
      </c>
      <c r="AH304" s="1066" t="e">
        <v>#VALUE!</v>
      </c>
      <c r="AI304" s="1065" t="e">
        <f>TB_curr[[#This Row],[Synt]]&amp;TB_curr[[#This Row],[Line No. manual corr.]]</f>
        <v>#VALUE!</v>
      </c>
      <c r="AJ304" s="1064">
        <f t="shared" si="21"/>
        <v>0</v>
      </c>
      <c r="AK304" s="1064">
        <f t="shared" si="22"/>
        <v>0</v>
      </c>
      <c r="AL304" s="1064">
        <f t="shared" si="23"/>
        <v>0</v>
      </c>
      <c r="AM304" s="1064">
        <f t="shared" si="24"/>
        <v>0</v>
      </c>
      <c r="AN304" s="1064"/>
      <c r="AO304" s="1064">
        <f>TB_curr[[#This Row],[Closing balance]]+TB_curr[[#This Row],[Rounding]]</f>
        <v>0</v>
      </c>
    </row>
    <row r="305" spans="30:41" x14ac:dyDescent="0.25">
      <c r="AD305" s="1067" t="str">
        <f t="shared" si="20"/>
        <v/>
      </c>
      <c r="AE305" s="1063" t="str">
        <f>IF(ISNA(VLOOKUP(TB_curr[[#This Row],[Synt]],GL[[#Headers],[#Data],[subtotal label]],1,FALSE)),0,(VLOOKUP(TB_curr[[#This Row],[Synt]],GL[[#Headers],[#Data],[subtotal label]],1,FALSE)))</f>
        <v/>
      </c>
      <c r="AF305" s="1063" t="e">
        <f>IF((TB_curr[[#This Row],[Synt]]-TB_curr[[#This Row],[Subtotal Y/N]])=0,0,VLOOKUP(TB_curr[[#This Row],[Synt]],GL[[Account]:[Line]],3,FALSE))</f>
        <v>#VALUE!</v>
      </c>
      <c r="AG305" s="1063" t="e">
        <f>VLOOKUP(TB_curr[[#This Row],[Synt]],GL[[Account]:[B/P]],4,FALSE)</f>
        <v>#N/A</v>
      </c>
      <c r="AH305" s="1066" t="e">
        <v>#VALUE!</v>
      </c>
      <c r="AI305" s="1065" t="e">
        <f>TB_curr[[#This Row],[Synt]]&amp;TB_curr[[#This Row],[Line No. manual corr.]]</f>
        <v>#VALUE!</v>
      </c>
      <c r="AJ305" s="1064">
        <f t="shared" si="21"/>
        <v>0</v>
      </c>
      <c r="AK305" s="1064">
        <f t="shared" si="22"/>
        <v>0</v>
      </c>
      <c r="AL305" s="1064">
        <f t="shared" si="23"/>
        <v>0</v>
      </c>
      <c r="AM305" s="1064">
        <f t="shared" si="24"/>
        <v>0</v>
      </c>
      <c r="AN305" s="1064"/>
      <c r="AO305" s="1064">
        <f>TB_curr[[#This Row],[Closing balance]]+TB_curr[[#This Row],[Rounding]]</f>
        <v>0</v>
      </c>
    </row>
    <row r="306" spans="30:41" x14ac:dyDescent="0.25">
      <c r="AD306" s="1067" t="str">
        <f t="shared" si="20"/>
        <v/>
      </c>
      <c r="AE306" s="1063" t="str">
        <f>IF(ISNA(VLOOKUP(TB_curr[[#This Row],[Synt]],GL[[#Headers],[#Data],[subtotal label]],1,FALSE)),0,(VLOOKUP(TB_curr[[#This Row],[Synt]],GL[[#Headers],[#Data],[subtotal label]],1,FALSE)))</f>
        <v/>
      </c>
      <c r="AF306" s="1063" t="e">
        <f>IF((TB_curr[[#This Row],[Synt]]-TB_curr[[#This Row],[Subtotal Y/N]])=0,0,VLOOKUP(TB_curr[[#This Row],[Synt]],GL[[Account]:[Line]],3,FALSE))</f>
        <v>#VALUE!</v>
      </c>
      <c r="AG306" s="1063" t="e">
        <f>VLOOKUP(TB_curr[[#This Row],[Synt]],GL[[Account]:[B/P]],4,FALSE)</f>
        <v>#N/A</v>
      </c>
      <c r="AH306" s="1066" t="e">
        <v>#VALUE!</v>
      </c>
      <c r="AI306" s="1065" t="e">
        <f>TB_curr[[#This Row],[Synt]]&amp;TB_curr[[#This Row],[Line No. manual corr.]]</f>
        <v>#VALUE!</v>
      </c>
      <c r="AJ306" s="1064">
        <f t="shared" si="21"/>
        <v>0</v>
      </c>
      <c r="AK306" s="1064">
        <f t="shared" si="22"/>
        <v>0</v>
      </c>
      <c r="AL306" s="1064">
        <f t="shared" si="23"/>
        <v>0</v>
      </c>
      <c r="AM306" s="1064">
        <f t="shared" si="24"/>
        <v>0</v>
      </c>
      <c r="AN306" s="1064"/>
      <c r="AO306" s="1064">
        <f>TB_curr[[#This Row],[Closing balance]]+TB_curr[[#This Row],[Rounding]]</f>
        <v>0</v>
      </c>
    </row>
    <row r="307" spans="30:41" x14ac:dyDescent="0.25">
      <c r="AD307" s="1067" t="str">
        <f t="shared" si="20"/>
        <v/>
      </c>
      <c r="AE307" s="1063" t="str">
        <f>IF(ISNA(VLOOKUP(TB_curr[[#This Row],[Synt]],GL[[#Headers],[#Data],[subtotal label]],1,FALSE)),0,(VLOOKUP(TB_curr[[#This Row],[Synt]],GL[[#Headers],[#Data],[subtotal label]],1,FALSE)))</f>
        <v/>
      </c>
      <c r="AF307" s="1063" t="e">
        <f>IF((TB_curr[[#This Row],[Synt]]-TB_curr[[#This Row],[Subtotal Y/N]])=0,0,VLOOKUP(TB_curr[[#This Row],[Synt]],GL[[Account]:[Line]],3,FALSE))</f>
        <v>#VALUE!</v>
      </c>
      <c r="AG307" s="1063" t="e">
        <f>VLOOKUP(TB_curr[[#This Row],[Synt]],GL[[Account]:[B/P]],4,FALSE)</f>
        <v>#N/A</v>
      </c>
      <c r="AH307" s="1066" t="e">
        <v>#VALUE!</v>
      </c>
      <c r="AI307" s="1065" t="e">
        <f>TB_curr[[#This Row],[Synt]]&amp;TB_curr[[#This Row],[Line No. manual corr.]]</f>
        <v>#VALUE!</v>
      </c>
      <c r="AJ307" s="1064">
        <f t="shared" si="21"/>
        <v>0</v>
      </c>
      <c r="AK307" s="1064">
        <f t="shared" si="22"/>
        <v>0</v>
      </c>
      <c r="AL307" s="1064">
        <f t="shared" si="23"/>
        <v>0</v>
      </c>
      <c r="AM307" s="1064">
        <f t="shared" si="24"/>
        <v>0</v>
      </c>
      <c r="AN307" s="1064"/>
      <c r="AO307" s="1064">
        <f>TB_curr[[#This Row],[Closing balance]]+TB_curr[[#This Row],[Rounding]]</f>
        <v>0</v>
      </c>
    </row>
    <row r="308" spans="30:41" x14ac:dyDescent="0.25">
      <c r="AD308" s="1067" t="str">
        <f t="shared" si="20"/>
        <v/>
      </c>
      <c r="AE308" s="1063" t="str">
        <f>IF(ISNA(VLOOKUP(TB_curr[[#This Row],[Synt]],GL[[#Headers],[#Data],[subtotal label]],1,FALSE)),0,(VLOOKUP(TB_curr[[#This Row],[Synt]],GL[[#Headers],[#Data],[subtotal label]],1,FALSE)))</f>
        <v/>
      </c>
      <c r="AF308" s="1063" t="e">
        <f>IF((TB_curr[[#This Row],[Synt]]-TB_curr[[#This Row],[Subtotal Y/N]])=0,0,VLOOKUP(TB_curr[[#This Row],[Synt]],GL[[Account]:[Line]],3,FALSE))</f>
        <v>#VALUE!</v>
      </c>
      <c r="AG308" s="1063" t="e">
        <f>VLOOKUP(TB_curr[[#This Row],[Synt]],GL[[Account]:[B/P]],4,FALSE)</f>
        <v>#N/A</v>
      </c>
      <c r="AH308" s="1066" t="e">
        <v>#VALUE!</v>
      </c>
      <c r="AI308" s="1065" t="e">
        <f>TB_curr[[#This Row],[Synt]]&amp;TB_curr[[#This Row],[Line No. manual corr.]]</f>
        <v>#VALUE!</v>
      </c>
      <c r="AJ308" s="1064">
        <f t="shared" si="21"/>
        <v>0</v>
      </c>
      <c r="AK308" s="1064">
        <f t="shared" si="22"/>
        <v>0</v>
      </c>
      <c r="AL308" s="1064">
        <f t="shared" si="23"/>
        <v>0</v>
      </c>
      <c r="AM308" s="1064">
        <f t="shared" si="24"/>
        <v>0</v>
      </c>
      <c r="AN308" s="1064"/>
      <c r="AO308" s="1064">
        <f>TB_curr[[#This Row],[Closing balance]]+TB_curr[[#This Row],[Rounding]]</f>
        <v>0</v>
      </c>
    </row>
    <row r="309" spans="30:41" x14ac:dyDescent="0.25">
      <c r="AD309" s="1067" t="str">
        <f t="shared" si="20"/>
        <v/>
      </c>
      <c r="AE309" s="1063" t="str">
        <f>IF(ISNA(VLOOKUP(TB_curr[[#This Row],[Synt]],GL[[#Headers],[#Data],[subtotal label]],1,FALSE)),0,(VLOOKUP(TB_curr[[#This Row],[Synt]],GL[[#Headers],[#Data],[subtotal label]],1,FALSE)))</f>
        <v/>
      </c>
      <c r="AF309" s="1063" t="e">
        <f>IF((TB_curr[[#This Row],[Synt]]-TB_curr[[#This Row],[Subtotal Y/N]])=0,0,VLOOKUP(TB_curr[[#This Row],[Synt]],GL[[Account]:[Line]],3,FALSE))</f>
        <v>#VALUE!</v>
      </c>
      <c r="AG309" s="1063" t="e">
        <f>VLOOKUP(TB_curr[[#This Row],[Synt]],GL[[Account]:[B/P]],4,FALSE)</f>
        <v>#N/A</v>
      </c>
      <c r="AH309" s="1066" t="e">
        <v>#VALUE!</v>
      </c>
      <c r="AI309" s="1065" t="e">
        <f>TB_curr[[#This Row],[Synt]]&amp;TB_curr[[#This Row],[Line No. manual corr.]]</f>
        <v>#VALUE!</v>
      </c>
      <c r="AJ309" s="1064">
        <f t="shared" si="21"/>
        <v>0</v>
      </c>
      <c r="AK309" s="1064">
        <f t="shared" si="22"/>
        <v>0</v>
      </c>
      <c r="AL309" s="1064">
        <f t="shared" si="23"/>
        <v>0</v>
      </c>
      <c r="AM309" s="1064">
        <f t="shared" si="24"/>
        <v>0</v>
      </c>
      <c r="AN309" s="1064"/>
      <c r="AO309" s="1064">
        <f>TB_curr[[#This Row],[Closing balance]]+TB_curr[[#This Row],[Rounding]]</f>
        <v>0</v>
      </c>
    </row>
    <row r="310" spans="30:41" x14ac:dyDescent="0.25">
      <c r="AD310" s="1067" t="str">
        <f t="shared" si="20"/>
        <v/>
      </c>
      <c r="AE310" s="1063" t="str">
        <f>IF(ISNA(VLOOKUP(TB_curr[[#This Row],[Synt]],GL[[#Headers],[#Data],[subtotal label]],1,FALSE)),0,(VLOOKUP(TB_curr[[#This Row],[Synt]],GL[[#Headers],[#Data],[subtotal label]],1,FALSE)))</f>
        <v/>
      </c>
      <c r="AF310" s="1063" t="e">
        <f>IF((TB_curr[[#This Row],[Synt]]-TB_curr[[#This Row],[Subtotal Y/N]])=0,0,VLOOKUP(TB_curr[[#This Row],[Synt]],GL[[Account]:[Line]],3,FALSE))</f>
        <v>#VALUE!</v>
      </c>
      <c r="AG310" s="1063" t="e">
        <f>VLOOKUP(TB_curr[[#This Row],[Synt]],GL[[Account]:[B/P]],4,FALSE)</f>
        <v>#N/A</v>
      </c>
      <c r="AH310" s="1066" t="e">
        <v>#VALUE!</v>
      </c>
      <c r="AI310" s="1065" t="e">
        <f>TB_curr[[#This Row],[Synt]]&amp;TB_curr[[#This Row],[Line No. manual corr.]]</f>
        <v>#VALUE!</v>
      </c>
      <c r="AJ310" s="1064">
        <f t="shared" si="21"/>
        <v>0</v>
      </c>
      <c r="AK310" s="1064">
        <f t="shared" si="22"/>
        <v>0</v>
      </c>
      <c r="AL310" s="1064">
        <f t="shared" si="23"/>
        <v>0</v>
      </c>
      <c r="AM310" s="1064">
        <f t="shared" si="24"/>
        <v>0</v>
      </c>
      <c r="AN310" s="1064"/>
      <c r="AO310" s="1064">
        <f>TB_curr[[#This Row],[Closing balance]]+TB_curr[[#This Row],[Rounding]]</f>
        <v>0</v>
      </c>
    </row>
    <row r="311" spans="30:41" x14ac:dyDescent="0.25">
      <c r="AD311" s="1067" t="str">
        <f t="shared" si="20"/>
        <v/>
      </c>
      <c r="AE311" s="1063" t="str">
        <f>IF(ISNA(VLOOKUP(TB_curr[[#This Row],[Synt]],GL[[#Headers],[#Data],[subtotal label]],1,FALSE)),0,(VLOOKUP(TB_curr[[#This Row],[Synt]],GL[[#Headers],[#Data],[subtotal label]],1,FALSE)))</f>
        <v/>
      </c>
      <c r="AF311" s="1063" t="e">
        <f>IF((TB_curr[[#This Row],[Synt]]-TB_curr[[#This Row],[Subtotal Y/N]])=0,0,VLOOKUP(TB_curr[[#This Row],[Synt]],GL[[Account]:[Line]],3,FALSE))</f>
        <v>#VALUE!</v>
      </c>
      <c r="AG311" s="1063" t="e">
        <f>VLOOKUP(TB_curr[[#This Row],[Synt]],GL[[Account]:[B/P]],4,FALSE)</f>
        <v>#N/A</v>
      </c>
      <c r="AH311" s="1066" t="e">
        <v>#VALUE!</v>
      </c>
      <c r="AI311" s="1065" t="e">
        <f>TB_curr[[#This Row],[Synt]]&amp;TB_curr[[#This Row],[Line No. manual corr.]]</f>
        <v>#VALUE!</v>
      </c>
      <c r="AJ311" s="1064">
        <f t="shared" si="21"/>
        <v>0</v>
      </c>
      <c r="AK311" s="1064">
        <f t="shared" si="22"/>
        <v>0</v>
      </c>
      <c r="AL311" s="1064">
        <f t="shared" si="23"/>
        <v>0</v>
      </c>
      <c r="AM311" s="1064">
        <f t="shared" si="24"/>
        <v>0</v>
      </c>
      <c r="AN311" s="1064"/>
      <c r="AO311" s="1064">
        <f>TB_curr[[#This Row],[Closing balance]]+TB_curr[[#This Row],[Rounding]]</f>
        <v>0</v>
      </c>
    </row>
    <row r="312" spans="30:41" x14ac:dyDescent="0.25">
      <c r="AD312" s="1067" t="str">
        <f t="shared" si="20"/>
        <v/>
      </c>
      <c r="AE312" s="1063" t="str">
        <f>IF(ISNA(VLOOKUP(TB_curr[[#This Row],[Synt]],GL[[#Headers],[#Data],[subtotal label]],1,FALSE)),0,(VLOOKUP(TB_curr[[#This Row],[Synt]],GL[[#Headers],[#Data],[subtotal label]],1,FALSE)))</f>
        <v/>
      </c>
      <c r="AF312" s="1063" t="e">
        <f>IF((TB_curr[[#This Row],[Synt]]-TB_curr[[#This Row],[Subtotal Y/N]])=0,0,VLOOKUP(TB_curr[[#This Row],[Synt]],GL[[Account]:[Line]],3,FALSE))</f>
        <v>#VALUE!</v>
      </c>
      <c r="AG312" s="1063" t="e">
        <f>VLOOKUP(TB_curr[[#This Row],[Synt]],GL[[Account]:[B/P]],4,FALSE)</f>
        <v>#N/A</v>
      </c>
      <c r="AH312" s="1066" t="e">
        <v>#VALUE!</v>
      </c>
      <c r="AI312" s="1065" t="e">
        <f>TB_curr[[#This Row],[Synt]]&amp;TB_curr[[#This Row],[Line No. manual corr.]]</f>
        <v>#VALUE!</v>
      </c>
      <c r="AJ312" s="1064">
        <f t="shared" si="21"/>
        <v>0</v>
      </c>
      <c r="AK312" s="1064">
        <f t="shared" si="22"/>
        <v>0</v>
      </c>
      <c r="AL312" s="1064">
        <f t="shared" si="23"/>
        <v>0</v>
      </c>
      <c r="AM312" s="1064">
        <f t="shared" si="24"/>
        <v>0</v>
      </c>
      <c r="AN312" s="1064"/>
      <c r="AO312" s="1064">
        <f>TB_curr[[#This Row],[Closing balance]]+TB_curr[[#This Row],[Rounding]]</f>
        <v>0</v>
      </c>
    </row>
    <row r="313" spans="30:41" x14ac:dyDescent="0.25">
      <c r="AD313" s="1067" t="str">
        <f t="shared" si="20"/>
        <v/>
      </c>
      <c r="AE313" s="1063" t="str">
        <f>IF(ISNA(VLOOKUP(TB_curr[[#This Row],[Synt]],GL[[#Headers],[#Data],[subtotal label]],1,FALSE)),0,(VLOOKUP(TB_curr[[#This Row],[Synt]],GL[[#Headers],[#Data],[subtotal label]],1,FALSE)))</f>
        <v/>
      </c>
      <c r="AF313" s="1063" t="e">
        <f>IF((TB_curr[[#This Row],[Synt]]-TB_curr[[#This Row],[Subtotal Y/N]])=0,0,VLOOKUP(TB_curr[[#This Row],[Synt]],GL[[Account]:[Line]],3,FALSE))</f>
        <v>#VALUE!</v>
      </c>
      <c r="AG313" s="1063" t="e">
        <f>VLOOKUP(TB_curr[[#This Row],[Synt]],GL[[Account]:[B/P]],4,FALSE)</f>
        <v>#N/A</v>
      </c>
      <c r="AH313" s="1066" t="e">
        <v>#VALUE!</v>
      </c>
      <c r="AI313" s="1065" t="e">
        <f>TB_curr[[#This Row],[Synt]]&amp;TB_curr[[#This Row],[Line No. manual corr.]]</f>
        <v>#VALUE!</v>
      </c>
      <c r="AJ313" s="1064">
        <f t="shared" si="21"/>
        <v>0</v>
      </c>
      <c r="AK313" s="1064">
        <f t="shared" si="22"/>
        <v>0</v>
      </c>
      <c r="AL313" s="1064">
        <f t="shared" si="23"/>
        <v>0</v>
      </c>
      <c r="AM313" s="1064">
        <f t="shared" si="24"/>
        <v>0</v>
      </c>
      <c r="AN313" s="1064"/>
      <c r="AO313" s="1064">
        <f>TB_curr[[#This Row],[Closing balance]]+TB_curr[[#This Row],[Rounding]]</f>
        <v>0</v>
      </c>
    </row>
    <row r="314" spans="30:41" x14ac:dyDescent="0.25">
      <c r="AD314" s="1067" t="str">
        <f t="shared" si="20"/>
        <v/>
      </c>
      <c r="AE314" s="1063" t="str">
        <f>IF(ISNA(VLOOKUP(TB_curr[[#This Row],[Synt]],GL[[#Headers],[#Data],[subtotal label]],1,FALSE)),0,(VLOOKUP(TB_curr[[#This Row],[Synt]],GL[[#Headers],[#Data],[subtotal label]],1,FALSE)))</f>
        <v/>
      </c>
      <c r="AF314" s="1063" t="e">
        <f>IF((TB_curr[[#This Row],[Synt]]-TB_curr[[#This Row],[Subtotal Y/N]])=0,0,VLOOKUP(TB_curr[[#This Row],[Synt]],GL[[Account]:[Line]],3,FALSE))</f>
        <v>#VALUE!</v>
      </c>
      <c r="AG314" s="1063" t="e">
        <f>VLOOKUP(TB_curr[[#This Row],[Synt]],GL[[Account]:[B/P]],4,FALSE)</f>
        <v>#N/A</v>
      </c>
      <c r="AH314" s="1066" t="e">
        <v>#VALUE!</v>
      </c>
      <c r="AI314" s="1065" t="e">
        <f>TB_curr[[#This Row],[Synt]]&amp;TB_curr[[#This Row],[Line No. manual corr.]]</f>
        <v>#VALUE!</v>
      </c>
      <c r="AJ314" s="1064">
        <f t="shared" si="21"/>
        <v>0</v>
      </c>
      <c r="AK314" s="1064">
        <f t="shared" si="22"/>
        <v>0</v>
      </c>
      <c r="AL314" s="1064">
        <f t="shared" si="23"/>
        <v>0</v>
      </c>
      <c r="AM314" s="1064">
        <f t="shared" si="24"/>
        <v>0</v>
      </c>
      <c r="AN314" s="1064"/>
      <c r="AO314" s="1064">
        <f>TB_curr[[#This Row],[Closing balance]]+TB_curr[[#This Row],[Rounding]]</f>
        <v>0</v>
      </c>
    </row>
    <row r="315" spans="30:41" x14ac:dyDescent="0.25">
      <c r="AD315" s="1067" t="str">
        <f t="shared" si="20"/>
        <v/>
      </c>
      <c r="AE315" s="1063" t="str">
        <f>IF(ISNA(VLOOKUP(TB_curr[[#This Row],[Synt]],GL[[#Headers],[#Data],[subtotal label]],1,FALSE)),0,(VLOOKUP(TB_curr[[#This Row],[Synt]],GL[[#Headers],[#Data],[subtotal label]],1,FALSE)))</f>
        <v/>
      </c>
      <c r="AF315" s="1063" t="e">
        <f>IF((TB_curr[[#This Row],[Synt]]-TB_curr[[#This Row],[Subtotal Y/N]])=0,0,VLOOKUP(TB_curr[[#This Row],[Synt]],GL[[Account]:[Line]],3,FALSE))</f>
        <v>#VALUE!</v>
      </c>
      <c r="AG315" s="1063" t="e">
        <f>VLOOKUP(TB_curr[[#This Row],[Synt]],GL[[Account]:[B/P]],4,FALSE)</f>
        <v>#N/A</v>
      </c>
      <c r="AH315" s="1066" t="e">
        <v>#VALUE!</v>
      </c>
      <c r="AI315" s="1065" t="e">
        <f>TB_curr[[#This Row],[Synt]]&amp;TB_curr[[#This Row],[Line No. manual corr.]]</f>
        <v>#VALUE!</v>
      </c>
      <c r="AJ315" s="1064">
        <f t="shared" si="21"/>
        <v>0</v>
      </c>
      <c r="AK315" s="1064">
        <f t="shared" si="22"/>
        <v>0</v>
      </c>
      <c r="AL315" s="1064">
        <f t="shared" si="23"/>
        <v>0</v>
      </c>
      <c r="AM315" s="1064">
        <f t="shared" si="24"/>
        <v>0</v>
      </c>
      <c r="AN315" s="1064"/>
      <c r="AO315" s="1064">
        <f>TB_curr[[#This Row],[Closing balance]]+TB_curr[[#This Row],[Rounding]]</f>
        <v>0</v>
      </c>
    </row>
    <row r="316" spans="30:41" x14ac:dyDescent="0.25">
      <c r="AD316" s="1067" t="str">
        <f t="shared" si="20"/>
        <v/>
      </c>
      <c r="AE316" s="1063" t="str">
        <f>IF(ISNA(VLOOKUP(TB_curr[[#This Row],[Synt]],GL[[#Headers],[#Data],[subtotal label]],1,FALSE)),0,(VLOOKUP(TB_curr[[#This Row],[Synt]],GL[[#Headers],[#Data],[subtotal label]],1,FALSE)))</f>
        <v/>
      </c>
      <c r="AF316" s="1063" t="e">
        <f>IF((TB_curr[[#This Row],[Synt]]-TB_curr[[#This Row],[Subtotal Y/N]])=0,0,VLOOKUP(TB_curr[[#This Row],[Synt]],GL[[Account]:[Line]],3,FALSE))</f>
        <v>#VALUE!</v>
      </c>
      <c r="AG316" s="1063" t="e">
        <f>VLOOKUP(TB_curr[[#This Row],[Synt]],GL[[Account]:[B/P]],4,FALSE)</f>
        <v>#N/A</v>
      </c>
      <c r="AH316" s="1066" t="e">
        <v>#VALUE!</v>
      </c>
      <c r="AI316" s="1065" t="e">
        <f>TB_curr[[#This Row],[Synt]]&amp;TB_curr[[#This Row],[Line No. manual corr.]]</f>
        <v>#VALUE!</v>
      </c>
      <c r="AJ316" s="1064">
        <f t="shared" si="21"/>
        <v>0</v>
      </c>
      <c r="AK316" s="1064">
        <f t="shared" si="22"/>
        <v>0</v>
      </c>
      <c r="AL316" s="1064">
        <f t="shared" si="23"/>
        <v>0</v>
      </c>
      <c r="AM316" s="1064">
        <f t="shared" si="24"/>
        <v>0</v>
      </c>
      <c r="AN316" s="1064"/>
      <c r="AO316" s="1064">
        <f>TB_curr[[#This Row],[Closing balance]]+TB_curr[[#This Row],[Rounding]]</f>
        <v>0</v>
      </c>
    </row>
    <row r="317" spans="30:41" x14ac:dyDescent="0.25">
      <c r="AD317" s="1067" t="str">
        <f t="shared" si="20"/>
        <v/>
      </c>
      <c r="AE317" s="1063" t="str">
        <f>IF(ISNA(VLOOKUP(TB_curr[[#This Row],[Synt]],GL[[#Headers],[#Data],[subtotal label]],1,FALSE)),0,(VLOOKUP(TB_curr[[#This Row],[Synt]],GL[[#Headers],[#Data],[subtotal label]],1,FALSE)))</f>
        <v/>
      </c>
      <c r="AF317" s="1063" t="e">
        <f>IF((TB_curr[[#This Row],[Synt]]-TB_curr[[#This Row],[Subtotal Y/N]])=0,0,VLOOKUP(TB_curr[[#This Row],[Synt]],GL[[Account]:[Line]],3,FALSE))</f>
        <v>#VALUE!</v>
      </c>
      <c r="AG317" s="1063" t="e">
        <f>VLOOKUP(TB_curr[[#This Row],[Synt]],GL[[Account]:[B/P]],4,FALSE)</f>
        <v>#N/A</v>
      </c>
      <c r="AH317" s="1066" t="e">
        <v>#VALUE!</v>
      </c>
      <c r="AI317" s="1065" t="e">
        <f>TB_curr[[#This Row],[Synt]]&amp;TB_curr[[#This Row],[Line No. manual corr.]]</f>
        <v>#VALUE!</v>
      </c>
      <c r="AJ317" s="1064">
        <f t="shared" si="21"/>
        <v>0</v>
      </c>
      <c r="AK317" s="1064">
        <f t="shared" si="22"/>
        <v>0</v>
      </c>
      <c r="AL317" s="1064">
        <f t="shared" si="23"/>
        <v>0</v>
      </c>
      <c r="AM317" s="1064">
        <f t="shared" si="24"/>
        <v>0</v>
      </c>
      <c r="AN317" s="1064"/>
      <c r="AO317" s="1064">
        <f>TB_curr[[#This Row],[Closing balance]]+TB_curr[[#This Row],[Rounding]]</f>
        <v>0</v>
      </c>
    </row>
    <row r="318" spans="30:41" x14ac:dyDescent="0.25">
      <c r="AD318" s="1067" t="str">
        <f t="shared" si="20"/>
        <v/>
      </c>
      <c r="AE318" s="1063" t="str">
        <f>IF(ISNA(VLOOKUP(TB_curr[[#This Row],[Synt]],GL[[#Headers],[#Data],[subtotal label]],1,FALSE)),0,(VLOOKUP(TB_curr[[#This Row],[Synt]],GL[[#Headers],[#Data],[subtotal label]],1,FALSE)))</f>
        <v/>
      </c>
      <c r="AF318" s="1063" t="e">
        <f>IF((TB_curr[[#This Row],[Synt]]-TB_curr[[#This Row],[Subtotal Y/N]])=0,0,VLOOKUP(TB_curr[[#This Row],[Synt]],GL[[Account]:[Line]],3,FALSE))</f>
        <v>#VALUE!</v>
      </c>
      <c r="AG318" s="1063" t="e">
        <f>VLOOKUP(TB_curr[[#This Row],[Synt]],GL[[Account]:[B/P]],4,FALSE)</f>
        <v>#N/A</v>
      </c>
      <c r="AH318" s="1066" t="e">
        <v>#VALUE!</v>
      </c>
      <c r="AI318" s="1065" t="e">
        <f>TB_curr[[#This Row],[Synt]]&amp;TB_curr[[#This Row],[Line No. manual corr.]]</f>
        <v>#VALUE!</v>
      </c>
      <c r="AJ318" s="1064">
        <f t="shared" si="21"/>
        <v>0</v>
      </c>
      <c r="AK318" s="1064">
        <f t="shared" si="22"/>
        <v>0</v>
      </c>
      <c r="AL318" s="1064">
        <f t="shared" si="23"/>
        <v>0</v>
      </c>
      <c r="AM318" s="1064">
        <f t="shared" si="24"/>
        <v>0</v>
      </c>
      <c r="AN318" s="1064"/>
      <c r="AO318" s="1064">
        <f>TB_curr[[#This Row],[Closing balance]]+TB_curr[[#This Row],[Rounding]]</f>
        <v>0</v>
      </c>
    </row>
    <row r="319" spans="30:41" x14ac:dyDescent="0.25">
      <c r="AD319" s="1067" t="str">
        <f t="shared" si="20"/>
        <v/>
      </c>
      <c r="AE319" s="1063" t="str">
        <f>IF(ISNA(VLOOKUP(TB_curr[[#This Row],[Synt]],GL[[#Headers],[#Data],[subtotal label]],1,FALSE)),0,(VLOOKUP(TB_curr[[#This Row],[Synt]],GL[[#Headers],[#Data],[subtotal label]],1,FALSE)))</f>
        <v/>
      </c>
      <c r="AF319" s="1063" t="e">
        <f>IF((TB_curr[[#This Row],[Synt]]-TB_curr[[#This Row],[Subtotal Y/N]])=0,0,VLOOKUP(TB_curr[[#This Row],[Synt]],GL[[Account]:[Line]],3,FALSE))</f>
        <v>#VALUE!</v>
      </c>
      <c r="AG319" s="1063" t="e">
        <f>VLOOKUP(TB_curr[[#This Row],[Synt]],GL[[Account]:[B/P]],4,FALSE)</f>
        <v>#N/A</v>
      </c>
      <c r="AH319" s="1066" t="e">
        <v>#VALUE!</v>
      </c>
      <c r="AI319" s="1065" t="e">
        <f>TB_curr[[#This Row],[Synt]]&amp;TB_curr[[#This Row],[Line No. manual corr.]]</f>
        <v>#VALUE!</v>
      </c>
      <c r="AJ319" s="1064">
        <f t="shared" si="21"/>
        <v>0</v>
      </c>
      <c r="AK319" s="1064">
        <f t="shared" si="22"/>
        <v>0</v>
      </c>
      <c r="AL319" s="1064">
        <f t="shared" si="23"/>
        <v>0</v>
      </c>
      <c r="AM319" s="1064">
        <f t="shared" si="24"/>
        <v>0</v>
      </c>
      <c r="AN319" s="1064"/>
      <c r="AO319" s="1064">
        <f>TB_curr[[#This Row],[Closing balance]]+TB_curr[[#This Row],[Rounding]]</f>
        <v>0</v>
      </c>
    </row>
    <row r="320" spans="30:41" x14ac:dyDescent="0.25">
      <c r="AD320" s="1067" t="str">
        <f t="shared" si="20"/>
        <v/>
      </c>
      <c r="AE320" s="1063" t="str">
        <f>IF(ISNA(VLOOKUP(TB_curr[[#This Row],[Synt]],GL[[#Headers],[#Data],[subtotal label]],1,FALSE)),0,(VLOOKUP(TB_curr[[#This Row],[Synt]],GL[[#Headers],[#Data],[subtotal label]],1,FALSE)))</f>
        <v/>
      </c>
      <c r="AF320" s="1063" t="e">
        <f>IF((TB_curr[[#This Row],[Synt]]-TB_curr[[#This Row],[Subtotal Y/N]])=0,0,VLOOKUP(TB_curr[[#This Row],[Synt]],GL[[Account]:[Line]],3,FALSE))</f>
        <v>#VALUE!</v>
      </c>
      <c r="AG320" s="1063" t="e">
        <f>VLOOKUP(TB_curr[[#This Row],[Synt]],GL[[Account]:[B/P]],4,FALSE)</f>
        <v>#N/A</v>
      </c>
      <c r="AH320" s="1066" t="e">
        <v>#VALUE!</v>
      </c>
      <c r="AI320" s="1065" t="e">
        <f>TB_curr[[#This Row],[Synt]]&amp;TB_curr[[#This Row],[Line No. manual corr.]]</f>
        <v>#VALUE!</v>
      </c>
      <c r="AJ320" s="1064">
        <f t="shared" si="21"/>
        <v>0</v>
      </c>
      <c r="AK320" s="1064">
        <f t="shared" si="22"/>
        <v>0</v>
      </c>
      <c r="AL320" s="1064">
        <f t="shared" si="23"/>
        <v>0</v>
      </c>
      <c r="AM320" s="1064">
        <f t="shared" si="24"/>
        <v>0</v>
      </c>
      <c r="AN320" s="1064"/>
      <c r="AO320" s="1064">
        <f>TB_curr[[#This Row],[Closing balance]]+TB_curr[[#This Row],[Rounding]]</f>
        <v>0</v>
      </c>
    </row>
    <row r="321" spans="30:41" x14ac:dyDescent="0.25">
      <c r="AD321" s="1067" t="str">
        <f t="shared" si="20"/>
        <v/>
      </c>
      <c r="AE321" s="1063" t="str">
        <f>IF(ISNA(VLOOKUP(TB_curr[[#This Row],[Synt]],GL[[#Headers],[#Data],[subtotal label]],1,FALSE)),0,(VLOOKUP(TB_curr[[#This Row],[Synt]],GL[[#Headers],[#Data],[subtotal label]],1,FALSE)))</f>
        <v/>
      </c>
      <c r="AF321" s="1063" t="e">
        <f>IF((TB_curr[[#This Row],[Synt]]-TB_curr[[#This Row],[Subtotal Y/N]])=0,0,VLOOKUP(TB_curr[[#This Row],[Synt]],GL[[Account]:[Line]],3,FALSE))</f>
        <v>#VALUE!</v>
      </c>
      <c r="AG321" s="1063" t="e">
        <f>VLOOKUP(TB_curr[[#This Row],[Synt]],GL[[Account]:[B/P]],4,FALSE)</f>
        <v>#N/A</v>
      </c>
      <c r="AH321" s="1066" t="e">
        <v>#VALUE!</v>
      </c>
      <c r="AI321" s="1065" t="e">
        <f>TB_curr[[#This Row],[Synt]]&amp;TB_curr[[#This Row],[Line No. manual corr.]]</f>
        <v>#VALUE!</v>
      </c>
      <c r="AJ321" s="1064">
        <f t="shared" si="21"/>
        <v>0</v>
      </c>
      <c r="AK321" s="1064">
        <f t="shared" si="22"/>
        <v>0</v>
      </c>
      <c r="AL321" s="1064">
        <f t="shared" si="23"/>
        <v>0</v>
      </c>
      <c r="AM321" s="1064">
        <f t="shared" si="24"/>
        <v>0</v>
      </c>
      <c r="AN321" s="1064"/>
      <c r="AO321" s="1064">
        <f>TB_curr[[#This Row],[Closing balance]]+TB_curr[[#This Row],[Rounding]]</f>
        <v>0</v>
      </c>
    </row>
    <row r="322" spans="30:41" x14ac:dyDescent="0.25">
      <c r="AD322" s="1067" t="str">
        <f t="shared" si="20"/>
        <v/>
      </c>
      <c r="AE322" s="1063" t="str">
        <f>IF(ISNA(VLOOKUP(TB_curr[[#This Row],[Synt]],GL[[#Headers],[#Data],[subtotal label]],1,FALSE)),0,(VLOOKUP(TB_curr[[#This Row],[Synt]],GL[[#Headers],[#Data],[subtotal label]],1,FALSE)))</f>
        <v/>
      </c>
      <c r="AF322" s="1063" t="e">
        <f>IF((TB_curr[[#This Row],[Synt]]-TB_curr[[#This Row],[Subtotal Y/N]])=0,0,VLOOKUP(TB_curr[[#This Row],[Synt]],GL[[Account]:[Line]],3,FALSE))</f>
        <v>#VALUE!</v>
      </c>
      <c r="AG322" s="1063" t="e">
        <f>VLOOKUP(TB_curr[[#This Row],[Synt]],GL[[Account]:[B/P]],4,FALSE)</f>
        <v>#N/A</v>
      </c>
      <c r="AH322" s="1066" t="e">
        <v>#VALUE!</v>
      </c>
      <c r="AI322" s="1065" t="e">
        <f>TB_curr[[#This Row],[Synt]]&amp;TB_curr[[#This Row],[Line No. manual corr.]]</f>
        <v>#VALUE!</v>
      </c>
      <c r="AJ322" s="1064">
        <f t="shared" si="21"/>
        <v>0</v>
      </c>
      <c r="AK322" s="1064">
        <f t="shared" si="22"/>
        <v>0</v>
      </c>
      <c r="AL322" s="1064">
        <f t="shared" si="23"/>
        <v>0</v>
      </c>
      <c r="AM322" s="1064">
        <f t="shared" si="24"/>
        <v>0</v>
      </c>
      <c r="AN322" s="1064"/>
      <c r="AO322" s="1064">
        <f>TB_curr[[#This Row],[Closing balance]]+TB_curr[[#This Row],[Rounding]]</f>
        <v>0</v>
      </c>
    </row>
    <row r="323" spans="30:41" x14ac:dyDescent="0.25">
      <c r="AD323" s="1067" t="str">
        <f t="shared" si="20"/>
        <v/>
      </c>
      <c r="AE323" s="1063" t="str">
        <f>IF(ISNA(VLOOKUP(TB_curr[[#This Row],[Synt]],GL[[#Headers],[#Data],[subtotal label]],1,FALSE)),0,(VLOOKUP(TB_curr[[#This Row],[Synt]],GL[[#Headers],[#Data],[subtotal label]],1,FALSE)))</f>
        <v/>
      </c>
      <c r="AF323" s="1063" t="e">
        <f>IF((TB_curr[[#This Row],[Synt]]-TB_curr[[#This Row],[Subtotal Y/N]])=0,0,VLOOKUP(TB_curr[[#This Row],[Synt]],GL[[Account]:[Line]],3,FALSE))</f>
        <v>#VALUE!</v>
      </c>
      <c r="AG323" s="1063" t="e">
        <f>VLOOKUP(TB_curr[[#This Row],[Synt]],GL[[Account]:[B/P]],4,FALSE)</f>
        <v>#N/A</v>
      </c>
      <c r="AH323" s="1066" t="e">
        <v>#VALUE!</v>
      </c>
      <c r="AI323" s="1065" t="e">
        <f>TB_curr[[#This Row],[Synt]]&amp;TB_curr[[#This Row],[Line No. manual corr.]]</f>
        <v>#VALUE!</v>
      </c>
      <c r="AJ323" s="1064">
        <f t="shared" si="21"/>
        <v>0</v>
      </c>
      <c r="AK323" s="1064">
        <f t="shared" si="22"/>
        <v>0</v>
      </c>
      <c r="AL323" s="1064">
        <f t="shared" si="23"/>
        <v>0</v>
      </c>
      <c r="AM323" s="1064">
        <f t="shared" si="24"/>
        <v>0</v>
      </c>
      <c r="AN323" s="1064"/>
      <c r="AO323" s="1064">
        <f>TB_curr[[#This Row],[Closing balance]]+TB_curr[[#This Row],[Rounding]]</f>
        <v>0</v>
      </c>
    </row>
    <row r="324" spans="30:41" x14ac:dyDescent="0.25">
      <c r="AD324" s="1067" t="str">
        <f t="shared" si="20"/>
        <v/>
      </c>
      <c r="AE324" s="1063" t="str">
        <f>IF(ISNA(VLOOKUP(TB_curr[[#This Row],[Synt]],GL[[#Headers],[#Data],[subtotal label]],1,FALSE)),0,(VLOOKUP(TB_curr[[#This Row],[Synt]],GL[[#Headers],[#Data],[subtotal label]],1,FALSE)))</f>
        <v/>
      </c>
      <c r="AF324" s="1063" t="e">
        <f>IF((TB_curr[[#This Row],[Synt]]-TB_curr[[#This Row],[Subtotal Y/N]])=0,0,VLOOKUP(TB_curr[[#This Row],[Synt]],GL[[Account]:[Line]],3,FALSE))</f>
        <v>#VALUE!</v>
      </c>
      <c r="AG324" s="1063" t="e">
        <f>VLOOKUP(TB_curr[[#This Row],[Synt]],GL[[Account]:[B/P]],4,FALSE)</f>
        <v>#N/A</v>
      </c>
      <c r="AH324" s="1066" t="e">
        <v>#VALUE!</v>
      </c>
      <c r="AI324" s="1065" t="e">
        <f>TB_curr[[#This Row],[Synt]]&amp;TB_curr[[#This Row],[Line No. manual corr.]]</f>
        <v>#VALUE!</v>
      </c>
      <c r="AJ324" s="1064">
        <f t="shared" si="21"/>
        <v>0</v>
      </c>
      <c r="AK324" s="1064">
        <f t="shared" si="22"/>
        <v>0</v>
      </c>
      <c r="AL324" s="1064">
        <f t="shared" si="23"/>
        <v>0</v>
      </c>
      <c r="AM324" s="1064">
        <f t="shared" si="24"/>
        <v>0</v>
      </c>
      <c r="AN324" s="1064"/>
      <c r="AO324" s="1064">
        <f>TB_curr[[#This Row],[Closing balance]]+TB_curr[[#This Row],[Rounding]]</f>
        <v>0</v>
      </c>
    </row>
    <row r="325" spans="30:41" x14ac:dyDescent="0.25">
      <c r="AD325" s="1067" t="str">
        <f t="shared" si="20"/>
        <v/>
      </c>
      <c r="AE325" s="1063" t="str">
        <f>IF(ISNA(VLOOKUP(TB_curr[[#This Row],[Synt]],GL[[#Headers],[#Data],[subtotal label]],1,FALSE)),0,(VLOOKUP(TB_curr[[#This Row],[Synt]],GL[[#Headers],[#Data],[subtotal label]],1,FALSE)))</f>
        <v/>
      </c>
      <c r="AF325" s="1063" t="e">
        <f>IF((TB_curr[[#This Row],[Synt]]-TB_curr[[#This Row],[Subtotal Y/N]])=0,0,VLOOKUP(TB_curr[[#This Row],[Synt]],GL[[Account]:[Line]],3,FALSE))</f>
        <v>#VALUE!</v>
      </c>
      <c r="AG325" s="1063" t="e">
        <f>VLOOKUP(TB_curr[[#This Row],[Synt]],GL[[Account]:[B/P]],4,FALSE)</f>
        <v>#N/A</v>
      </c>
      <c r="AH325" s="1066" t="e">
        <v>#VALUE!</v>
      </c>
      <c r="AI325" s="1065" t="e">
        <f>TB_curr[[#This Row],[Synt]]&amp;TB_curr[[#This Row],[Line No. manual corr.]]</f>
        <v>#VALUE!</v>
      </c>
      <c r="AJ325" s="1064">
        <f t="shared" si="21"/>
        <v>0</v>
      </c>
      <c r="AK325" s="1064">
        <f t="shared" si="22"/>
        <v>0</v>
      </c>
      <c r="AL325" s="1064">
        <f t="shared" si="23"/>
        <v>0</v>
      </c>
      <c r="AM325" s="1064">
        <f t="shared" si="24"/>
        <v>0</v>
      </c>
      <c r="AN325" s="1064"/>
      <c r="AO325" s="1064">
        <f>TB_curr[[#This Row],[Closing balance]]+TB_curr[[#This Row],[Rounding]]</f>
        <v>0</v>
      </c>
    </row>
    <row r="326" spans="30:41" x14ac:dyDescent="0.25">
      <c r="AD326" s="1067" t="str">
        <f t="shared" si="20"/>
        <v/>
      </c>
      <c r="AE326" s="1063" t="str">
        <f>IF(ISNA(VLOOKUP(TB_curr[[#This Row],[Synt]],GL[[#Headers],[#Data],[subtotal label]],1,FALSE)),0,(VLOOKUP(TB_curr[[#This Row],[Synt]],GL[[#Headers],[#Data],[subtotal label]],1,FALSE)))</f>
        <v/>
      </c>
      <c r="AF326" s="1063" t="e">
        <f>IF((TB_curr[[#This Row],[Synt]]-TB_curr[[#This Row],[Subtotal Y/N]])=0,0,VLOOKUP(TB_curr[[#This Row],[Synt]],GL[[Account]:[Line]],3,FALSE))</f>
        <v>#VALUE!</v>
      </c>
      <c r="AG326" s="1063" t="e">
        <f>VLOOKUP(TB_curr[[#This Row],[Synt]],GL[[Account]:[B/P]],4,FALSE)</f>
        <v>#N/A</v>
      </c>
      <c r="AH326" s="1066" t="e">
        <v>#VALUE!</v>
      </c>
      <c r="AI326" s="1065" t="e">
        <f>TB_curr[[#This Row],[Synt]]&amp;TB_curr[[#This Row],[Line No. manual corr.]]</f>
        <v>#VALUE!</v>
      </c>
      <c r="AJ326" s="1064">
        <f t="shared" si="21"/>
        <v>0</v>
      </c>
      <c r="AK326" s="1064">
        <f t="shared" si="22"/>
        <v>0</v>
      </c>
      <c r="AL326" s="1064">
        <f t="shared" si="23"/>
        <v>0</v>
      </c>
      <c r="AM326" s="1064">
        <f t="shared" si="24"/>
        <v>0</v>
      </c>
      <c r="AN326" s="1064"/>
      <c r="AO326" s="1064">
        <f>TB_curr[[#This Row],[Closing balance]]+TB_curr[[#This Row],[Rounding]]</f>
        <v>0</v>
      </c>
    </row>
    <row r="327" spans="30:41" x14ac:dyDescent="0.25">
      <c r="AD327" s="1067" t="str">
        <f t="shared" si="20"/>
        <v/>
      </c>
      <c r="AE327" s="1063" t="str">
        <f>IF(ISNA(VLOOKUP(TB_curr[[#This Row],[Synt]],GL[[#Headers],[#Data],[subtotal label]],1,FALSE)),0,(VLOOKUP(TB_curr[[#This Row],[Synt]],GL[[#Headers],[#Data],[subtotal label]],1,FALSE)))</f>
        <v/>
      </c>
      <c r="AF327" s="1063" t="e">
        <f>IF((TB_curr[[#This Row],[Synt]]-TB_curr[[#This Row],[Subtotal Y/N]])=0,0,VLOOKUP(TB_curr[[#This Row],[Synt]],GL[[Account]:[Line]],3,FALSE))</f>
        <v>#VALUE!</v>
      </c>
      <c r="AG327" s="1063" t="e">
        <f>VLOOKUP(TB_curr[[#This Row],[Synt]],GL[[Account]:[B/P]],4,FALSE)</f>
        <v>#N/A</v>
      </c>
      <c r="AH327" s="1066" t="e">
        <v>#VALUE!</v>
      </c>
      <c r="AI327" s="1065" t="e">
        <f>TB_curr[[#This Row],[Synt]]&amp;TB_curr[[#This Row],[Line No. manual corr.]]</f>
        <v>#VALUE!</v>
      </c>
      <c r="AJ327" s="1064">
        <f t="shared" si="21"/>
        <v>0</v>
      </c>
      <c r="AK327" s="1064">
        <f t="shared" si="22"/>
        <v>0</v>
      </c>
      <c r="AL327" s="1064">
        <f t="shared" si="23"/>
        <v>0</v>
      </c>
      <c r="AM327" s="1064">
        <f t="shared" si="24"/>
        <v>0</v>
      </c>
      <c r="AN327" s="1064"/>
      <c r="AO327" s="1064">
        <f>TB_curr[[#This Row],[Closing balance]]+TB_curr[[#This Row],[Rounding]]</f>
        <v>0</v>
      </c>
    </row>
    <row r="328" spans="30:41" x14ac:dyDescent="0.25">
      <c r="AD328" s="1067" t="str">
        <f t="shared" ref="AD328:AD391" si="25">LEFT(B328,3)</f>
        <v/>
      </c>
      <c r="AE328" s="1063" t="str">
        <f>IF(ISNA(VLOOKUP(TB_curr[[#This Row],[Synt]],GL[[#Headers],[#Data],[subtotal label]],1,FALSE)),0,(VLOOKUP(TB_curr[[#This Row],[Synt]],GL[[#Headers],[#Data],[subtotal label]],1,FALSE)))</f>
        <v/>
      </c>
      <c r="AF328" s="1063" t="e">
        <f>IF((TB_curr[[#This Row],[Synt]]-TB_curr[[#This Row],[Subtotal Y/N]])=0,0,VLOOKUP(TB_curr[[#This Row],[Synt]],GL[[Account]:[Line]],3,FALSE))</f>
        <v>#VALUE!</v>
      </c>
      <c r="AG328" s="1063" t="e">
        <f>VLOOKUP(TB_curr[[#This Row],[Synt]],GL[[Account]:[B/P]],4,FALSE)</f>
        <v>#N/A</v>
      </c>
      <c r="AH328" s="1066" t="e">
        <v>#VALUE!</v>
      </c>
      <c r="AI328" s="1065" t="e">
        <f>TB_curr[[#This Row],[Synt]]&amp;TB_curr[[#This Row],[Line No. manual corr.]]</f>
        <v>#VALUE!</v>
      </c>
      <c r="AJ328" s="1064">
        <f t="shared" ref="AJ328:AJ391" si="26">K328-N328</f>
        <v>0</v>
      </c>
      <c r="AK328" s="1064">
        <f t="shared" ref="AK328:AK391" si="27">Q328</f>
        <v>0</v>
      </c>
      <c r="AL328" s="1064">
        <f t="shared" ref="AL328:AL391" si="28">U328</f>
        <v>0</v>
      </c>
      <c r="AM328" s="1064">
        <f t="shared" ref="AM328:AM391" si="29">X328-AB328</f>
        <v>0</v>
      </c>
      <c r="AN328" s="1064"/>
      <c r="AO328" s="1064">
        <f>TB_curr[[#This Row],[Closing balance]]+TB_curr[[#This Row],[Rounding]]</f>
        <v>0</v>
      </c>
    </row>
    <row r="329" spans="30:41" x14ac:dyDescent="0.25">
      <c r="AD329" s="1067" t="str">
        <f t="shared" si="25"/>
        <v/>
      </c>
      <c r="AE329" s="1063" t="str">
        <f>IF(ISNA(VLOOKUP(TB_curr[[#This Row],[Synt]],GL[[#Headers],[#Data],[subtotal label]],1,FALSE)),0,(VLOOKUP(TB_curr[[#This Row],[Synt]],GL[[#Headers],[#Data],[subtotal label]],1,FALSE)))</f>
        <v/>
      </c>
      <c r="AF329" s="1063" t="e">
        <f>IF((TB_curr[[#This Row],[Synt]]-TB_curr[[#This Row],[Subtotal Y/N]])=0,0,VLOOKUP(TB_curr[[#This Row],[Synt]],GL[[Account]:[Line]],3,FALSE))</f>
        <v>#VALUE!</v>
      </c>
      <c r="AG329" s="1063" t="e">
        <f>VLOOKUP(TB_curr[[#This Row],[Synt]],GL[[Account]:[B/P]],4,FALSE)</f>
        <v>#N/A</v>
      </c>
      <c r="AH329" s="1066" t="e">
        <v>#VALUE!</v>
      </c>
      <c r="AI329" s="1065" t="e">
        <f>TB_curr[[#This Row],[Synt]]&amp;TB_curr[[#This Row],[Line No. manual corr.]]</f>
        <v>#VALUE!</v>
      </c>
      <c r="AJ329" s="1064">
        <f t="shared" si="26"/>
        <v>0</v>
      </c>
      <c r="AK329" s="1064">
        <f t="shared" si="27"/>
        <v>0</v>
      </c>
      <c r="AL329" s="1064">
        <f t="shared" si="28"/>
        <v>0</v>
      </c>
      <c r="AM329" s="1064">
        <f t="shared" si="29"/>
        <v>0</v>
      </c>
      <c r="AN329" s="1064"/>
      <c r="AO329" s="1064">
        <f>TB_curr[[#This Row],[Closing balance]]+TB_curr[[#This Row],[Rounding]]</f>
        <v>0</v>
      </c>
    </row>
    <row r="330" spans="30:41" x14ac:dyDescent="0.25">
      <c r="AD330" s="1067" t="str">
        <f t="shared" si="25"/>
        <v/>
      </c>
      <c r="AE330" s="1063" t="str">
        <f>IF(ISNA(VLOOKUP(TB_curr[[#This Row],[Synt]],GL[[#Headers],[#Data],[subtotal label]],1,FALSE)),0,(VLOOKUP(TB_curr[[#This Row],[Synt]],GL[[#Headers],[#Data],[subtotal label]],1,FALSE)))</f>
        <v/>
      </c>
      <c r="AF330" s="1063" t="e">
        <f>IF((TB_curr[[#This Row],[Synt]]-TB_curr[[#This Row],[Subtotal Y/N]])=0,0,VLOOKUP(TB_curr[[#This Row],[Synt]],GL[[Account]:[Line]],3,FALSE))</f>
        <v>#VALUE!</v>
      </c>
      <c r="AG330" s="1063" t="e">
        <f>VLOOKUP(TB_curr[[#This Row],[Synt]],GL[[Account]:[B/P]],4,FALSE)</f>
        <v>#N/A</v>
      </c>
      <c r="AH330" s="1066" t="e">
        <v>#VALUE!</v>
      </c>
      <c r="AI330" s="1065" t="e">
        <f>TB_curr[[#This Row],[Synt]]&amp;TB_curr[[#This Row],[Line No. manual corr.]]</f>
        <v>#VALUE!</v>
      </c>
      <c r="AJ330" s="1064">
        <f t="shared" si="26"/>
        <v>0</v>
      </c>
      <c r="AK330" s="1064">
        <f t="shared" si="27"/>
        <v>0</v>
      </c>
      <c r="AL330" s="1064">
        <f t="shared" si="28"/>
        <v>0</v>
      </c>
      <c r="AM330" s="1064">
        <f t="shared" si="29"/>
        <v>0</v>
      </c>
      <c r="AN330" s="1064"/>
      <c r="AO330" s="1064">
        <f>TB_curr[[#This Row],[Closing balance]]+TB_curr[[#This Row],[Rounding]]</f>
        <v>0</v>
      </c>
    </row>
    <row r="331" spans="30:41" x14ac:dyDescent="0.25">
      <c r="AD331" s="1067" t="str">
        <f t="shared" si="25"/>
        <v/>
      </c>
      <c r="AE331" s="1063" t="str">
        <f>IF(ISNA(VLOOKUP(TB_curr[[#This Row],[Synt]],GL[[#Headers],[#Data],[subtotal label]],1,FALSE)),0,(VLOOKUP(TB_curr[[#This Row],[Synt]],GL[[#Headers],[#Data],[subtotal label]],1,FALSE)))</f>
        <v/>
      </c>
      <c r="AF331" s="1063" t="e">
        <f>IF((TB_curr[[#This Row],[Synt]]-TB_curr[[#This Row],[Subtotal Y/N]])=0,0,VLOOKUP(TB_curr[[#This Row],[Synt]],GL[[Account]:[Line]],3,FALSE))</f>
        <v>#VALUE!</v>
      </c>
      <c r="AG331" s="1063" t="e">
        <f>VLOOKUP(TB_curr[[#This Row],[Synt]],GL[[Account]:[B/P]],4,FALSE)</f>
        <v>#N/A</v>
      </c>
      <c r="AH331" s="1066" t="e">
        <v>#VALUE!</v>
      </c>
      <c r="AI331" s="1065" t="e">
        <f>TB_curr[[#This Row],[Synt]]&amp;TB_curr[[#This Row],[Line No. manual corr.]]</f>
        <v>#VALUE!</v>
      </c>
      <c r="AJ331" s="1064">
        <f t="shared" si="26"/>
        <v>0</v>
      </c>
      <c r="AK331" s="1064">
        <f t="shared" si="27"/>
        <v>0</v>
      </c>
      <c r="AL331" s="1064">
        <f t="shared" si="28"/>
        <v>0</v>
      </c>
      <c r="AM331" s="1064">
        <f t="shared" si="29"/>
        <v>0</v>
      </c>
      <c r="AN331" s="1064"/>
      <c r="AO331" s="1064">
        <f>TB_curr[[#This Row],[Closing balance]]+TB_curr[[#This Row],[Rounding]]</f>
        <v>0</v>
      </c>
    </row>
    <row r="332" spans="30:41" x14ac:dyDescent="0.25">
      <c r="AD332" s="1067" t="str">
        <f t="shared" si="25"/>
        <v/>
      </c>
      <c r="AE332" s="1063" t="str">
        <f>IF(ISNA(VLOOKUP(TB_curr[[#This Row],[Synt]],GL[[#Headers],[#Data],[subtotal label]],1,FALSE)),0,(VLOOKUP(TB_curr[[#This Row],[Synt]],GL[[#Headers],[#Data],[subtotal label]],1,FALSE)))</f>
        <v/>
      </c>
      <c r="AF332" s="1063" t="e">
        <f>IF((TB_curr[[#This Row],[Synt]]-TB_curr[[#This Row],[Subtotal Y/N]])=0,0,VLOOKUP(TB_curr[[#This Row],[Synt]],GL[[Account]:[Line]],3,FALSE))</f>
        <v>#VALUE!</v>
      </c>
      <c r="AG332" s="1063" t="e">
        <f>VLOOKUP(TB_curr[[#This Row],[Synt]],GL[[Account]:[B/P]],4,FALSE)</f>
        <v>#N/A</v>
      </c>
      <c r="AH332" s="1066" t="e">
        <v>#VALUE!</v>
      </c>
      <c r="AI332" s="1065" t="e">
        <f>TB_curr[[#This Row],[Synt]]&amp;TB_curr[[#This Row],[Line No. manual corr.]]</f>
        <v>#VALUE!</v>
      </c>
      <c r="AJ332" s="1064">
        <f t="shared" si="26"/>
        <v>0</v>
      </c>
      <c r="AK332" s="1064">
        <f t="shared" si="27"/>
        <v>0</v>
      </c>
      <c r="AL332" s="1064">
        <f t="shared" si="28"/>
        <v>0</v>
      </c>
      <c r="AM332" s="1064">
        <f t="shared" si="29"/>
        <v>0</v>
      </c>
      <c r="AN332" s="1064"/>
      <c r="AO332" s="1064">
        <f>TB_curr[[#This Row],[Closing balance]]+TB_curr[[#This Row],[Rounding]]</f>
        <v>0</v>
      </c>
    </row>
    <row r="333" spans="30:41" x14ac:dyDescent="0.25">
      <c r="AD333" s="1067" t="str">
        <f t="shared" si="25"/>
        <v/>
      </c>
      <c r="AE333" s="1063" t="str">
        <f>IF(ISNA(VLOOKUP(TB_curr[[#This Row],[Synt]],GL[[#Headers],[#Data],[subtotal label]],1,FALSE)),0,(VLOOKUP(TB_curr[[#This Row],[Synt]],GL[[#Headers],[#Data],[subtotal label]],1,FALSE)))</f>
        <v/>
      </c>
      <c r="AF333" s="1063" t="e">
        <f>IF((TB_curr[[#This Row],[Synt]]-TB_curr[[#This Row],[Subtotal Y/N]])=0,0,VLOOKUP(TB_curr[[#This Row],[Synt]],GL[[Account]:[Line]],3,FALSE))</f>
        <v>#VALUE!</v>
      </c>
      <c r="AG333" s="1063" t="e">
        <f>VLOOKUP(TB_curr[[#This Row],[Synt]],GL[[Account]:[B/P]],4,FALSE)</f>
        <v>#N/A</v>
      </c>
      <c r="AH333" s="1066" t="e">
        <v>#VALUE!</v>
      </c>
      <c r="AI333" s="1065" t="e">
        <f>TB_curr[[#This Row],[Synt]]&amp;TB_curr[[#This Row],[Line No. manual corr.]]</f>
        <v>#VALUE!</v>
      </c>
      <c r="AJ333" s="1064">
        <f t="shared" si="26"/>
        <v>0</v>
      </c>
      <c r="AK333" s="1064">
        <f t="shared" si="27"/>
        <v>0</v>
      </c>
      <c r="AL333" s="1064">
        <f t="shared" si="28"/>
        <v>0</v>
      </c>
      <c r="AM333" s="1064">
        <f t="shared" si="29"/>
        <v>0</v>
      </c>
      <c r="AN333" s="1064"/>
      <c r="AO333" s="1064">
        <f>TB_curr[[#This Row],[Closing balance]]+TB_curr[[#This Row],[Rounding]]</f>
        <v>0</v>
      </c>
    </row>
    <row r="334" spans="30:41" x14ac:dyDescent="0.25">
      <c r="AD334" s="1067" t="str">
        <f t="shared" si="25"/>
        <v/>
      </c>
      <c r="AE334" s="1063" t="str">
        <f>IF(ISNA(VLOOKUP(TB_curr[[#This Row],[Synt]],GL[[#Headers],[#Data],[subtotal label]],1,FALSE)),0,(VLOOKUP(TB_curr[[#This Row],[Synt]],GL[[#Headers],[#Data],[subtotal label]],1,FALSE)))</f>
        <v/>
      </c>
      <c r="AF334" s="1063" t="e">
        <f>IF((TB_curr[[#This Row],[Synt]]-TB_curr[[#This Row],[Subtotal Y/N]])=0,0,VLOOKUP(TB_curr[[#This Row],[Synt]],GL[[Account]:[Line]],3,FALSE))</f>
        <v>#VALUE!</v>
      </c>
      <c r="AG334" s="1063" t="e">
        <f>VLOOKUP(TB_curr[[#This Row],[Synt]],GL[[Account]:[B/P]],4,FALSE)</f>
        <v>#N/A</v>
      </c>
      <c r="AH334" s="1066" t="e">
        <v>#VALUE!</v>
      </c>
      <c r="AI334" s="1065" t="e">
        <f>TB_curr[[#This Row],[Synt]]&amp;TB_curr[[#This Row],[Line No. manual corr.]]</f>
        <v>#VALUE!</v>
      </c>
      <c r="AJ334" s="1064">
        <f t="shared" si="26"/>
        <v>0</v>
      </c>
      <c r="AK334" s="1064">
        <f t="shared" si="27"/>
        <v>0</v>
      </c>
      <c r="AL334" s="1064">
        <f t="shared" si="28"/>
        <v>0</v>
      </c>
      <c r="AM334" s="1064">
        <f t="shared" si="29"/>
        <v>0</v>
      </c>
      <c r="AN334" s="1064"/>
      <c r="AO334" s="1064">
        <f>TB_curr[[#This Row],[Closing balance]]+TB_curr[[#This Row],[Rounding]]</f>
        <v>0</v>
      </c>
    </row>
    <row r="335" spans="30:41" x14ac:dyDescent="0.25">
      <c r="AD335" s="1067" t="str">
        <f t="shared" si="25"/>
        <v/>
      </c>
      <c r="AE335" s="1063" t="str">
        <f>IF(ISNA(VLOOKUP(TB_curr[[#This Row],[Synt]],GL[[#Headers],[#Data],[subtotal label]],1,FALSE)),0,(VLOOKUP(TB_curr[[#This Row],[Synt]],GL[[#Headers],[#Data],[subtotal label]],1,FALSE)))</f>
        <v/>
      </c>
      <c r="AF335" s="1063" t="e">
        <f>IF((TB_curr[[#This Row],[Synt]]-TB_curr[[#This Row],[Subtotal Y/N]])=0,0,VLOOKUP(TB_curr[[#This Row],[Synt]],GL[[Account]:[Line]],3,FALSE))</f>
        <v>#VALUE!</v>
      </c>
      <c r="AG335" s="1063" t="e">
        <f>VLOOKUP(TB_curr[[#This Row],[Synt]],GL[[Account]:[B/P]],4,FALSE)</f>
        <v>#N/A</v>
      </c>
      <c r="AH335" s="1066" t="e">
        <v>#VALUE!</v>
      </c>
      <c r="AI335" s="1065" t="e">
        <f>TB_curr[[#This Row],[Synt]]&amp;TB_curr[[#This Row],[Line No. manual corr.]]</f>
        <v>#VALUE!</v>
      </c>
      <c r="AJ335" s="1064">
        <f t="shared" si="26"/>
        <v>0</v>
      </c>
      <c r="AK335" s="1064">
        <f t="shared" si="27"/>
        <v>0</v>
      </c>
      <c r="AL335" s="1064">
        <f t="shared" si="28"/>
        <v>0</v>
      </c>
      <c r="AM335" s="1064">
        <f t="shared" si="29"/>
        <v>0</v>
      </c>
      <c r="AN335" s="1064"/>
      <c r="AO335" s="1064">
        <f>TB_curr[[#This Row],[Closing balance]]+TB_curr[[#This Row],[Rounding]]</f>
        <v>0</v>
      </c>
    </row>
    <row r="336" spans="30:41" x14ac:dyDescent="0.25">
      <c r="AD336" s="1067" t="str">
        <f t="shared" si="25"/>
        <v/>
      </c>
      <c r="AE336" s="1063" t="str">
        <f>IF(ISNA(VLOOKUP(TB_curr[[#This Row],[Synt]],GL[[#Headers],[#Data],[subtotal label]],1,FALSE)),0,(VLOOKUP(TB_curr[[#This Row],[Synt]],GL[[#Headers],[#Data],[subtotal label]],1,FALSE)))</f>
        <v/>
      </c>
      <c r="AF336" s="1063" t="e">
        <f>IF((TB_curr[[#This Row],[Synt]]-TB_curr[[#This Row],[Subtotal Y/N]])=0,0,VLOOKUP(TB_curr[[#This Row],[Synt]],GL[[Account]:[Line]],3,FALSE))</f>
        <v>#VALUE!</v>
      </c>
      <c r="AG336" s="1063" t="e">
        <f>VLOOKUP(TB_curr[[#This Row],[Synt]],GL[[Account]:[B/P]],4,FALSE)</f>
        <v>#N/A</v>
      </c>
      <c r="AH336" s="1066" t="e">
        <v>#VALUE!</v>
      </c>
      <c r="AI336" s="1065" t="e">
        <f>TB_curr[[#This Row],[Synt]]&amp;TB_curr[[#This Row],[Line No. manual corr.]]</f>
        <v>#VALUE!</v>
      </c>
      <c r="AJ336" s="1064">
        <f t="shared" si="26"/>
        <v>0</v>
      </c>
      <c r="AK336" s="1064">
        <f t="shared" si="27"/>
        <v>0</v>
      </c>
      <c r="AL336" s="1064">
        <f t="shared" si="28"/>
        <v>0</v>
      </c>
      <c r="AM336" s="1064">
        <f t="shared" si="29"/>
        <v>0</v>
      </c>
      <c r="AN336" s="1064"/>
      <c r="AO336" s="1064">
        <f>TB_curr[[#This Row],[Closing balance]]+TB_curr[[#This Row],[Rounding]]</f>
        <v>0</v>
      </c>
    </row>
    <row r="337" spans="30:41" x14ac:dyDescent="0.25">
      <c r="AD337" s="1067" t="str">
        <f t="shared" si="25"/>
        <v/>
      </c>
      <c r="AE337" s="1063" t="str">
        <f>IF(ISNA(VLOOKUP(TB_curr[[#This Row],[Synt]],GL[[#Headers],[#Data],[subtotal label]],1,FALSE)),0,(VLOOKUP(TB_curr[[#This Row],[Synt]],GL[[#Headers],[#Data],[subtotal label]],1,FALSE)))</f>
        <v/>
      </c>
      <c r="AF337" s="1063" t="e">
        <f>IF((TB_curr[[#This Row],[Synt]]-TB_curr[[#This Row],[Subtotal Y/N]])=0,0,VLOOKUP(TB_curr[[#This Row],[Synt]],GL[[Account]:[Line]],3,FALSE))</f>
        <v>#VALUE!</v>
      </c>
      <c r="AG337" s="1063" t="e">
        <f>VLOOKUP(TB_curr[[#This Row],[Synt]],GL[[Account]:[B/P]],4,FALSE)</f>
        <v>#N/A</v>
      </c>
      <c r="AH337" s="1066" t="e">
        <v>#VALUE!</v>
      </c>
      <c r="AI337" s="1065" t="e">
        <f>TB_curr[[#This Row],[Synt]]&amp;TB_curr[[#This Row],[Line No. manual corr.]]</f>
        <v>#VALUE!</v>
      </c>
      <c r="AJ337" s="1064">
        <f t="shared" si="26"/>
        <v>0</v>
      </c>
      <c r="AK337" s="1064">
        <f t="shared" si="27"/>
        <v>0</v>
      </c>
      <c r="AL337" s="1064">
        <f t="shared" si="28"/>
        <v>0</v>
      </c>
      <c r="AM337" s="1064">
        <f t="shared" si="29"/>
        <v>0</v>
      </c>
      <c r="AN337" s="1064"/>
      <c r="AO337" s="1064">
        <f>TB_curr[[#This Row],[Closing balance]]+TB_curr[[#This Row],[Rounding]]</f>
        <v>0</v>
      </c>
    </row>
    <row r="338" spans="30:41" x14ac:dyDescent="0.25">
      <c r="AD338" s="1067" t="str">
        <f t="shared" si="25"/>
        <v/>
      </c>
      <c r="AE338" s="1063" t="str">
        <f>IF(ISNA(VLOOKUP(TB_curr[[#This Row],[Synt]],GL[[#Headers],[#Data],[subtotal label]],1,FALSE)),0,(VLOOKUP(TB_curr[[#This Row],[Synt]],GL[[#Headers],[#Data],[subtotal label]],1,FALSE)))</f>
        <v/>
      </c>
      <c r="AF338" s="1063" t="e">
        <f>IF((TB_curr[[#This Row],[Synt]]-TB_curr[[#This Row],[Subtotal Y/N]])=0,0,VLOOKUP(TB_curr[[#This Row],[Synt]],GL[[Account]:[Line]],3,FALSE))</f>
        <v>#VALUE!</v>
      </c>
      <c r="AG338" s="1063" t="e">
        <f>VLOOKUP(TB_curr[[#This Row],[Synt]],GL[[Account]:[B/P]],4,FALSE)</f>
        <v>#N/A</v>
      </c>
      <c r="AH338" s="1066" t="e">
        <v>#VALUE!</v>
      </c>
      <c r="AI338" s="1065" t="e">
        <f>TB_curr[[#This Row],[Synt]]&amp;TB_curr[[#This Row],[Line No. manual corr.]]</f>
        <v>#VALUE!</v>
      </c>
      <c r="AJ338" s="1064">
        <f t="shared" si="26"/>
        <v>0</v>
      </c>
      <c r="AK338" s="1064">
        <f t="shared" si="27"/>
        <v>0</v>
      </c>
      <c r="AL338" s="1064">
        <f t="shared" si="28"/>
        <v>0</v>
      </c>
      <c r="AM338" s="1064">
        <f t="shared" si="29"/>
        <v>0</v>
      </c>
      <c r="AN338" s="1064"/>
      <c r="AO338" s="1064">
        <f>TB_curr[[#This Row],[Closing balance]]+TB_curr[[#This Row],[Rounding]]</f>
        <v>0</v>
      </c>
    </row>
    <row r="339" spans="30:41" x14ac:dyDescent="0.25">
      <c r="AD339" s="1067" t="str">
        <f t="shared" si="25"/>
        <v/>
      </c>
      <c r="AE339" s="1063" t="str">
        <f>IF(ISNA(VLOOKUP(TB_curr[[#This Row],[Synt]],GL[[#Headers],[#Data],[subtotal label]],1,FALSE)),0,(VLOOKUP(TB_curr[[#This Row],[Synt]],GL[[#Headers],[#Data],[subtotal label]],1,FALSE)))</f>
        <v/>
      </c>
      <c r="AF339" s="1063" t="e">
        <f>IF((TB_curr[[#This Row],[Synt]]-TB_curr[[#This Row],[Subtotal Y/N]])=0,0,VLOOKUP(TB_curr[[#This Row],[Synt]],GL[[Account]:[Line]],3,FALSE))</f>
        <v>#VALUE!</v>
      </c>
      <c r="AG339" s="1063" t="e">
        <f>VLOOKUP(TB_curr[[#This Row],[Synt]],GL[[Account]:[B/P]],4,FALSE)</f>
        <v>#N/A</v>
      </c>
      <c r="AH339" s="1066" t="e">
        <v>#VALUE!</v>
      </c>
      <c r="AI339" s="1065" t="e">
        <f>TB_curr[[#This Row],[Synt]]&amp;TB_curr[[#This Row],[Line No. manual corr.]]</f>
        <v>#VALUE!</v>
      </c>
      <c r="AJ339" s="1064">
        <f t="shared" si="26"/>
        <v>0</v>
      </c>
      <c r="AK339" s="1064">
        <f t="shared" si="27"/>
        <v>0</v>
      </c>
      <c r="AL339" s="1064">
        <f t="shared" si="28"/>
        <v>0</v>
      </c>
      <c r="AM339" s="1064">
        <f t="shared" si="29"/>
        <v>0</v>
      </c>
      <c r="AN339" s="1064"/>
      <c r="AO339" s="1064">
        <f>TB_curr[[#This Row],[Closing balance]]+TB_curr[[#This Row],[Rounding]]</f>
        <v>0</v>
      </c>
    </row>
    <row r="340" spans="30:41" x14ac:dyDescent="0.25">
      <c r="AD340" s="1067" t="str">
        <f t="shared" si="25"/>
        <v/>
      </c>
      <c r="AE340" s="1063" t="str">
        <f>IF(ISNA(VLOOKUP(TB_curr[[#This Row],[Synt]],GL[[#Headers],[#Data],[subtotal label]],1,FALSE)),0,(VLOOKUP(TB_curr[[#This Row],[Synt]],GL[[#Headers],[#Data],[subtotal label]],1,FALSE)))</f>
        <v/>
      </c>
      <c r="AF340" s="1063" t="e">
        <f>IF((TB_curr[[#This Row],[Synt]]-TB_curr[[#This Row],[Subtotal Y/N]])=0,0,VLOOKUP(TB_curr[[#This Row],[Synt]],GL[[Account]:[Line]],3,FALSE))</f>
        <v>#VALUE!</v>
      </c>
      <c r="AG340" s="1063" t="e">
        <f>VLOOKUP(TB_curr[[#This Row],[Synt]],GL[[Account]:[B/P]],4,FALSE)</f>
        <v>#N/A</v>
      </c>
      <c r="AH340" s="1066" t="e">
        <v>#VALUE!</v>
      </c>
      <c r="AI340" s="1065" t="e">
        <f>TB_curr[[#This Row],[Synt]]&amp;TB_curr[[#This Row],[Line No. manual corr.]]</f>
        <v>#VALUE!</v>
      </c>
      <c r="AJ340" s="1064">
        <f t="shared" si="26"/>
        <v>0</v>
      </c>
      <c r="AK340" s="1064">
        <f t="shared" si="27"/>
        <v>0</v>
      </c>
      <c r="AL340" s="1064">
        <f t="shared" si="28"/>
        <v>0</v>
      </c>
      <c r="AM340" s="1064">
        <f t="shared" si="29"/>
        <v>0</v>
      </c>
      <c r="AN340" s="1064"/>
      <c r="AO340" s="1064">
        <f>TB_curr[[#This Row],[Closing balance]]+TB_curr[[#This Row],[Rounding]]</f>
        <v>0</v>
      </c>
    </row>
    <row r="341" spans="30:41" x14ac:dyDescent="0.25">
      <c r="AD341" s="1067" t="str">
        <f t="shared" si="25"/>
        <v/>
      </c>
      <c r="AE341" s="1063" t="str">
        <f>IF(ISNA(VLOOKUP(TB_curr[[#This Row],[Synt]],GL[[#Headers],[#Data],[subtotal label]],1,FALSE)),0,(VLOOKUP(TB_curr[[#This Row],[Synt]],GL[[#Headers],[#Data],[subtotal label]],1,FALSE)))</f>
        <v/>
      </c>
      <c r="AF341" s="1063" t="e">
        <f>IF((TB_curr[[#This Row],[Synt]]-TB_curr[[#This Row],[Subtotal Y/N]])=0,0,VLOOKUP(TB_curr[[#This Row],[Synt]],GL[[Account]:[Line]],3,FALSE))</f>
        <v>#VALUE!</v>
      </c>
      <c r="AG341" s="1063" t="e">
        <f>VLOOKUP(TB_curr[[#This Row],[Synt]],GL[[Account]:[B/P]],4,FALSE)</f>
        <v>#N/A</v>
      </c>
      <c r="AH341" s="1066" t="e">
        <v>#VALUE!</v>
      </c>
      <c r="AI341" s="1065" t="e">
        <f>TB_curr[[#This Row],[Synt]]&amp;TB_curr[[#This Row],[Line No. manual corr.]]</f>
        <v>#VALUE!</v>
      </c>
      <c r="AJ341" s="1064">
        <f t="shared" si="26"/>
        <v>0</v>
      </c>
      <c r="AK341" s="1064">
        <f t="shared" si="27"/>
        <v>0</v>
      </c>
      <c r="AL341" s="1064">
        <f t="shared" si="28"/>
        <v>0</v>
      </c>
      <c r="AM341" s="1064">
        <f t="shared" si="29"/>
        <v>0</v>
      </c>
      <c r="AN341" s="1064"/>
      <c r="AO341" s="1064">
        <f>TB_curr[[#This Row],[Closing balance]]+TB_curr[[#This Row],[Rounding]]</f>
        <v>0</v>
      </c>
    </row>
    <row r="342" spans="30:41" x14ac:dyDescent="0.25">
      <c r="AD342" s="1067" t="str">
        <f t="shared" si="25"/>
        <v/>
      </c>
      <c r="AE342" s="1063" t="str">
        <f>IF(ISNA(VLOOKUP(TB_curr[[#This Row],[Synt]],GL[[#Headers],[#Data],[subtotal label]],1,FALSE)),0,(VLOOKUP(TB_curr[[#This Row],[Synt]],GL[[#Headers],[#Data],[subtotal label]],1,FALSE)))</f>
        <v/>
      </c>
      <c r="AF342" s="1063" t="e">
        <f>IF((TB_curr[[#This Row],[Synt]]-TB_curr[[#This Row],[Subtotal Y/N]])=0,0,VLOOKUP(TB_curr[[#This Row],[Synt]],GL[[Account]:[Line]],3,FALSE))</f>
        <v>#VALUE!</v>
      </c>
      <c r="AG342" s="1063" t="e">
        <f>VLOOKUP(TB_curr[[#This Row],[Synt]],GL[[Account]:[B/P]],4,FALSE)</f>
        <v>#N/A</v>
      </c>
      <c r="AH342" s="1066" t="e">
        <v>#VALUE!</v>
      </c>
      <c r="AI342" s="1065" t="e">
        <f>TB_curr[[#This Row],[Synt]]&amp;TB_curr[[#This Row],[Line No. manual corr.]]</f>
        <v>#VALUE!</v>
      </c>
      <c r="AJ342" s="1064">
        <f t="shared" si="26"/>
        <v>0</v>
      </c>
      <c r="AK342" s="1064">
        <f t="shared" si="27"/>
        <v>0</v>
      </c>
      <c r="AL342" s="1064">
        <f t="shared" si="28"/>
        <v>0</v>
      </c>
      <c r="AM342" s="1064">
        <f t="shared" si="29"/>
        <v>0</v>
      </c>
      <c r="AN342" s="1064"/>
      <c r="AO342" s="1064">
        <f>TB_curr[[#This Row],[Closing balance]]+TB_curr[[#This Row],[Rounding]]</f>
        <v>0</v>
      </c>
    </row>
    <row r="343" spans="30:41" x14ac:dyDescent="0.25">
      <c r="AD343" s="1067" t="str">
        <f t="shared" si="25"/>
        <v/>
      </c>
      <c r="AE343" s="1063" t="str">
        <f>IF(ISNA(VLOOKUP(TB_curr[[#This Row],[Synt]],GL[[#Headers],[#Data],[subtotal label]],1,FALSE)),0,(VLOOKUP(TB_curr[[#This Row],[Synt]],GL[[#Headers],[#Data],[subtotal label]],1,FALSE)))</f>
        <v/>
      </c>
      <c r="AF343" s="1063" t="e">
        <f>IF((TB_curr[[#This Row],[Synt]]-TB_curr[[#This Row],[Subtotal Y/N]])=0,0,VLOOKUP(TB_curr[[#This Row],[Synt]],GL[[Account]:[Line]],3,FALSE))</f>
        <v>#VALUE!</v>
      </c>
      <c r="AG343" s="1063" t="e">
        <f>VLOOKUP(TB_curr[[#This Row],[Synt]],GL[[Account]:[B/P]],4,FALSE)</f>
        <v>#N/A</v>
      </c>
      <c r="AH343" s="1066" t="e">
        <v>#VALUE!</v>
      </c>
      <c r="AI343" s="1065" t="e">
        <f>TB_curr[[#This Row],[Synt]]&amp;TB_curr[[#This Row],[Line No. manual corr.]]</f>
        <v>#VALUE!</v>
      </c>
      <c r="AJ343" s="1064">
        <f t="shared" si="26"/>
        <v>0</v>
      </c>
      <c r="AK343" s="1064">
        <f t="shared" si="27"/>
        <v>0</v>
      </c>
      <c r="AL343" s="1064">
        <f t="shared" si="28"/>
        <v>0</v>
      </c>
      <c r="AM343" s="1064">
        <f t="shared" si="29"/>
        <v>0</v>
      </c>
      <c r="AN343" s="1064"/>
      <c r="AO343" s="1064">
        <f>TB_curr[[#This Row],[Closing balance]]+TB_curr[[#This Row],[Rounding]]</f>
        <v>0</v>
      </c>
    </row>
    <row r="344" spans="30:41" x14ac:dyDescent="0.25">
      <c r="AD344" s="1067" t="str">
        <f t="shared" si="25"/>
        <v/>
      </c>
      <c r="AE344" s="1063" t="str">
        <f>IF(ISNA(VLOOKUP(TB_curr[[#This Row],[Synt]],GL[[#Headers],[#Data],[subtotal label]],1,FALSE)),0,(VLOOKUP(TB_curr[[#This Row],[Synt]],GL[[#Headers],[#Data],[subtotal label]],1,FALSE)))</f>
        <v/>
      </c>
      <c r="AF344" s="1063" t="e">
        <f>IF((TB_curr[[#This Row],[Synt]]-TB_curr[[#This Row],[Subtotal Y/N]])=0,0,VLOOKUP(TB_curr[[#This Row],[Synt]],GL[[Account]:[Line]],3,FALSE))</f>
        <v>#VALUE!</v>
      </c>
      <c r="AG344" s="1063" t="e">
        <f>VLOOKUP(TB_curr[[#This Row],[Synt]],GL[[Account]:[B/P]],4,FALSE)</f>
        <v>#N/A</v>
      </c>
      <c r="AH344" s="1066" t="e">
        <v>#VALUE!</v>
      </c>
      <c r="AI344" s="1065" t="e">
        <f>TB_curr[[#This Row],[Synt]]&amp;TB_curr[[#This Row],[Line No. manual corr.]]</f>
        <v>#VALUE!</v>
      </c>
      <c r="AJ344" s="1064">
        <f t="shared" si="26"/>
        <v>0</v>
      </c>
      <c r="AK344" s="1064">
        <f t="shared" si="27"/>
        <v>0</v>
      </c>
      <c r="AL344" s="1064">
        <f t="shared" si="28"/>
        <v>0</v>
      </c>
      <c r="AM344" s="1064">
        <f t="shared" si="29"/>
        <v>0</v>
      </c>
      <c r="AN344" s="1064"/>
      <c r="AO344" s="1064">
        <f>TB_curr[[#This Row],[Closing balance]]+TB_curr[[#This Row],[Rounding]]</f>
        <v>0</v>
      </c>
    </row>
    <row r="345" spans="30:41" x14ac:dyDescent="0.25">
      <c r="AD345" s="1067" t="str">
        <f t="shared" si="25"/>
        <v/>
      </c>
      <c r="AE345" s="1063" t="str">
        <f>IF(ISNA(VLOOKUP(TB_curr[[#This Row],[Synt]],GL[[#Headers],[#Data],[subtotal label]],1,FALSE)),0,(VLOOKUP(TB_curr[[#This Row],[Synt]],GL[[#Headers],[#Data],[subtotal label]],1,FALSE)))</f>
        <v/>
      </c>
      <c r="AF345" s="1063" t="e">
        <f>IF((TB_curr[[#This Row],[Synt]]-TB_curr[[#This Row],[Subtotal Y/N]])=0,0,VLOOKUP(TB_curr[[#This Row],[Synt]],GL[[Account]:[Line]],3,FALSE))</f>
        <v>#VALUE!</v>
      </c>
      <c r="AG345" s="1063" t="e">
        <f>VLOOKUP(TB_curr[[#This Row],[Synt]],GL[[Account]:[B/P]],4,FALSE)</f>
        <v>#N/A</v>
      </c>
      <c r="AH345" s="1066" t="e">
        <v>#VALUE!</v>
      </c>
      <c r="AI345" s="1065" t="e">
        <f>TB_curr[[#This Row],[Synt]]&amp;TB_curr[[#This Row],[Line No. manual corr.]]</f>
        <v>#VALUE!</v>
      </c>
      <c r="AJ345" s="1064">
        <f t="shared" si="26"/>
        <v>0</v>
      </c>
      <c r="AK345" s="1064">
        <f t="shared" si="27"/>
        <v>0</v>
      </c>
      <c r="AL345" s="1064">
        <f t="shared" si="28"/>
        <v>0</v>
      </c>
      <c r="AM345" s="1064">
        <f t="shared" si="29"/>
        <v>0</v>
      </c>
      <c r="AN345" s="1064"/>
      <c r="AO345" s="1064">
        <f>TB_curr[[#This Row],[Closing balance]]+TB_curr[[#This Row],[Rounding]]</f>
        <v>0</v>
      </c>
    </row>
    <row r="346" spans="30:41" x14ac:dyDescent="0.25">
      <c r="AD346" s="1067" t="str">
        <f t="shared" si="25"/>
        <v/>
      </c>
      <c r="AE346" s="1063" t="str">
        <f>IF(ISNA(VLOOKUP(TB_curr[[#This Row],[Synt]],GL[[#Headers],[#Data],[subtotal label]],1,FALSE)),0,(VLOOKUP(TB_curr[[#This Row],[Synt]],GL[[#Headers],[#Data],[subtotal label]],1,FALSE)))</f>
        <v/>
      </c>
      <c r="AF346" s="1063" t="e">
        <f>IF((TB_curr[[#This Row],[Synt]]-TB_curr[[#This Row],[Subtotal Y/N]])=0,0,VLOOKUP(TB_curr[[#This Row],[Synt]],GL[[Account]:[Line]],3,FALSE))</f>
        <v>#VALUE!</v>
      </c>
      <c r="AG346" s="1063" t="e">
        <f>VLOOKUP(TB_curr[[#This Row],[Synt]],GL[[Account]:[B/P]],4,FALSE)</f>
        <v>#N/A</v>
      </c>
      <c r="AH346" s="1066" t="e">
        <v>#VALUE!</v>
      </c>
      <c r="AI346" s="1065" t="e">
        <f>TB_curr[[#This Row],[Synt]]&amp;TB_curr[[#This Row],[Line No. manual corr.]]</f>
        <v>#VALUE!</v>
      </c>
      <c r="AJ346" s="1064">
        <f t="shared" si="26"/>
        <v>0</v>
      </c>
      <c r="AK346" s="1064">
        <f t="shared" si="27"/>
        <v>0</v>
      </c>
      <c r="AL346" s="1064">
        <f t="shared" si="28"/>
        <v>0</v>
      </c>
      <c r="AM346" s="1064">
        <f t="shared" si="29"/>
        <v>0</v>
      </c>
      <c r="AN346" s="1064"/>
      <c r="AO346" s="1064">
        <f>TB_curr[[#This Row],[Closing balance]]+TB_curr[[#This Row],[Rounding]]</f>
        <v>0</v>
      </c>
    </row>
    <row r="347" spans="30:41" x14ac:dyDescent="0.25">
      <c r="AD347" s="1067" t="str">
        <f t="shared" si="25"/>
        <v/>
      </c>
      <c r="AE347" s="1063" t="str">
        <f>IF(ISNA(VLOOKUP(TB_curr[[#This Row],[Synt]],GL[[#Headers],[#Data],[subtotal label]],1,FALSE)),0,(VLOOKUP(TB_curr[[#This Row],[Synt]],GL[[#Headers],[#Data],[subtotal label]],1,FALSE)))</f>
        <v/>
      </c>
      <c r="AF347" s="1063" t="e">
        <f>IF((TB_curr[[#This Row],[Synt]]-TB_curr[[#This Row],[Subtotal Y/N]])=0,0,VLOOKUP(TB_curr[[#This Row],[Synt]],GL[[Account]:[Line]],3,FALSE))</f>
        <v>#VALUE!</v>
      </c>
      <c r="AG347" s="1063" t="e">
        <f>VLOOKUP(TB_curr[[#This Row],[Synt]],GL[[Account]:[B/P]],4,FALSE)</f>
        <v>#N/A</v>
      </c>
      <c r="AH347" s="1066" t="e">
        <v>#VALUE!</v>
      </c>
      <c r="AI347" s="1065" t="e">
        <f>TB_curr[[#This Row],[Synt]]&amp;TB_curr[[#This Row],[Line No. manual corr.]]</f>
        <v>#VALUE!</v>
      </c>
      <c r="AJ347" s="1064">
        <f t="shared" si="26"/>
        <v>0</v>
      </c>
      <c r="AK347" s="1064">
        <f t="shared" si="27"/>
        <v>0</v>
      </c>
      <c r="AL347" s="1064">
        <f t="shared" si="28"/>
        <v>0</v>
      </c>
      <c r="AM347" s="1064">
        <f t="shared" si="29"/>
        <v>0</v>
      </c>
      <c r="AN347" s="1064"/>
      <c r="AO347" s="1064">
        <f>TB_curr[[#This Row],[Closing balance]]+TB_curr[[#This Row],[Rounding]]</f>
        <v>0</v>
      </c>
    </row>
    <row r="348" spans="30:41" x14ac:dyDescent="0.25">
      <c r="AD348" s="1067" t="str">
        <f t="shared" si="25"/>
        <v/>
      </c>
      <c r="AE348" s="1063" t="str">
        <f>IF(ISNA(VLOOKUP(TB_curr[[#This Row],[Synt]],GL[[#Headers],[#Data],[subtotal label]],1,FALSE)),0,(VLOOKUP(TB_curr[[#This Row],[Synt]],GL[[#Headers],[#Data],[subtotal label]],1,FALSE)))</f>
        <v/>
      </c>
      <c r="AF348" s="1063" t="e">
        <f>IF((TB_curr[[#This Row],[Synt]]-TB_curr[[#This Row],[Subtotal Y/N]])=0,0,VLOOKUP(TB_curr[[#This Row],[Synt]],GL[[Account]:[Line]],3,FALSE))</f>
        <v>#VALUE!</v>
      </c>
      <c r="AG348" s="1063" t="e">
        <f>VLOOKUP(TB_curr[[#This Row],[Synt]],GL[[Account]:[B/P]],4,FALSE)</f>
        <v>#N/A</v>
      </c>
      <c r="AH348" s="1066" t="e">
        <v>#VALUE!</v>
      </c>
      <c r="AI348" s="1065" t="e">
        <f>TB_curr[[#This Row],[Synt]]&amp;TB_curr[[#This Row],[Line No. manual corr.]]</f>
        <v>#VALUE!</v>
      </c>
      <c r="AJ348" s="1064">
        <f t="shared" si="26"/>
        <v>0</v>
      </c>
      <c r="AK348" s="1064">
        <f t="shared" si="27"/>
        <v>0</v>
      </c>
      <c r="AL348" s="1064">
        <f t="shared" si="28"/>
        <v>0</v>
      </c>
      <c r="AM348" s="1064">
        <f t="shared" si="29"/>
        <v>0</v>
      </c>
      <c r="AN348" s="1064"/>
      <c r="AO348" s="1064">
        <f>TB_curr[[#This Row],[Closing balance]]+TB_curr[[#This Row],[Rounding]]</f>
        <v>0</v>
      </c>
    </row>
    <row r="349" spans="30:41" x14ac:dyDescent="0.25">
      <c r="AD349" s="1067" t="str">
        <f t="shared" si="25"/>
        <v/>
      </c>
      <c r="AE349" s="1063" t="str">
        <f>IF(ISNA(VLOOKUP(TB_curr[[#This Row],[Synt]],GL[[#Headers],[#Data],[subtotal label]],1,FALSE)),0,(VLOOKUP(TB_curr[[#This Row],[Synt]],GL[[#Headers],[#Data],[subtotal label]],1,FALSE)))</f>
        <v/>
      </c>
      <c r="AF349" s="1063" t="e">
        <f>IF((TB_curr[[#This Row],[Synt]]-TB_curr[[#This Row],[Subtotal Y/N]])=0,0,VLOOKUP(TB_curr[[#This Row],[Synt]],GL[[Account]:[Line]],3,FALSE))</f>
        <v>#VALUE!</v>
      </c>
      <c r="AG349" s="1063" t="e">
        <f>VLOOKUP(TB_curr[[#This Row],[Synt]],GL[[Account]:[B/P]],4,FALSE)</f>
        <v>#N/A</v>
      </c>
      <c r="AH349" s="1066" t="e">
        <v>#VALUE!</v>
      </c>
      <c r="AI349" s="1065" t="e">
        <f>TB_curr[[#This Row],[Synt]]&amp;TB_curr[[#This Row],[Line No. manual corr.]]</f>
        <v>#VALUE!</v>
      </c>
      <c r="AJ349" s="1064">
        <f t="shared" si="26"/>
        <v>0</v>
      </c>
      <c r="AK349" s="1064">
        <f t="shared" si="27"/>
        <v>0</v>
      </c>
      <c r="AL349" s="1064">
        <f t="shared" si="28"/>
        <v>0</v>
      </c>
      <c r="AM349" s="1064">
        <f t="shared" si="29"/>
        <v>0</v>
      </c>
      <c r="AN349" s="1064"/>
      <c r="AO349" s="1064">
        <f>TB_curr[[#This Row],[Closing balance]]+TB_curr[[#This Row],[Rounding]]</f>
        <v>0</v>
      </c>
    </row>
    <row r="350" spans="30:41" x14ac:dyDescent="0.25">
      <c r="AD350" s="1067" t="str">
        <f t="shared" si="25"/>
        <v/>
      </c>
      <c r="AE350" s="1063" t="str">
        <f>IF(ISNA(VLOOKUP(TB_curr[[#This Row],[Synt]],GL[[#Headers],[#Data],[subtotal label]],1,FALSE)),0,(VLOOKUP(TB_curr[[#This Row],[Synt]],GL[[#Headers],[#Data],[subtotal label]],1,FALSE)))</f>
        <v/>
      </c>
      <c r="AF350" s="1063" t="e">
        <f>IF((TB_curr[[#This Row],[Synt]]-TB_curr[[#This Row],[Subtotal Y/N]])=0,0,VLOOKUP(TB_curr[[#This Row],[Synt]],GL[[Account]:[Line]],3,FALSE))</f>
        <v>#VALUE!</v>
      </c>
      <c r="AG350" s="1063" t="e">
        <f>VLOOKUP(TB_curr[[#This Row],[Synt]],GL[[Account]:[B/P]],4,FALSE)</f>
        <v>#N/A</v>
      </c>
      <c r="AH350" s="1066" t="e">
        <v>#VALUE!</v>
      </c>
      <c r="AI350" s="1065" t="e">
        <f>TB_curr[[#This Row],[Synt]]&amp;TB_curr[[#This Row],[Line No. manual corr.]]</f>
        <v>#VALUE!</v>
      </c>
      <c r="AJ350" s="1064">
        <f t="shared" si="26"/>
        <v>0</v>
      </c>
      <c r="AK350" s="1064">
        <f t="shared" si="27"/>
        <v>0</v>
      </c>
      <c r="AL350" s="1064">
        <f t="shared" si="28"/>
        <v>0</v>
      </c>
      <c r="AM350" s="1064">
        <f t="shared" si="29"/>
        <v>0</v>
      </c>
      <c r="AN350" s="1064"/>
      <c r="AO350" s="1064">
        <f>TB_curr[[#This Row],[Closing balance]]+TB_curr[[#This Row],[Rounding]]</f>
        <v>0</v>
      </c>
    </row>
    <row r="351" spans="30:41" x14ac:dyDescent="0.25">
      <c r="AD351" s="1067" t="str">
        <f t="shared" si="25"/>
        <v/>
      </c>
      <c r="AE351" s="1063" t="str">
        <f>IF(ISNA(VLOOKUP(TB_curr[[#This Row],[Synt]],GL[[#Headers],[#Data],[subtotal label]],1,FALSE)),0,(VLOOKUP(TB_curr[[#This Row],[Synt]],GL[[#Headers],[#Data],[subtotal label]],1,FALSE)))</f>
        <v/>
      </c>
      <c r="AF351" s="1063" t="e">
        <f>IF((TB_curr[[#This Row],[Synt]]-TB_curr[[#This Row],[Subtotal Y/N]])=0,0,VLOOKUP(TB_curr[[#This Row],[Synt]],GL[[Account]:[Line]],3,FALSE))</f>
        <v>#VALUE!</v>
      </c>
      <c r="AG351" s="1063" t="e">
        <f>VLOOKUP(TB_curr[[#This Row],[Synt]],GL[[Account]:[B/P]],4,FALSE)</f>
        <v>#N/A</v>
      </c>
      <c r="AH351" s="1066" t="e">
        <v>#VALUE!</v>
      </c>
      <c r="AI351" s="1065" t="e">
        <f>TB_curr[[#This Row],[Synt]]&amp;TB_curr[[#This Row],[Line No. manual corr.]]</f>
        <v>#VALUE!</v>
      </c>
      <c r="AJ351" s="1064">
        <f t="shared" si="26"/>
        <v>0</v>
      </c>
      <c r="AK351" s="1064">
        <f t="shared" si="27"/>
        <v>0</v>
      </c>
      <c r="AL351" s="1064">
        <f t="shared" si="28"/>
        <v>0</v>
      </c>
      <c r="AM351" s="1064">
        <f t="shared" si="29"/>
        <v>0</v>
      </c>
      <c r="AN351" s="1064"/>
      <c r="AO351" s="1064">
        <f>TB_curr[[#This Row],[Closing balance]]+TB_curr[[#This Row],[Rounding]]</f>
        <v>0</v>
      </c>
    </row>
    <row r="352" spans="30:41" x14ac:dyDescent="0.25">
      <c r="AD352" s="1067" t="str">
        <f t="shared" si="25"/>
        <v/>
      </c>
      <c r="AE352" s="1063" t="str">
        <f>IF(ISNA(VLOOKUP(TB_curr[[#This Row],[Synt]],GL[[#Headers],[#Data],[subtotal label]],1,FALSE)),0,(VLOOKUP(TB_curr[[#This Row],[Synt]],GL[[#Headers],[#Data],[subtotal label]],1,FALSE)))</f>
        <v/>
      </c>
      <c r="AF352" s="1063" t="e">
        <f>IF((TB_curr[[#This Row],[Synt]]-TB_curr[[#This Row],[Subtotal Y/N]])=0,0,VLOOKUP(TB_curr[[#This Row],[Synt]],GL[[Account]:[Line]],3,FALSE))</f>
        <v>#VALUE!</v>
      </c>
      <c r="AG352" s="1063" t="e">
        <f>VLOOKUP(TB_curr[[#This Row],[Synt]],GL[[Account]:[B/P]],4,FALSE)</f>
        <v>#N/A</v>
      </c>
      <c r="AH352" s="1066" t="e">
        <v>#VALUE!</v>
      </c>
      <c r="AI352" s="1065" t="e">
        <f>TB_curr[[#This Row],[Synt]]&amp;TB_curr[[#This Row],[Line No. manual corr.]]</f>
        <v>#VALUE!</v>
      </c>
      <c r="AJ352" s="1064">
        <f t="shared" si="26"/>
        <v>0</v>
      </c>
      <c r="AK352" s="1064">
        <f t="shared" si="27"/>
        <v>0</v>
      </c>
      <c r="AL352" s="1064">
        <f t="shared" si="28"/>
        <v>0</v>
      </c>
      <c r="AM352" s="1064">
        <f t="shared" si="29"/>
        <v>0</v>
      </c>
      <c r="AN352" s="1064"/>
      <c r="AO352" s="1064">
        <f>TB_curr[[#This Row],[Closing balance]]+TB_curr[[#This Row],[Rounding]]</f>
        <v>0</v>
      </c>
    </row>
    <row r="353" spans="30:41" x14ac:dyDescent="0.25">
      <c r="AD353" s="1067" t="str">
        <f t="shared" si="25"/>
        <v/>
      </c>
      <c r="AE353" s="1063" t="str">
        <f>IF(ISNA(VLOOKUP(TB_curr[[#This Row],[Synt]],GL[[#Headers],[#Data],[subtotal label]],1,FALSE)),0,(VLOOKUP(TB_curr[[#This Row],[Synt]],GL[[#Headers],[#Data],[subtotal label]],1,FALSE)))</f>
        <v/>
      </c>
      <c r="AF353" s="1063" t="e">
        <f>IF((TB_curr[[#This Row],[Synt]]-TB_curr[[#This Row],[Subtotal Y/N]])=0,0,VLOOKUP(TB_curr[[#This Row],[Synt]],GL[[Account]:[Line]],3,FALSE))</f>
        <v>#VALUE!</v>
      </c>
      <c r="AG353" s="1063" t="e">
        <f>VLOOKUP(TB_curr[[#This Row],[Synt]],GL[[Account]:[B/P]],4,FALSE)</f>
        <v>#N/A</v>
      </c>
      <c r="AH353" s="1066" t="e">
        <v>#VALUE!</v>
      </c>
      <c r="AI353" s="1065" t="e">
        <f>TB_curr[[#This Row],[Synt]]&amp;TB_curr[[#This Row],[Line No. manual corr.]]</f>
        <v>#VALUE!</v>
      </c>
      <c r="AJ353" s="1064">
        <f t="shared" si="26"/>
        <v>0</v>
      </c>
      <c r="AK353" s="1064">
        <f t="shared" si="27"/>
        <v>0</v>
      </c>
      <c r="AL353" s="1064">
        <f t="shared" si="28"/>
        <v>0</v>
      </c>
      <c r="AM353" s="1064">
        <f t="shared" si="29"/>
        <v>0</v>
      </c>
      <c r="AN353" s="1064"/>
      <c r="AO353" s="1064">
        <f>TB_curr[[#This Row],[Closing balance]]+TB_curr[[#This Row],[Rounding]]</f>
        <v>0</v>
      </c>
    </row>
    <row r="354" spans="30:41" x14ac:dyDescent="0.25">
      <c r="AD354" s="1067" t="str">
        <f t="shared" si="25"/>
        <v/>
      </c>
      <c r="AE354" s="1063" t="str">
        <f>IF(ISNA(VLOOKUP(TB_curr[[#This Row],[Synt]],GL[[#Headers],[#Data],[subtotal label]],1,FALSE)),0,(VLOOKUP(TB_curr[[#This Row],[Synt]],GL[[#Headers],[#Data],[subtotal label]],1,FALSE)))</f>
        <v/>
      </c>
      <c r="AF354" s="1063" t="e">
        <f>IF((TB_curr[[#This Row],[Synt]]-TB_curr[[#This Row],[Subtotal Y/N]])=0,0,VLOOKUP(TB_curr[[#This Row],[Synt]],GL[[Account]:[Line]],3,FALSE))</f>
        <v>#VALUE!</v>
      </c>
      <c r="AG354" s="1063" t="e">
        <f>VLOOKUP(TB_curr[[#This Row],[Synt]],GL[[Account]:[B/P]],4,FALSE)</f>
        <v>#N/A</v>
      </c>
      <c r="AH354" s="1066" t="e">
        <v>#VALUE!</v>
      </c>
      <c r="AI354" s="1065" t="e">
        <f>TB_curr[[#This Row],[Synt]]&amp;TB_curr[[#This Row],[Line No. manual corr.]]</f>
        <v>#VALUE!</v>
      </c>
      <c r="AJ354" s="1064">
        <f t="shared" si="26"/>
        <v>0</v>
      </c>
      <c r="AK354" s="1064">
        <f t="shared" si="27"/>
        <v>0</v>
      </c>
      <c r="AL354" s="1064">
        <f t="shared" si="28"/>
        <v>0</v>
      </c>
      <c r="AM354" s="1064">
        <f t="shared" si="29"/>
        <v>0</v>
      </c>
      <c r="AN354" s="1064"/>
      <c r="AO354" s="1064">
        <f>TB_curr[[#This Row],[Closing balance]]+TB_curr[[#This Row],[Rounding]]</f>
        <v>0</v>
      </c>
    </row>
    <row r="355" spans="30:41" x14ac:dyDescent="0.25">
      <c r="AD355" s="1067" t="str">
        <f t="shared" si="25"/>
        <v/>
      </c>
      <c r="AE355" s="1063" t="str">
        <f>IF(ISNA(VLOOKUP(TB_curr[[#This Row],[Synt]],GL[[#Headers],[#Data],[subtotal label]],1,FALSE)),0,(VLOOKUP(TB_curr[[#This Row],[Synt]],GL[[#Headers],[#Data],[subtotal label]],1,FALSE)))</f>
        <v/>
      </c>
      <c r="AF355" s="1063" t="e">
        <f>IF((TB_curr[[#This Row],[Synt]]-TB_curr[[#This Row],[Subtotal Y/N]])=0,0,VLOOKUP(TB_curr[[#This Row],[Synt]],GL[[Account]:[Line]],3,FALSE))</f>
        <v>#VALUE!</v>
      </c>
      <c r="AG355" s="1063" t="e">
        <f>VLOOKUP(TB_curr[[#This Row],[Synt]],GL[[Account]:[B/P]],4,FALSE)</f>
        <v>#N/A</v>
      </c>
      <c r="AH355" s="1066" t="e">
        <v>#VALUE!</v>
      </c>
      <c r="AI355" s="1065" t="e">
        <f>TB_curr[[#This Row],[Synt]]&amp;TB_curr[[#This Row],[Line No. manual corr.]]</f>
        <v>#VALUE!</v>
      </c>
      <c r="AJ355" s="1064">
        <f t="shared" si="26"/>
        <v>0</v>
      </c>
      <c r="AK355" s="1064">
        <f t="shared" si="27"/>
        <v>0</v>
      </c>
      <c r="AL355" s="1064">
        <f t="shared" si="28"/>
        <v>0</v>
      </c>
      <c r="AM355" s="1064">
        <f t="shared" si="29"/>
        <v>0</v>
      </c>
      <c r="AN355" s="1064"/>
      <c r="AO355" s="1064">
        <f>TB_curr[[#This Row],[Closing balance]]+TB_curr[[#This Row],[Rounding]]</f>
        <v>0</v>
      </c>
    </row>
    <row r="356" spans="30:41" x14ac:dyDescent="0.25">
      <c r="AD356" s="1067" t="str">
        <f t="shared" si="25"/>
        <v/>
      </c>
      <c r="AE356" s="1063" t="str">
        <f>IF(ISNA(VLOOKUP(TB_curr[[#This Row],[Synt]],GL[[#Headers],[#Data],[subtotal label]],1,FALSE)),0,(VLOOKUP(TB_curr[[#This Row],[Synt]],GL[[#Headers],[#Data],[subtotal label]],1,FALSE)))</f>
        <v/>
      </c>
      <c r="AF356" s="1063" t="e">
        <f>IF((TB_curr[[#This Row],[Synt]]-TB_curr[[#This Row],[Subtotal Y/N]])=0,0,VLOOKUP(TB_curr[[#This Row],[Synt]],GL[[Account]:[Line]],3,FALSE))</f>
        <v>#VALUE!</v>
      </c>
      <c r="AG356" s="1063" t="e">
        <f>VLOOKUP(TB_curr[[#This Row],[Synt]],GL[[Account]:[B/P]],4,FALSE)</f>
        <v>#N/A</v>
      </c>
      <c r="AH356" s="1066" t="e">
        <v>#VALUE!</v>
      </c>
      <c r="AI356" s="1065" t="e">
        <f>TB_curr[[#This Row],[Synt]]&amp;TB_curr[[#This Row],[Line No. manual corr.]]</f>
        <v>#VALUE!</v>
      </c>
      <c r="AJ356" s="1064">
        <f t="shared" si="26"/>
        <v>0</v>
      </c>
      <c r="AK356" s="1064">
        <f t="shared" si="27"/>
        <v>0</v>
      </c>
      <c r="AL356" s="1064">
        <f t="shared" si="28"/>
        <v>0</v>
      </c>
      <c r="AM356" s="1064">
        <f t="shared" si="29"/>
        <v>0</v>
      </c>
      <c r="AN356" s="1064"/>
      <c r="AO356" s="1064">
        <f>TB_curr[[#This Row],[Closing balance]]+TB_curr[[#This Row],[Rounding]]</f>
        <v>0</v>
      </c>
    </row>
    <row r="357" spans="30:41" x14ac:dyDescent="0.25">
      <c r="AD357" s="1067" t="str">
        <f t="shared" si="25"/>
        <v/>
      </c>
      <c r="AE357" s="1063" t="str">
        <f>IF(ISNA(VLOOKUP(TB_curr[[#This Row],[Synt]],GL[[#Headers],[#Data],[subtotal label]],1,FALSE)),0,(VLOOKUP(TB_curr[[#This Row],[Synt]],GL[[#Headers],[#Data],[subtotal label]],1,FALSE)))</f>
        <v/>
      </c>
      <c r="AF357" s="1063" t="e">
        <f>IF((TB_curr[[#This Row],[Synt]]-TB_curr[[#This Row],[Subtotal Y/N]])=0,0,VLOOKUP(TB_curr[[#This Row],[Synt]],GL[[Account]:[Line]],3,FALSE))</f>
        <v>#VALUE!</v>
      </c>
      <c r="AG357" s="1063" t="e">
        <f>VLOOKUP(TB_curr[[#This Row],[Synt]],GL[[Account]:[B/P]],4,FALSE)</f>
        <v>#N/A</v>
      </c>
      <c r="AH357" s="1066" t="e">
        <v>#VALUE!</v>
      </c>
      <c r="AI357" s="1065" t="e">
        <f>TB_curr[[#This Row],[Synt]]&amp;TB_curr[[#This Row],[Line No. manual corr.]]</f>
        <v>#VALUE!</v>
      </c>
      <c r="AJ357" s="1064">
        <f t="shared" si="26"/>
        <v>0</v>
      </c>
      <c r="AK357" s="1064">
        <f t="shared" si="27"/>
        <v>0</v>
      </c>
      <c r="AL357" s="1064">
        <f t="shared" si="28"/>
        <v>0</v>
      </c>
      <c r="AM357" s="1064">
        <f t="shared" si="29"/>
        <v>0</v>
      </c>
      <c r="AN357" s="1064"/>
      <c r="AO357" s="1064">
        <f>TB_curr[[#This Row],[Closing balance]]+TB_curr[[#This Row],[Rounding]]</f>
        <v>0</v>
      </c>
    </row>
    <row r="358" spans="30:41" x14ac:dyDescent="0.25">
      <c r="AD358" s="1067" t="str">
        <f t="shared" si="25"/>
        <v/>
      </c>
      <c r="AE358" s="1063" t="str">
        <f>IF(ISNA(VLOOKUP(TB_curr[[#This Row],[Synt]],GL[[#Headers],[#Data],[subtotal label]],1,FALSE)),0,(VLOOKUP(TB_curr[[#This Row],[Synt]],GL[[#Headers],[#Data],[subtotal label]],1,FALSE)))</f>
        <v/>
      </c>
      <c r="AF358" s="1063" t="e">
        <f>IF((TB_curr[[#This Row],[Synt]]-TB_curr[[#This Row],[Subtotal Y/N]])=0,0,VLOOKUP(TB_curr[[#This Row],[Synt]],GL[[Account]:[Line]],3,FALSE))</f>
        <v>#VALUE!</v>
      </c>
      <c r="AG358" s="1063" t="e">
        <f>VLOOKUP(TB_curr[[#This Row],[Synt]],GL[[Account]:[B/P]],4,FALSE)</f>
        <v>#N/A</v>
      </c>
      <c r="AH358" s="1066" t="e">
        <v>#VALUE!</v>
      </c>
      <c r="AI358" s="1065" t="e">
        <f>TB_curr[[#This Row],[Synt]]&amp;TB_curr[[#This Row],[Line No. manual corr.]]</f>
        <v>#VALUE!</v>
      </c>
      <c r="AJ358" s="1064">
        <f t="shared" si="26"/>
        <v>0</v>
      </c>
      <c r="AK358" s="1064">
        <f t="shared" si="27"/>
        <v>0</v>
      </c>
      <c r="AL358" s="1064">
        <f t="shared" si="28"/>
        <v>0</v>
      </c>
      <c r="AM358" s="1064">
        <f t="shared" si="29"/>
        <v>0</v>
      </c>
      <c r="AN358" s="1064"/>
      <c r="AO358" s="1064">
        <f>TB_curr[[#This Row],[Closing balance]]+TB_curr[[#This Row],[Rounding]]</f>
        <v>0</v>
      </c>
    </row>
    <row r="359" spans="30:41" x14ac:dyDescent="0.25">
      <c r="AD359" s="1067" t="str">
        <f t="shared" si="25"/>
        <v/>
      </c>
      <c r="AE359" s="1063" t="str">
        <f>IF(ISNA(VLOOKUP(TB_curr[[#This Row],[Synt]],GL[[#Headers],[#Data],[subtotal label]],1,FALSE)),0,(VLOOKUP(TB_curr[[#This Row],[Synt]],GL[[#Headers],[#Data],[subtotal label]],1,FALSE)))</f>
        <v/>
      </c>
      <c r="AF359" s="1063" t="e">
        <f>IF((TB_curr[[#This Row],[Synt]]-TB_curr[[#This Row],[Subtotal Y/N]])=0,0,VLOOKUP(TB_curr[[#This Row],[Synt]],GL[[Account]:[Line]],3,FALSE))</f>
        <v>#VALUE!</v>
      </c>
      <c r="AG359" s="1063" t="e">
        <f>VLOOKUP(TB_curr[[#This Row],[Synt]],GL[[Account]:[B/P]],4,FALSE)</f>
        <v>#N/A</v>
      </c>
      <c r="AH359" s="1066" t="e">
        <v>#VALUE!</v>
      </c>
      <c r="AI359" s="1065" t="e">
        <f>TB_curr[[#This Row],[Synt]]&amp;TB_curr[[#This Row],[Line No. manual corr.]]</f>
        <v>#VALUE!</v>
      </c>
      <c r="AJ359" s="1064">
        <f t="shared" si="26"/>
        <v>0</v>
      </c>
      <c r="AK359" s="1064">
        <f t="shared" si="27"/>
        <v>0</v>
      </c>
      <c r="AL359" s="1064">
        <f t="shared" si="28"/>
        <v>0</v>
      </c>
      <c r="AM359" s="1064">
        <f t="shared" si="29"/>
        <v>0</v>
      </c>
      <c r="AN359" s="1064"/>
      <c r="AO359" s="1064">
        <f>TB_curr[[#This Row],[Closing balance]]+TB_curr[[#This Row],[Rounding]]</f>
        <v>0</v>
      </c>
    </row>
    <row r="360" spans="30:41" x14ac:dyDescent="0.25">
      <c r="AD360" s="1067" t="str">
        <f t="shared" si="25"/>
        <v/>
      </c>
      <c r="AE360" s="1063" t="str">
        <f>IF(ISNA(VLOOKUP(TB_curr[[#This Row],[Synt]],GL[[#Headers],[#Data],[subtotal label]],1,FALSE)),0,(VLOOKUP(TB_curr[[#This Row],[Synt]],GL[[#Headers],[#Data],[subtotal label]],1,FALSE)))</f>
        <v/>
      </c>
      <c r="AF360" s="1063" t="e">
        <f>IF((TB_curr[[#This Row],[Synt]]-TB_curr[[#This Row],[Subtotal Y/N]])=0,0,VLOOKUP(TB_curr[[#This Row],[Synt]],GL[[Account]:[Line]],3,FALSE))</f>
        <v>#VALUE!</v>
      </c>
      <c r="AG360" s="1063" t="e">
        <f>VLOOKUP(TB_curr[[#This Row],[Synt]],GL[[Account]:[B/P]],4,FALSE)</f>
        <v>#N/A</v>
      </c>
      <c r="AH360" s="1066" t="e">
        <v>#VALUE!</v>
      </c>
      <c r="AI360" s="1065" t="e">
        <f>TB_curr[[#This Row],[Synt]]&amp;TB_curr[[#This Row],[Line No. manual corr.]]</f>
        <v>#VALUE!</v>
      </c>
      <c r="AJ360" s="1064">
        <f t="shared" si="26"/>
        <v>0</v>
      </c>
      <c r="AK360" s="1064">
        <f t="shared" si="27"/>
        <v>0</v>
      </c>
      <c r="AL360" s="1064">
        <f t="shared" si="28"/>
        <v>0</v>
      </c>
      <c r="AM360" s="1064">
        <f t="shared" si="29"/>
        <v>0</v>
      </c>
      <c r="AN360" s="1064"/>
      <c r="AO360" s="1064">
        <f>TB_curr[[#This Row],[Closing balance]]+TB_curr[[#This Row],[Rounding]]</f>
        <v>0</v>
      </c>
    </row>
    <row r="361" spans="30:41" x14ac:dyDescent="0.25">
      <c r="AD361" s="1067" t="str">
        <f t="shared" si="25"/>
        <v/>
      </c>
      <c r="AE361" s="1063" t="str">
        <f>IF(ISNA(VLOOKUP(TB_curr[[#This Row],[Synt]],GL[[#Headers],[#Data],[subtotal label]],1,FALSE)),0,(VLOOKUP(TB_curr[[#This Row],[Synt]],GL[[#Headers],[#Data],[subtotal label]],1,FALSE)))</f>
        <v/>
      </c>
      <c r="AF361" s="1063" t="e">
        <f>IF((TB_curr[[#This Row],[Synt]]-TB_curr[[#This Row],[Subtotal Y/N]])=0,0,VLOOKUP(TB_curr[[#This Row],[Synt]],GL[[Account]:[Line]],3,FALSE))</f>
        <v>#VALUE!</v>
      </c>
      <c r="AG361" s="1063" t="e">
        <f>VLOOKUP(TB_curr[[#This Row],[Synt]],GL[[Account]:[B/P]],4,FALSE)</f>
        <v>#N/A</v>
      </c>
      <c r="AH361" s="1066" t="e">
        <v>#VALUE!</v>
      </c>
      <c r="AI361" s="1065" t="e">
        <f>TB_curr[[#This Row],[Synt]]&amp;TB_curr[[#This Row],[Line No. manual corr.]]</f>
        <v>#VALUE!</v>
      </c>
      <c r="AJ361" s="1064">
        <f t="shared" si="26"/>
        <v>0</v>
      </c>
      <c r="AK361" s="1064">
        <f t="shared" si="27"/>
        <v>0</v>
      </c>
      <c r="AL361" s="1064">
        <f t="shared" si="28"/>
        <v>0</v>
      </c>
      <c r="AM361" s="1064">
        <f t="shared" si="29"/>
        <v>0</v>
      </c>
      <c r="AN361" s="1064"/>
      <c r="AO361" s="1064">
        <f>TB_curr[[#This Row],[Closing balance]]+TB_curr[[#This Row],[Rounding]]</f>
        <v>0</v>
      </c>
    </row>
    <row r="362" spans="30:41" x14ac:dyDescent="0.25">
      <c r="AD362" s="1067" t="str">
        <f t="shared" si="25"/>
        <v/>
      </c>
      <c r="AE362" s="1063" t="str">
        <f>IF(ISNA(VLOOKUP(TB_curr[[#This Row],[Synt]],GL[[#Headers],[#Data],[subtotal label]],1,FALSE)),0,(VLOOKUP(TB_curr[[#This Row],[Synt]],GL[[#Headers],[#Data],[subtotal label]],1,FALSE)))</f>
        <v/>
      </c>
      <c r="AF362" s="1063" t="e">
        <f>IF((TB_curr[[#This Row],[Synt]]-TB_curr[[#This Row],[Subtotal Y/N]])=0,0,VLOOKUP(TB_curr[[#This Row],[Synt]],GL[[Account]:[Line]],3,FALSE))</f>
        <v>#VALUE!</v>
      </c>
      <c r="AG362" s="1063" t="e">
        <f>VLOOKUP(TB_curr[[#This Row],[Synt]],GL[[Account]:[B/P]],4,FALSE)</f>
        <v>#N/A</v>
      </c>
      <c r="AH362" s="1066" t="e">
        <v>#VALUE!</v>
      </c>
      <c r="AI362" s="1065" t="e">
        <f>TB_curr[[#This Row],[Synt]]&amp;TB_curr[[#This Row],[Line No. manual corr.]]</f>
        <v>#VALUE!</v>
      </c>
      <c r="AJ362" s="1064">
        <f t="shared" si="26"/>
        <v>0</v>
      </c>
      <c r="AK362" s="1064">
        <f t="shared" si="27"/>
        <v>0</v>
      </c>
      <c r="AL362" s="1064">
        <f t="shared" si="28"/>
        <v>0</v>
      </c>
      <c r="AM362" s="1064">
        <f t="shared" si="29"/>
        <v>0</v>
      </c>
      <c r="AN362" s="1064"/>
      <c r="AO362" s="1064">
        <f>TB_curr[[#This Row],[Closing balance]]+TB_curr[[#This Row],[Rounding]]</f>
        <v>0</v>
      </c>
    </row>
    <row r="363" spans="30:41" x14ac:dyDescent="0.25">
      <c r="AD363" s="1067" t="str">
        <f t="shared" si="25"/>
        <v/>
      </c>
      <c r="AE363" s="1063" t="str">
        <f>IF(ISNA(VLOOKUP(TB_curr[[#This Row],[Synt]],GL[[#Headers],[#Data],[subtotal label]],1,FALSE)),0,(VLOOKUP(TB_curr[[#This Row],[Synt]],GL[[#Headers],[#Data],[subtotal label]],1,FALSE)))</f>
        <v/>
      </c>
      <c r="AF363" s="1063" t="e">
        <f>IF((TB_curr[[#This Row],[Synt]]-TB_curr[[#This Row],[Subtotal Y/N]])=0,0,VLOOKUP(TB_curr[[#This Row],[Synt]],GL[[Account]:[Line]],3,FALSE))</f>
        <v>#VALUE!</v>
      </c>
      <c r="AG363" s="1063" t="e">
        <f>VLOOKUP(TB_curr[[#This Row],[Synt]],GL[[Account]:[B/P]],4,FALSE)</f>
        <v>#N/A</v>
      </c>
      <c r="AH363" s="1066" t="e">
        <v>#VALUE!</v>
      </c>
      <c r="AI363" s="1065" t="e">
        <f>TB_curr[[#This Row],[Synt]]&amp;TB_curr[[#This Row],[Line No. manual corr.]]</f>
        <v>#VALUE!</v>
      </c>
      <c r="AJ363" s="1064">
        <f t="shared" si="26"/>
        <v>0</v>
      </c>
      <c r="AK363" s="1064">
        <f t="shared" si="27"/>
        <v>0</v>
      </c>
      <c r="AL363" s="1064">
        <f t="shared" si="28"/>
        <v>0</v>
      </c>
      <c r="AM363" s="1064">
        <f t="shared" si="29"/>
        <v>0</v>
      </c>
      <c r="AN363" s="1064"/>
      <c r="AO363" s="1064">
        <f>TB_curr[[#This Row],[Closing balance]]+TB_curr[[#This Row],[Rounding]]</f>
        <v>0</v>
      </c>
    </row>
    <row r="364" spans="30:41" x14ac:dyDescent="0.25">
      <c r="AD364" s="1067" t="str">
        <f t="shared" si="25"/>
        <v/>
      </c>
      <c r="AE364" s="1063" t="str">
        <f>IF(ISNA(VLOOKUP(TB_curr[[#This Row],[Synt]],GL[[#Headers],[#Data],[subtotal label]],1,FALSE)),0,(VLOOKUP(TB_curr[[#This Row],[Synt]],GL[[#Headers],[#Data],[subtotal label]],1,FALSE)))</f>
        <v/>
      </c>
      <c r="AF364" s="1063" t="e">
        <f>IF((TB_curr[[#This Row],[Synt]]-TB_curr[[#This Row],[Subtotal Y/N]])=0,0,VLOOKUP(TB_curr[[#This Row],[Synt]],GL[[Account]:[Line]],3,FALSE))</f>
        <v>#VALUE!</v>
      </c>
      <c r="AG364" s="1063" t="e">
        <f>VLOOKUP(TB_curr[[#This Row],[Synt]],GL[[Account]:[B/P]],4,FALSE)</f>
        <v>#N/A</v>
      </c>
      <c r="AH364" s="1066" t="e">
        <v>#VALUE!</v>
      </c>
      <c r="AI364" s="1065" t="e">
        <f>TB_curr[[#This Row],[Synt]]&amp;TB_curr[[#This Row],[Line No. manual corr.]]</f>
        <v>#VALUE!</v>
      </c>
      <c r="AJ364" s="1064">
        <f t="shared" si="26"/>
        <v>0</v>
      </c>
      <c r="AK364" s="1064">
        <f t="shared" si="27"/>
        <v>0</v>
      </c>
      <c r="AL364" s="1064">
        <f t="shared" si="28"/>
        <v>0</v>
      </c>
      <c r="AM364" s="1064">
        <f t="shared" si="29"/>
        <v>0</v>
      </c>
      <c r="AN364" s="1064"/>
      <c r="AO364" s="1064">
        <f>TB_curr[[#This Row],[Closing balance]]+TB_curr[[#This Row],[Rounding]]</f>
        <v>0</v>
      </c>
    </row>
    <row r="365" spans="30:41" x14ac:dyDescent="0.25">
      <c r="AD365" s="1067" t="str">
        <f t="shared" si="25"/>
        <v/>
      </c>
      <c r="AE365" s="1063" t="str">
        <f>IF(ISNA(VLOOKUP(TB_curr[[#This Row],[Synt]],GL[[#Headers],[#Data],[subtotal label]],1,FALSE)),0,(VLOOKUP(TB_curr[[#This Row],[Synt]],GL[[#Headers],[#Data],[subtotal label]],1,FALSE)))</f>
        <v/>
      </c>
      <c r="AF365" s="1063" t="e">
        <f>IF((TB_curr[[#This Row],[Synt]]-TB_curr[[#This Row],[Subtotal Y/N]])=0,0,VLOOKUP(TB_curr[[#This Row],[Synt]],GL[[Account]:[Line]],3,FALSE))</f>
        <v>#VALUE!</v>
      </c>
      <c r="AG365" s="1063" t="e">
        <f>VLOOKUP(TB_curr[[#This Row],[Synt]],GL[[Account]:[B/P]],4,FALSE)</f>
        <v>#N/A</v>
      </c>
      <c r="AH365" s="1066" t="e">
        <v>#VALUE!</v>
      </c>
      <c r="AI365" s="1065" t="e">
        <f>TB_curr[[#This Row],[Synt]]&amp;TB_curr[[#This Row],[Line No. manual corr.]]</f>
        <v>#VALUE!</v>
      </c>
      <c r="AJ365" s="1064">
        <f t="shared" si="26"/>
        <v>0</v>
      </c>
      <c r="AK365" s="1064">
        <f t="shared" si="27"/>
        <v>0</v>
      </c>
      <c r="AL365" s="1064">
        <f t="shared" si="28"/>
        <v>0</v>
      </c>
      <c r="AM365" s="1064">
        <f t="shared" si="29"/>
        <v>0</v>
      </c>
      <c r="AN365" s="1064"/>
      <c r="AO365" s="1064">
        <f>TB_curr[[#This Row],[Closing balance]]+TB_curr[[#This Row],[Rounding]]</f>
        <v>0</v>
      </c>
    </row>
    <row r="366" spans="30:41" x14ac:dyDescent="0.25">
      <c r="AD366" s="1067" t="str">
        <f t="shared" si="25"/>
        <v/>
      </c>
      <c r="AE366" s="1063" t="str">
        <f>IF(ISNA(VLOOKUP(TB_curr[[#This Row],[Synt]],GL[[#Headers],[#Data],[subtotal label]],1,FALSE)),0,(VLOOKUP(TB_curr[[#This Row],[Synt]],GL[[#Headers],[#Data],[subtotal label]],1,FALSE)))</f>
        <v/>
      </c>
      <c r="AF366" s="1063" t="e">
        <f>IF((TB_curr[[#This Row],[Synt]]-TB_curr[[#This Row],[Subtotal Y/N]])=0,0,VLOOKUP(TB_curr[[#This Row],[Synt]],GL[[Account]:[Line]],3,FALSE))</f>
        <v>#VALUE!</v>
      </c>
      <c r="AG366" s="1063" t="e">
        <f>VLOOKUP(TB_curr[[#This Row],[Synt]],GL[[Account]:[B/P]],4,FALSE)</f>
        <v>#N/A</v>
      </c>
      <c r="AH366" s="1066" t="e">
        <v>#VALUE!</v>
      </c>
      <c r="AI366" s="1065" t="e">
        <f>TB_curr[[#This Row],[Synt]]&amp;TB_curr[[#This Row],[Line No. manual corr.]]</f>
        <v>#VALUE!</v>
      </c>
      <c r="AJ366" s="1064">
        <f t="shared" si="26"/>
        <v>0</v>
      </c>
      <c r="AK366" s="1064">
        <f t="shared" si="27"/>
        <v>0</v>
      </c>
      <c r="AL366" s="1064">
        <f t="shared" si="28"/>
        <v>0</v>
      </c>
      <c r="AM366" s="1064">
        <f t="shared" si="29"/>
        <v>0</v>
      </c>
      <c r="AN366" s="1064"/>
      <c r="AO366" s="1064">
        <f>TB_curr[[#This Row],[Closing balance]]+TB_curr[[#This Row],[Rounding]]</f>
        <v>0</v>
      </c>
    </row>
    <row r="367" spans="30:41" x14ac:dyDescent="0.25">
      <c r="AD367" s="1067" t="str">
        <f t="shared" si="25"/>
        <v/>
      </c>
      <c r="AE367" s="1063" t="str">
        <f>IF(ISNA(VLOOKUP(TB_curr[[#This Row],[Synt]],GL[[#Headers],[#Data],[subtotal label]],1,FALSE)),0,(VLOOKUP(TB_curr[[#This Row],[Synt]],GL[[#Headers],[#Data],[subtotal label]],1,FALSE)))</f>
        <v/>
      </c>
      <c r="AF367" s="1063" t="e">
        <f>IF((TB_curr[[#This Row],[Synt]]-TB_curr[[#This Row],[Subtotal Y/N]])=0,0,VLOOKUP(TB_curr[[#This Row],[Synt]],GL[[Account]:[Line]],3,FALSE))</f>
        <v>#VALUE!</v>
      </c>
      <c r="AG367" s="1063" t="e">
        <f>VLOOKUP(TB_curr[[#This Row],[Synt]],GL[[Account]:[B/P]],4,FALSE)</f>
        <v>#N/A</v>
      </c>
      <c r="AH367" s="1066" t="e">
        <v>#VALUE!</v>
      </c>
      <c r="AI367" s="1065" t="e">
        <f>TB_curr[[#This Row],[Synt]]&amp;TB_curr[[#This Row],[Line No. manual corr.]]</f>
        <v>#VALUE!</v>
      </c>
      <c r="AJ367" s="1064">
        <f t="shared" si="26"/>
        <v>0</v>
      </c>
      <c r="AK367" s="1064">
        <f t="shared" si="27"/>
        <v>0</v>
      </c>
      <c r="AL367" s="1064">
        <f t="shared" si="28"/>
        <v>0</v>
      </c>
      <c r="AM367" s="1064">
        <f t="shared" si="29"/>
        <v>0</v>
      </c>
      <c r="AN367" s="1064"/>
      <c r="AO367" s="1064">
        <f>TB_curr[[#This Row],[Closing balance]]+TB_curr[[#This Row],[Rounding]]</f>
        <v>0</v>
      </c>
    </row>
    <row r="368" spans="30:41" x14ac:dyDescent="0.25">
      <c r="AD368" s="1067" t="str">
        <f t="shared" si="25"/>
        <v/>
      </c>
      <c r="AE368" s="1063" t="str">
        <f>IF(ISNA(VLOOKUP(TB_curr[[#This Row],[Synt]],GL[[#Headers],[#Data],[subtotal label]],1,FALSE)),0,(VLOOKUP(TB_curr[[#This Row],[Synt]],GL[[#Headers],[#Data],[subtotal label]],1,FALSE)))</f>
        <v/>
      </c>
      <c r="AF368" s="1063" t="e">
        <f>IF((TB_curr[[#This Row],[Synt]]-TB_curr[[#This Row],[Subtotal Y/N]])=0,0,VLOOKUP(TB_curr[[#This Row],[Synt]],GL[[Account]:[Line]],3,FALSE))</f>
        <v>#VALUE!</v>
      </c>
      <c r="AG368" s="1063" t="e">
        <f>VLOOKUP(TB_curr[[#This Row],[Synt]],GL[[Account]:[B/P]],4,FALSE)</f>
        <v>#N/A</v>
      </c>
      <c r="AH368" s="1066" t="e">
        <v>#VALUE!</v>
      </c>
      <c r="AI368" s="1065" t="e">
        <f>TB_curr[[#This Row],[Synt]]&amp;TB_curr[[#This Row],[Line No. manual corr.]]</f>
        <v>#VALUE!</v>
      </c>
      <c r="AJ368" s="1064">
        <f t="shared" si="26"/>
        <v>0</v>
      </c>
      <c r="AK368" s="1064">
        <f t="shared" si="27"/>
        <v>0</v>
      </c>
      <c r="AL368" s="1064">
        <f t="shared" si="28"/>
        <v>0</v>
      </c>
      <c r="AM368" s="1064">
        <f t="shared" si="29"/>
        <v>0</v>
      </c>
      <c r="AN368" s="1064"/>
      <c r="AO368" s="1064">
        <f>TB_curr[[#This Row],[Closing balance]]+TB_curr[[#This Row],[Rounding]]</f>
        <v>0</v>
      </c>
    </row>
    <row r="369" spans="30:41" x14ac:dyDescent="0.25">
      <c r="AD369" s="1067" t="str">
        <f t="shared" si="25"/>
        <v/>
      </c>
      <c r="AE369" s="1063" t="str">
        <f>IF(ISNA(VLOOKUP(TB_curr[[#This Row],[Synt]],GL[[#Headers],[#Data],[subtotal label]],1,FALSE)),0,(VLOOKUP(TB_curr[[#This Row],[Synt]],GL[[#Headers],[#Data],[subtotal label]],1,FALSE)))</f>
        <v/>
      </c>
      <c r="AF369" s="1063" t="e">
        <f>IF((TB_curr[[#This Row],[Synt]]-TB_curr[[#This Row],[Subtotal Y/N]])=0,0,VLOOKUP(TB_curr[[#This Row],[Synt]],GL[[Account]:[Line]],3,FALSE))</f>
        <v>#VALUE!</v>
      </c>
      <c r="AG369" s="1063" t="e">
        <f>VLOOKUP(TB_curr[[#This Row],[Synt]],GL[[Account]:[B/P]],4,FALSE)</f>
        <v>#N/A</v>
      </c>
      <c r="AH369" s="1066" t="e">
        <v>#VALUE!</v>
      </c>
      <c r="AI369" s="1065" t="e">
        <f>TB_curr[[#This Row],[Synt]]&amp;TB_curr[[#This Row],[Line No. manual corr.]]</f>
        <v>#VALUE!</v>
      </c>
      <c r="AJ369" s="1064">
        <f t="shared" si="26"/>
        <v>0</v>
      </c>
      <c r="AK369" s="1064">
        <f t="shared" si="27"/>
        <v>0</v>
      </c>
      <c r="AL369" s="1064">
        <f t="shared" si="28"/>
        <v>0</v>
      </c>
      <c r="AM369" s="1064">
        <f t="shared" si="29"/>
        <v>0</v>
      </c>
      <c r="AN369" s="1064"/>
      <c r="AO369" s="1064">
        <f>TB_curr[[#This Row],[Closing balance]]+TB_curr[[#This Row],[Rounding]]</f>
        <v>0</v>
      </c>
    </row>
    <row r="370" spans="30:41" x14ac:dyDescent="0.25">
      <c r="AD370" s="1067" t="str">
        <f t="shared" si="25"/>
        <v/>
      </c>
      <c r="AE370" s="1063" t="str">
        <f>IF(ISNA(VLOOKUP(TB_curr[[#This Row],[Synt]],GL[[#Headers],[#Data],[subtotal label]],1,FALSE)),0,(VLOOKUP(TB_curr[[#This Row],[Synt]],GL[[#Headers],[#Data],[subtotal label]],1,FALSE)))</f>
        <v/>
      </c>
      <c r="AF370" s="1063" t="e">
        <f>IF((TB_curr[[#This Row],[Synt]]-TB_curr[[#This Row],[Subtotal Y/N]])=0,0,VLOOKUP(TB_curr[[#This Row],[Synt]],GL[[Account]:[Line]],3,FALSE))</f>
        <v>#VALUE!</v>
      </c>
      <c r="AG370" s="1063" t="e">
        <f>VLOOKUP(TB_curr[[#This Row],[Synt]],GL[[Account]:[B/P]],4,FALSE)</f>
        <v>#N/A</v>
      </c>
      <c r="AH370" s="1066" t="e">
        <v>#VALUE!</v>
      </c>
      <c r="AI370" s="1065" t="e">
        <f>TB_curr[[#This Row],[Synt]]&amp;TB_curr[[#This Row],[Line No. manual corr.]]</f>
        <v>#VALUE!</v>
      </c>
      <c r="AJ370" s="1064">
        <f t="shared" si="26"/>
        <v>0</v>
      </c>
      <c r="AK370" s="1064">
        <f t="shared" si="27"/>
        <v>0</v>
      </c>
      <c r="AL370" s="1064">
        <f t="shared" si="28"/>
        <v>0</v>
      </c>
      <c r="AM370" s="1064">
        <f t="shared" si="29"/>
        <v>0</v>
      </c>
      <c r="AN370" s="1064"/>
      <c r="AO370" s="1064">
        <f>TB_curr[[#This Row],[Closing balance]]+TB_curr[[#This Row],[Rounding]]</f>
        <v>0</v>
      </c>
    </row>
    <row r="371" spans="30:41" x14ac:dyDescent="0.25">
      <c r="AD371" s="1067" t="str">
        <f t="shared" si="25"/>
        <v/>
      </c>
      <c r="AE371" s="1063" t="str">
        <f>IF(ISNA(VLOOKUP(TB_curr[[#This Row],[Synt]],GL[[#Headers],[#Data],[subtotal label]],1,FALSE)),0,(VLOOKUP(TB_curr[[#This Row],[Synt]],GL[[#Headers],[#Data],[subtotal label]],1,FALSE)))</f>
        <v/>
      </c>
      <c r="AF371" s="1063" t="e">
        <f>IF((TB_curr[[#This Row],[Synt]]-TB_curr[[#This Row],[Subtotal Y/N]])=0,0,VLOOKUP(TB_curr[[#This Row],[Synt]],GL[[Account]:[Line]],3,FALSE))</f>
        <v>#VALUE!</v>
      </c>
      <c r="AG371" s="1063" t="e">
        <f>VLOOKUP(TB_curr[[#This Row],[Synt]],GL[[Account]:[B/P]],4,FALSE)</f>
        <v>#N/A</v>
      </c>
      <c r="AH371" s="1066" t="e">
        <v>#VALUE!</v>
      </c>
      <c r="AI371" s="1065" t="e">
        <f>TB_curr[[#This Row],[Synt]]&amp;TB_curr[[#This Row],[Line No. manual corr.]]</f>
        <v>#VALUE!</v>
      </c>
      <c r="AJ371" s="1064">
        <f t="shared" si="26"/>
        <v>0</v>
      </c>
      <c r="AK371" s="1064">
        <f t="shared" si="27"/>
        <v>0</v>
      </c>
      <c r="AL371" s="1064">
        <f t="shared" si="28"/>
        <v>0</v>
      </c>
      <c r="AM371" s="1064">
        <f t="shared" si="29"/>
        <v>0</v>
      </c>
      <c r="AN371" s="1064"/>
      <c r="AO371" s="1064">
        <f>TB_curr[[#This Row],[Closing balance]]+TB_curr[[#This Row],[Rounding]]</f>
        <v>0</v>
      </c>
    </row>
    <row r="372" spans="30:41" x14ac:dyDescent="0.25">
      <c r="AD372" s="1067" t="str">
        <f t="shared" si="25"/>
        <v/>
      </c>
      <c r="AE372" s="1063" t="str">
        <f>IF(ISNA(VLOOKUP(TB_curr[[#This Row],[Synt]],GL[[#Headers],[#Data],[subtotal label]],1,FALSE)),0,(VLOOKUP(TB_curr[[#This Row],[Synt]],GL[[#Headers],[#Data],[subtotal label]],1,FALSE)))</f>
        <v/>
      </c>
      <c r="AF372" s="1063" t="e">
        <f>IF((TB_curr[[#This Row],[Synt]]-TB_curr[[#This Row],[Subtotal Y/N]])=0,0,VLOOKUP(TB_curr[[#This Row],[Synt]],GL[[Account]:[Line]],3,FALSE))</f>
        <v>#VALUE!</v>
      </c>
      <c r="AG372" s="1063" t="e">
        <f>VLOOKUP(TB_curr[[#This Row],[Synt]],GL[[Account]:[B/P]],4,FALSE)</f>
        <v>#N/A</v>
      </c>
      <c r="AH372" s="1066" t="e">
        <v>#VALUE!</v>
      </c>
      <c r="AI372" s="1065" t="e">
        <f>TB_curr[[#This Row],[Synt]]&amp;TB_curr[[#This Row],[Line No. manual corr.]]</f>
        <v>#VALUE!</v>
      </c>
      <c r="AJ372" s="1064">
        <f t="shared" si="26"/>
        <v>0</v>
      </c>
      <c r="AK372" s="1064">
        <f t="shared" si="27"/>
        <v>0</v>
      </c>
      <c r="AL372" s="1064">
        <f t="shared" si="28"/>
        <v>0</v>
      </c>
      <c r="AM372" s="1064">
        <f t="shared" si="29"/>
        <v>0</v>
      </c>
      <c r="AN372" s="1064"/>
      <c r="AO372" s="1064">
        <f>TB_curr[[#This Row],[Closing balance]]+TB_curr[[#This Row],[Rounding]]</f>
        <v>0</v>
      </c>
    </row>
    <row r="373" spans="30:41" x14ac:dyDescent="0.25">
      <c r="AD373" s="1067" t="str">
        <f t="shared" si="25"/>
        <v/>
      </c>
      <c r="AE373" s="1063" t="str">
        <f>IF(ISNA(VLOOKUP(TB_curr[[#This Row],[Synt]],GL[[#Headers],[#Data],[subtotal label]],1,FALSE)),0,(VLOOKUP(TB_curr[[#This Row],[Synt]],GL[[#Headers],[#Data],[subtotal label]],1,FALSE)))</f>
        <v/>
      </c>
      <c r="AF373" s="1063" t="e">
        <f>IF((TB_curr[[#This Row],[Synt]]-TB_curr[[#This Row],[Subtotal Y/N]])=0,0,VLOOKUP(TB_curr[[#This Row],[Synt]],GL[[Account]:[Line]],3,FALSE))</f>
        <v>#VALUE!</v>
      </c>
      <c r="AG373" s="1063" t="e">
        <f>VLOOKUP(TB_curr[[#This Row],[Synt]],GL[[Account]:[B/P]],4,FALSE)</f>
        <v>#N/A</v>
      </c>
      <c r="AH373" s="1066" t="e">
        <v>#VALUE!</v>
      </c>
      <c r="AI373" s="1065" t="e">
        <f>TB_curr[[#This Row],[Synt]]&amp;TB_curr[[#This Row],[Line No. manual corr.]]</f>
        <v>#VALUE!</v>
      </c>
      <c r="AJ373" s="1064">
        <f t="shared" si="26"/>
        <v>0</v>
      </c>
      <c r="AK373" s="1064">
        <f t="shared" si="27"/>
        <v>0</v>
      </c>
      <c r="AL373" s="1064">
        <f t="shared" si="28"/>
        <v>0</v>
      </c>
      <c r="AM373" s="1064">
        <f t="shared" si="29"/>
        <v>0</v>
      </c>
      <c r="AN373" s="1064"/>
      <c r="AO373" s="1064">
        <f>TB_curr[[#This Row],[Closing balance]]+TB_curr[[#This Row],[Rounding]]</f>
        <v>0</v>
      </c>
    </row>
    <row r="374" spans="30:41" x14ac:dyDescent="0.25">
      <c r="AD374" s="1067" t="str">
        <f t="shared" si="25"/>
        <v/>
      </c>
      <c r="AE374" s="1063" t="str">
        <f>IF(ISNA(VLOOKUP(TB_curr[[#This Row],[Synt]],GL[[#Headers],[#Data],[subtotal label]],1,FALSE)),0,(VLOOKUP(TB_curr[[#This Row],[Synt]],GL[[#Headers],[#Data],[subtotal label]],1,FALSE)))</f>
        <v/>
      </c>
      <c r="AF374" s="1063" t="e">
        <f>IF((TB_curr[[#This Row],[Synt]]-TB_curr[[#This Row],[Subtotal Y/N]])=0,0,VLOOKUP(TB_curr[[#This Row],[Synt]],GL[[Account]:[Line]],3,FALSE))</f>
        <v>#VALUE!</v>
      </c>
      <c r="AG374" s="1063" t="e">
        <f>VLOOKUP(TB_curr[[#This Row],[Synt]],GL[[Account]:[B/P]],4,FALSE)</f>
        <v>#N/A</v>
      </c>
      <c r="AH374" s="1066" t="e">
        <v>#VALUE!</v>
      </c>
      <c r="AI374" s="1065" t="e">
        <f>TB_curr[[#This Row],[Synt]]&amp;TB_curr[[#This Row],[Line No. manual corr.]]</f>
        <v>#VALUE!</v>
      </c>
      <c r="AJ374" s="1064">
        <f t="shared" si="26"/>
        <v>0</v>
      </c>
      <c r="AK374" s="1064">
        <f t="shared" si="27"/>
        <v>0</v>
      </c>
      <c r="AL374" s="1064">
        <f t="shared" si="28"/>
        <v>0</v>
      </c>
      <c r="AM374" s="1064">
        <f t="shared" si="29"/>
        <v>0</v>
      </c>
      <c r="AN374" s="1064"/>
      <c r="AO374" s="1064">
        <f>TB_curr[[#This Row],[Closing balance]]+TB_curr[[#This Row],[Rounding]]</f>
        <v>0</v>
      </c>
    </row>
    <row r="375" spans="30:41" x14ac:dyDescent="0.25">
      <c r="AD375" s="1067" t="str">
        <f t="shared" si="25"/>
        <v/>
      </c>
      <c r="AE375" s="1063" t="str">
        <f>IF(ISNA(VLOOKUP(TB_curr[[#This Row],[Synt]],GL[[#Headers],[#Data],[subtotal label]],1,FALSE)),0,(VLOOKUP(TB_curr[[#This Row],[Synt]],GL[[#Headers],[#Data],[subtotal label]],1,FALSE)))</f>
        <v/>
      </c>
      <c r="AF375" s="1063" t="e">
        <f>IF((TB_curr[[#This Row],[Synt]]-TB_curr[[#This Row],[Subtotal Y/N]])=0,0,VLOOKUP(TB_curr[[#This Row],[Synt]],GL[[Account]:[Line]],3,FALSE))</f>
        <v>#VALUE!</v>
      </c>
      <c r="AG375" s="1063" t="e">
        <f>VLOOKUP(TB_curr[[#This Row],[Synt]],GL[[Account]:[B/P]],4,FALSE)</f>
        <v>#N/A</v>
      </c>
      <c r="AH375" s="1066" t="e">
        <v>#VALUE!</v>
      </c>
      <c r="AI375" s="1065" t="e">
        <f>TB_curr[[#This Row],[Synt]]&amp;TB_curr[[#This Row],[Line No. manual corr.]]</f>
        <v>#VALUE!</v>
      </c>
      <c r="AJ375" s="1064">
        <f t="shared" si="26"/>
        <v>0</v>
      </c>
      <c r="AK375" s="1064">
        <f t="shared" si="27"/>
        <v>0</v>
      </c>
      <c r="AL375" s="1064">
        <f t="shared" si="28"/>
        <v>0</v>
      </c>
      <c r="AM375" s="1064">
        <f t="shared" si="29"/>
        <v>0</v>
      </c>
      <c r="AN375" s="1064"/>
      <c r="AO375" s="1064">
        <f>TB_curr[[#This Row],[Closing balance]]+TB_curr[[#This Row],[Rounding]]</f>
        <v>0</v>
      </c>
    </row>
    <row r="376" spans="30:41" x14ac:dyDescent="0.25">
      <c r="AD376" s="1067" t="str">
        <f t="shared" si="25"/>
        <v/>
      </c>
      <c r="AE376" s="1063" t="str">
        <f>IF(ISNA(VLOOKUP(TB_curr[[#This Row],[Synt]],GL[[#Headers],[#Data],[subtotal label]],1,FALSE)),0,(VLOOKUP(TB_curr[[#This Row],[Synt]],GL[[#Headers],[#Data],[subtotal label]],1,FALSE)))</f>
        <v/>
      </c>
      <c r="AF376" s="1063" t="e">
        <f>IF((TB_curr[[#This Row],[Synt]]-TB_curr[[#This Row],[Subtotal Y/N]])=0,0,VLOOKUP(TB_curr[[#This Row],[Synt]],GL[[Account]:[Line]],3,FALSE))</f>
        <v>#VALUE!</v>
      </c>
      <c r="AG376" s="1063" t="e">
        <f>VLOOKUP(TB_curr[[#This Row],[Synt]],GL[[Account]:[B/P]],4,FALSE)</f>
        <v>#N/A</v>
      </c>
      <c r="AH376" s="1066" t="e">
        <v>#VALUE!</v>
      </c>
      <c r="AI376" s="1065" t="e">
        <f>TB_curr[[#This Row],[Synt]]&amp;TB_curr[[#This Row],[Line No. manual corr.]]</f>
        <v>#VALUE!</v>
      </c>
      <c r="AJ376" s="1064">
        <f t="shared" si="26"/>
        <v>0</v>
      </c>
      <c r="AK376" s="1064">
        <f t="shared" si="27"/>
        <v>0</v>
      </c>
      <c r="AL376" s="1064">
        <f t="shared" si="28"/>
        <v>0</v>
      </c>
      <c r="AM376" s="1064">
        <f t="shared" si="29"/>
        <v>0</v>
      </c>
      <c r="AN376" s="1064"/>
      <c r="AO376" s="1064">
        <f>TB_curr[[#This Row],[Closing balance]]+TB_curr[[#This Row],[Rounding]]</f>
        <v>0</v>
      </c>
    </row>
    <row r="377" spans="30:41" x14ac:dyDescent="0.25">
      <c r="AD377" s="1067" t="str">
        <f t="shared" si="25"/>
        <v/>
      </c>
      <c r="AE377" s="1063" t="str">
        <f>IF(ISNA(VLOOKUP(TB_curr[[#This Row],[Synt]],GL[[#Headers],[#Data],[subtotal label]],1,FALSE)),0,(VLOOKUP(TB_curr[[#This Row],[Synt]],GL[[#Headers],[#Data],[subtotal label]],1,FALSE)))</f>
        <v/>
      </c>
      <c r="AF377" s="1063" t="e">
        <f>IF((TB_curr[[#This Row],[Synt]]-TB_curr[[#This Row],[Subtotal Y/N]])=0,0,VLOOKUP(TB_curr[[#This Row],[Synt]],GL[[Account]:[Line]],3,FALSE))</f>
        <v>#VALUE!</v>
      </c>
      <c r="AG377" s="1063" t="e">
        <f>VLOOKUP(TB_curr[[#This Row],[Synt]],GL[[Account]:[B/P]],4,FALSE)</f>
        <v>#N/A</v>
      </c>
      <c r="AH377" s="1066" t="e">
        <v>#VALUE!</v>
      </c>
      <c r="AI377" s="1065" t="e">
        <f>TB_curr[[#This Row],[Synt]]&amp;TB_curr[[#This Row],[Line No. manual corr.]]</f>
        <v>#VALUE!</v>
      </c>
      <c r="AJ377" s="1064">
        <f t="shared" si="26"/>
        <v>0</v>
      </c>
      <c r="AK377" s="1064">
        <f t="shared" si="27"/>
        <v>0</v>
      </c>
      <c r="AL377" s="1064">
        <f t="shared" si="28"/>
        <v>0</v>
      </c>
      <c r="AM377" s="1064">
        <f t="shared" si="29"/>
        <v>0</v>
      </c>
      <c r="AN377" s="1064"/>
      <c r="AO377" s="1064">
        <f>TB_curr[[#This Row],[Closing balance]]+TB_curr[[#This Row],[Rounding]]</f>
        <v>0</v>
      </c>
    </row>
    <row r="378" spans="30:41" x14ac:dyDescent="0.25">
      <c r="AD378" s="1067" t="str">
        <f t="shared" si="25"/>
        <v/>
      </c>
      <c r="AE378" s="1063" t="str">
        <f>IF(ISNA(VLOOKUP(TB_curr[[#This Row],[Synt]],GL[[#Headers],[#Data],[subtotal label]],1,FALSE)),0,(VLOOKUP(TB_curr[[#This Row],[Synt]],GL[[#Headers],[#Data],[subtotal label]],1,FALSE)))</f>
        <v/>
      </c>
      <c r="AF378" s="1063" t="e">
        <f>IF((TB_curr[[#This Row],[Synt]]-TB_curr[[#This Row],[Subtotal Y/N]])=0,0,VLOOKUP(TB_curr[[#This Row],[Synt]],GL[[Account]:[Line]],3,FALSE))</f>
        <v>#VALUE!</v>
      </c>
      <c r="AG378" s="1063" t="e">
        <f>VLOOKUP(TB_curr[[#This Row],[Synt]],GL[[Account]:[B/P]],4,FALSE)</f>
        <v>#N/A</v>
      </c>
      <c r="AH378" s="1066" t="e">
        <v>#VALUE!</v>
      </c>
      <c r="AI378" s="1065" t="e">
        <f>TB_curr[[#This Row],[Synt]]&amp;TB_curr[[#This Row],[Line No. manual corr.]]</f>
        <v>#VALUE!</v>
      </c>
      <c r="AJ378" s="1064">
        <f t="shared" si="26"/>
        <v>0</v>
      </c>
      <c r="AK378" s="1064">
        <f t="shared" si="27"/>
        <v>0</v>
      </c>
      <c r="AL378" s="1064">
        <f t="shared" si="28"/>
        <v>0</v>
      </c>
      <c r="AM378" s="1064">
        <f t="shared" si="29"/>
        <v>0</v>
      </c>
      <c r="AN378" s="1064"/>
      <c r="AO378" s="1064">
        <f>TB_curr[[#This Row],[Closing balance]]+TB_curr[[#This Row],[Rounding]]</f>
        <v>0</v>
      </c>
    </row>
    <row r="379" spans="30:41" x14ac:dyDescent="0.25">
      <c r="AD379" s="1067" t="str">
        <f t="shared" si="25"/>
        <v/>
      </c>
      <c r="AE379" s="1063" t="str">
        <f>IF(ISNA(VLOOKUP(TB_curr[[#This Row],[Synt]],GL[[#Headers],[#Data],[subtotal label]],1,FALSE)),0,(VLOOKUP(TB_curr[[#This Row],[Synt]],GL[[#Headers],[#Data],[subtotal label]],1,FALSE)))</f>
        <v/>
      </c>
      <c r="AF379" s="1063" t="e">
        <f>IF((TB_curr[[#This Row],[Synt]]-TB_curr[[#This Row],[Subtotal Y/N]])=0,0,VLOOKUP(TB_curr[[#This Row],[Synt]],GL[[Account]:[Line]],3,FALSE))</f>
        <v>#VALUE!</v>
      </c>
      <c r="AG379" s="1063" t="e">
        <f>VLOOKUP(TB_curr[[#This Row],[Synt]],GL[[Account]:[B/P]],4,FALSE)</f>
        <v>#N/A</v>
      </c>
      <c r="AH379" s="1066" t="e">
        <v>#VALUE!</v>
      </c>
      <c r="AI379" s="1065" t="e">
        <f>TB_curr[[#This Row],[Synt]]&amp;TB_curr[[#This Row],[Line No. manual corr.]]</f>
        <v>#VALUE!</v>
      </c>
      <c r="AJ379" s="1064">
        <f t="shared" si="26"/>
        <v>0</v>
      </c>
      <c r="AK379" s="1064">
        <f t="shared" si="27"/>
        <v>0</v>
      </c>
      <c r="AL379" s="1064">
        <f t="shared" si="28"/>
        <v>0</v>
      </c>
      <c r="AM379" s="1064">
        <f t="shared" si="29"/>
        <v>0</v>
      </c>
      <c r="AN379" s="1064"/>
      <c r="AO379" s="1064">
        <f>TB_curr[[#This Row],[Closing balance]]+TB_curr[[#This Row],[Rounding]]</f>
        <v>0</v>
      </c>
    </row>
    <row r="380" spans="30:41" x14ac:dyDescent="0.25">
      <c r="AD380" s="1067" t="str">
        <f t="shared" si="25"/>
        <v/>
      </c>
      <c r="AE380" s="1063" t="str">
        <f>IF(ISNA(VLOOKUP(TB_curr[[#This Row],[Synt]],GL[[#Headers],[#Data],[subtotal label]],1,FALSE)),0,(VLOOKUP(TB_curr[[#This Row],[Synt]],GL[[#Headers],[#Data],[subtotal label]],1,FALSE)))</f>
        <v/>
      </c>
      <c r="AF380" s="1063" t="e">
        <f>IF((TB_curr[[#This Row],[Synt]]-TB_curr[[#This Row],[Subtotal Y/N]])=0,0,VLOOKUP(TB_curr[[#This Row],[Synt]],GL[[Account]:[Line]],3,FALSE))</f>
        <v>#VALUE!</v>
      </c>
      <c r="AG380" s="1063" t="e">
        <f>VLOOKUP(TB_curr[[#This Row],[Synt]],GL[[Account]:[B/P]],4,FALSE)</f>
        <v>#N/A</v>
      </c>
      <c r="AH380" s="1066" t="e">
        <v>#VALUE!</v>
      </c>
      <c r="AI380" s="1065" t="e">
        <f>TB_curr[[#This Row],[Synt]]&amp;TB_curr[[#This Row],[Line No. manual corr.]]</f>
        <v>#VALUE!</v>
      </c>
      <c r="AJ380" s="1064">
        <f t="shared" si="26"/>
        <v>0</v>
      </c>
      <c r="AK380" s="1064">
        <f t="shared" si="27"/>
        <v>0</v>
      </c>
      <c r="AL380" s="1064">
        <f t="shared" si="28"/>
        <v>0</v>
      </c>
      <c r="AM380" s="1064">
        <f t="shared" si="29"/>
        <v>0</v>
      </c>
      <c r="AN380" s="1064"/>
      <c r="AO380" s="1064">
        <f>TB_curr[[#This Row],[Closing balance]]+TB_curr[[#This Row],[Rounding]]</f>
        <v>0</v>
      </c>
    </row>
    <row r="381" spans="30:41" x14ac:dyDescent="0.25">
      <c r="AD381" s="1067" t="str">
        <f t="shared" si="25"/>
        <v/>
      </c>
      <c r="AE381" s="1063" t="str">
        <f>IF(ISNA(VLOOKUP(TB_curr[[#This Row],[Synt]],GL[[#Headers],[#Data],[subtotal label]],1,FALSE)),0,(VLOOKUP(TB_curr[[#This Row],[Synt]],GL[[#Headers],[#Data],[subtotal label]],1,FALSE)))</f>
        <v/>
      </c>
      <c r="AF381" s="1063" t="e">
        <f>IF((TB_curr[[#This Row],[Synt]]-TB_curr[[#This Row],[Subtotal Y/N]])=0,0,VLOOKUP(TB_curr[[#This Row],[Synt]],GL[[Account]:[Line]],3,FALSE))</f>
        <v>#VALUE!</v>
      </c>
      <c r="AG381" s="1063" t="e">
        <f>VLOOKUP(TB_curr[[#This Row],[Synt]],GL[[Account]:[B/P]],4,FALSE)</f>
        <v>#N/A</v>
      </c>
      <c r="AH381" s="1066" t="e">
        <v>#VALUE!</v>
      </c>
      <c r="AI381" s="1065" t="e">
        <f>TB_curr[[#This Row],[Synt]]&amp;TB_curr[[#This Row],[Line No. manual corr.]]</f>
        <v>#VALUE!</v>
      </c>
      <c r="AJ381" s="1064">
        <f t="shared" si="26"/>
        <v>0</v>
      </c>
      <c r="AK381" s="1064">
        <f t="shared" si="27"/>
        <v>0</v>
      </c>
      <c r="AL381" s="1064">
        <f t="shared" si="28"/>
        <v>0</v>
      </c>
      <c r="AM381" s="1064">
        <f t="shared" si="29"/>
        <v>0</v>
      </c>
      <c r="AN381" s="1064"/>
      <c r="AO381" s="1064">
        <f>TB_curr[[#This Row],[Closing balance]]+TB_curr[[#This Row],[Rounding]]</f>
        <v>0</v>
      </c>
    </row>
    <row r="382" spans="30:41" x14ac:dyDescent="0.25">
      <c r="AD382" s="1067" t="str">
        <f t="shared" si="25"/>
        <v/>
      </c>
      <c r="AE382" s="1063" t="str">
        <f>IF(ISNA(VLOOKUP(TB_curr[[#This Row],[Synt]],GL[[#Headers],[#Data],[subtotal label]],1,FALSE)),0,(VLOOKUP(TB_curr[[#This Row],[Synt]],GL[[#Headers],[#Data],[subtotal label]],1,FALSE)))</f>
        <v/>
      </c>
      <c r="AF382" s="1063" t="e">
        <f>IF((TB_curr[[#This Row],[Synt]]-TB_curr[[#This Row],[Subtotal Y/N]])=0,0,VLOOKUP(TB_curr[[#This Row],[Synt]],GL[[Account]:[Line]],3,FALSE))</f>
        <v>#VALUE!</v>
      </c>
      <c r="AG382" s="1063" t="e">
        <f>VLOOKUP(TB_curr[[#This Row],[Synt]],GL[[Account]:[B/P]],4,FALSE)</f>
        <v>#N/A</v>
      </c>
      <c r="AH382" s="1066" t="e">
        <v>#VALUE!</v>
      </c>
      <c r="AI382" s="1065" t="e">
        <f>TB_curr[[#This Row],[Synt]]&amp;TB_curr[[#This Row],[Line No. manual corr.]]</f>
        <v>#VALUE!</v>
      </c>
      <c r="AJ382" s="1064">
        <f t="shared" si="26"/>
        <v>0</v>
      </c>
      <c r="AK382" s="1064">
        <f t="shared" si="27"/>
        <v>0</v>
      </c>
      <c r="AL382" s="1064">
        <f t="shared" si="28"/>
        <v>0</v>
      </c>
      <c r="AM382" s="1064">
        <f t="shared" si="29"/>
        <v>0</v>
      </c>
      <c r="AN382" s="1064"/>
      <c r="AO382" s="1064">
        <f>TB_curr[[#This Row],[Closing balance]]+TB_curr[[#This Row],[Rounding]]</f>
        <v>0</v>
      </c>
    </row>
    <row r="383" spans="30:41" x14ac:dyDescent="0.25">
      <c r="AD383" s="1067" t="str">
        <f t="shared" si="25"/>
        <v/>
      </c>
      <c r="AE383" s="1063" t="str">
        <f>IF(ISNA(VLOOKUP(TB_curr[[#This Row],[Synt]],GL[[#Headers],[#Data],[subtotal label]],1,FALSE)),0,(VLOOKUP(TB_curr[[#This Row],[Synt]],GL[[#Headers],[#Data],[subtotal label]],1,FALSE)))</f>
        <v/>
      </c>
      <c r="AF383" s="1063" t="e">
        <f>IF((TB_curr[[#This Row],[Synt]]-TB_curr[[#This Row],[Subtotal Y/N]])=0,0,VLOOKUP(TB_curr[[#This Row],[Synt]],GL[[Account]:[Line]],3,FALSE))</f>
        <v>#VALUE!</v>
      </c>
      <c r="AG383" s="1063" t="e">
        <f>VLOOKUP(TB_curr[[#This Row],[Synt]],GL[[Account]:[B/P]],4,FALSE)</f>
        <v>#N/A</v>
      </c>
      <c r="AH383" s="1066" t="e">
        <v>#VALUE!</v>
      </c>
      <c r="AI383" s="1065" t="e">
        <f>TB_curr[[#This Row],[Synt]]&amp;TB_curr[[#This Row],[Line No. manual corr.]]</f>
        <v>#VALUE!</v>
      </c>
      <c r="AJ383" s="1064">
        <f t="shared" si="26"/>
        <v>0</v>
      </c>
      <c r="AK383" s="1064">
        <f t="shared" si="27"/>
        <v>0</v>
      </c>
      <c r="AL383" s="1064">
        <f t="shared" si="28"/>
        <v>0</v>
      </c>
      <c r="AM383" s="1064">
        <f t="shared" si="29"/>
        <v>0</v>
      </c>
      <c r="AN383" s="1064"/>
      <c r="AO383" s="1064">
        <f>TB_curr[[#This Row],[Closing balance]]+TB_curr[[#This Row],[Rounding]]</f>
        <v>0</v>
      </c>
    </row>
    <row r="384" spans="30:41" x14ac:dyDescent="0.25">
      <c r="AD384" s="1067" t="str">
        <f t="shared" si="25"/>
        <v/>
      </c>
      <c r="AE384" s="1063" t="str">
        <f>IF(ISNA(VLOOKUP(TB_curr[[#This Row],[Synt]],GL[[#Headers],[#Data],[subtotal label]],1,FALSE)),0,(VLOOKUP(TB_curr[[#This Row],[Synt]],GL[[#Headers],[#Data],[subtotal label]],1,FALSE)))</f>
        <v/>
      </c>
      <c r="AF384" s="1063" t="e">
        <f>IF((TB_curr[[#This Row],[Synt]]-TB_curr[[#This Row],[Subtotal Y/N]])=0,0,VLOOKUP(TB_curr[[#This Row],[Synt]],GL[[Account]:[Line]],3,FALSE))</f>
        <v>#VALUE!</v>
      </c>
      <c r="AG384" s="1063" t="e">
        <f>VLOOKUP(TB_curr[[#This Row],[Synt]],GL[[Account]:[B/P]],4,FALSE)</f>
        <v>#N/A</v>
      </c>
      <c r="AH384" s="1066" t="e">
        <v>#VALUE!</v>
      </c>
      <c r="AI384" s="1065" t="e">
        <f>TB_curr[[#This Row],[Synt]]&amp;TB_curr[[#This Row],[Line No. manual corr.]]</f>
        <v>#VALUE!</v>
      </c>
      <c r="AJ384" s="1064">
        <f t="shared" si="26"/>
        <v>0</v>
      </c>
      <c r="AK384" s="1064">
        <f t="shared" si="27"/>
        <v>0</v>
      </c>
      <c r="AL384" s="1064">
        <f t="shared" si="28"/>
        <v>0</v>
      </c>
      <c r="AM384" s="1064">
        <f t="shared" si="29"/>
        <v>0</v>
      </c>
      <c r="AN384" s="1064"/>
      <c r="AO384" s="1064">
        <f>TB_curr[[#This Row],[Closing balance]]+TB_curr[[#This Row],[Rounding]]</f>
        <v>0</v>
      </c>
    </row>
    <row r="385" spans="30:41" x14ac:dyDescent="0.25">
      <c r="AD385" s="1067" t="str">
        <f t="shared" si="25"/>
        <v/>
      </c>
      <c r="AE385" s="1063" t="str">
        <f>IF(ISNA(VLOOKUP(TB_curr[[#This Row],[Synt]],GL[[#Headers],[#Data],[subtotal label]],1,FALSE)),0,(VLOOKUP(TB_curr[[#This Row],[Synt]],GL[[#Headers],[#Data],[subtotal label]],1,FALSE)))</f>
        <v/>
      </c>
      <c r="AF385" s="1063" t="e">
        <f>IF((TB_curr[[#This Row],[Synt]]-TB_curr[[#This Row],[Subtotal Y/N]])=0,0,VLOOKUP(TB_curr[[#This Row],[Synt]],GL[[Account]:[Line]],3,FALSE))</f>
        <v>#VALUE!</v>
      </c>
      <c r="AG385" s="1063" t="e">
        <f>VLOOKUP(TB_curr[[#This Row],[Synt]],GL[[Account]:[B/P]],4,FALSE)</f>
        <v>#N/A</v>
      </c>
      <c r="AH385" s="1066" t="e">
        <v>#VALUE!</v>
      </c>
      <c r="AI385" s="1065" t="e">
        <f>TB_curr[[#This Row],[Synt]]&amp;TB_curr[[#This Row],[Line No. manual corr.]]</f>
        <v>#VALUE!</v>
      </c>
      <c r="AJ385" s="1064">
        <f t="shared" si="26"/>
        <v>0</v>
      </c>
      <c r="AK385" s="1064">
        <f t="shared" si="27"/>
        <v>0</v>
      </c>
      <c r="AL385" s="1064">
        <f t="shared" si="28"/>
        <v>0</v>
      </c>
      <c r="AM385" s="1064">
        <f t="shared" si="29"/>
        <v>0</v>
      </c>
      <c r="AN385" s="1064"/>
      <c r="AO385" s="1064">
        <f>TB_curr[[#This Row],[Closing balance]]+TB_curr[[#This Row],[Rounding]]</f>
        <v>0</v>
      </c>
    </row>
    <row r="386" spans="30:41" x14ac:dyDescent="0.25">
      <c r="AD386" s="1067" t="str">
        <f t="shared" si="25"/>
        <v/>
      </c>
      <c r="AE386" s="1063" t="str">
        <f>IF(ISNA(VLOOKUP(TB_curr[[#This Row],[Synt]],GL[[#Headers],[#Data],[subtotal label]],1,FALSE)),0,(VLOOKUP(TB_curr[[#This Row],[Synt]],GL[[#Headers],[#Data],[subtotal label]],1,FALSE)))</f>
        <v/>
      </c>
      <c r="AF386" s="1063" t="e">
        <f>IF((TB_curr[[#This Row],[Synt]]-TB_curr[[#This Row],[Subtotal Y/N]])=0,0,VLOOKUP(TB_curr[[#This Row],[Synt]],GL[[Account]:[Line]],3,FALSE))</f>
        <v>#VALUE!</v>
      </c>
      <c r="AG386" s="1063" t="e">
        <f>VLOOKUP(TB_curr[[#This Row],[Synt]],GL[[Account]:[B/P]],4,FALSE)</f>
        <v>#N/A</v>
      </c>
      <c r="AH386" s="1066" t="e">
        <v>#VALUE!</v>
      </c>
      <c r="AI386" s="1065" t="e">
        <f>TB_curr[[#This Row],[Synt]]&amp;TB_curr[[#This Row],[Line No. manual corr.]]</f>
        <v>#VALUE!</v>
      </c>
      <c r="AJ386" s="1064">
        <f t="shared" si="26"/>
        <v>0</v>
      </c>
      <c r="AK386" s="1064">
        <f t="shared" si="27"/>
        <v>0</v>
      </c>
      <c r="AL386" s="1064">
        <f t="shared" si="28"/>
        <v>0</v>
      </c>
      <c r="AM386" s="1064">
        <f t="shared" si="29"/>
        <v>0</v>
      </c>
      <c r="AN386" s="1064"/>
      <c r="AO386" s="1064">
        <f>TB_curr[[#This Row],[Closing balance]]+TB_curr[[#This Row],[Rounding]]</f>
        <v>0</v>
      </c>
    </row>
    <row r="387" spans="30:41" x14ac:dyDescent="0.25">
      <c r="AD387" s="1067" t="str">
        <f t="shared" si="25"/>
        <v/>
      </c>
      <c r="AE387" s="1063" t="str">
        <f>IF(ISNA(VLOOKUP(TB_curr[[#This Row],[Synt]],GL[[#Headers],[#Data],[subtotal label]],1,FALSE)),0,(VLOOKUP(TB_curr[[#This Row],[Synt]],GL[[#Headers],[#Data],[subtotal label]],1,FALSE)))</f>
        <v/>
      </c>
      <c r="AF387" s="1063" t="e">
        <f>IF((TB_curr[[#This Row],[Synt]]-TB_curr[[#This Row],[Subtotal Y/N]])=0,0,VLOOKUP(TB_curr[[#This Row],[Synt]],GL[[Account]:[Line]],3,FALSE))</f>
        <v>#VALUE!</v>
      </c>
      <c r="AG387" s="1063" t="e">
        <f>VLOOKUP(TB_curr[[#This Row],[Synt]],GL[[Account]:[B/P]],4,FALSE)</f>
        <v>#N/A</v>
      </c>
      <c r="AH387" s="1066" t="e">
        <v>#VALUE!</v>
      </c>
      <c r="AI387" s="1065" t="e">
        <f>TB_curr[[#This Row],[Synt]]&amp;TB_curr[[#This Row],[Line No. manual corr.]]</f>
        <v>#VALUE!</v>
      </c>
      <c r="AJ387" s="1064">
        <f t="shared" si="26"/>
        <v>0</v>
      </c>
      <c r="AK387" s="1064">
        <f t="shared" si="27"/>
        <v>0</v>
      </c>
      <c r="AL387" s="1064">
        <f t="shared" si="28"/>
        <v>0</v>
      </c>
      <c r="AM387" s="1064">
        <f t="shared" si="29"/>
        <v>0</v>
      </c>
      <c r="AN387" s="1064"/>
      <c r="AO387" s="1064">
        <f>TB_curr[[#This Row],[Closing balance]]+TB_curr[[#This Row],[Rounding]]</f>
        <v>0</v>
      </c>
    </row>
    <row r="388" spans="30:41" x14ac:dyDescent="0.25">
      <c r="AD388" s="1067" t="str">
        <f t="shared" si="25"/>
        <v/>
      </c>
      <c r="AE388" s="1063" t="str">
        <f>IF(ISNA(VLOOKUP(TB_curr[[#This Row],[Synt]],GL[[#Headers],[#Data],[subtotal label]],1,FALSE)),0,(VLOOKUP(TB_curr[[#This Row],[Synt]],GL[[#Headers],[#Data],[subtotal label]],1,FALSE)))</f>
        <v/>
      </c>
      <c r="AF388" s="1063" t="e">
        <f>IF((TB_curr[[#This Row],[Synt]]-TB_curr[[#This Row],[Subtotal Y/N]])=0,0,VLOOKUP(TB_curr[[#This Row],[Synt]],GL[[Account]:[Line]],3,FALSE))</f>
        <v>#VALUE!</v>
      </c>
      <c r="AG388" s="1063" t="e">
        <f>VLOOKUP(TB_curr[[#This Row],[Synt]],GL[[Account]:[B/P]],4,FALSE)</f>
        <v>#N/A</v>
      </c>
      <c r="AH388" s="1066" t="e">
        <v>#VALUE!</v>
      </c>
      <c r="AI388" s="1065" t="e">
        <f>TB_curr[[#This Row],[Synt]]&amp;TB_curr[[#This Row],[Line No. manual corr.]]</f>
        <v>#VALUE!</v>
      </c>
      <c r="AJ388" s="1064">
        <f t="shared" si="26"/>
        <v>0</v>
      </c>
      <c r="AK388" s="1064">
        <f t="shared" si="27"/>
        <v>0</v>
      </c>
      <c r="AL388" s="1064">
        <f t="shared" si="28"/>
        <v>0</v>
      </c>
      <c r="AM388" s="1064">
        <f t="shared" si="29"/>
        <v>0</v>
      </c>
      <c r="AN388" s="1064"/>
      <c r="AO388" s="1064">
        <f>TB_curr[[#This Row],[Closing balance]]+TB_curr[[#This Row],[Rounding]]</f>
        <v>0</v>
      </c>
    </row>
    <row r="389" spans="30:41" x14ac:dyDescent="0.25">
      <c r="AD389" s="1067" t="str">
        <f t="shared" si="25"/>
        <v/>
      </c>
      <c r="AE389" s="1063" t="str">
        <f>IF(ISNA(VLOOKUP(TB_curr[[#This Row],[Synt]],GL[[#Headers],[#Data],[subtotal label]],1,FALSE)),0,(VLOOKUP(TB_curr[[#This Row],[Synt]],GL[[#Headers],[#Data],[subtotal label]],1,FALSE)))</f>
        <v/>
      </c>
      <c r="AF389" s="1063" t="e">
        <f>IF((TB_curr[[#This Row],[Synt]]-TB_curr[[#This Row],[Subtotal Y/N]])=0,0,VLOOKUP(TB_curr[[#This Row],[Synt]],GL[[Account]:[Line]],3,FALSE))</f>
        <v>#VALUE!</v>
      </c>
      <c r="AG389" s="1063" t="e">
        <f>VLOOKUP(TB_curr[[#This Row],[Synt]],GL[[Account]:[B/P]],4,FALSE)</f>
        <v>#N/A</v>
      </c>
      <c r="AH389" s="1066" t="e">
        <v>#VALUE!</v>
      </c>
      <c r="AI389" s="1065" t="e">
        <f>TB_curr[[#This Row],[Synt]]&amp;TB_curr[[#This Row],[Line No. manual corr.]]</f>
        <v>#VALUE!</v>
      </c>
      <c r="AJ389" s="1064">
        <f t="shared" si="26"/>
        <v>0</v>
      </c>
      <c r="AK389" s="1064">
        <f t="shared" si="27"/>
        <v>0</v>
      </c>
      <c r="AL389" s="1064">
        <f t="shared" si="28"/>
        <v>0</v>
      </c>
      <c r="AM389" s="1064">
        <f t="shared" si="29"/>
        <v>0</v>
      </c>
      <c r="AN389" s="1064"/>
      <c r="AO389" s="1064">
        <f>TB_curr[[#This Row],[Closing balance]]+TB_curr[[#This Row],[Rounding]]</f>
        <v>0</v>
      </c>
    </row>
    <row r="390" spans="30:41" x14ac:dyDescent="0.25">
      <c r="AD390" s="1067" t="str">
        <f t="shared" si="25"/>
        <v/>
      </c>
      <c r="AE390" s="1063" t="str">
        <f>IF(ISNA(VLOOKUP(TB_curr[[#This Row],[Synt]],GL[[#Headers],[#Data],[subtotal label]],1,FALSE)),0,(VLOOKUP(TB_curr[[#This Row],[Synt]],GL[[#Headers],[#Data],[subtotal label]],1,FALSE)))</f>
        <v/>
      </c>
      <c r="AF390" s="1063" t="e">
        <f>IF((TB_curr[[#This Row],[Synt]]-TB_curr[[#This Row],[Subtotal Y/N]])=0,0,VLOOKUP(TB_curr[[#This Row],[Synt]],GL[[Account]:[Line]],3,FALSE))</f>
        <v>#VALUE!</v>
      </c>
      <c r="AG390" s="1063" t="e">
        <f>VLOOKUP(TB_curr[[#This Row],[Synt]],GL[[Account]:[B/P]],4,FALSE)</f>
        <v>#N/A</v>
      </c>
      <c r="AH390" s="1066" t="e">
        <v>#VALUE!</v>
      </c>
      <c r="AI390" s="1065" t="e">
        <f>TB_curr[[#This Row],[Synt]]&amp;TB_curr[[#This Row],[Line No. manual corr.]]</f>
        <v>#VALUE!</v>
      </c>
      <c r="AJ390" s="1064">
        <f t="shared" si="26"/>
        <v>0</v>
      </c>
      <c r="AK390" s="1064">
        <f t="shared" si="27"/>
        <v>0</v>
      </c>
      <c r="AL390" s="1064">
        <f t="shared" si="28"/>
        <v>0</v>
      </c>
      <c r="AM390" s="1064">
        <f t="shared" si="29"/>
        <v>0</v>
      </c>
      <c r="AN390" s="1064"/>
      <c r="AO390" s="1064">
        <f>TB_curr[[#This Row],[Closing balance]]+TB_curr[[#This Row],[Rounding]]</f>
        <v>0</v>
      </c>
    </row>
    <row r="391" spans="30:41" x14ac:dyDescent="0.25">
      <c r="AD391" s="1067" t="str">
        <f t="shared" si="25"/>
        <v/>
      </c>
      <c r="AE391" s="1063" t="str">
        <f>IF(ISNA(VLOOKUP(TB_curr[[#This Row],[Synt]],GL[[#Headers],[#Data],[subtotal label]],1,FALSE)),0,(VLOOKUP(TB_curr[[#This Row],[Synt]],GL[[#Headers],[#Data],[subtotal label]],1,FALSE)))</f>
        <v/>
      </c>
      <c r="AF391" s="1063" t="e">
        <f>IF((TB_curr[[#This Row],[Synt]]-TB_curr[[#This Row],[Subtotal Y/N]])=0,0,VLOOKUP(TB_curr[[#This Row],[Synt]],GL[[Account]:[Line]],3,FALSE))</f>
        <v>#VALUE!</v>
      </c>
      <c r="AG391" s="1063" t="e">
        <f>VLOOKUP(TB_curr[[#This Row],[Synt]],GL[[Account]:[B/P]],4,FALSE)</f>
        <v>#N/A</v>
      </c>
      <c r="AH391" s="1066" t="e">
        <v>#VALUE!</v>
      </c>
      <c r="AI391" s="1065" t="e">
        <f>TB_curr[[#This Row],[Synt]]&amp;TB_curr[[#This Row],[Line No. manual corr.]]</f>
        <v>#VALUE!</v>
      </c>
      <c r="AJ391" s="1064">
        <f t="shared" si="26"/>
        <v>0</v>
      </c>
      <c r="AK391" s="1064">
        <f t="shared" si="27"/>
        <v>0</v>
      </c>
      <c r="AL391" s="1064">
        <f t="shared" si="28"/>
        <v>0</v>
      </c>
      <c r="AM391" s="1064">
        <f t="shared" si="29"/>
        <v>0</v>
      </c>
      <c r="AN391" s="1064"/>
      <c r="AO391" s="1064">
        <f>TB_curr[[#This Row],[Closing balance]]+TB_curr[[#This Row],[Rounding]]</f>
        <v>0</v>
      </c>
    </row>
    <row r="392" spans="30:41" x14ac:dyDescent="0.25">
      <c r="AD392" s="1067" t="str">
        <f t="shared" ref="AD392:AD455" si="30">LEFT(B392,3)</f>
        <v/>
      </c>
      <c r="AE392" s="1063" t="str">
        <f>IF(ISNA(VLOOKUP(TB_curr[[#This Row],[Synt]],GL[[#Headers],[#Data],[subtotal label]],1,FALSE)),0,(VLOOKUP(TB_curr[[#This Row],[Synt]],GL[[#Headers],[#Data],[subtotal label]],1,FALSE)))</f>
        <v/>
      </c>
      <c r="AF392" s="1063" t="e">
        <f>IF((TB_curr[[#This Row],[Synt]]-TB_curr[[#This Row],[Subtotal Y/N]])=0,0,VLOOKUP(TB_curr[[#This Row],[Synt]],GL[[Account]:[Line]],3,FALSE))</f>
        <v>#VALUE!</v>
      </c>
      <c r="AG392" s="1063" t="e">
        <f>VLOOKUP(TB_curr[[#This Row],[Synt]],GL[[Account]:[B/P]],4,FALSE)</f>
        <v>#N/A</v>
      </c>
      <c r="AH392" s="1066" t="e">
        <v>#VALUE!</v>
      </c>
      <c r="AI392" s="1065" t="e">
        <f>TB_curr[[#This Row],[Synt]]&amp;TB_curr[[#This Row],[Line No. manual corr.]]</f>
        <v>#VALUE!</v>
      </c>
      <c r="AJ392" s="1064">
        <f t="shared" ref="AJ392:AJ455" si="31">K392-N392</f>
        <v>0</v>
      </c>
      <c r="AK392" s="1064">
        <f t="shared" ref="AK392:AK455" si="32">Q392</f>
        <v>0</v>
      </c>
      <c r="AL392" s="1064">
        <f t="shared" ref="AL392:AL455" si="33">U392</f>
        <v>0</v>
      </c>
      <c r="AM392" s="1064">
        <f t="shared" ref="AM392:AM455" si="34">X392-AB392</f>
        <v>0</v>
      </c>
      <c r="AN392" s="1064"/>
      <c r="AO392" s="1064">
        <f>TB_curr[[#This Row],[Closing balance]]+TB_curr[[#This Row],[Rounding]]</f>
        <v>0</v>
      </c>
    </row>
    <row r="393" spans="30:41" x14ac:dyDescent="0.25">
      <c r="AD393" s="1067" t="str">
        <f t="shared" si="30"/>
        <v/>
      </c>
      <c r="AE393" s="1063" t="str">
        <f>IF(ISNA(VLOOKUP(TB_curr[[#This Row],[Synt]],GL[[#Headers],[#Data],[subtotal label]],1,FALSE)),0,(VLOOKUP(TB_curr[[#This Row],[Synt]],GL[[#Headers],[#Data],[subtotal label]],1,FALSE)))</f>
        <v/>
      </c>
      <c r="AF393" s="1063" t="e">
        <f>IF((TB_curr[[#This Row],[Synt]]-TB_curr[[#This Row],[Subtotal Y/N]])=0,0,VLOOKUP(TB_curr[[#This Row],[Synt]],GL[[Account]:[Line]],3,FALSE))</f>
        <v>#VALUE!</v>
      </c>
      <c r="AG393" s="1063" t="e">
        <f>VLOOKUP(TB_curr[[#This Row],[Synt]],GL[[Account]:[B/P]],4,FALSE)</f>
        <v>#N/A</v>
      </c>
      <c r="AH393" s="1066" t="e">
        <v>#VALUE!</v>
      </c>
      <c r="AI393" s="1065" t="e">
        <f>TB_curr[[#This Row],[Synt]]&amp;TB_curr[[#This Row],[Line No. manual corr.]]</f>
        <v>#VALUE!</v>
      </c>
      <c r="AJ393" s="1064">
        <f t="shared" si="31"/>
        <v>0</v>
      </c>
      <c r="AK393" s="1064">
        <f t="shared" si="32"/>
        <v>0</v>
      </c>
      <c r="AL393" s="1064">
        <f t="shared" si="33"/>
        <v>0</v>
      </c>
      <c r="AM393" s="1064">
        <f t="shared" si="34"/>
        <v>0</v>
      </c>
      <c r="AN393" s="1064"/>
      <c r="AO393" s="1064">
        <f>TB_curr[[#This Row],[Closing balance]]+TB_curr[[#This Row],[Rounding]]</f>
        <v>0</v>
      </c>
    </row>
    <row r="394" spans="30:41" x14ac:dyDescent="0.25">
      <c r="AD394" s="1067" t="str">
        <f t="shared" si="30"/>
        <v/>
      </c>
      <c r="AE394" s="1063" t="str">
        <f>IF(ISNA(VLOOKUP(TB_curr[[#This Row],[Synt]],GL[[#Headers],[#Data],[subtotal label]],1,FALSE)),0,(VLOOKUP(TB_curr[[#This Row],[Synt]],GL[[#Headers],[#Data],[subtotal label]],1,FALSE)))</f>
        <v/>
      </c>
      <c r="AF394" s="1063" t="e">
        <f>IF((TB_curr[[#This Row],[Synt]]-TB_curr[[#This Row],[Subtotal Y/N]])=0,0,VLOOKUP(TB_curr[[#This Row],[Synt]],GL[[Account]:[Line]],3,FALSE))</f>
        <v>#VALUE!</v>
      </c>
      <c r="AG394" s="1063" t="e">
        <f>VLOOKUP(TB_curr[[#This Row],[Synt]],GL[[Account]:[B/P]],4,FALSE)</f>
        <v>#N/A</v>
      </c>
      <c r="AH394" s="1066" t="e">
        <v>#VALUE!</v>
      </c>
      <c r="AI394" s="1065" t="e">
        <f>TB_curr[[#This Row],[Synt]]&amp;TB_curr[[#This Row],[Line No. manual corr.]]</f>
        <v>#VALUE!</v>
      </c>
      <c r="AJ394" s="1064">
        <f t="shared" si="31"/>
        <v>0</v>
      </c>
      <c r="AK394" s="1064">
        <f t="shared" si="32"/>
        <v>0</v>
      </c>
      <c r="AL394" s="1064">
        <f t="shared" si="33"/>
        <v>0</v>
      </c>
      <c r="AM394" s="1064">
        <f t="shared" si="34"/>
        <v>0</v>
      </c>
      <c r="AN394" s="1064"/>
      <c r="AO394" s="1064">
        <f>TB_curr[[#This Row],[Closing balance]]+TB_curr[[#This Row],[Rounding]]</f>
        <v>0</v>
      </c>
    </row>
    <row r="395" spans="30:41" x14ac:dyDescent="0.25">
      <c r="AD395" s="1067" t="str">
        <f t="shared" si="30"/>
        <v/>
      </c>
      <c r="AE395" s="1063" t="str">
        <f>IF(ISNA(VLOOKUP(TB_curr[[#This Row],[Synt]],GL[[#Headers],[#Data],[subtotal label]],1,FALSE)),0,(VLOOKUP(TB_curr[[#This Row],[Synt]],GL[[#Headers],[#Data],[subtotal label]],1,FALSE)))</f>
        <v/>
      </c>
      <c r="AF395" s="1063" t="e">
        <f>IF((TB_curr[[#This Row],[Synt]]-TB_curr[[#This Row],[Subtotal Y/N]])=0,0,VLOOKUP(TB_curr[[#This Row],[Synt]],GL[[Account]:[Line]],3,FALSE))</f>
        <v>#VALUE!</v>
      </c>
      <c r="AG395" s="1063" t="e">
        <f>VLOOKUP(TB_curr[[#This Row],[Synt]],GL[[Account]:[B/P]],4,FALSE)</f>
        <v>#N/A</v>
      </c>
      <c r="AH395" s="1066" t="e">
        <v>#VALUE!</v>
      </c>
      <c r="AI395" s="1065" t="e">
        <f>TB_curr[[#This Row],[Synt]]&amp;TB_curr[[#This Row],[Line No. manual corr.]]</f>
        <v>#VALUE!</v>
      </c>
      <c r="AJ395" s="1064">
        <f t="shared" si="31"/>
        <v>0</v>
      </c>
      <c r="AK395" s="1064">
        <f t="shared" si="32"/>
        <v>0</v>
      </c>
      <c r="AL395" s="1064">
        <f t="shared" si="33"/>
        <v>0</v>
      </c>
      <c r="AM395" s="1064">
        <f t="shared" si="34"/>
        <v>0</v>
      </c>
      <c r="AN395" s="1064"/>
      <c r="AO395" s="1064">
        <f>TB_curr[[#This Row],[Closing balance]]+TB_curr[[#This Row],[Rounding]]</f>
        <v>0</v>
      </c>
    </row>
    <row r="396" spans="30:41" x14ac:dyDescent="0.25">
      <c r="AD396" s="1067" t="str">
        <f t="shared" si="30"/>
        <v/>
      </c>
      <c r="AE396" s="1063" t="str">
        <f>IF(ISNA(VLOOKUP(TB_curr[[#This Row],[Synt]],GL[[#Headers],[#Data],[subtotal label]],1,FALSE)),0,(VLOOKUP(TB_curr[[#This Row],[Synt]],GL[[#Headers],[#Data],[subtotal label]],1,FALSE)))</f>
        <v/>
      </c>
      <c r="AF396" s="1063" t="e">
        <f>IF((TB_curr[[#This Row],[Synt]]-TB_curr[[#This Row],[Subtotal Y/N]])=0,0,VLOOKUP(TB_curr[[#This Row],[Synt]],GL[[Account]:[Line]],3,FALSE))</f>
        <v>#VALUE!</v>
      </c>
      <c r="AG396" s="1063" t="e">
        <f>VLOOKUP(TB_curr[[#This Row],[Synt]],GL[[Account]:[B/P]],4,FALSE)</f>
        <v>#N/A</v>
      </c>
      <c r="AH396" s="1066" t="e">
        <v>#VALUE!</v>
      </c>
      <c r="AI396" s="1065" t="e">
        <f>TB_curr[[#This Row],[Synt]]&amp;TB_curr[[#This Row],[Line No. manual corr.]]</f>
        <v>#VALUE!</v>
      </c>
      <c r="AJ396" s="1064">
        <f t="shared" si="31"/>
        <v>0</v>
      </c>
      <c r="AK396" s="1064">
        <f t="shared" si="32"/>
        <v>0</v>
      </c>
      <c r="AL396" s="1064">
        <f t="shared" si="33"/>
        <v>0</v>
      </c>
      <c r="AM396" s="1064">
        <f t="shared" si="34"/>
        <v>0</v>
      </c>
      <c r="AN396" s="1064"/>
      <c r="AO396" s="1064">
        <f>TB_curr[[#This Row],[Closing balance]]+TB_curr[[#This Row],[Rounding]]</f>
        <v>0</v>
      </c>
    </row>
    <row r="397" spans="30:41" x14ac:dyDescent="0.25">
      <c r="AD397" s="1067" t="str">
        <f t="shared" si="30"/>
        <v/>
      </c>
      <c r="AE397" s="1063" t="str">
        <f>IF(ISNA(VLOOKUP(TB_curr[[#This Row],[Synt]],GL[[#Headers],[#Data],[subtotal label]],1,FALSE)),0,(VLOOKUP(TB_curr[[#This Row],[Synt]],GL[[#Headers],[#Data],[subtotal label]],1,FALSE)))</f>
        <v/>
      </c>
      <c r="AF397" s="1063" t="e">
        <f>IF((TB_curr[[#This Row],[Synt]]-TB_curr[[#This Row],[Subtotal Y/N]])=0,0,VLOOKUP(TB_curr[[#This Row],[Synt]],GL[[Account]:[Line]],3,FALSE))</f>
        <v>#VALUE!</v>
      </c>
      <c r="AG397" s="1063" t="e">
        <f>VLOOKUP(TB_curr[[#This Row],[Synt]],GL[[Account]:[B/P]],4,FALSE)</f>
        <v>#N/A</v>
      </c>
      <c r="AH397" s="1066" t="e">
        <v>#VALUE!</v>
      </c>
      <c r="AI397" s="1065" t="e">
        <f>TB_curr[[#This Row],[Synt]]&amp;TB_curr[[#This Row],[Line No. manual corr.]]</f>
        <v>#VALUE!</v>
      </c>
      <c r="AJ397" s="1064">
        <f t="shared" si="31"/>
        <v>0</v>
      </c>
      <c r="AK397" s="1064">
        <f t="shared" si="32"/>
        <v>0</v>
      </c>
      <c r="AL397" s="1064">
        <f t="shared" si="33"/>
        <v>0</v>
      </c>
      <c r="AM397" s="1064">
        <f t="shared" si="34"/>
        <v>0</v>
      </c>
      <c r="AN397" s="1064"/>
      <c r="AO397" s="1064">
        <f>TB_curr[[#This Row],[Closing balance]]+TB_curr[[#This Row],[Rounding]]</f>
        <v>0</v>
      </c>
    </row>
    <row r="398" spans="30:41" x14ac:dyDescent="0.25">
      <c r="AD398" s="1067" t="str">
        <f t="shared" si="30"/>
        <v/>
      </c>
      <c r="AE398" s="1063" t="str">
        <f>IF(ISNA(VLOOKUP(TB_curr[[#This Row],[Synt]],GL[[#Headers],[#Data],[subtotal label]],1,FALSE)),0,(VLOOKUP(TB_curr[[#This Row],[Synt]],GL[[#Headers],[#Data],[subtotal label]],1,FALSE)))</f>
        <v/>
      </c>
      <c r="AF398" s="1063" t="e">
        <f>IF((TB_curr[[#This Row],[Synt]]-TB_curr[[#This Row],[Subtotal Y/N]])=0,0,VLOOKUP(TB_curr[[#This Row],[Synt]],GL[[Account]:[Line]],3,FALSE))</f>
        <v>#VALUE!</v>
      </c>
      <c r="AG398" s="1063" t="e">
        <f>VLOOKUP(TB_curr[[#This Row],[Synt]],GL[[Account]:[B/P]],4,FALSE)</f>
        <v>#N/A</v>
      </c>
      <c r="AH398" s="1066" t="e">
        <v>#VALUE!</v>
      </c>
      <c r="AI398" s="1065" t="e">
        <f>TB_curr[[#This Row],[Synt]]&amp;TB_curr[[#This Row],[Line No. manual corr.]]</f>
        <v>#VALUE!</v>
      </c>
      <c r="AJ398" s="1064">
        <f t="shared" si="31"/>
        <v>0</v>
      </c>
      <c r="AK398" s="1064">
        <f t="shared" si="32"/>
        <v>0</v>
      </c>
      <c r="AL398" s="1064">
        <f t="shared" si="33"/>
        <v>0</v>
      </c>
      <c r="AM398" s="1064">
        <f t="shared" si="34"/>
        <v>0</v>
      </c>
      <c r="AN398" s="1064"/>
      <c r="AO398" s="1064">
        <f>TB_curr[[#This Row],[Closing balance]]+TB_curr[[#This Row],[Rounding]]</f>
        <v>0</v>
      </c>
    </row>
    <row r="399" spans="30:41" x14ac:dyDescent="0.25">
      <c r="AD399" s="1067" t="str">
        <f t="shared" si="30"/>
        <v/>
      </c>
      <c r="AE399" s="1063" t="str">
        <f>IF(ISNA(VLOOKUP(TB_curr[[#This Row],[Synt]],GL[[#Headers],[#Data],[subtotal label]],1,FALSE)),0,(VLOOKUP(TB_curr[[#This Row],[Synt]],GL[[#Headers],[#Data],[subtotal label]],1,FALSE)))</f>
        <v/>
      </c>
      <c r="AF399" s="1063" t="e">
        <f>IF((TB_curr[[#This Row],[Synt]]-TB_curr[[#This Row],[Subtotal Y/N]])=0,0,VLOOKUP(TB_curr[[#This Row],[Synt]],GL[[Account]:[Line]],3,FALSE))</f>
        <v>#VALUE!</v>
      </c>
      <c r="AG399" s="1063" t="e">
        <f>VLOOKUP(TB_curr[[#This Row],[Synt]],GL[[Account]:[B/P]],4,FALSE)</f>
        <v>#N/A</v>
      </c>
      <c r="AH399" s="1066" t="e">
        <v>#VALUE!</v>
      </c>
      <c r="AI399" s="1065" t="e">
        <f>TB_curr[[#This Row],[Synt]]&amp;TB_curr[[#This Row],[Line No. manual corr.]]</f>
        <v>#VALUE!</v>
      </c>
      <c r="AJ399" s="1064">
        <f t="shared" si="31"/>
        <v>0</v>
      </c>
      <c r="AK399" s="1064">
        <f t="shared" si="32"/>
        <v>0</v>
      </c>
      <c r="AL399" s="1064">
        <f t="shared" si="33"/>
        <v>0</v>
      </c>
      <c r="AM399" s="1064">
        <f t="shared" si="34"/>
        <v>0</v>
      </c>
      <c r="AN399" s="1064"/>
      <c r="AO399" s="1064">
        <f>TB_curr[[#This Row],[Closing balance]]+TB_curr[[#This Row],[Rounding]]</f>
        <v>0</v>
      </c>
    </row>
    <row r="400" spans="30:41" x14ac:dyDescent="0.25">
      <c r="AD400" s="1067" t="str">
        <f t="shared" si="30"/>
        <v/>
      </c>
      <c r="AE400" s="1063" t="str">
        <f>IF(ISNA(VLOOKUP(TB_curr[[#This Row],[Synt]],GL[[#Headers],[#Data],[subtotal label]],1,FALSE)),0,(VLOOKUP(TB_curr[[#This Row],[Synt]],GL[[#Headers],[#Data],[subtotal label]],1,FALSE)))</f>
        <v/>
      </c>
      <c r="AF400" s="1063" t="e">
        <f>IF((TB_curr[[#This Row],[Synt]]-TB_curr[[#This Row],[Subtotal Y/N]])=0,0,VLOOKUP(TB_curr[[#This Row],[Synt]],GL[[Account]:[Line]],3,FALSE))</f>
        <v>#VALUE!</v>
      </c>
      <c r="AG400" s="1063" t="e">
        <f>VLOOKUP(TB_curr[[#This Row],[Synt]],GL[[Account]:[B/P]],4,FALSE)</f>
        <v>#N/A</v>
      </c>
      <c r="AH400" s="1066" t="e">
        <v>#VALUE!</v>
      </c>
      <c r="AI400" s="1065" t="e">
        <f>TB_curr[[#This Row],[Synt]]&amp;TB_curr[[#This Row],[Line No. manual corr.]]</f>
        <v>#VALUE!</v>
      </c>
      <c r="AJ400" s="1064">
        <f t="shared" si="31"/>
        <v>0</v>
      </c>
      <c r="AK400" s="1064">
        <f t="shared" si="32"/>
        <v>0</v>
      </c>
      <c r="AL400" s="1064">
        <f t="shared" si="33"/>
        <v>0</v>
      </c>
      <c r="AM400" s="1064">
        <f t="shared" si="34"/>
        <v>0</v>
      </c>
      <c r="AN400" s="1064"/>
      <c r="AO400" s="1064">
        <f>TB_curr[[#This Row],[Closing balance]]+TB_curr[[#This Row],[Rounding]]</f>
        <v>0</v>
      </c>
    </row>
    <row r="401" spans="30:41" x14ac:dyDescent="0.25">
      <c r="AD401" s="1067" t="str">
        <f t="shared" si="30"/>
        <v/>
      </c>
      <c r="AE401" s="1063" t="str">
        <f>IF(ISNA(VLOOKUP(TB_curr[[#This Row],[Synt]],GL[[#Headers],[#Data],[subtotal label]],1,FALSE)),0,(VLOOKUP(TB_curr[[#This Row],[Synt]],GL[[#Headers],[#Data],[subtotal label]],1,FALSE)))</f>
        <v/>
      </c>
      <c r="AF401" s="1063" t="e">
        <f>IF((TB_curr[[#This Row],[Synt]]-TB_curr[[#This Row],[Subtotal Y/N]])=0,0,VLOOKUP(TB_curr[[#This Row],[Synt]],GL[[Account]:[Line]],3,FALSE))</f>
        <v>#VALUE!</v>
      </c>
      <c r="AG401" s="1063" t="e">
        <f>VLOOKUP(TB_curr[[#This Row],[Synt]],GL[[Account]:[B/P]],4,FALSE)</f>
        <v>#N/A</v>
      </c>
      <c r="AH401" s="1066" t="e">
        <v>#VALUE!</v>
      </c>
      <c r="AI401" s="1065" t="e">
        <f>TB_curr[[#This Row],[Synt]]&amp;TB_curr[[#This Row],[Line No. manual corr.]]</f>
        <v>#VALUE!</v>
      </c>
      <c r="AJ401" s="1064">
        <f t="shared" si="31"/>
        <v>0</v>
      </c>
      <c r="AK401" s="1064">
        <f t="shared" si="32"/>
        <v>0</v>
      </c>
      <c r="AL401" s="1064">
        <f t="shared" si="33"/>
        <v>0</v>
      </c>
      <c r="AM401" s="1064">
        <f t="shared" si="34"/>
        <v>0</v>
      </c>
      <c r="AN401" s="1064"/>
      <c r="AO401" s="1064">
        <f>TB_curr[[#This Row],[Closing balance]]+TB_curr[[#This Row],[Rounding]]</f>
        <v>0</v>
      </c>
    </row>
    <row r="402" spans="30:41" x14ac:dyDescent="0.25">
      <c r="AD402" s="1067" t="str">
        <f t="shared" si="30"/>
        <v/>
      </c>
      <c r="AE402" s="1063" t="str">
        <f>IF(ISNA(VLOOKUP(TB_curr[[#This Row],[Synt]],GL[[#Headers],[#Data],[subtotal label]],1,FALSE)),0,(VLOOKUP(TB_curr[[#This Row],[Synt]],GL[[#Headers],[#Data],[subtotal label]],1,FALSE)))</f>
        <v/>
      </c>
      <c r="AF402" s="1063" t="e">
        <f>IF((TB_curr[[#This Row],[Synt]]-TB_curr[[#This Row],[Subtotal Y/N]])=0,0,VLOOKUP(TB_curr[[#This Row],[Synt]],GL[[Account]:[Line]],3,FALSE))</f>
        <v>#VALUE!</v>
      </c>
      <c r="AG402" s="1063" t="e">
        <f>VLOOKUP(TB_curr[[#This Row],[Synt]],GL[[Account]:[B/P]],4,FALSE)</f>
        <v>#N/A</v>
      </c>
      <c r="AH402" s="1066" t="e">
        <v>#VALUE!</v>
      </c>
      <c r="AI402" s="1065" t="e">
        <f>TB_curr[[#This Row],[Synt]]&amp;TB_curr[[#This Row],[Line No. manual corr.]]</f>
        <v>#VALUE!</v>
      </c>
      <c r="AJ402" s="1064">
        <f t="shared" si="31"/>
        <v>0</v>
      </c>
      <c r="AK402" s="1064">
        <f t="shared" si="32"/>
        <v>0</v>
      </c>
      <c r="AL402" s="1064">
        <f t="shared" si="33"/>
        <v>0</v>
      </c>
      <c r="AM402" s="1064">
        <f t="shared" si="34"/>
        <v>0</v>
      </c>
      <c r="AN402" s="1064"/>
      <c r="AO402" s="1064">
        <f>TB_curr[[#This Row],[Closing balance]]+TB_curr[[#This Row],[Rounding]]</f>
        <v>0</v>
      </c>
    </row>
    <row r="403" spans="30:41" x14ac:dyDescent="0.25">
      <c r="AD403" s="1067" t="str">
        <f t="shared" si="30"/>
        <v/>
      </c>
      <c r="AE403" s="1063" t="str">
        <f>IF(ISNA(VLOOKUP(TB_curr[[#This Row],[Synt]],GL[[#Headers],[#Data],[subtotal label]],1,FALSE)),0,(VLOOKUP(TB_curr[[#This Row],[Synt]],GL[[#Headers],[#Data],[subtotal label]],1,FALSE)))</f>
        <v/>
      </c>
      <c r="AF403" s="1063" t="e">
        <f>IF((TB_curr[[#This Row],[Synt]]-TB_curr[[#This Row],[Subtotal Y/N]])=0,0,VLOOKUP(TB_curr[[#This Row],[Synt]],GL[[Account]:[Line]],3,FALSE))</f>
        <v>#VALUE!</v>
      </c>
      <c r="AG403" s="1063" t="e">
        <f>VLOOKUP(TB_curr[[#This Row],[Synt]],GL[[Account]:[B/P]],4,FALSE)</f>
        <v>#N/A</v>
      </c>
      <c r="AH403" s="1066" t="e">
        <v>#VALUE!</v>
      </c>
      <c r="AI403" s="1065" t="e">
        <f>TB_curr[[#This Row],[Synt]]&amp;TB_curr[[#This Row],[Line No. manual corr.]]</f>
        <v>#VALUE!</v>
      </c>
      <c r="AJ403" s="1064">
        <f t="shared" si="31"/>
        <v>0</v>
      </c>
      <c r="AK403" s="1064">
        <f t="shared" si="32"/>
        <v>0</v>
      </c>
      <c r="AL403" s="1064">
        <f t="shared" si="33"/>
        <v>0</v>
      </c>
      <c r="AM403" s="1064">
        <f t="shared" si="34"/>
        <v>0</v>
      </c>
      <c r="AN403" s="1064"/>
      <c r="AO403" s="1064">
        <f>TB_curr[[#This Row],[Closing balance]]+TB_curr[[#This Row],[Rounding]]</f>
        <v>0</v>
      </c>
    </row>
    <row r="404" spans="30:41" x14ac:dyDescent="0.25">
      <c r="AD404" s="1067" t="str">
        <f t="shared" si="30"/>
        <v/>
      </c>
      <c r="AE404" s="1063" t="str">
        <f>IF(ISNA(VLOOKUP(TB_curr[[#This Row],[Synt]],GL[[#Headers],[#Data],[subtotal label]],1,FALSE)),0,(VLOOKUP(TB_curr[[#This Row],[Synt]],GL[[#Headers],[#Data],[subtotal label]],1,FALSE)))</f>
        <v/>
      </c>
      <c r="AF404" s="1063" t="e">
        <f>IF((TB_curr[[#This Row],[Synt]]-TB_curr[[#This Row],[Subtotal Y/N]])=0,0,VLOOKUP(TB_curr[[#This Row],[Synt]],GL[[Account]:[Line]],3,FALSE))</f>
        <v>#VALUE!</v>
      </c>
      <c r="AG404" s="1063" t="e">
        <f>VLOOKUP(TB_curr[[#This Row],[Synt]],GL[[Account]:[B/P]],4,FALSE)</f>
        <v>#N/A</v>
      </c>
      <c r="AH404" s="1066" t="e">
        <v>#VALUE!</v>
      </c>
      <c r="AI404" s="1065" t="e">
        <f>TB_curr[[#This Row],[Synt]]&amp;TB_curr[[#This Row],[Line No. manual corr.]]</f>
        <v>#VALUE!</v>
      </c>
      <c r="AJ404" s="1064">
        <f t="shared" si="31"/>
        <v>0</v>
      </c>
      <c r="AK404" s="1064">
        <f t="shared" si="32"/>
        <v>0</v>
      </c>
      <c r="AL404" s="1064">
        <f t="shared" si="33"/>
        <v>0</v>
      </c>
      <c r="AM404" s="1064">
        <f t="shared" si="34"/>
        <v>0</v>
      </c>
      <c r="AN404" s="1064"/>
      <c r="AO404" s="1064">
        <f>TB_curr[[#This Row],[Closing balance]]+TB_curr[[#This Row],[Rounding]]</f>
        <v>0</v>
      </c>
    </row>
    <row r="405" spans="30:41" x14ac:dyDescent="0.25">
      <c r="AD405" s="1067" t="str">
        <f t="shared" si="30"/>
        <v/>
      </c>
      <c r="AE405" s="1063" t="str">
        <f>IF(ISNA(VLOOKUP(TB_curr[[#This Row],[Synt]],GL[[#Headers],[#Data],[subtotal label]],1,FALSE)),0,(VLOOKUP(TB_curr[[#This Row],[Synt]],GL[[#Headers],[#Data],[subtotal label]],1,FALSE)))</f>
        <v/>
      </c>
      <c r="AF405" s="1063" t="e">
        <f>IF((TB_curr[[#This Row],[Synt]]-TB_curr[[#This Row],[Subtotal Y/N]])=0,0,VLOOKUP(TB_curr[[#This Row],[Synt]],GL[[Account]:[Line]],3,FALSE))</f>
        <v>#VALUE!</v>
      </c>
      <c r="AG405" s="1063" t="e">
        <f>VLOOKUP(TB_curr[[#This Row],[Synt]],GL[[Account]:[B/P]],4,FALSE)</f>
        <v>#N/A</v>
      </c>
      <c r="AH405" s="1066" t="e">
        <v>#VALUE!</v>
      </c>
      <c r="AI405" s="1065" t="e">
        <f>TB_curr[[#This Row],[Synt]]&amp;TB_curr[[#This Row],[Line No. manual corr.]]</f>
        <v>#VALUE!</v>
      </c>
      <c r="AJ405" s="1064">
        <f t="shared" si="31"/>
        <v>0</v>
      </c>
      <c r="AK405" s="1064">
        <f t="shared" si="32"/>
        <v>0</v>
      </c>
      <c r="AL405" s="1064">
        <f t="shared" si="33"/>
        <v>0</v>
      </c>
      <c r="AM405" s="1064">
        <f t="shared" si="34"/>
        <v>0</v>
      </c>
      <c r="AN405" s="1064"/>
      <c r="AO405" s="1064">
        <f>TB_curr[[#This Row],[Closing balance]]+TB_curr[[#This Row],[Rounding]]</f>
        <v>0</v>
      </c>
    </row>
    <row r="406" spans="30:41" x14ac:dyDescent="0.25">
      <c r="AD406" s="1067" t="str">
        <f t="shared" si="30"/>
        <v/>
      </c>
      <c r="AE406" s="1063" t="str">
        <f>IF(ISNA(VLOOKUP(TB_curr[[#This Row],[Synt]],GL[[#Headers],[#Data],[subtotal label]],1,FALSE)),0,(VLOOKUP(TB_curr[[#This Row],[Synt]],GL[[#Headers],[#Data],[subtotal label]],1,FALSE)))</f>
        <v/>
      </c>
      <c r="AF406" s="1063" t="e">
        <f>IF((TB_curr[[#This Row],[Synt]]-TB_curr[[#This Row],[Subtotal Y/N]])=0,0,VLOOKUP(TB_curr[[#This Row],[Synt]],GL[[Account]:[Line]],3,FALSE))</f>
        <v>#VALUE!</v>
      </c>
      <c r="AG406" s="1063" t="e">
        <f>VLOOKUP(TB_curr[[#This Row],[Synt]],GL[[Account]:[B/P]],4,FALSE)</f>
        <v>#N/A</v>
      </c>
      <c r="AH406" s="1066" t="e">
        <v>#VALUE!</v>
      </c>
      <c r="AI406" s="1065" t="e">
        <f>TB_curr[[#This Row],[Synt]]&amp;TB_curr[[#This Row],[Line No. manual corr.]]</f>
        <v>#VALUE!</v>
      </c>
      <c r="AJ406" s="1064">
        <f t="shared" si="31"/>
        <v>0</v>
      </c>
      <c r="AK406" s="1064">
        <f t="shared" si="32"/>
        <v>0</v>
      </c>
      <c r="AL406" s="1064">
        <f t="shared" si="33"/>
        <v>0</v>
      </c>
      <c r="AM406" s="1064">
        <f t="shared" si="34"/>
        <v>0</v>
      </c>
      <c r="AN406" s="1064"/>
      <c r="AO406" s="1064">
        <f>TB_curr[[#This Row],[Closing balance]]+TB_curr[[#This Row],[Rounding]]</f>
        <v>0</v>
      </c>
    </row>
    <row r="407" spans="30:41" x14ac:dyDescent="0.25">
      <c r="AD407" s="1067" t="str">
        <f t="shared" si="30"/>
        <v/>
      </c>
      <c r="AE407" s="1063" t="str">
        <f>IF(ISNA(VLOOKUP(TB_curr[[#This Row],[Synt]],GL[[#Headers],[#Data],[subtotal label]],1,FALSE)),0,(VLOOKUP(TB_curr[[#This Row],[Synt]],GL[[#Headers],[#Data],[subtotal label]],1,FALSE)))</f>
        <v/>
      </c>
      <c r="AF407" s="1063" t="e">
        <f>IF((TB_curr[[#This Row],[Synt]]-TB_curr[[#This Row],[Subtotal Y/N]])=0,0,VLOOKUP(TB_curr[[#This Row],[Synt]],GL[[Account]:[Line]],3,FALSE))</f>
        <v>#VALUE!</v>
      </c>
      <c r="AG407" s="1063" t="e">
        <f>VLOOKUP(TB_curr[[#This Row],[Synt]],GL[[Account]:[B/P]],4,FALSE)</f>
        <v>#N/A</v>
      </c>
      <c r="AH407" s="1066" t="e">
        <v>#VALUE!</v>
      </c>
      <c r="AI407" s="1065" t="e">
        <f>TB_curr[[#This Row],[Synt]]&amp;TB_curr[[#This Row],[Line No. manual corr.]]</f>
        <v>#VALUE!</v>
      </c>
      <c r="AJ407" s="1064">
        <f t="shared" si="31"/>
        <v>0</v>
      </c>
      <c r="AK407" s="1064">
        <f t="shared" si="32"/>
        <v>0</v>
      </c>
      <c r="AL407" s="1064">
        <f t="shared" si="33"/>
        <v>0</v>
      </c>
      <c r="AM407" s="1064">
        <f t="shared" si="34"/>
        <v>0</v>
      </c>
      <c r="AN407" s="1064"/>
      <c r="AO407" s="1064">
        <f>TB_curr[[#This Row],[Closing balance]]+TB_curr[[#This Row],[Rounding]]</f>
        <v>0</v>
      </c>
    </row>
    <row r="408" spans="30:41" x14ac:dyDescent="0.25">
      <c r="AD408" s="1067" t="str">
        <f t="shared" si="30"/>
        <v/>
      </c>
      <c r="AE408" s="1063" t="str">
        <f>IF(ISNA(VLOOKUP(TB_curr[[#This Row],[Synt]],GL[[#Headers],[#Data],[subtotal label]],1,FALSE)),0,(VLOOKUP(TB_curr[[#This Row],[Synt]],GL[[#Headers],[#Data],[subtotal label]],1,FALSE)))</f>
        <v/>
      </c>
      <c r="AF408" s="1063" t="e">
        <f>IF((TB_curr[[#This Row],[Synt]]-TB_curr[[#This Row],[Subtotal Y/N]])=0,0,VLOOKUP(TB_curr[[#This Row],[Synt]],GL[[Account]:[Line]],3,FALSE))</f>
        <v>#VALUE!</v>
      </c>
      <c r="AG408" s="1063" t="e">
        <f>VLOOKUP(TB_curr[[#This Row],[Synt]],GL[[Account]:[B/P]],4,FALSE)</f>
        <v>#N/A</v>
      </c>
      <c r="AH408" s="1066" t="e">
        <v>#VALUE!</v>
      </c>
      <c r="AI408" s="1065" t="e">
        <f>TB_curr[[#This Row],[Synt]]&amp;TB_curr[[#This Row],[Line No. manual corr.]]</f>
        <v>#VALUE!</v>
      </c>
      <c r="AJ408" s="1064">
        <f t="shared" si="31"/>
        <v>0</v>
      </c>
      <c r="AK408" s="1064">
        <f t="shared" si="32"/>
        <v>0</v>
      </c>
      <c r="AL408" s="1064">
        <f t="shared" si="33"/>
        <v>0</v>
      </c>
      <c r="AM408" s="1064">
        <f t="shared" si="34"/>
        <v>0</v>
      </c>
      <c r="AN408" s="1064"/>
      <c r="AO408" s="1064">
        <f>TB_curr[[#This Row],[Closing balance]]+TB_curr[[#This Row],[Rounding]]</f>
        <v>0</v>
      </c>
    </row>
    <row r="409" spans="30:41" x14ac:dyDescent="0.25">
      <c r="AD409" s="1067" t="str">
        <f t="shared" si="30"/>
        <v/>
      </c>
      <c r="AE409" s="1063" t="str">
        <f>IF(ISNA(VLOOKUP(TB_curr[[#This Row],[Synt]],GL[[#Headers],[#Data],[subtotal label]],1,FALSE)),0,(VLOOKUP(TB_curr[[#This Row],[Synt]],GL[[#Headers],[#Data],[subtotal label]],1,FALSE)))</f>
        <v/>
      </c>
      <c r="AF409" s="1063" t="e">
        <f>IF((TB_curr[[#This Row],[Synt]]-TB_curr[[#This Row],[Subtotal Y/N]])=0,0,VLOOKUP(TB_curr[[#This Row],[Synt]],GL[[Account]:[Line]],3,FALSE))</f>
        <v>#VALUE!</v>
      </c>
      <c r="AG409" s="1063" t="e">
        <f>VLOOKUP(TB_curr[[#This Row],[Synt]],GL[[Account]:[B/P]],4,FALSE)</f>
        <v>#N/A</v>
      </c>
      <c r="AH409" s="1066" t="e">
        <v>#VALUE!</v>
      </c>
      <c r="AI409" s="1065" t="e">
        <f>TB_curr[[#This Row],[Synt]]&amp;TB_curr[[#This Row],[Line No. manual corr.]]</f>
        <v>#VALUE!</v>
      </c>
      <c r="AJ409" s="1064">
        <f t="shared" si="31"/>
        <v>0</v>
      </c>
      <c r="AK409" s="1064">
        <f t="shared" si="32"/>
        <v>0</v>
      </c>
      <c r="AL409" s="1064">
        <f t="shared" si="33"/>
        <v>0</v>
      </c>
      <c r="AM409" s="1064">
        <f t="shared" si="34"/>
        <v>0</v>
      </c>
      <c r="AN409" s="1064"/>
      <c r="AO409" s="1064">
        <f>TB_curr[[#This Row],[Closing balance]]+TB_curr[[#This Row],[Rounding]]</f>
        <v>0</v>
      </c>
    </row>
    <row r="410" spans="30:41" x14ac:dyDescent="0.25">
      <c r="AD410" s="1067" t="str">
        <f t="shared" si="30"/>
        <v/>
      </c>
      <c r="AE410" s="1063" t="str">
        <f>IF(ISNA(VLOOKUP(TB_curr[[#This Row],[Synt]],GL[[#Headers],[#Data],[subtotal label]],1,FALSE)),0,(VLOOKUP(TB_curr[[#This Row],[Synt]],GL[[#Headers],[#Data],[subtotal label]],1,FALSE)))</f>
        <v/>
      </c>
      <c r="AF410" s="1063" t="e">
        <f>IF((TB_curr[[#This Row],[Synt]]-TB_curr[[#This Row],[Subtotal Y/N]])=0,0,VLOOKUP(TB_curr[[#This Row],[Synt]],GL[[Account]:[Line]],3,FALSE))</f>
        <v>#VALUE!</v>
      </c>
      <c r="AG410" s="1063" t="e">
        <f>VLOOKUP(TB_curr[[#This Row],[Synt]],GL[[Account]:[B/P]],4,FALSE)</f>
        <v>#N/A</v>
      </c>
      <c r="AH410" s="1066" t="e">
        <v>#VALUE!</v>
      </c>
      <c r="AI410" s="1065" t="e">
        <f>TB_curr[[#This Row],[Synt]]&amp;TB_curr[[#This Row],[Line No. manual corr.]]</f>
        <v>#VALUE!</v>
      </c>
      <c r="AJ410" s="1064">
        <f t="shared" si="31"/>
        <v>0</v>
      </c>
      <c r="AK410" s="1064">
        <f t="shared" si="32"/>
        <v>0</v>
      </c>
      <c r="AL410" s="1064">
        <f t="shared" si="33"/>
        <v>0</v>
      </c>
      <c r="AM410" s="1064">
        <f t="shared" si="34"/>
        <v>0</v>
      </c>
      <c r="AN410" s="1064"/>
      <c r="AO410" s="1064">
        <f>TB_curr[[#This Row],[Closing balance]]+TB_curr[[#This Row],[Rounding]]</f>
        <v>0</v>
      </c>
    </row>
    <row r="411" spans="30:41" x14ac:dyDescent="0.25">
      <c r="AD411" s="1067" t="str">
        <f t="shared" si="30"/>
        <v/>
      </c>
      <c r="AE411" s="1063" t="str">
        <f>IF(ISNA(VLOOKUP(TB_curr[[#This Row],[Synt]],GL[[#Headers],[#Data],[subtotal label]],1,FALSE)),0,(VLOOKUP(TB_curr[[#This Row],[Synt]],GL[[#Headers],[#Data],[subtotal label]],1,FALSE)))</f>
        <v/>
      </c>
      <c r="AF411" s="1063" t="e">
        <f>IF((TB_curr[[#This Row],[Synt]]-TB_curr[[#This Row],[Subtotal Y/N]])=0,0,VLOOKUP(TB_curr[[#This Row],[Synt]],GL[[Account]:[Line]],3,FALSE))</f>
        <v>#VALUE!</v>
      </c>
      <c r="AG411" s="1063" t="e">
        <f>VLOOKUP(TB_curr[[#This Row],[Synt]],GL[[Account]:[B/P]],4,FALSE)</f>
        <v>#N/A</v>
      </c>
      <c r="AH411" s="1066" t="e">
        <v>#VALUE!</v>
      </c>
      <c r="AI411" s="1065" t="e">
        <f>TB_curr[[#This Row],[Synt]]&amp;TB_curr[[#This Row],[Line No. manual corr.]]</f>
        <v>#VALUE!</v>
      </c>
      <c r="AJ411" s="1064">
        <f t="shared" si="31"/>
        <v>0</v>
      </c>
      <c r="AK411" s="1064">
        <f t="shared" si="32"/>
        <v>0</v>
      </c>
      <c r="AL411" s="1064">
        <f t="shared" si="33"/>
        <v>0</v>
      </c>
      <c r="AM411" s="1064">
        <f t="shared" si="34"/>
        <v>0</v>
      </c>
      <c r="AN411" s="1064"/>
      <c r="AO411" s="1064">
        <f>TB_curr[[#This Row],[Closing balance]]+TB_curr[[#This Row],[Rounding]]</f>
        <v>0</v>
      </c>
    </row>
    <row r="412" spans="30:41" x14ac:dyDescent="0.25">
      <c r="AD412" s="1067" t="str">
        <f t="shared" si="30"/>
        <v/>
      </c>
      <c r="AE412" s="1063" t="str">
        <f>IF(ISNA(VLOOKUP(TB_curr[[#This Row],[Synt]],GL[[#Headers],[#Data],[subtotal label]],1,FALSE)),0,(VLOOKUP(TB_curr[[#This Row],[Synt]],GL[[#Headers],[#Data],[subtotal label]],1,FALSE)))</f>
        <v/>
      </c>
      <c r="AF412" s="1063" t="e">
        <f>IF((TB_curr[[#This Row],[Synt]]-TB_curr[[#This Row],[Subtotal Y/N]])=0,0,VLOOKUP(TB_curr[[#This Row],[Synt]],GL[[Account]:[Line]],3,FALSE))</f>
        <v>#VALUE!</v>
      </c>
      <c r="AG412" s="1063" t="e">
        <f>VLOOKUP(TB_curr[[#This Row],[Synt]],GL[[Account]:[B/P]],4,FALSE)</f>
        <v>#N/A</v>
      </c>
      <c r="AH412" s="1066" t="e">
        <v>#VALUE!</v>
      </c>
      <c r="AI412" s="1065" t="e">
        <f>TB_curr[[#This Row],[Synt]]&amp;TB_curr[[#This Row],[Line No. manual corr.]]</f>
        <v>#VALUE!</v>
      </c>
      <c r="AJ412" s="1064">
        <f t="shared" si="31"/>
        <v>0</v>
      </c>
      <c r="AK412" s="1064">
        <f t="shared" si="32"/>
        <v>0</v>
      </c>
      <c r="AL412" s="1064">
        <f t="shared" si="33"/>
        <v>0</v>
      </c>
      <c r="AM412" s="1064">
        <f t="shared" si="34"/>
        <v>0</v>
      </c>
      <c r="AN412" s="1064"/>
      <c r="AO412" s="1064">
        <f>TB_curr[[#This Row],[Closing balance]]+TB_curr[[#This Row],[Rounding]]</f>
        <v>0</v>
      </c>
    </row>
    <row r="413" spans="30:41" x14ac:dyDescent="0.25">
      <c r="AD413" s="1067" t="str">
        <f t="shared" si="30"/>
        <v/>
      </c>
      <c r="AE413" s="1063" t="str">
        <f>IF(ISNA(VLOOKUP(TB_curr[[#This Row],[Synt]],GL[[#Headers],[#Data],[subtotal label]],1,FALSE)),0,(VLOOKUP(TB_curr[[#This Row],[Synt]],GL[[#Headers],[#Data],[subtotal label]],1,FALSE)))</f>
        <v/>
      </c>
      <c r="AF413" s="1063" t="e">
        <f>IF((TB_curr[[#This Row],[Synt]]-TB_curr[[#This Row],[Subtotal Y/N]])=0,0,VLOOKUP(TB_curr[[#This Row],[Synt]],GL[[Account]:[Line]],3,FALSE))</f>
        <v>#VALUE!</v>
      </c>
      <c r="AG413" s="1063" t="e">
        <f>VLOOKUP(TB_curr[[#This Row],[Synt]],GL[[Account]:[B/P]],4,FALSE)</f>
        <v>#N/A</v>
      </c>
      <c r="AH413" s="1066" t="e">
        <v>#VALUE!</v>
      </c>
      <c r="AI413" s="1065" t="e">
        <f>TB_curr[[#This Row],[Synt]]&amp;TB_curr[[#This Row],[Line No. manual corr.]]</f>
        <v>#VALUE!</v>
      </c>
      <c r="AJ413" s="1064">
        <f t="shared" si="31"/>
        <v>0</v>
      </c>
      <c r="AK413" s="1064">
        <f t="shared" si="32"/>
        <v>0</v>
      </c>
      <c r="AL413" s="1064">
        <f t="shared" si="33"/>
        <v>0</v>
      </c>
      <c r="AM413" s="1064">
        <f t="shared" si="34"/>
        <v>0</v>
      </c>
      <c r="AN413" s="1064"/>
      <c r="AO413" s="1064">
        <f>TB_curr[[#This Row],[Closing balance]]+TB_curr[[#This Row],[Rounding]]</f>
        <v>0</v>
      </c>
    </row>
    <row r="414" spans="30:41" x14ac:dyDescent="0.25">
      <c r="AD414" s="1067" t="str">
        <f t="shared" si="30"/>
        <v/>
      </c>
      <c r="AE414" s="1063" t="str">
        <f>IF(ISNA(VLOOKUP(TB_curr[[#This Row],[Synt]],GL[[#Headers],[#Data],[subtotal label]],1,FALSE)),0,(VLOOKUP(TB_curr[[#This Row],[Synt]],GL[[#Headers],[#Data],[subtotal label]],1,FALSE)))</f>
        <v/>
      </c>
      <c r="AF414" s="1063" t="e">
        <f>IF((TB_curr[[#This Row],[Synt]]-TB_curr[[#This Row],[Subtotal Y/N]])=0,0,VLOOKUP(TB_curr[[#This Row],[Synt]],GL[[Account]:[Line]],3,FALSE))</f>
        <v>#VALUE!</v>
      </c>
      <c r="AG414" s="1063" t="e">
        <f>VLOOKUP(TB_curr[[#This Row],[Synt]],GL[[Account]:[B/P]],4,FALSE)</f>
        <v>#N/A</v>
      </c>
      <c r="AH414" s="1066" t="e">
        <v>#VALUE!</v>
      </c>
      <c r="AI414" s="1065" t="e">
        <f>TB_curr[[#This Row],[Synt]]&amp;TB_curr[[#This Row],[Line No. manual corr.]]</f>
        <v>#VALUE!</v>
      </c>
      <c r="AJ414" s="1064">
        <f t="shared" si="31"/>
        <v>0</v>
      </c>
      <c r="AK414" s="1064">
        <f t="shared" si="32"/>
        <v>0</v>
      </c>
      <c r="AL414" s="1064">
        <f t="shared" si="33"/>
        <v>0</v>
      </c>
      <c r="AM414" s="1064">
        <f t="shared" si="34"/>
        <v>0</v>
      </c>
      <c r="AN414" s="1064"/>
      <c r="AO414" s="1064">
        <f>TB_curr[[#This Row],[Closing balance]]+TB_curr[[#This Row],[Rounding]]</f>
        <v>0</v>
      </c>
    </row>
    <row r="415" spans="30:41" x14ac:dyDescent="0.25">
      <c r="AD415" s="1067" t="str">
        <f t="shared" si="30"/>
        <v/>
      </c>
      <c r="AE415" s="1063" t="str">
        <f>IF(ISNA(VLOOKUP(TB_curr[[#This Row],[Synt]],GL[[#Headers],[#Data],[subtotal label]],1,FALSE)),0,(VLOOKUP(TB_curr[[#This Row],[Synt]],GL[[#Headers],[#Data],[subtotal label]],1,FALSE)))</f>
        <v/>
      </c>
      <c r="AF415" s="1063" t="e">
        <f>IF((TB_curr[[#This Row],[Synt]]-TB_curr[[#This Row],[Subtotal Y/N]])=0,0,VLOOKUP(TB_curr[[#This Row],[Synt]],GL[[Account]:[Line]],3,FALSE))</f>
        <v>#VALUE!</v>
      </c>
      <c r="AG415" s="1063" t="e">
        <f>VLOOKUP(TB_curr[[#This Row],[Synt]],GL[[Account]:[B/P]],4,FALSE)</f>
        <v>#N/A</v>
      </c>
      <c r="AH415" s="1066" t="e">
        <v>#VALUE!</v>
      </c>
      <c r="AI415" s="1065" t="e">
        <f>TB_curr[[#This Row],[Synt]]&amp;TB_curr[[#This Row],[Line No. manual corr.]]</f>
        <v>#VALUE!</v>
      </c>
      <c r="AJ415" s="1064">
        <f t="shared" si="31"/>
        <v>0</v>
      </c>
      <c r="AK415" s="1064">
        <f t="shared" si="32"/>
        <v>0</v>
      </c>
      <c r="AL415" s="1064">
        <f t="shared" si="33"/>
        <v>0</v>
      </c>
      <c r="AM415" s="1064">
        <f t="shared" si="34"/>
        <v>0</v>
      </c>
      <c r="AN415" s="1064"/>
      <c r="AO415" s="1064">
        <f>TB_curr[[#This Row],[Closing balance]]+TB_curr[[#This Row],[Rounding]]</f>
        <v>0</v>
      </c>
    </row>
    <row r="416" spans="30:41" x14ac:dyDescent="0.25">
      <c r="AD416" s="1067" t="str">
        <f t="shared" si="30"/>
        <v/>
      </c>
      <c r="AE416" s="1063" t="str">
        <f>IF(ISNA(VLOOKUP(TB_curr[[#This Row],[Synt]],GL[[#Headers],[#Data],[subtotal label]],1,FALSE)),0,(VLOOKUP(TB_curr[[#This Row],[Synt]],GL[[#Headers],[#Data],[subtotal label]],1,FALSE)))</f>
        <v/>
      </c>
      <c r="AF416" s="1063" t="e">
        <f>IF((TB_curr[[#This Row],[Synt]]-TB_curr[[#This Row],[Subtotal Y/N]])=0,0,VLOOKUP(TB_curr[[#This Row],[Synt]],GL[[Account]:[Line]],3,FALSE))</f>
        <v>#VALUE!</v>
      </c>
      <c r="AG416" s="1063" t="e">
        <f>VLOOKUP(TB_curr[[#This Row],[Synt]],GL[[Account]:[B/P]],4,FALSE)</f>
        <v>#N/A</v>
      </c>
      <c r="AH416" s="1066" t="e">
        <v>#VALUE!</v>
      </c>
      <c r="AI416" s="1065" t="e">
        <f>TB_curr[[#This Row],[Synt]]&amp;TB_curr[[#This Row],[Line No. manual corr.]]</f>
        <v>#VALUE!</v>
      </c>
      <c r="AJ416" s="1064">
        <f t="shared" si="31"/>
        <v>0</v>
      </c>
      <c r="AK416" s="1064">
        <f t="shared" si="32"/>
        <v>0</v>
      </c>
      <c r="AL416" s="1064">
        <f t="shared" si="33"/>
        <v>0</v>
      </c>
      <c r="AM416" s="1064">
        <f t="shared" si="34"/>
        <v>0</v>
      </c>
      <c r="AN416" s="1064"/>
      <c r="AO416" s="1064">
        <f>TB_curr[[#This Row],[Closing balance]]+TB_curr[[#This Row],[Rounding]]</f>
        <v>0</v>
      </c>
    </row>
    <row r="417" spans="30:41" x14ac:dyDescent="0.25">
      <c r="AD417" s="1067" t="str">
        <f t="shared" si="30"/>
        <v/>
      </c>
      <c r="AE417" s="1063" t="str">
        <f>IF(ISNA(VLOOKUP(TB_curr[[#This Row],[Synt]],GL[[#Headers],[#Data],[subtotal label]],1,FALSE)),0,(VLOOKUP(TB_curr[[#This Row],[Synt]],GL[[#Headers],[#Data],[subtotal label]],1,FALSE)))</f>
        <v/>
      </c>
      <c r="AF417" s="1063" t="e">
        <f>IF((TB_curr[[#This Row],[Synt]]-TB_curr[[#This Row],[Subtotal Y/N]])=0,0,VLOOKUP(TB_curr[[#This Row],[Synt]],GL[[Account]:[Line]],3,FALSE))</f>
        <v>#VALUE!</v>
      </c>
      <c r="AG417" s="1063" t="e">
        <f>VLOOKUP(TB_curr[[#This Row],[Synt]],GL[[Account]:[B/P]],4,FALSE)</f>
        <v>#N/A</v>
      </c>
      <c r="AH417" s="1066" t="e">
        <v>#VALUE!</v>
      </c>
      <c r="AI417" s="1065" t="e">
        <f>TB_curr[[#This Row],[Synt]]&amp;TB_curr[[#This Row],[Line No. manual corr.]]</f>
        <v>#VALUE!</v>
      </c>
      <c r="AJ417" s="1064">
        <f t="shared" si="31"/>
        <v>0</v>
      </c>
      <c r="AK417" s="1064">
        <f t="shared" si="32"/>
        <v>0</v>
      </c>
      <c r="AL417" s="1064">
        <f t="shared" si="33"/>
        <v>0</v>
      </c>
      <c r="AM417" s="1064">
        <f t="shared" si="34"/>
        <v>0</v>
      </c>
      <c r="AN417" s="1064"/>
      <c r="AO417" s="1064">
        <f>TB_curr[[#This Row],[Closing balance]]+TB_curr[[#This Row],[Rounding]]</f>
        <v>0</v>
      </c>
    </row>
    <row r="418" spans="30:41" x14ac:dyDescent="0.25">
      <c r="AD418" s="1067" t="str">
        <f t="shared" si="30"/>
        <v/>
      </c>
      <c r="AE418" s="1063" t="str">
        <f>IF(ISNA(VLOOKUP(TB_curr[[#This Row],[Synt]],GL[[#Headers],[#Data],[subtotal label]],1,FALSE)),0,(VLOOKUP(TB_curr[[#This Row],[Synt]],GL[[#Headers],[#Data],[subtotal label]],1,FALSE)))</f>
        <v/>
      </c>
      <c r="AF418" s="1063" t="e">
        <f>IF((TB_curr[[#This Row],[Synt]]-TB_curr[[#This Row],[Subtotal Y/N]])=0,0,VLOOKUP(TB_curr[[#This Row],[Synt]],GL[[Account]:[Line]],3,FALSE))</f>
        <v>#VALUE!</v>
      </c>
      <c r="AG418" s="1063" t="e">
        <f>VLOOKUP(TB_curr[[#This Row],[Synt]],GL[[Account]:[B/P]],4,FALSE)</f>
        <v>#N/A</v>
      </c>
      <c r="AH418" s="1066" t="e">
        <v>#VALUE!</v>
      </c>
      <c r="AI418" s="1065" t="e">
        <f>TB_curr[[#This Row],[Synt]]&amp;TB_curr[[#This Row],[Line No. manual corr.]]</f>
        <v>#VALUE!</v>
      </c>
      <c r="AJ418" s="1064">
        <f t="shared" si="31"/>
        <v>0</v>
      </c>
      <c r="AK418" s="1064">
        <f t="shared" si="32"/>
        <v>0</v>
      </c>
      <c r="AL418" s="1064">
        <f t="shared" si="33"/>
        <v>0</v>
      </c>
      <c r="AM418" s="1064">
        <f t="shared" si="34"/>
        <v>0</v>
      </c>
      <c r="AN418" s="1064"/>
      <c r="AO418" s="1064">
        <f>TB_curr[[#This Row],[Closing balance]]+TB_curr[[#This Row],[Rounding]]</f>
        <v>0</v>
      </c>
    </row>
    <row r="419" spans="30:41" x14ac:dyDescent="0.25">
      <c r="AD419" s="1067" t="str">
        <f t="shared" si="30"/>
        <v/>
      </c>
      <c r="AE419" s="1063" t="str">
        <f>IF(ISNA(VLOOKUP(TB_curr[[#This Row],[Synt]],GL[[#Headers],[#Data],[subtotal label]],1,FALSE)),0,(VLOOKUP(TB_curr[[#This Row],[Synt]],GL[[#Headers],[#Data],[subtotal label]],1,FALSE)))</f>
        <v/>
      </c>
      <c r="AF419" s="1063" t="e">
        <f>IF((TB_curr[[#This Row],[Synt]]-TB_curr[[#This Row],[Subtotal Y/N]])=0,0,VLOOKUP(TB_curr[[#This Row],[Synt]],GL[[Account]:[Line]],3,FALSE))</f>
        <v>#VALUE!</v>
      </c>
      <c r="AG419" s="1063" t="e">
        <f>VLOOKUP(TB_curr[[#This Row],[Synt]],GL[[Account]:[B/P]],4,FALSE)</f>
        <v>#N/A</v>
      </c>
      <c r="AH419" s="1066" t="e">
        <v>#VALUE!</v>
      </c>
      <c r="AI419" s="1065" t="e">
        <f>TB_curr[[#This Row],[Synt]]&amp;TB_curr[[#This Row],[Line No. manual corr.]]</f>
        <v>#VALUE!</v>
      </c>
      <c r="AJ419" s="1064">
        <f t="shared" si="31"/>
        <v>0</v>
      </c>
      <c r="AK419" s="1064">
        <f t="shared" si="32"/>
        <v>0</v>
      </c>
      <c r="AL419" s="1064">
        <f t="shared" si="33"/>
        <v>0</v>
      </c>
      <c r="AM419" s="1064">
        <f t="shared" si="34"/>
        <v>0</v>
      </c>
      <c r="AN419" s="1064"/>
      <c r="AO419" s="1064">
        <f>TB_curr[[#This Row],[Closing balance]]+TB_curr[[#This Row],[Rounding]]</f>
        <v>0</v>
      </c>
    </row>
    <row r="420" spans="30:41" x14ac:dyDescent="0.25">
      <c r="AD420" s="1067" t="str">
        <f t="shared" si="30"/>
        <v/>
      </c>
      <c r="AE420" s="1063" t="str">
        <f>IF(ISNA(VLOOKUP(TB_curr[[#This Row],[Synt]],GL[[#Headers],[#Data],[subtotal label]],1,FALSE)),0,(VLOOKUP(TB_curr[[#This Row],[Synt]],GL[[#Headers],[#Data],[subtotal label]],1,FALSE)))</f>
        <v/>
      </c>
      <c r="AF420" s="1063" t="e">
        <f>IF((TB_curr[[#This Row],[Synt]]-TB_curr[[#This Row],[Subtotal Y/N]])=0,0,VLOOKUP(TB_curr[[#This Row],[Synt]],GL[[Account]:[Line]],3,FALSE))</f>
        <v>#VALUE!</v>
      </c>
      <c r="AG420" s="1063" t="e">
        <f>VLOOKUP(TB_curr[[#This Row],[Synt]],GL[[Account]:[B/P]],4,FALSE)</f>
        <v>#N/A</v>
      </c>
      <c r="AH420" s="1066" t="e">
        <v>#VALUE!</v>
      </c>
      <c r="AI420" s="1065" t="e">
        <f>TB_curr[[#This Row],[Synt]]&amp;TB_curr[[#This Row],[Line No. manual corr.]]</f>
        <v>#VALUE!</v>
      </c>
      <c r="AJ420" s="1064">
        <f t="shared" si="31"/>
        <v>0</v>
      </c>
      <c r="AK420" s="1064">
        <f t="shared" si="32"/>
        <v>0</v>
      </c>
      <c r="AL420" s="1064">
        <f t="shared" si="33"/>
        <v>0</v>
      </c>
      <c r="AM420" s="1064">
        <f t="shared" si="34"/>
        <v>0</v>
      </c>
      <c r="AN420" s="1064"/>
      <c r="AO420" s="1064">
        <f>TB_curr[[#This Row],[Closing balance]]+TB_curr[[#This Row],[Rounding]]</f>
        <v>0</v>
      </c>
    </row>
    <row r="421" spans="30:41" x14ac:dyDescent="0.25">
      <c r="AD421" s="1067" t="str">
        <f t="shared" si="30"/>
        <v/>
      </c>
      <c r="AE421" s="1063" t="str">
        <f>IF(ISNA(VLOOKUP(TB_curr[[#This Row],[Synt]],GL[[#Headers],[#Data],[subtotal label]],1,FALSE)),0,(VLOOKUP(TB_curr[[#This Row],[Synt]],GL[[#Headers],[#Data],[subtotal label]],1,FALSE)))</f>
        <v/>
      </c>
      <c r="AF421" s="1063" t="e">
        <f>IF((TB_curr[[#This Row],[Synt]]-TB_curr[[#This Row],[Subtotal Y/N]])=0,0,VLOOKUP(TB_curr[[#This Row],[Synt]],GL[[Account]:[Line]],3,FALSE))</f>
        <v>#VALUE!</v>
      </c>
      <c r="AG421" s="1063" t="e">
        <f>VLOOKUP(TB_curr[[#This Row],[Synt]],GL[[Account]:[B/P]],4,FALSE)</f>
        <v>#N/A</v>
      </c>
      <c r="AH421" s="1066" t="e">
        <v>#VALUE!</v>
      </c>
      <c r="AI421" s="1065" t="e">
        <f>TB_curr[[#This Row],[Synt]]&amp;TB_curr[[#This Row],[Line No. manual corr.]]</f>
        <v>#VALUE!</v>
      </c>
      <c r="AJ421" s="1064">
        <f t="shared" si="31"/>
        <v>0</v>
      </c>
      <c r="AK421" s="1064">
        <f t="shared" si="32"/>
        <v>0</v>
      </c>
      <c r="AL421" s="1064">
        <f t="shared" si="33"/>
        <v>0</v>
      </c>
      <c r="AM421" s="1064">
        <f t="shared" si="34"/>
        <v>0</v>
      </c>
      <c r="AN421" s="1064"/>
      <c r="AO421" s="1064">
        <f>TB_curr[[#This Row],[Closing balance]]+TB_curr[[#This Row],[Rounding]]</f>
        <v>0</v>
      </c>
    </row>
    <row r="422" spans="30:41" x14ac:dyDescent="0.25">
      <c r="AD422" s="1067" t="str">
        <f t="shared" si="30"/>
        <v/>
      </c>
      <c r="AE422" s="1063" t="str">
        <f>IF(ISNA(VLOOKUP(TB_curr[[#This Row],[Synt]],GL[[#Headers],[#Data],[subtotal label]],1,FALSE)),0,(VLOOKUP(TB_curr[[#This Row],[Synt]],GL[[#Headers],[#Data],[subtotal label]],1,FALSE)))</f>
        <v/>
      </c>
      <c r="AF422" s="1063" t="e">
        <f>IF((TB_curr[[#This Row],[Synt]]-TB_curr[[#This Row],[Subtotal Y/N]])=0,0,VLOOKUP(TB_curr[[#This Row],[Synt]],GL[[Account]:[Line]],3,FALSE))</f>
        <v>#VALUE!</v>
      </c>
      <c r="AG422" s="1063" t="e">
        <f>VLOOKUP(TB_curr[[#This Row],[Synt]],GL[[Account]:[B/P]],4,FALSE)</f>
        <v>#N/A</v>
      </c>
      <c r="AH422" s="1066" t="e">
        <v>#VALUE!</v>
      </c>
      <c r="AI422" s="1065" t="e">
        <f>TB_curr[[#This Row],[Synt]]&amp;TB_curr[[#This Row],[Line No. manual corr.]]</f>
        <v>#VALUE!</v>
      </c>
      <c r="AJ422" s="1064">
        <f t="shared" si="31"/>
        <v>0</v>
      </c>
      <c r="AK422" s="1064">
        <f t="shared" si="32"/>
        <v>0</v>
      </c>
      <c r="AL422" s="1064">
        <f t="shared" si="33"/>
        <v>0</v>
      </c>
      <c r="AM422" s="1064">
        <f t="shared" si="34"/>
        <v>0</v>
      </c>
      <c r="AN422" s="1064"/>
      <c r="AO422" s="1064">
        <f>TB_curr[[#This Row],[Closing balance]]+TB_curr[[#This Row],[Rounding]]</f>
        <v>0</v>
      </c>
    </row>
    <row r="423" spans="30:41" x14ac:dyDescent="0.25">
      <c r="AD423" s="1067" t="str">
        <f t="shared" si="30"/>
        <v/>
      </c>
      <c r="AE423" s="1063" t="str">
        <f>IF(ISNA(VLOOKUP(TB_curr[[#This Row],[Synt]],GL[[#Headers],[#Data],[subtotal label]],1,FALSE)),0,(VLOOKUP(TB_curr[[#This Row],[Synt]],GL[[#Headers],[#Data],[subtotal label]],1,FALSE)))</f>
        <v/>
      </c>
      <c r="AF423" s="1063" t="e">
        <f>IF((TB_curr[[#This Row],[Synt]]-TB_curr[[#This Row],[Subtotal Y/N]])=0,0,VLOOKUP(TB_curr[[#This Row],[Synt]],GL[[Account]:[Line]],3,FALSE))</f>
        <v>#VALUE!</v>
      </c>
      <c r="AG423" s="1063" t="e">
        <f>VLOOKUP(TB_curr[[#This Row],[Synt]],GL[[Account]:[B/P]],4,FALSE)</f>
        <v>#N/A</v>
      </c>
      <c r="AH423" s="1066" t="e">
        <v>#VALUE!</v>
      </c>
      <c r="AI423" s="1065" t="e">
        <f>TB_curr[[#This Row],[Synt]]&amp;TB_curr[[#This Row],[Line No. manual corr.]]</f>
        <v>#VALUE!</v>
      </c>
      <c r="AJ423" s="1064">
        <f t="shared" si="31"/>
        <v>0</v>
      </c>
      <c r="AK423" s="1064">
        <f t="shared" si="32"/>
        <v>0</v>
      </c>
      <c r="AL423" s="1064">
        <f t="shared" si="33"/>
        <v>0</v>
      </c>
      <c r="AM423" s="1064">
        <f t="shared" si="34"/>
        <v>0</v>
      </c>
      <c r="AN423" s="1064"/>
      <c r="AO423" s="1064">
        <f>TB_curr[[#This Row],[Closing balance]]+TB_curr[[#This Row],[Rounding]]</f>
        <v>0</v>
      </c>
    </row>
    <row r="424" spans="30:41" x14ac:dyDescent="0.25">
      <c r="AD424" s="1067" t="str">
        <f t="shared" si="30"/>
        <v/>
      </c>
      <c r="AE424" s="1063" t="str">
        <f>IF(ISNA(VLOOKUP(TB_curr[[#This Row],[Synt]],GL[[#Headers],[#Data],[subtotal label]],1,FALSE)),0,(VLOOKUP(TB_curr[[#This Row],[Synt]],GL[[#Headers],[#Data],[subtotal label]],1,FALSE)))</f>
        <v/>
      </c>
      <c r="AF424" s="1063" t="e">
        <f>IF((TB_curr[[#This Row],[Synt]]-TB_curr[[#This Row],[Subtotal Y/N]])=0,0,VLOOKUP(TB_curr[[#This Row],[Synt]],GL[[Account]:[Line]],3,FALSE))</f>
        <v>#VALUE!</v>
      </c>
      <c r="AG424" s="1063" t="e">
        <f>VLOOKUP(TB_curr[[#This Row],[Synt]],GL[[Account]:[B/P]],4,FALSE)</f>
        <v>#N/A</v>
      </c>
      <c r="AH424" s="1066" t="e">
        <v>#VALUE!</v>
      </c>
      <c r="AI424" s="1065" t="e">
        <f>TB_curr[[#This Row],[Synt]]&amp;TB_curr[[#This Row],[Line No. manual corr.]]</f>
        <v>#VALUE!</v>
      </c>
      <c r="AJ424" s="1064">
        <f t="shared" si="31"/>
        <v>0</v>
      </c>
      <c r="AK424" s="1064">
        <f t="shared" si="32"/>
        <v>0</v>
      </c>
      <c r="AL424" s="1064">
        <f t="shared" si="33"/>
        <v>0</v>
      </c>
      <c r="AM424" s="1064">
        <f t="shared" si="34"/>
        <v>0</v>
      </c>
      <c r="AN424" s="1064"/>
      <c r="AO424" s="1064">
        <f>TB_curr[[#This Row],[Closing balance]]+TB_curr[[#This Row],[Rounding]]</f>
        <v>0</v>
      </c>
    </row>
    <row r="425" spans="30:41" x14ac:dyDescent="0.25">
      <c r="AD425" s="1067" t="str">
        <f t="shared" si="30"/>
        <v/>
      </c>
      <c r="AE425" s="1063" t="str">
        <f>IF(ISNA(VLOOKUP(TB_curr[[#This Row],[Synt]],GL[[#Headers],[#Data],[subtotal label]],1,FALSE)),0,(VLOOKUP(TB_curr[[#This Row],[Synt]],GL[[#Headers],[#Data],[subtotal label]],1,FALSE)))</f>
        <v/>
      </c>
      <c r="AF425" s="1063" t="e">
        <f>IF((TB_curr[[#This Row],[Synt]]-TB_curr[[#This Row],[Subtotal Y/N]])=0,0,VLOOKUP(TB_curr[[#This Row],[Synt]],GL[[Account]:[Line]],3,FALSE))</f>
        <v>#VALUE!</v>
      </c>
      <c r="AG425" s="1063" t="e">
        <f>VLOOKUP(TB_curr[[#This Row],[Synt]],GL[[Account]:[B/P]],4,FALSE)</f>
        <v>#N/A</v>
      </c>
      <c r="AH425" s="1066" t="e">
        <v>#VALUE!</v>
      </c>
      <c r="AI425" s="1065" t="e">
        <f>TB_curr[[#This Row],[Synt]]&amp;TB_curr[[#This Row],[Line No. manual corr.]]</f>
        <v>#VALUE!</v>
      </c>
      <c r="AJ425" s="1064">
        <f t="shared" si="31"/>
        <v>0</v>
      </c>
      <c r="AK425" s="1064">
        <f t="shared" si="32"/>
        <v>0</v>
      </c>
      <c r="AL425" s="1064">
        <f t="shared" si="33"/>
        <v>0</v>
      </c>
      <c r="AM425" s="1064">
        <f t="shared" si="34"/>
        <v>0</v>
      </c>
      <c r="AN425" s="1064"/>
      <c r="AO425" s="1064">
        <f>TB_curr[[#This Row],[Closing balance]]+TB_curr[[#This Row],[Rounding]]</f>
        <v>0</v>
      </c>
    </row>
    <row r="426" spans="30:41" x14ac:dyDescent="0.25">
      <c r="AD426" s="1067" t="str">
        <f t="shared" si="30"/>
        <v/>
      </c>
      <c r="AE426" s="1063" t="str">
        <f>IF(ISNA(VLOOKUP(TB_curr[[#This Row],[Synt]],GL[[#Headers],[#Data],[subtotal label]],1,FALSE)),0,(VLOOKUP(TB_curr[[#This Row],[Synt]],GL[[#Headers],[#Data],[subtotal label]],1,FALSE)))</f>
        <v/>
      </c>
      <c r="AF426" s="1063" t="e">
        <f>IF((TB_curr[[#This Row],[Synt]]-TB_curr[[#This Row],[Subtotal Y/N]])=0,0,VLOOKUP(TB_curr[[#This Row],[Synt]],GL[[Account]:[Line]],3,FALSE))</f>
        <v>#VALUE!</v>
      </c>
      <c r="AG426" s="1063" t="e">
        <f>VLOOKUP(TB_curr[[#This Row],[Synt]],GL[[Account]:[B/P]],4,FALSE)</f>
        <v>#N/A</v>
      </c>
      <c r="AH426" s="1066" t="e">
        <v>#VALUE!</v>
      </c>
      <c r="AI426" s="1065" t="e">
        <f>TB_curr[[#This Row],[Synt]]&amp;TB_curr[[#This Row],[Line No. manual corr.]]</f>
        <v>#VALUE!</v>
      </c>
      <c r="AJ426" s="1064">
        <f t="shared" si="31"/>
        <v>0</v>
      </c>
      <c r="AK426" s="1064">
        <f t="shared" si="32"/>
        <v>0</v>
      </c>
      <c r="AL426" s="1064">
        <f t="shared" si="33"/>
        <v>0</v>
      </c>
      <c r="AM426" s="1064">
        <f t="shared" si="34"/>
        <v>0</v>
      </c>
      <c r="AN426" s="1064"/>
      <c r="AO426" s="1064">
        <f>TB_curr[[#This Row],[Closing balance]]+TB_curr[[#This Row],[Rounding]]</f>
        <v>0</v>
      </c>
    </row>
    <row r="427" spans="30:41" x14ac:dyDescent="0.25">
      <c r="AD427" s="1067" t="str">
        <f t="shared" si="30"/>
        <v/>
      </c>
      <c r="AE427" s="1063" t="str">
        <f>IF(ISNA(VLOOKUP(TB_curr[[#This Row],[Synt]],GL[[#Headers],[#Data],[subtotal label]],1,FALSE)),0,(VLOOKUP(TB_curr[[#This Row],[Synt]],GL[[#Headers],[#Data],[subtotal label]],1,FALSE)))</f>
        <v/>
      </c>
      <c r="AF427" s="1063" t="e">
        <f>IF((TB_curr[[#This Row],[Synt]]-TB_curr[[#This Row],[Subtotal Y/N]])=0,0,VLOOKUP(TB_curr[[#This Row],[Synt]],GL[[Account]:[Line]],3,FALSE))</f>
        <v>#VALUE!</v>
      </c>
      <c r="AG427" s="1063" t="e">
        <f>VLOOKUP(TB_curr[[#This Row],[Synt]],GL[[Account]:[B/P]],4,FALSE)</f>
        <v>#N/A</v>
      </c>
      <c r="AH427" s="1066" t="e">
        <v>#VALUE!</v>
      </c>
      <c r="AI427" s="1065" t="e">
        <f>TB_curr[[#This Row],[Synt]]&amp;TB_curr[[#This Row],[Line No. manual corr.]]</f>
        <v>#VALUE!</v>
      </c>
      <c r="AJ427" s="1064">
        <f t="shared" si="31"/>
        <v>0</v>
      </c>
      <c r="AK427" s="1064">
        <f t="shared" si="32"/>
        <v>0</v>
      </c>
      <c r="AL427" s="1064">
        <f t="shared" si="33"/>
        <v>0</v>
      </c>
      <c r="AM427" s="1064">
        <f t="shared" si="34"/>
        <v>0</v>
      </c>
      <c r="AN427" s="1064"/>
      <c r="AO427" s="1064">
        <f>TB_curr[[#This Row],[Closing balance]]+TB_curr[[#This Row],[Rounding]]</f>
        <v>0</v>
      </c>
    </row>
    <row r="428" spans="30:41" x14ac:dyDescent="0.25">
      <c r="AD428" s="1067" t="str">
        <f t="shared" si="30"/>
        <v/>
      </c>
      <c r="AE428" s="1063" t="str">
        <f>IF(ISNA(VLOOKUP(TB_curr[[#This Row],[Synt]],GL[[#Headers],[#Data],[subtotal label]],1,FALSE)),0,(VLOOKUP(TB_curr[[#This Row],[Synt]],GL[[#Headers],[#Data],[subtotal label]],1,FALSE)))</f>
        <v/>
      </c>
      <c r="AF428" s="1063" t="e">
        <f>IF((TB_curr[[#This Row],[Synt]]-TB_curr[[#This Row],[Subtotal Y/N]])=0,0,VLOOKUP(TB_curr[[#This Row],[Synt]],GL[[Account]:[Line]],3,FALSE))</f>
        <v>#VALUE!</v>
      </c>
      <c r="AG428" s="1063" t="e">
        <f>VLOOKUP(TB_curr[[#This Row],[Synt]],GL[[Account]:[B/P]],4,FALSE)</f>
        <v>#N/A</v>
      </c>
      <c r="AH428" s="1066" t="e">
        <v>#VALUE!</v>
      </c>
      <c r="AI428" s="1065" t="e">
        <f>TB_curr[[#This Row],[Synt]]&amp;TB_curr[[#This Row],[Line No. manual corr.]]</f>
        <v>#VALUE!</v>
      </c>
      <c r="AJ428" s="1064">
        <f t="shared" si="31"/>
        <v>0</v>
      </c>
      <c r="AK428" s="1064">
        <f t="shared" si="32"/>
        <v>0</v>
      </c>
      <c r="AL428" s="1064">
        <f t="shared" si="33"/>
        <v>0</v>
      </c>
      <c r="AM428" s="1064">
        <f t="shared" si="34"/>
        <v>0</v>
      </c>
      <c r="AN428" s="1064"/>
      <c r="AO428" s="1064">
        <f>TB_curr[[#This Row],[Closing balance]]+TB_curr[[#This Row],[Rounding]]</f>
        <v>0</v>
      </c>
    </row>
    <row r="429" spans="30:41" x14ac:dyDescent="0.25">
      <c r="AD429" s="1067" t="str">
        <f t="shared" si="30"/>
        <v/>
      </c>
      <c r="AE429" s="1063" t="str">
        <f>IF(ISNA(VLOOKUP(TB_curr[[#This Row],[Synt]],GL[[#Headers],[#Data],[subtotal label]],1,FALSE)),0,(VLOOKUP(TB_curr[[#This Row],[Synt]],GL[[#Headers],[#Data],[subtotal label]],1,FALSE)))</f>
        <v/>
      </c>
      <c r="AF429" s="1063" t="e">
        <f>IF((TB_curr[[#This Row],[Synt]]-TB_curr[[#This Row],[Subtotal Y/N]])=0,0,VLOOKUP(TB_curr[[#This Row],[Synt]],GL[[Account]:[Line]],3,FALSE))</f>
        <v>#VALUE!</v>
      </c>
      <c r="AG429" s="1063" t="e">
        <f>VLOOKUP(TB_curr[[#This Row],[Synt]],GL[[Account]:[B/P]],4,FALSE)</f>
        <v>#N/A</v>
      </c>
      <c r="AH429" s="1066" t="e">
        <v>#VALUE!</v>
      </c>
      <c r="AI429" s="1065" t="e">
        <f>TB_curr[[#This Row],[Synt]]&amp;TB_curr[[#This Row],[Line No. manual corr.]]</f>
        <v>#VALUE!</v>
      </c>
      <c r="AJ429" s="1064">
        <f t="shared" si="31"/>
        <v>0</v>
      </c>
      <c r="AK429" s="1064">
        <f t="shared" si="32"/>
        <v>0</v>
      </c>
      <c r="AL429" s="1064">
        <f t="shared" si="33"/>
        <v>0</v>
      </c>
      <c r="AM429" s="1064">
        <f t="shared" si="34"/>
        <v>0</v>
      </c>
      <c r="AN429" s="1064"/>
      <c r="AO429" s="1064">
        <f>TB_curr[[#This Row],[Closing balance]]+TB_curr[[#This Row],[Rounding]]</f>
        <v>0</v>
      </c>
    </row>
    <row r="430" spans="30:41" x14ac:dyDescent="0.25">
      <c r="AD430" s="1067" t="str">
        <f t="shared" si="30"/>
        <v/>
      </c>
      <c r="AE430" s="1063" t="str">
        <f>IF(ISNA(VLOOKUP(TB_curr[[#This Row],[Synt]],GL[[#Headers],[#Data],[subtotal label]],1,FALSE)),0,(VLOOKUP(TB_curr[[#This Row],[Synt]],GL[[#Headers],[#Data],[subtotal label]],1,FALSE)))</f>
        <v/>
      </c>
      <c r="AF430" s="1063" t="e">
        <f>IF((TB_curr[[#This Row],[Synt]]-TB_curr[[#This Row],[Subtotal Y/N]])=0,0,VLOOKUP(TB_curr[[#This Row],[Synt]],GL[[Account]:[Line]],3,FALSE))</f>
        <v>#VALUE!</v>
      </c>
      <c r="AG430" s="1063" t="e">
        <f>VLOOKUP(TB_curr[[#This Row],[Synt]],GL[[Account]:[B/P]],4,FALSE)</f>
        <v>#N/A</v>
      </c>
      <c r="AH430" s="1066" t="e">
        <v>#VALUE!</v>
      </c>
      <c r="AI430" s="1065" t="e">
        <f>TB_curr[[#This Row],[Synt]]&amp;TB_curr[[#This Row],[Line No. manual corr.]]</f>
        <v>#VALUE!</v>
      </c>
      <c r="AJ430" s="1064">
        <f t="shared" si="31"/>
        <v>0</v>
      </c>
      <c r="AK430" s="1064">
        <f t="shared" si="32"/>
        <v>0</v>
      </c>
      <c r="AL430" s="1064">
        <f t="shared" si="33"/>
        <v>0</v>
      </c>
      <c r="AM430" s="1064">
        <f t="shared" si="34"/>
        <v>0</v>
      </c>
      <c r="AN430" s="1064"/>
      <c r="AO430" s="1064">
        <f>TB_curr[[#This Row],[Closing balance]]+TB_curr[[#This Row],[Rounding]]</f>
        <v>0</v>
      </c>
    </row>
    <row r="431" spans="30:41" x14ac:dyDescent="0.25">
      <c r="AD431" s="1067" t="str">
        <f t="shared" si="30"/>
        <v/>
      </c>
      <c r="AE431" s="1063" t="str">
        <f>IF(ISNA(VLOOKUP(TB_curr[[#This Row],[Synt]],GL[[#Headers],[#Data],[subtotal label]],1,FALSE)),0,(VLOOKUP(TB_curr[[#This Row],[Synt]],GL[[#Headers],[#Data],[subtotal label]],1,FALSE)))</f>
        <v/>
      </c>
      <c r="AF431" s="1063" t="e">
        <f>IF((TB_curr[[#This Row],[Synt]]-TB_curr[[#This Row],[Subtotal Y/N]])=0,0,VLOOKUP(TB_curr[[#This Row],[Synt]],GL[[Account]:[Line]],3,FALSE))</f>
        <v>#VALUE!</v>
      </c>
      <c r="AG431" s="1063" t="e">
        <f>VLOOKUP(TB_curr[[#This Row],[Synt]],GL[[Account]:[B/P]],4,FALSE)</f>
        <v>#N/A</v>
      </c>
      <c r="AH431" s="1066" t="e">
        <v>#VALUE!</v>
      </c>
      <c r="AI431" s="1065" t="e">
        <f>TB_curr[[#This Row],[Synt]]&amp;TB_curr[[#This Row],[Line No. manual corr.]]</f>
        <v>#VALUE!</v>
      </c>
      <c r="AJ431" s="1064">
        <f t="shared" si="31"/>
        <v>0</v>
      </c>
      <c r="AK431" s="1064">
        <f t="shared" si="32"/>
        <v>0</v>
      </c>
      <c r="AL431" s="1064">
        <f t="shared" si="33"/>
        <v>0</v>
      </c>
      <c r="AM431" s="1064">
        <f t="shared" si="34"/>
        <v>0</v>
      </c>
      <c r="AN431" s="1064"/>
      <c r="AO431" s="1064">
        <f>TB_curr[[#This Row],[Closing balance]]+TB_curr[[#This Row],[Rounding]]</f>
        <v>0</v>
      </c>
    </row>
    <row r="432" spans="30:41" x14ac:dyDescent="0.25">
      <c r="AD432" s="1067" t="str">
        <f t="shared" si="30"/>
        <v/>
      </c>
      <c r="AE432" s="1063" t="str">
        <f>IF(ISNA(VLOOKUP(TB_curr[[#This Row],[Synt]],GL[[#Headers],[#Data],[subtotal label]],1,FALSE)),0,(VLOOKUP(TB_curr[[#This Row],[Synt]],GL[[#Headers],[#Data],[subtotal label]],1,FALSE)))</f>
        <v/>
      </c>
      <c r="AF432" s="1063" t="e">
        <f>IF((TB_curr[[#This Row],[Synt]]-TB_curr[[#This Row],[Subtotal Y/N]])=0,0,VLOOKUP(TB_curr[[#This Row],[Synt]],GL[[Account]:[Line]],3,FALSE))</f>
        <v>#VALUE!</v>
      </c>
      <c r="AG432" s="1063" t="e">
        <f>VLOOKUP(TB_curr[[#This Row],[Synt]],GL[[Account]:[B/P]],4,FALSE)</f>
        <v>#N/A</v>
      </c>
      <c r="AH432" s="1066" t="e">
        <v>#VALUE!</v>
      </c>
      <c r="AI432" s="1065" t="e">
        <f>TB_curr[[#This Row],[Synt]]&amp;TB_curr[[#This Row],[Line No. manual corr.]]</f>
        <v>#VALUE!</v>
      </c>
      <c r="AJ432" s="1064">
        <f t="shared" si="31"/>
        <v>0</v>
      </c>
      <c r="AK432" s="1064">
        <f t="shared" si="32"/>
        <v>0</v>
      </c>
      <c r="AL432" s="1064">
        <f t="shared" si="33"/>
        <v>0</v>
      </c>
      <c r="AM432" s="1064">
        <f t="shared" si="34"/>
        <v>0</v>
      </c>
      <c r="AN432" s="1064"/>
      <c r="AO432" s="1064">
        <f>TB_curr[[#This Row],[Closing balance]]+TB_curr[[#This Row],[Rounding]]</f>
        <v>0</v>
      </c>
    </row>
    <row r="433" spans="30:41" x14ac:dyDescent="0.25">
      <c r="AD433" s="1067" t="str">
        <f t="shared" si="30"/>
        <v/>
      </c>
      <c r="AE433" s="1063" t="str">
        <f>IF(ISNA(VLOOKUP(TB_curr[[#This Row],[Synt]],GL[[#Headers],[#Data],[subtotal label]],1,FALSE)),0,(VLOOKUP(TB_curr[[#This Row],[Synt]],GL[[#Headers],[#Data],[subtotal label]],1,FALSE)))</f>
        <v/>
      </c>
      <c r="AF433" s="1063" t="e">
        <f>IF((TB_curr[[#This Row],[Synt]]-TB_curr[[#This Row],[Subtotal Y/N]])=0,0,VLOOKUP(TB_curr[[#This Row],[Synt]],GL[[Account]:[Line]],3,FALSE))</f>
        <v>#VALUE!</v>
      </c>
      <c r="AG433" s="1063" t="e">
        <f>VLOOKUP(TB_curr[[#This Row],[Synt]],GL[[Account]:[B/P]],4,FALSE)</f>
        <v>#N/A</v>
      </c>
      <c r="AH433" s="1066" t="e">
        <v>#VALUE!</v>
      </c>
      <c r="AI433" s="1065" t="e">
        <f>TB_curr[[#This Row],[Synt]]&amp;TB_curr[[#This Row],[Line No. manual corr.]]</f>
        <v>#VALUE!</v>
      </c>
      <c r="AJ433" s="1064">
        <f t="shared" si="31"/>
        <v>0</v>
      </c>
      <c r="AK433" s="1064">
        <f t="shared" si="32"/>
        <v>0</v>
      </c>
      <c r="AL433" s="1064">
        <f t="shared" si="33"/>
        <v>0</v>
      </c>
      <c r="AM433" s="1064">
        <f t="shared" si="34"/>
        <v>0</v>
      </c>
      <c r="AN433" s="1064"/>
      <c r="AO433" s="1064">
        <f>TB_curr[[#This Row],[Closing balance]]+TB_curr[[#This Row],[Rounding]]</f>
        <v>0</v>
      </c>
    </row>
    <row r="434" spans="30:41" x14ac:dyDescent="0.25">
      <c r="AD434" s="1067" t="str">
        <f t="shared" si="30"/>
        <v/>
      </c>
      <c r="AE434" s="1063" t="str">
        <f>IF(ISNA(VLOOKUP(TB_curr[[#This Row],[Synt]],GL[[#Headers],[#Data],[subtotal label]],1,FALSE)),0,(VLOOKUP(TB_curr[[#This Row],[Synt]],GL[[#Headers],[#Data],[subtotal label]],1,FALSE)))</f>
        <v/>
      </c>
      <c r="AF434" s="1063" t="e">
        <f>IF((TB_curr[[#This Row],[Synt]]-TB_curr[[#This Row],[Subtotal Y/N]])=0,0,VLOOKUP(TB_curr[[#This Row],[Synt]],GL[[Account]:[Line]],3,FALSE))</f>
        <v>#VALUE!</v>
      </c>
      <c r="AG434" s="1063" t="e">
        <f>VLOOKUP(TB_curr[[#This Row],[Synt]],GL[[Account]:[B/P]],4,FALSE)</f>
        <v>#N/A</v>
      </c>
      <c r="AH434" s="1066" t="e">
        <v>#VALUE!</v>
      </c>
      <c r="AI434" s="1065" t="e">
        <f>TB_curr[[#This Row],[Synt]]&amp;TB_curr[[#This Row],[Line No. manual corr.]]</f>
        <v>#VALUE!</v>
      </c>
      <c r="AJ434" s="1064">
        <f t="shared" si="31"/>
        <v>0</v>
      </c>
      <c r="AK434" s="1064">
        <f t="shared" si="32"/>
        <v>0</v>
      </c>
      <c r="AL434" s="1064">
        <f t="shared" si="33"/>
        <v>0</v>
      </c>
      <c r="AM434" s="1064">
        <f t="shared" si="34"/>
        <v>0</v>
      </c>
      <c r="AN434" s="1064"/>
      <c r="AO434" s="1064">
        <f>TB_curr[[#This Row],[Closing balance]]+TB_curr[[#This Row],[Rounding]]</f>
        <v>0</v>
      </c>
    </row>
    <row r="435" spans="30:41" x14ac:dyDescent="0.25">
      <c r="AD435" s="1067" t="str">
        <f t="shared" si="30"/>
        <v/>
      </c>
      <c r="AE435" s="1063" t="str">
        <f>IF(ISNA(VLOOKUP(TB_curr[[#This Row],[Synt]],GL[[#Headers],[#Data],[subtotal label]],1,FALSE)),0,(VLOOKUP(TB_curr[[#This Row],[Synt]],GL[[#Headers],[#Data],[subtotal label]],1,FALSE)))</f>
        <v/>
      </c>
      <c r="AF435" s="1063" t="e">
        <f>IF((TB_curr[[#This Row],[Synt]]-TB_curr[[#This Row],[Subtotal Y/N]])=0,0,VLOOKUP(TB_curr[[#This Row],[Synt]],GL[[Account]:[Line]],3,FALSE))</f>
        <v>#VALUE!</v>
      </c>
      <c r="AG435" s="1063" t="e">
        <f>VLOOKUP(TB_curr[[#This Row],[Synt]],GL[[Account]:[B/P]],4,FALSE)</f>
        <v>#N/A</v>
      </c>
      <c r="AH435" s="1066" t="e">
        <v>#VALUE!</v>
      </c>
      <c r="AI435" s="1065" t="e">
        <f>TB_curr[[#This Row],[Synt]]&amp;TB_curr[[#This Row],[Line No. manual corr.]]</f>
        <v>#VALUE!</v>
      </c>
      <c r="AJ435" s="1064">
        <f t="shared" si="31"/>
        <v>0</v>
      </c>
      <c r="AK435" s="1064">
        <f t="shared" si="32"/>
        <v>0</v>
      </c>
      <c r="AL435" s="1064">
        <f t="shared" si="33"/>
        <v>0</v>
      </c>
      <c r="AM435" s="1064">
        <f t="shared" si="34"/>
        <v>0</v>
      </c>
      <c r="AN435" s="1064"/>
      <c r="AO435" s="1064">
        <f>TB_curr[[#This Row],[Closing balance]]+TB_curr[[#This Row],[Rounding]]</f>
        <v>0</v>
      </c>
    </row>
    <row r="436" spans="30:41" x14ac:dyDescent="0.25">
      <c r="AD436" s="1067" t="str">
        <f t="shared" si="30"/>
        <v/>
      </c>
      <c r="AE436" s="1063" t="str">
        <f>IF(ISNA(VLOOKUP(TB_curr[[#This Row],[Synt]],GL[[#Headers],[#Data],[subtotal label]],1,FALSE)),0,(VLOOKUP(TB_curr[[#This Row],[Synt]],GL[[#Headers],[#Data],[subtotal label]],1,FALSE)))</f>
        <v/>
      </c>
      <c r="AF436" s="1063" t="e">
        <f>IF((TB_curr[[#This Row],[Synt]]-TB_curr[[#This Row],[Subtotal Y/N]])=0,0,VLOOKUP(TB_curr[[#This Row],[Synt]],GL[[Account]:[Line]],3,FALSE))</f>
        <v>#VALUE!</v>
      </c>
      <c r="AG436" s="1063" t="e">
        <f>VLOOKUP(TB_curr[[#This Row],[Synt]],GL[[Account]:[B/P]],4,FALSE)</f>
        <v>#N/A</v>
      </c>
      <c r="AH436" s="1066" t="e">
        <v>#VALUE!</v>
      </c>
      <c r="AI436" s="1065" t="e">
        <f>TB_curr[[#This Row],[Synt]]&amp;TB_curr[[#This Row],[Line No. manual corr.]]</f>
        <v>#VALUE!</v>
      </c>
      <c r="AJ436" s="1064">
        <f t="shared" si="31"/>
        <v>0</v>
      </c>
      <c r="AK436" s="1064">
        <f t="shared" si="32"/>
        <v>0</v>
      </c>
      <c r="AL436" s="1064">
        <f t="shared" si="33"/>
        <v>0</v>
      </c>
      <c r="AM436" s="1064">
        <f t="shared" si="34"/>
        <v>0</v>
      </c>
      <c r="AN436" s="1064"/>
      <c r="AO436" s="1064">
        <f>TB_curr[[#This Row],[Closing balance]]+TB_curr[[#This Row],[Rounding]]</f>
        <v>0</v>
      </c>
    </row>
    <row r="437" spans="30:41" x14ac:dyDescent="0.25">
      <c r="AD437" s="1067" t="str">
        <f t="shared" si="30"/>
        <v/>
      </c>
      <c r="AE437" s="1063" t="str">
        <f>IF(ISNA(VLOOKUP(TB_curr[[#This Row],[Synt]],GL[[#Headers],[#Data],[subtotal label]],1,FALSE)),0,(VLOOKUP(TB_curr[[#This Row],[Synt]],GL[[#Headers],[#Data],[subtotal label]],1,FALSE)))</f>
        <v/>
      </c>
      <c r="AF437" s="1063" t="e">
        <f>IF((TB_curr[[#This Row],[Synt]]-TB_curr[[#This Row],[Subtotal Y/N]])=0,0,VLOOKUP(TB_curr[[#This Row],[Synt]],GL[[Account]:[Line]],3,FALSE))</f>
        <v>#VALUE!</v>
      </c>
      <c r="AG437" s="1063" t="e">
        <f>VLOOKUP(TB_curr[[#This Row],[Synt]],GL[[Account]:[B/P]],4,FALSE)</f>
        <v>#N/A</v>
      </c>
      <c r="AH437" s="1066" t="e">
        <v>#VALUE!</v>
      </c>
      <c r="AI437" s="1065" t="e">
        <f>TB_curr[[#This Row],[Synt]]&amp;TB_curr[[#This Row],[Line No. manual corr.]]</f>
        <v>#VALUE!</v>
      </c>
      <c r="AJ437" s="1064">
        <f t="shared" si="31"/>
        <v>0</v>
      </c>
      <c r="AK437" s="1064">
        <f t="shared" si="32"/>
        <v>0</v>
      </c>
      <c r="AL437" s="1064">
        <f t="shared" si="33"/>
        <v>0</v>
      </c>
      <c r="AM437" s="1064">
        <f t="shared" si="34"/>
        <v>0</v>
      </c>
      <c r="AN437" s="1064"/>
      <c r="AO437" s="1064">
        <f>TB_curr[[#This Row],[Closing balance]]+TB_curr[[#This Row],[Rounding]]</f>
        <v>0</v>
      </c>
    </row>
    <row r="438" spans="30:41" x14ac:dyDescent="0.25">
      <c r="AD438" s="1067" t="str">
        <f t="shared" si="30"/>
        <v/>
      </c>
      <c r="AE438" s="1063" t="str">
        <f>IF(ISNA(VLOOKUP(TB_curr[[#This Row],[Synt]],GL[[#Headers],[#Data],[subtotal label]],1,FALSE)),0,(VLOOKUP(TB_curr[[#This Row],[Synt]],GL[[#Headers],[#Data],[subtotal label]],1,FALSE)))</f>
        <v/>
      </c>
      <c r="AF438" s="1063" t="e">
        <f>IF((TB_curr[[#This Row],[Synt]]-TB_curr[[#This Row],[Subtotal Y/N]])=0,0,VLOOKUP(TB_curr[[#This Row],[Synt]],GL[[Account]:[Line]],3,FALSE))</f>
        <v>#VALUE!</v>
      </c>
      <c r="AG438" s="1063" t="e">
        <f>VLOOKUP(TB_curr[[#This Row],[Synt]],GL[[Account]:[B/P]],4,FALSE)</f>
        <v>#N/A</v>
      </c>
      <c r="AH438" s="1066" t="e">
        <v>#VALUE!</v>
      </c>
      <c r="AI438" s="1065" t="e">
        <f>TB_curr[[#This Row],[Synt]]&amp;TB_curr[[#This Row],[Line No. manual corr.]]</f>
        <v>#VALUE!</v>
      </c>
      <c r="AJ438" s="1064">
        <f t="shared" si="31"/>
        <v>0</v>
      </c>
      <c r="AK438" s="1064">
        <f t="shared" si="32"/>
        <v>0</v>
      </c>
      <c r="AL438" s="1064">
        <f t="shared" si="33"/>
        <v>0</v>
      </c>
      <c r="AM438" s="1064">
        <f t="shared" si="34"/>
        <v>0</v>
      </c>
      <c r="AN438" s="1064"/>
      <c r="AO438" s="1064">
        <f>TB_curr[[#This Row],[Closing balance]]+TB_curr[[#This Row],[Rounding]]</f>
        <v>0</v>
      </c>
    </row>
    <row r="439" spans="30:41" x14ac:dyDescent="0.25">
      <c r="AD439" s="1067" t="str">
        <f t="shared" si="30"/>
        <v/>
      </c>
      <c r="AE439" s="1063" t="str">
        <f>IF(ISNA(VLOOKUP(TB_curr[[#This Row],[Synt]],GL[[#Headers],[#Data],[subtotal label]],1,FALSE)),0,(VLOOKUP(TB_curr[[#This Row],[Synt]],GL[[#Headers],[#Data],[subtotal label]],1,FALSE)))</f>
        <v/>
      </c>
      <c r="AF439" s="1063" t="e">
        <f>IF((TB_curr[[#This Row],[Synt]]-TB_curr[[#This Row],[Subtotal Y/N]])=0,0,VLOOKUP(TB_curr[[#This Row],[Synt]],GL[[Account]:[Line]],3,FALSE))</f>
        <v>#VALUE!</v>
      </c>
      <c r="AG439" s="1063" t="e">
        <f>VLOOKUP(TB_curr[[#This Row],[Synt]],GL[[Account]:[B/P]],4,FALSE)</f>
        <v>#N/A</v>
      </c>
      <c r="AH439" s="1066" t="e">
        <v>#VALUE!</v>
      </c>
      <c r="AI439" s="1065" t="e">
        <f>TB_curr[[#This Row],[Synt]]&amp;TB_curr[[#This Row],[Line No. manual corr.]]</f>
        <v>#VALUE!</v>
      </c>
      <c r="AJ439" s="1064">
        <f t="shared" si="31"/>
        <v>0</v>
      </c>
      <c r="AK439" s="1064">
        <f t="shared" si="32"/>
        <v>0</v>
      </c>
      <c r="AL439" s="1064">
        <f t="shared" si="33"/>
        <v>0</v>
      </c>
      <c r="AM439" s="1064">
        <f t="shared" si="34"/>
        <v>0</v>
      </c>
      <c r="AN439" s="1064"/>
      <c r="AO439" s="1064">
        <f>TB_curr[[#This Row],[Closing balance]]+TB_curr[[#This Row],[Rounding]]</f>
        <v>0</v>
      </c>
    </row>
    <row r="440" spans="30:41" x14ac:dyDescent="0.25">
      <c r="AD440" s="1067" t="str">
        <f t="shared" si="30"/>
        <v/>
      </c>
      <c r="AE440" s="1063" t="str">
        <f>IF(ISNA(VLOOKUP(TB_curr[[#This Row],[Synt]],GL[[#Headers],[#Data],[subtotal label]],1,FALSE)),0,(VLOOKUP(TB_curr[[#This Row],[Synt]],GL[[#Headers],[#Data],[subtotal label]],1,FALSE)))</f>
        <v/>
      </c>
      <c r="AF440" s="1063" t="e">
        <f>IF((TB_curr[[#This Row],[Synt]]-TB_curr[[#This Row],[Subtotal Y/N]])=0,0,VLOOKUP(TB_curr[[#This Row],[Synt]],GL[[Account]:[Line]],3,FALSE))</f>
        <v>#VALUE!</v>
      </c>
      <c r="AG440" s="1063" t="e">
        <f>VLOOKUP(TB_curr[[#This Row],[Synt]],GL[[Account]:[B/P]],4,FALSE)</f>
        <v>#N/A</v>
      </c>
      <c r="AH440" s="1066" t="e">
        <v>#VALUE!</v>
      </c>
      <c r="AI440" s="1065" t="e">
        <f>TB_curr[[#This Row],[Synt]]&amp;TB_curr[[#This Row],[Line No. manual corr.]]</f>
        <v>#VALUE!</v>
      </c>
      <c r="AJ440" s="1064">
        <f t="shared" si="31"/>
        <v>0</v>
      </c>
      <c r="AK440" s="1064">
        <f t="shared" si="32"/>
        <v>0</v>
      </c>
      <c r="AL440" s="1064">
        <f t="shared" si="33"/>
        <v>0</v>
      </c>
      <c r="AM440" s="1064">
        <f t="shared" si="34"/>
        <v>0</v>
      </c>
      <c r="AN440" s="1064"/>
      <c r="AO440" s="1064">
        <f>TB_curr[[#This Row],[Closing balance]]+TB_curr[[#This Row],[Rounding]]</f>
        <v>0</v>
      </c>
    </row>
    <row r="441" spans="30:41" x14ac:dyDescent="0.25">
      <c r="AD441" s="1067" t="str">
        <f t="shared" si="30"/>
        <v/>
      </c>
      <c r="AE441" s="1063" t="str">
        <f>IF(ISNA(VLOOKUP(TB_curr[[#This Row],[Synt]],GL[[#Headers],[#Data],[subtotal label]],1,FALSE)),0,(VLOOKUP(TB_curr[[#This Row],[Synt]],GL[[#Headers],[#Data],[subtotal label]],1,FALSE)))</f>
        <v/>
      </c>
      <c r="AF441" s="1063" t="e">
        <f>IF((TB_curr[[#This Row],[Synt]]-TB_curr[[#This Row],[Subtotal Y/N]])=0,0,VLOOKUP(TB_curr[[#This Row],[Synt]],GL[[Account]:[Line]],3,FALSE))</f>
        <v>#VALUE!</v>
      </c>
      <c r="AG441" s="1063" t="e">
        <f>VLOOKUP(TB_curr[[#This Row],[Synt]],GL[[Account]:[B/P]],4,FALSE)</f>
        <v>#N/A</v>
      </c>
      <c r="AH441" s="1066" t="e">
        <v>#VALUE!</v>
      </c>
      <c r="AI441" s="1065" t="e">
        <f>TB_curr[[#This Row],[Synt]]&amp;TB_curr[[#This Row],[Line No. manual corr.]]</f>
        <v>#VALUE!</v>
      </c>
      <c r="AJ441" s="1064">
        <f t="shared" si="31"/>
        <v>0</v>
      </c>
      <c r="AK441" s="1064">
        <f t="shared" si="32"/>
        <v>0</v>
      </c>
      <c r="AL441" s="1064">
        <f t="shared" si="33"/>
        <v>0</v>
      </c>
      <c r="AM441" s="1064">
        <f t="shared" si="34"/>
        <v>0</v>
      </c>
      <c r="AN441" s="1064"/>
      <c r="AO441" s="1064">
        <f>TB_curr[[#This Row],[Closing balance]]+TB_curr[[#This Row],[Rounding]]</f>
        <v>0</v>
      </c>
    </row>
    <row r="442" spans="30:41" x14ac:dyDescent="0.25">
      <c r="AD442" s="1067" t="str">
        <f t="shared" si="30"/>
        <v/>
      </c>
      <c r="AE442" s="1063" t="str">
        <f>IF(ISNA(VLOOKUP(TB_curr[[#This Row],[Synt]],GL[[#Headers],[#Data],[subtotal label]],1,FALSE)),0,(VLOOKUP(TB_curr[[#This Row],[Synt]],GL[[#Headers],[#Data],[subtotal label]],1,FALSE)))</f>
        <v/>
      </c>
      <c r="AF442" s="1063" t="e">
        <f>IF((TB_curr[[#This Row],[Synt]]-TB_curr[[#This Row],[Subtotal Y/N]])=0,0,VLOOKUP(TB_curr[[#This Row],[Synt]],GL[[Account]:[Line]],3,FALSE))</f>
        <v>#VALUE!</v>
      </c>
      <c r="AG442" s="1063" t="e">
        <f>VLOOKUP(TB_curr[[#This Row],[Synt]],GL[[Account]:[B/P]],4,FALSE)</f>
        <v>#N/A</v>
      </c>
      <c r="AH442" s="1066" t="e">
        <v>#VALUE!</v>
      </c>
      <c r="AI442" s="1065" t="e">
        <f>TB_curr[[#This Row],[Synt]]&amp;TB_curr[[#This Row],[Line No. manual corr.]]</f>
        <v>#VALUE!</v>
      </c>
      <c r="AJ442" s="1064">
        <f t="shared" si="31"/>
        <v>0</v>
      </c>
      <c r="AK442" s="1064">
        <f t="shared" si="32"/>
        <v>0</v>
      </c>
      <c r="AL442" s="1064">
        <f t="shared" si="33"/>
        <v>0</v>
      </c>
      <c r="AM442" s="1064">
        <f t="shared" si="34"/>
        <v>0</v>
      </c>
      <c r="AN442" s="1064"/>
      <c r="AO442" s="1064">
        <f>TB_curr[[#This Row],[Closing balance]]+TB_curr[[#This Row],[Rounding]]</f>
        <v>0</v>
      </c>
    </row>
    <row r="443" spans="30:41" x14ac:dyDescent="0.25">
      <c r="AD443" s="1067" t="str">
        <f t="shared" si="30"/>
        <v/>
      </c>
      <c r="AE443" s="1063" t="str">
        <f>IF(ISNA(VLOOKUP(TB_curr[[#This Row],[Synt]],GL[[#Headers],[#Data],[subtotal label]],1,FALSE)),0,(VLOOKUP(TB_curr[[#This Row],[Synt]],GL[[#Headers],[#Data],[subtotal label]],1,FALSE)))</f>
        <v/>
      </c>
      <c r="AF443" s="1063" t="e">
        <f>IF((TB_curr[[#This Row],[Synt]]-TB_curr[[#This Row],[Subtotal Y/N]])=0,0,VLOOKUP(TB_curr[[#This Row],[Synt]],GL[[Account]:[Line]],3,FALSE))</f>
        <v>#VALUE!</v>
      </c>
      <c r="AG443" s="1063" t="e">
        <f>VLOOKUP(TB_curr[[#This Row],[Synt]],GL[[Account]:[B/P]],4,FALSE)</f>
        <v>#N/A</v>
      </c>
      <c r="AH443" s="1066" t="e">
        <v>#VALUE!</v>
      </c>
      <c r="AI443" s="1065" t="e">
        <f>TB_curr[[#This Row],[Synt]]&amp;TB_curr[[#This Row],[Line No. manual corr.]]</f>
        <v>#VALUE!</v>
      </c>
      <c r="AJ443" s="1064">
        <f t="shared" si="31"/>
        <v>0</v>
      </c>
      <c r="AK443" s="1064">
        <f t="shared" si="32"/>
        <v>0</v>
      </c>
      <c r="AL443" s="1064">
        <f t="shared" si="33"/>
        <v>0</v>
      </c>
      <c r="AM443" s="1064">
        <f t="shared" si="34"/>
        <v>0</v>
      </c>
      <c r="AN443" s="1064"/>
      <c r="AO443" s="1064">
        <f>TB_curr[[#This Row],[Closing balance]]+TB_curr[[#This Row],[Rounding]]</f>
        <v>0</v>
      </c>
    </row>
    <row r="444" spans="30:41" x14ac:dyDescent="0.25">
      <c r="AD444" s="1067" t="str">
        <f t="shared" si="30"/>
        <v/>
      </c>
      <c r="AE444" s="1063" t="str">
        <f>IF(ISNA(VLOOKUP(TB_curr[[#This Row],[Synt]],GL[[#Headers],[#Data],[subtotal label]],1,FALSE)),0,(VLOOKUP(TB_curr[[#This Row],[Synt]],GL[[#Headers],[#Data],[subtotal label]],1,FALSE)))</f>
        <v/>
      </c>
      <c r="AF444" s="1063" t="e">
        <f>IF((TB_curr[[#This Row],[Synt]]-TB_curr[[#This Row],[Subtotal Y/N]])=0,0,VLOOKUP(TB_curr[[#This Row],[Synt]],GL[[Account]:[Line]],3,FALSE))</f>
        <v>#VALUE!</v>
      </c>
      <c r="AG444" s="1063" t="e">
        <f>VLOOKUP(TB_curr[[#This Row],[Synt]],GL[[Account]:[B/P]],4,FALSE)</f>
        <v>#N/A</v>
      </c>
      <c r="AH444" s="1066" t="e">
        <v>#VALUE!</v>
      </c>
      <c r="AI444" s="1065" t="e">
        <f>TB_curr[[#This Row],[Synt]]&amp;TB_curr[[#This Row],[Line No. manual corr.]]</f>
        <v>#VALUE!</v>
      </c>
      <c r="AJ444" s="1064">
        <f t="shared" si="31"/>
        <v>0</v>
      </c>
      <c r="AK444" s="1064">
        <f t="shared" si="32"/>
        <v>0</v>
      </c>
      <c r="AL444" s="1064">
        <f t="shared" si="33"/>
        <v>0</v>
      </c>
      <c r="AM444" s="1064">
        <f t="shared" si="34"/>
        <v>0</v>
      </c>
      <c r="AN444" s="1064"/>
      <c r="AO444" s="1064">
        <f>TB_curr[[#This Row],[Closing balance]]+TB_curr[[#This Row],[Rounding]]</f>
        <v>0</v>
      </c>
    </row>
    <row r="445" spans="30:41" x14ac:dyDescent="0.25">
      <c r="AD445" s="1067" t="str">
        <f t="shared" si="30"/>
        <v/>
      </c>
      <c r="AE445" s="1063" t="str">
        <f>IF(ISNA(VLOOKUP(TB_curr[[#This Row],[Synt]],GL[[#Headers],[#Data],[subtotal label]],1,FALSE)),0,(VLOOKUP(TB_curr[[#This Row],[Synt]],GL[[#Headers],[#Data],[subtotal label]],1,FALSE)))</f>
        <v/>
      </c>
      <c r="AF445" s="1063" t="e">
        <f>IF((TB_curr[[#This Row],[Synt]]-TB_curr[[#This Row],[Subtotal Y/N]])=0,0,VLOOKUP(TB_curr[[#This Row],[Synt]],GL[[Account]:[Line]],3,FALSE))</f>
        <v>#VALUE!</v>
      </c>
      <c r="AG445" s="1063" t="e">
        <f>VLOOKUP(TB_curr[[#This Row],[Synt]],GL[[Account]:[B/P]],4,FALSE)</f>
        <v>#N/A</v>
      </c>
      <c r="AH445" s="1066" t="e">
        <v>#VALUE!</v>
      </c>
      <c r="AI445" s="1065" t="e">
        <f>TB_curr[[#This Row],[Synt]]&amp;TB_curr[[#This Row],[Line No. manual corr.]]</f>
        <v>#VALUE!</v>
      </c>
      <c r="AJ445" s="1064">
        <f t="shared" si="31"/>
        <v>0</v>
      </c>
      <c r="AK445" s="1064">
        <f t="shared" si="32"/>
        <v>0</v>
      </c>
      <c r="AL445" s="1064">
        <f t="shared" si="33"/>
        <v>0</v>
      </c>
      <c r="AM445" s="1064">
        <f t="shared" si="34"/>
        <v>0</v>
      </c>
      <c r="AN445" s="1064"/>
      <c r="AO445" s="1064">
        <f>TB_curr[[#This Row],[Closing balance]]+TB_curr[[#This Row],[Rounding]]</f>
        <v>0</v>
      </c>
    </row>
    <row r="446" spans="30:41" x14ac:dyDescent="0.25">
      <c r="AD446" s="1067" t="str">
        <f t="shared" si="30"/>
        <v/>
      </c>
      <c r="AE446" s="1063" t="str">
        <f>IF(ISNA(VLOOKUP(TB_curr[[#This Row],[Synt]],GL[[#Headers],[#Data],[subtotal label]],1,FALSE)),0,(VLOOKUP(TB_curr[[#This Row],[Synt]],GL[[#Headers],[#Data],[subtotal label]],1,FALSE)))</f>
        <v/>
      </c>
      <c r="AF446" s="1063" t="e">
        <f>IF((TB_curr[[#This Row],[Synt]]-TB_curr[[#This Row],[Subtotal Y/N]])=0,0,VLOOKUP(TB_curr[[#This Row],[Synt]],GL[[Account]:[Line]],3,FALSE))</f>
        <v>#VALUE!</v>
      </c>
      <c r="AG446" s="1063" t="e">
        <f>VLOOKUP(TB_curr[[#This Row],[Synt]],GL[[Account]:[B/P]],4,FALSE)</f>
        <v>#N/A</v>
      </c>
      <c r="AH446" s="1066" t="e">
        <v>#VALUE!</v>
      </c>
      <c r="AI446" s="1065" t="e">
        <f>TB_curr[[#This Row],[Synt]]&amp;TB_curr[[#This Row],[Line No. manual corr.]]</f>
        <v>#VALUE!</v>
      </c>
      <c r="AJ446" s="1064">
        <f t="shared" si="31"/>
        <v>0</v>
      </c>
      <c r="AK446" s="1064">
        <f t="shared" si="32"/>
        <v>0</v>
      </c>
      <c r="AL446" s="1064">
        <f t="shared" si="33"/>
        <v>0</v>
      </c>
      <c r="AM446" s="1064">
        <f t="shared" si="34"/>
        <v>0</v>
      </c>
      <c r="AN446" s="1064"/>
      <c r="AO446" s="1064">
        <f>TB_curr[[#This Row],[Closing balance]]+TB_curr[[#This Row],[Rounding]]</f>
        <v>0</v>
      </c>
    </row>
    <row r="447" spans="30:41" x14ac:dyDescent="0.25">
      <c r="AD447" s="1067" t="str">
        <f t="shared" si="30"/>
        <v/>
      </c>
      <c r="AE447" s="1063" t="str">
        <f>IF(ISNA(VLOOKUP(TB_curr[[#This Row],[Synt]],GL[[#Headers],[#Data],[subtotal label]],1,FALSE)),0,(VLOOKUP(TB_curr[[#This Row],[Synt]],GL[[#Headers],[#Data],[subtotal label]],1,FALSE)))</f>
        <v/>
      </c>
      <c r="AF447" s="1063" t="e">
        <f>IF((TB_curr[[#This Row],[Synt]]-TB_curr[[#This Row],[Subtotal Y/N]])=0,0,VLOOKUP(TB_curr[[#This Row],[Synt]],GL[[Account]:[Line]],3,FALSE))</f>
        <v>#VALUE!</v>
      </c>
      <c r="AG447" s="1063" t="e">
        <f>VLOOKUP(TB_curr[[#This Row],[Synt]],GL[[Account]:[B/P]],4,FALSE)</f>
        <v>#N/A</v>
      </c>
      <c r="AH447" s="1066" t="e">
        <v>#VALUE!</v>
      </c>
      <c r="AI447" s="1065" t="e">
        <f>TB_curr[[#This Row],[Synt]]&amp;TB_curr[[#This Row],[Line No. manual corr.]]</f>
        <v>#VALUE!</v>
      </c>
      <c r="AJ447" s="1064">
        <f t="shared" si="31"/>
        <v>0</v>
      </c>
      <c r="AK447" s="1064">
        <f t="shared" si="32"/>
        <v>0</v>
      </c>
      <c r="AL447" s="1064">
        <f t="shared" si="33"/>
        <v>0</v>
      </c>
      <c r="AM447" s="1064">
        <f t="shared" si="34"/>
        <v>0</v>
      </c>
      <c r="AN447" s="1064"/>
      <c r="AO447" s="1064">
        <f>TB_curr[[#This Row],[Closing balance]]+TB_curr[[#This Row],[Rounding]]</f>
        <v>0</v>
      </c>
    </row>
    <row r="448" spans="30:41" x14ac:dyDescent="0.25">
      <c r="AD448" s="1067" t="str">
        <f t="shared" si="30"/>
        <v/>
      </c>
      <c r="AE448" s="1063" t="str">
        <f>IF(ISNA(VLOOKUP(TB_curr[[#This Row],[Synt]],GL[[#Headers],[#Data],[subtotal label]],1,FALSE)),0,(VLOOKUP(TB_curr[[#This Row],[Synt]],GL[[#Headers],[#Data],[subtotal label]],1,FALSE)))</f>
        <v/>
      </c>
      <c r="AF448" s="1063" t="e">
        <f>IF((TB_curr[[#This Row],[Synt]]-TB_curr[[#This Row],[Subtotal Y/N]])=0,0,VLOOKUP(TB_curr[[#This Row],[Synt]],GL[[Account]:[Line]],3,FALSE))</f>
        <v>#VALUE!</v>
      </c>
      <c r="AG448" s="1063" t="e">
        <f>VLOOKUP(TB_curr[[#This Row],[Synt]],GL[[Account]:[B/P]],4,FALSE)</f>
        <v>#N/A</v>
      </c>
      <c r="AH448" s="1066" t="e">
        <v>#VALUE!</v>
      </c>
      <c r="AI448" s="1065" t="e">
        <f>TB_curr[[#This Row],[Synt]]&amp;TB_curr[[#This Row],[Line No. manual corr.]]</f>
        <v>#VALUE!</v>
      </c>
      <c r="AJ448" s="1064">
        <f t="shared" si="31"/>
        <v>0</v>
      </c>
      <c r="AK448" s="1064">
        <f t="shared" si="32"/>
        <v>0</v>
      </c>
      <c r="AL448" s="1064">
        <f t="shared" si="33"/>
        <v>0</v>
      </c>
      <c r="AM448" s="1064">
        <f t="shared" si="34"/>
        <v>0</v>
      </c>
      <c r="AN448" s="1064"/>
      <c r="AO448" s="1064">
        <f>TB_curr[[#This Row],[Closing balance]]+TB_curr[[#This Row],[Rounding]]</f>
        <v>0</v>
      </c>
    </row>
    <row r="449" spans="30:41" x14ac:dyDescent="0.25">
      <c r="AD449" s="1067" t="str">
        <f t="shared" si="30"/>
        <v/>
      </c>
      <c r="AE449" s="1063" t="str">
        <f>IF(ISNA(VLOOKUP(TB_curr[[#This Row],[Synt]],GL[[#Headers],[#Data],[subtotal label]],1,FALSE)),0,(VLOOKUP(TB_curr[[#This Row],[Synt]],GL[[#Headers],[#Data],[subtotal label]],1,FALSE)))</f>
        <v/>
      </c>
      <c r="AF449" s="1063" t="e">
        <f>IF((TB_curr[[#This Row],[Synt]]-TB_curr[[#This Row],[Subtotal Y/N]])=0,0,VLOOKUP(TB_curr[[#This Row],[Synt]],GL[[Account]:[Line]],3,FALSE))</f>
        <v>#VALUE!</v>
      </c>
      <c r="AG449" s="1063" t="e">
        <f>VLOOKUP(TB_curr[[#This Row],[Synt]],GL[[Account]:[B/P]],4,FALSE)</f>
        <v>#N/A</v>
      </c>
      <c r="AH449" s="1066" t="e">
        <v>#VALUE!</v>
      </c>
      <c r="AI449" s="1065" t="e">
        <f>TB_curr[[#This Row],[Synt]]&amp;TB_curr[[#This Row],[Line No. manual corr.]]</f>
        <v>#VALUE!</v>
      </c>
      <c r="AJ449" s="1064">
        <f t="shared" si="31"/>
        <v>0</v>
      </c>
      <c r="AK449" s="1064">
        <f t="shared" si="32"/>
        <v>0</v>
      </c>
      <c r="AL449" s="1064">
        <f t="shared" si="33"/>
        <v>0</v>
      </c>
      <c r="AM449" s="1064">
        <f t="shared" si="34"/>
        <v>0</v>
      </c>
      <c r="AN449" s="1064"/>
      <c r="AO449" s="1064">
        <f>TB_curr[[#This Row],[Closing balance]]+TB_curr[[#This Row],[Rounding]]</f>
        <v>0</v>
      </c>
    </row>
    <row r="450" spans="30:41" x14ac:dyDescent="0.25">
      <c r="AD450" s="1067" t="str">
        <f t="shared" si="30"/>
        <v/>
      </c>
      <c r="AE450" s="1063" t="str">
        <f>IF(ISNA(VLOOKUP(TB_curr[[#This Row],[Synt]],GL[[#Headers],[#Data],[subtotal label]],1,FALSE)),0,(VLOOKUP(TB_curr[[#This Row],[Synt]],GL[[#Headers],[#Data],[subtotal label]],1,FALSE)))</f>
        <v/>
      </c>
      <c r="AF450" s="1063" t="e">
        <f>IF((TB_curr[[#This Row],[Synt]]-TB_curr[[#This Row],[Subtotal Y/N]])=0,0,VLOOKUP(TB_curr[[#This Row],[Synt]],GL[[Account]:[Line]],3,FALSE))</f>
        <v>#VALUE!</v>
      </c>
      <c r="AG450" s="1063" t="e">
        <f>VLOOKUP(TB_curr[[#This Row],[Synt]],GL[[Account]:[B/P]],4,FALSE)</f>
        <v>#N/A</v>
      </c>
      <c r="AH450" s="1066" t="e">
        <v>#VALUE!</v>
      </c>
      <c r="AI450" s="1065" t="e">
        <f>TB_curr[[#This Row],[Synt]]&amp;TB_curr[[#This Row],[Line No. manual corr.]]</f>
        <v>#VALUE!</v>
      </c>
      <c r="AJ450" s="1064">
        <f t="shared" si="31"/>
        <v>0</v>
      </c>
      <c r="AK450" s="1064">
        <f t="shared" si="32"/>
        <v>0</v>
      </c>
      <c r="AL450" s="1064">
        <f t="shared" si="33"/>
        <v>0</v>
      </c>
      <c r="AM450" s="1064">
        <f t="shared" si="34"/>
        <v>0</v>
      </c>
      <c r="AN450" s="1064"/>
      <c r="AO450" s="1064">
        <f>TB_curr[[#This Row],[Closing balance]]+TB_curr[[#This Row],[Rounding]]</f>
        <v>0</v>
      </c>
    </row>
    <row r="451" spans="30:41" x14ac:dyDescent="0.25">
      <c r="AD451" s="1067" t="str">
        <f t="shared" si="30"/>
        <v/>
      </c>
      <c r="AE451" s="1063" t="str">
        <f>IF(ISNA(VLOOKUP(TB_curr[[#This Row],[Synt]],GL[[#Headers],[#Data],[subtotal label]],1,FALSE)),0,(VLOOKUP(TB_curr[[#This Row],[Synt]],GL[[#Headers],[#Data],[subtotal label]],1,FALSE)))</f>
        <v/>
      </c>
      <c r="AF451" s="1063" t="e">
        <f>IF((TB_curr[[#This Row],[Synt]]-TB_curr[[#This Row],[Subtotal Y/N]])=0,0,VLOOKUP(TB_curr[[#This Row],[Synt]],GL[[Account]:[Line]],3,FALSE))</f>
        <v>#VALUE!</v>
      </c>
      <c r="AG451" s="1063" t="e">
        <f>VLOOKUP(TB_curr[[#This Row],[Synt]],GL[[Account]:[B/P]],4,FALSE)</f>
        <v>#N/A</v>
      </c>
      <c r="AH451" s="1066" t="e">
        <v>#VALUE!</v>
      </c>
      <c r="AI451" s="1065" t="e">
        <f>TB_curr[[#This Row],[Synt]]&amp;TB_curr[[#This Row],[Line No. manual corr.]]</f>
        <v>#VALUE!</v>
      </c>
      <c r="AJ451" s="1064">
        <f t="shared" si="31"/>
        <v>0</v>
      </c>
      <c r="AK451" s="1064">
        <f t="shared" si="32"/>
        <v>0</v>
      </c>
      <c r="AL451" s="1064">
        <f t="shared" si="33"/>
        <v>0</v>
      </c>
      <c r="AM451" s="1064">
        <f t="shared" si="34"/>
        <v>0</v>
      </c>
      <c r="AN451" s="1064"/>
      <c r="AO451" s="1064">
        <f>TB_curr[[#This Row],[Closing balance]]+TB_curr[[#This Row],[Rounding]]</f>
        <v>0</v>
      </c>
    </row>
    <row r="452" spans="30:41" x14ac:dyDescent="0.25">
      <c r="AD452" s="1067" t="str">
        <f t="shared" si="30"/>
        <v/>
      </c>
      <c r="AE452" s="1063" t="str">
        <f>IF(ISNA(VLOOKUP(TB_curr[[#This Row],[Synt]],GL[[#Headers],[#Data],[subtotal label]],1,FALSE)),0,(VLOOKUP(TB_curr[[#This Row],[Synt]],GL[[#Headers],[#Data],[subtotal label]],1,FALSE)))</f>
        <v/>
      </c>
      <c r="AF452" s="1063" t="e">
        <f>IF((TB_curr[[#This Row],[Synt]]-TB_curr[[#This Row],[Subtotal Y/N]])=0,0,VLOOKUP(TB_curr[[#This Row],[Synt]],GL[[Account]:[Line]],3,FALSE))</f>
        <v>#VALUE!</v>
      </c>
      <c r="AG452" s="1063" t="e">
        <f>VLOOKUP(TB_curr[[#This Row],[Synt]],GL[[Account]:[B/P]],4,FALSE)</f>
        <v>#N/A</v>
      </c>
      <c r="AH452" s="1066" t="e">
        <v>#VALUE!</v>
      </c>
      <c r="AI452" s="1065" t="e">
        <f>TB_curr[[#This Row],[Synt]]&amp;TB_curr[[#This Row],[Line No. manual corr.]]</f>
        <v>#VALUE!</v>
      </c>
      <c r="AJ452" s="1064">
        <f t="shared" si="31"/>
        <v>0</v>
      </c>
      <c r="AK452" s="1064">
        <f t="shared" si="32"/>
        <v>0</v>
      </c>
      <c r="AL452" s="1064">
        <f t="shared" si="33"/>
        <v>0</v>
      </c>
      <c r="AM452" s="1064">
        <f t="shared" si="34"/>
        <v>0</v>
      </c>
      <c r="AN452" s="1064"/>
      <c r="AO452" s="1064">
        <f>TB_curr[[#This Row],[Closing balance]]+TB_curr[[#This Row],[Rounding]]</f>
        <v>0</v>
      </c>
    </row>
    <row r="453" spans="30:41" x14ac:dyDescent="0.25">
      <c r="AD453" s="1067" t="str">
        <f t="shared" si="30"/>
        <v/>
      </c>
      <c r="AE453" s="1063" t="str">
        <f>IF(ISNA(VLOOKUP(TB_curr[[#This Row],[Synt]],GL[[#Headers],[#Data],[subtotal label]],1,FALSE)),0,(VLOOKUP(TB_curr[[#This Row],[Synt]],GL[[#Headers],[#Data],[subtotal label]],1,FALSE)))</f>
        <v/>
      </c>
      <c r="AF453" s="1063" t="e">
        <f>IF((TB_curr[[#This Row],[Synt]]-TB_curr[[#This Row],[Subtotal Y/N]])=0,0,VLOOKUP(TB_curr[[#This Row],[Synt]],GL[[Account]:[Line]],3,FALSE))</f>
        <v>#VALUE!</v>
      </c>
      <c r="AG453" s="1063" t="e">
        <f>VLOOKUP(TB_curr[[#This Row],[Synt]],GL[[Account]:[B/P]],4,FALSE)</f>
        <v>#N/A</v>
      </c>
      <c r="AH453" s="1066" t="e">
        <v>#VALUE!</v>
      </c>
      <c r="AI453" s="1065" t="e">
        <f>TB_curr[[#This Row],[Synt]]&amp;TB_curr[[#This Row],[Line No. manual corr.]]</f>
        <v>#VALUE!</v>
      </c>
      <c r="AJ453" s="1064">
        <f t="shared" si="31"/>
        <v>0</v>
      </c>
      <c r="AK453" s="1064">
        <f t="shared" si="32"/>
        <v>0</v>
      </c>
      <c r="AL453" s="1064">
        <f t="shared" si="33"/>
        <v>0</v>
      </c>
      <c r="AM453" s="1064">
        <f t="shared" si="34"/>
        <v>0</v>
      </c>
      <c r="AN453" s="1064"/>
      <c r="AO453" s="1064">
        <f>TB_curr[[#This Row],[Closing balance]]+TB_curr[[#This Row],[Rounding]]</f>
        <v>0</v>
      </c>
    </row>
    <row r="454" spans="30:41" x14ac:dyDescent="0.25">
      <c r="AD454" s="1067" t="str">
        <f t="shared" si="30"/>
        <v/>
      </c>
      <c r="AE454" s="1063" t="str">
        <f>IF(ISNA(VLOOKUP(TB_curr[[#This Row],[Synt]],GL[[#Headers],[#Data],[subtotal label]],1,FALSE)),0,(VLOOKUP(TB_curr[[#This Row],[Synt]],GL[[#Headers],[#Data],[subtotal label]],1,FALSE)))</f>
        <v/>
      </c>
      <c r="AF454" s="1063" t="e">
        <f>IF((TB_curr[[#This Row],[Synt]]-TB_curr[[#This Row],[Subtotal Y/N]])=0,0,VLOOKUP(TB_curr[[#This Row],[Synt]],GL[[Account]:[Line]],3,FALSE))</f>
        <v>#VALUE!</v>
      </c>
      <c r="AG454" s="1063" t="e">
        <f>VLOOKUP(TB_curr[[#This Row],[Synt]],GL[[Account]:[B/P]],4,FALSE)</f>
        <v>#N/A</v>
      </c>
      <c r="AH454" s="1066" t="e">
        <v>#VALUE!</v>
      </c>
      <c r="AI454" s="1065" t="e">
        <f>TB_curr[[#This Row],[Synt]]&amp;TB_curr[[#This Row],[Line No. manual corr.]]</f>
        <v>#VALUE!</v>
      </c>
      <c r="AJ454" s="1064">
        <f t="shared" si="31"/>
        <v>0</v>
      </c>
      <c r="AK454" s="1064">
        <f t="shared" si="32"/>
        <v>0</v>
      </c>
      <c r="AL454" s="1064">
        <f t="shared" si="33"/>
        <v>0</v>
      </c>
      <c r="AM454" s="1064">
        <f t="shared" si="34"/>
        <v>0</v>
      </c>
      <c r="AN454" s="1064"/>
      <c r="AO454" s="1064">
        <f>TB_curr[[#This Row],[Closing balance]]+TB_curr[[#This Row],[Rounding]]</f>
        <v>0</v>
      </c>
    </row>
    <row r="455" spans="30:41" x14ac:dyDescent="0.25">
      <c r="AD455" s="1067" t="str">
        <f t="shared" si="30"/>
        <v/>
      </c>
      <c r="AE455" s="1063" t="str">
        <f>IF(ISNA(VLOOKUP(TB_curr[[#This Row],[Synt]],GL[[#Headers],[#Data],[subtotal label]],1,FALSE)),0,(VLOOKUP(TB_curr[[#This Row],[Synt]],GL[[#Headers],[#Data],[subtotal label]],1,FALSE)))</f>
        <v/>
      </c>
      <c r="AF455" s="1063" t="e">
        <f>IF((TB_curr[[#This Row],[Synt]]-TB_curr[[#This Row],[Subtotal Y/N]])=0,0,VLOOKUP(TB_curr[[#This Row],[Synt]],GL[[Account]:[Line]],3,FALSE))</f>
        <v>#VALUE!</v>
      </c>
      <c r="AG455" s="1063" t="e">
        <f>VLOOKUP(TB_curr[[#This Row],[Synt]],GL[[Account]:[B/P]],4,FALSE)</f>
        <v>#N/A</v>
      </c>
      <c r="AH455" s="1066" t="e">
        <v>#VALUE!</v>
      </c>
      <c r="AI455" s="1065" t="e">
        <f>TB_curr[[#This Row],[Synt]]&amp;TB_curr[[#This Row],[Line No. manual corr.]]</f>
        <v>#VALUE!</v>
      </c>
      <c r="AJ455" s="1064">
        <f t="shared" si="31"/>
        <v>0</v>
      </c>
      <c r="AK455" s="1064">
        <f t="shared" si="32"/>
        <v>0</v>
      </c>
      <c r="AL455" s="1064">
        <f t="shared" si="33"/>
        <v>0</v>
      </c>
      <c r="AM455" s="1064">
        <f t="shared" si="34"/>
        <v>0</v>
      </c>
      <c r="AN455" s="1064"/>
      <c r="AO455" s="1064">
        <f>TB_curr[[#This Row],[Closing balance]]+TB_curr[[#This Row],[Rounding]]</f>
        <v>0</v>
      </c>
    </row>
    <row r="456" spans="30:41" x14ac:dyDescent="0.25">
      <c r="AD456" s="1067" t="str">
        <f t="shared" ref="AD456:AD519" si="35">LEFT(B456,3)</f>
        <v/>
      </c>
      <c r="AE456" s="1063" t="str">
        <f>IF(ISNA(VLOOKUP(TB_curr[[#This Row],[Synt]],GL[[#Headers],[#Data],[subtotal label]],1,FALSE)),0,(VLOOKUP(TB_curr[[#This Row],[Synt]],GL[[#Headers],[#Data],[subtotal label]],1,FALSE)))</f>
        <v/>
      </c>
      <c r="AF456" s="1063" t="e">
        <f>IF((TB_curr[[#This Row],[Synt]]-TB_curr[[#This Row],[Subtotal Y/N]])=0,0,VLOOKUP(TB_curr[[#This Row],[Synt]],GL[[Account]:[Line]],3,FALSE))</f>
        <v>#VALUE!</v>
      </c>
      <c r="AG456" s="1063" t="e">
        <f>VLOOKUP(TB_curr[[#This Row],[Synt]],GL[[Account]:[B/P]],4,FALSE)</f>
        <v>#N/A</v>
      </c>
      <c r="AH456" s="1066" t="e">
        <v>#VALUE!</v>
      </c>
      <c r="AI456" s="1065" t="e">
        <f>TB_curr[[#This Row],[Synt]]&amp;TB_curr[[#This Row],[Line No. manual corr.]]</f>
        <v>#VALUE!</v>
      </c>
      <c r="AJ456" s="1064">
        <f t="shared" ref="AJ456:AJ519" si="36">K456-N456</f>
        <v>0</v>
      </c>
      <c r="AK456" s="1064">
        <f t="shared" ref="AK456:AK519" si="37">Q456</f>
        <v>0</v>
      </c>
      <c r="AL456" s="1064">
        <f t="shared" ref="AL456:AL519" si="38">U456</f>
        <v>0</v>
      </c>
      <c r="AM456" s="1064">
        <f t="shared" ref="AM456:AM519" si="39">X456-AB456</f>
        <v>0</v>
      </c>
      <c r="AN456" s="1064"/>
      <c r="AO456" s="1064">
        <f>TB_curr[[#This Row],[Closing balance]]+TB_curr[[#This Row],[Rounding]]</f>
        <v>0</v>
      </c>
    </row>
    <row r="457" spans="30:41" x14ac:dyDescent="0.25">
      <c r="AD457" s="1067" t="str">
        <f t="shared" si="35"/>
        <v/>
      </c>
      <c r="AE457" s="1063" t="str">
        <f>IF(ISNA(VLOOKUP(TB_curr[[#This Row],[Synt]],GL[[#Headers],[#Data],[subtotal label]],1,FALSE)),0,(VLOOKUP(TB_curr[[#This Row],[Synt]],GL[[#Headers],[#Data],[subtotal label]],1,FALSE)))</f>
        <v/>
      </c>
      <c r="AF457" s="1063" t="e">
        <f>IF((TB_curr[[#This Row],[Synt]]-TB_curr[[#This Row],[Subtotal Y/N]])=0,0,VLOOKUP(TB_curr[[#This Row],[Synt]],GL[[Account]:[Line]],3,FALSE))</f>
        <v>#VALUE!</v>
      </c>
      <c r="AG457" s="1063" t="e">
        <f>VLOOKUP(TB_curr[[#This Row],[Synt]],GL[[Account]:[B/P]],4,FALSE)</f>
        <v>#N/A</v>
      </c>
      <c r="AH457" s="1066" t="e">
        <v>#VALUE!</v>
      </c>
      <c r="AI457" s="1065" t="e">
        <f>TB_curr[[#This Row],[Synt]]&amp;TB_curr[[#This Row],[Line No. manual corr.]]</f>
        <v>#VALUE!</v>
      </c>
      <c r="AJ457" s="1064">
        <f t="shared" si="36"/>
        <v>0</v>
      </c>
      <c r="AK457" s="1064">
        <f t="shared" si="37"/>
        <v>0</v>
      </c>
      <c r="AL457" s="1064">
        <f t="shared" si="38"/>
        <v>0</v>
      </c>
      <c r="AM457" s="1064">
        <f t="shared" si="39"/>
        <v>0</v>
      </c>
      <c r="AN457" s="1064"/>
      <c r="AO457" s="1064">
        <f>TB_curr[[#This Row],[Closing balance]]+TB_curr[[#This Row],[Rounding]]</f>
        <v>0</v>
      </c>
    </row>
    <row r="458" spans="30:41" x14ac:dyDescent="0.25">
      <c r="AD458" s="1067" t="str">
        <f t="shared" si="35"/>
        <v/>
      </c>
      <c r="AE458" s="1063" t="str">
        <f>IF(ISNA(VLOOKUP(TB_curr[[#This Row],[Synt]],GL[[#Headers],[#Data],[subtotal label]],1,FALSE)),0,(VLOOKUP(TB_curr[[#This Row],[Synt]],GL[[#Headers],[#Data],[subtotal label]],1,FALSE)))</f>
        <v/>
      </c>
      <c r="AF458" s="1063" t="e">
        <f>IF((TB_curr[[#This Row],[Synt]]-TB_curr[[#This Row],[Subtotal Y/N]])=0,0,VLOOKUP(TB_curr[[#This Row],[Synt]],GL[[Account]:[Line]],3,FALSE))</f>
        <v>#VALUE!</v>
      </c>
      <c r="AG458" s="1063" t="e">
        <f>VLOOKUP(TB_curr[[#This Row],[Synt]],GL[[Account]:[B/P]],4,FALSE)</f>
        <v>#N/A</v>
      </c>
      <c r="AH458" s="1066" t="e">
        <v>#VALUE!</v>
      </c>
      <c r="AI458" s="1065" t="e">
        <f>TB_curr[[#This Row],[Synt]]&amp;TB_curr[[#This Row],[Line No. manual corr.]]</f>
        <v>#VALUE!</v>
      </c>
      <c r="AJ458" s="1064">
        <f t="shared" si="36"/>
        <v>0</v>
      </c>
      <c r="AK458" s="1064">
        <f t="shared" si="37"/>
        <v>0</v>
      </c>
      <c r="AL458" s="1064">
        <f t="shared" si="38"/>
        <v>0</v>
      </c>
      <c r="AM458" s="1064">
        <f t="shared" si="39"/>
        <v>0</v>
      </c>
      <c r="AN458" s="1064"/>
      <c r="AO458" s="1064">
        <f>TB_curr[[#This Row],[Closing balance]]+TB_curr[[#This Row],[Rounding]]</f>
        <v>0</v>
      </c>
    </row>
    <row r="459" spans="30:41" x14ac:dyDescent="0.25">
      <c r="AD459" s="1067" t="str">
        <f t="shared" si="35"/>
        <v/>
      </c>
      <c r="AE459" s="1063" t="str">
        <f>IF(ISNA(VLOOKUP(TB_curr[[#This Row],[Synt]],GL[[#Headers],[#Data],[subtotal label]],1,FALSE)),0,(VLOOKUP(TB_curr[[#This Row],[Synt]],GL[[#Headers],[#Data],[subtotal label]],1,FALSE)))</f>
        <v/>
      </c>
      <c r="AF459" s="1063" t="e">
        <f>IF((TB_curr[[#This Row],[Synt]]-TB_curr[[#This Row],[Subtotal Y/N]])=0,0,VLOOKUP(TB_curr[[#This Row],[Synt]],GL[[Account]:[Line]],3,FALSE))</f>
        <v>#VALUE!</v>
      </c>
      <c r="AG459" s="1063" t="e">
        <f>VLOOKUP(TB_curr[[#This Row],[Synt]],GL[[Account]:[B/P]],4,FALSE)</f>
        <v>#N/A</v>
      </c>
      <c r="AH459" s="1066" t="e">
        <v>#VALUE!</v>
      </c>
      <c r="AI459" s="1065" t="e">
        <f>TB_curr[[#This Row],[Synt]]&amp;TB_curr[[#This Row],[Line No. manual corr.]]</f>
        <v>#VALUE!</v>
      </c>
      <c r="AJ459" s="1064">
        <f t="shared" si="36"/>
        <v>0</v>
      </c>
      <c r="AK459" s="1064">
        <f t="shared" si="37"/>
        <v>0</v>
      </c>
      <c r="AL459" s="1064">
        <f t="shared" si="38"/>
        <v>0</v>
      </c>
      <c r="AM459" s="1064">
        <f t="shared" si="39"/>
        <v>0</v>
      </c>
      <c r="AN459" s="1064"/>
      <c r="AO459" s="1064">
        <f>TB_curr[[#This Row],[Closing balance]]+TB_curr[[#This Row],[Rounding]]</f>
        <v>0</v>
      </c>
    </row>
    <row r="460" spans="30:41" x14ac:dyDescent="0.25">
      <c r="AD460" s="1067" t="str">
        <f t="shared" si="35"/>
        <v/>
      </c>
      <c r="AE460" s="1063" t="str">
        <f>IF(ISNA(VLOOKUP(TB_curr[[#This Row],[Synt]],GL[[#Headers],[#Data],[subtotal label]],1,FALSE)),0,(VLOOKUP(TB_curr[[#This Row],[Synt]],GL[[#Headers],[#Data],[subtotal label]],1,FALSE)))</f>
        <v/>
      </c>
      <c r="AF460" s="1063" t="e">
        <f>IF((TB_curr[[#This Row],[Synt]]-TB_curr[[#This Row],[Subtotal Y/N]])=0,0,VLOOKUP(TB_curr[[#This Row],[Synt]],GL[[Account]:[Line]],3,FALSE))</f>
        <v>#VALUE!</v>
      </c>
      <c r="AG460" s="1063" t="e">
        <f>VLOOKUP(TB_curr[[#This Row],[Synt]],GL[[Account]:[B/P]],4,FALSE)</f>
        <v>#N/A</v>
      </c>
      <c r="AH460" s="1066" t="e">
        <v>#VALUE!</v>
      </c>
      <c r="AI460" s="1065" t="e">
        <f>TB_curr[[#This Row],[Synt]]&amp;TB_curr[[#This Row],[Line No. manual corr.]]</f>
        <v>#VALUE!</v>
      </c>
      <c r="AJ460" s="1064">
        <f t="shared" si="36"/>
        <v>0</v>
      </c>
      <c r="AK460" s="1064">
        <f t="shared" si="37"/>
        <v>0</v>
      </c>
      <c r="AL460" s="1064">
        <f t="shared" si="38"/>
        <v>0</v>
      </c>
      <c r="AM460" s="1064">
        <f t="shared" si="39"/>
        <v>0</v>
      </c>
      <c r="AN460" s="1064"/>
      <c r="AO460" s="1064">
        <f>TB_curr[[#This Row],[Closing balance]]+TB_curr[[#This Row],[Rounding]]</f>
        <v>0</v>
      </c>
    </row>
    <row r="461" spans="30:41" x14ac:dyDescent="0.25">
      <c r="AD461" s="1067" t="str">
        <f t="shared" si="35"/>
        <v/>
      </c>
      <c r="AE461" s="1063" t="str">
        <f>IF(ISNA(VLOOKUP(TB_curr[[#This Row],[Synt]],GL[[#Headers],[#Data],[subtotal label]],1,FALSE)),0,(VLOOKUP(TB_curr[[#This Row],[Synt]],GL[[#Headers],[#Data],[subtotal label]],1,FALSE)))</f>
        <v/>
      </c>
      <c r="AF461" s="1063" t="e">
        <f>IF((TB_curr[[#This Row],[Synt]]-TB_curr[[#This Row],[Subtotal Y/N]])=0,0,VLOOKUP(TB_curr[[#This Row],[Synt]],GL[[Account]:[Line]],3,FALSE))</f>
        <v>#VALUE!</v>
      </c>
      <c r="AG461" s="1063" t="e">
        <f>VLOOKUP(TB_curr[[#This Row],[Synt]],GL[[Account]:[B/P]],4,FALSE)</f>
        <v>#N/A</v>
      </c>
      <c r="AH461" s="1066" t="e">
        <v>#VALUE!</v>
      </c>
      <c r="AI461" s="1065" t="e">
        <f>TB_curr[[#This Row],[Synt]]&amp;TB_curr[[#This Row],[Line No. manual corr.]]</f>
        <v>#VALUE!</v>
      </c>
      <c r="AJ461" s="1064">
        <f t="shared" si="36"/>
        <v>0</v>
      </c>
      <c r="AK461" s="1064">
        <f t="shared" si="37"/>
        <v>0</v>
      </c>
      <c r="AL461" s="1064">
        <f t="shared" si="38"/>
        <v>0</v>
      </c>
      <c r="AM461" s="1064">
        <f t="shared" si="39"/>
        <v>0</v>
      </c>
      <c r="AN461" s="1064"/>
      <c r="AO461" s="1064">
        <f>TB_curr[[#This Row],[Closing balance]]+TB_curr[[#This Row],[Rounding]]</f>
        <v>0</v>
      </c>
    </row>
    <row r="462" spans="30:41" x14ac:dyDescent="0.25">
      <c r="AD462" s="1067" t="str">
        <f t="shared" si="35"/>
        <v/>
      </c>
      <c r="AE462" s="1063" t="str">
        <f>IF(ISNA(VLOOKUP(TB_curr[[#This Row],[Synt]],GL[[#Headers],[#Data],[subtotal label]],1,FALSE)),0,(VLOOKUP(TB_curr[[#This Row],[Synt]],GL[[#Headers],[#Data],[subtotal label]],1,FALSE)))</f>
        <v/>
      </c>
      <c r="AF462" s="1063" t="e">
        <f>IF((TB_curr[[#This Row],[Synt]]-TB_curr[[#This Row],[Subtotal Y/N]])=0,0,VLOOKUP(TB_curr[[#This Row],[Synt]],GL[[Account]:[Line]],3,FALSE))</f>
        <v>#VALUE!</v>
      </c>
      <c r="AG462" s="1063" t="e">
        <f>VLOOKUP(TB_curr[[#This Row],[Synt]],GL[[Account]:[B/P]],4,FALSE)</f>
        <v>#N/A</v>
      </c>
      <c r="AH462" s="1066" t="e">
        <v>#VALUE!</v>
      </c>
      <c r="AI462" s="1065" t="e">
        <f>TB_curr[[#This Row],[Synt]]&amp;TB_curr[[#This Row],[Line No. manual corr.]]</f>
        <v>#VALUE!</v>
      </c>
      <c r="AJ462" s="1064">
        <f t="shared" si="36"/>
        <v>0</v>
      </c>
      <c r="AK462" s="1064">
        <f t="shared" si="37"/>
        <v>0</v>
      </c>
      <c r="AL462" s="1064">
        <f t="shared" si="38"/>
        <v>0</v>
      </c>
      <c r="AM462" s="1064">
        <f t="shared" si="39"/>
        <v>0</v>
      </c>
      <c r="AN462" s="1064"/>
      <c r="AO462" s="1064">
        <f>TB_curr[[#This Row],[Closing balance]]+TB_curr[[#This Row],[Rounding]]</f>
        <v>0</v>
      </c>
    </row>
    <row r="463" spans="30:41" x14ac:dyDescent="0.25">
      <c r="AD463" s="1067" t="str">
        <f t="shared" si="35"/>
        <v/>
      </c>
      <c r="AE463" s="1063" t="str">
        <f>IF(ISNA(VLOOKUP(TB_curr[[#This Row],[Synt]],GL[[#Headers],[#Data],[subtotal label]],1,FALSE)),0,(VLOOKUP(TB_curr[[#This Row],[Synt]],GL[[#Headers],[#Data],[subtotal label]],1,FALSE)))</f>
        <v/>
      </c>
      <c r="AF463" s="1063" t="e">
        <f>IF((TB_curr[[#This Row],[Synt]]-TB_curr[[#This Row],[Subtotal Y/N]])=0,0,VLOOKUP(TB_curr[[#This Row],[Synt]],GL[[Account]:[Line]],3,FALSE))</f>
        <v>#VALUE!</v>
      </c>
      <c r="AG463" s="1063" t="e">
        <f>VLOOKUP(TB_curr[[#This Row],[Synt]],GL[[Account]:[B/P]],4,FALSE)</f>
        <v>#N/A</v>
      </c>
      <c r="AH463" s="1066" t="e">
        <v>#VALUE!</v>
      </c>
      <c r="AI463" s="1065" t="e">
        <f>TB_curr[[#This Row],[Synt]]&amp;TB_curr[[#This Row],[Line No. manual corr.]]</f>
        <v>#VALUE!</v>
      </c>
      <c r="AJ463" s="1064">
        <f t="shared" si="36"/>
        <v>0</v>
      </c>
      <c r="AK463" s="1064">
        <f t="shared" si="37"/>
        <v>0</v>
      </c>
      <c r="AL463" s="1064">
        <f t="shared" si="38"/>
        <v>0</v>
      </c>
      <c r="AM463" s="1064">
        <f t="shared" si="39"/>
        <v>0</v>
      </c>
      <c r="AN463" s="1064"/>
      <c r="AO463" s="1064">
        <f>TB_curr[[#This Row],[Closing balance]]+TB_curr[[#This Row],[Rounding]]</f>
        <v>0</v>
      </c>
    </row>
    <row r="464" spans="30:41" x14ac:dyDescent="0.25">
      <c r="AD464" s="1067" t="str">
        <f t="shared" si="35"/>
        <v/>
      </c>
      <c r="AE464" s="1063" t="str">
        <f>IF(ISNA(VLOOKUP(TB_curr[[#This Row],[Synt]],GL[[#Headers],[#Data],[subtotal label]],1,FALSE)),0,(VLOOKUP(TB_curr[[#This Row],[Synt]],GL[[#Headers],[#Data],[subtotal label]],1,FALSE)))</f>
        <v/>
      </c>
      <c r="AF464" s="1063" t="e">
        <f>IF((TB_curr[[#This Row],[Synt]]-TB_curr[[#This Row],[Subtotal Y/N]])=0,0,VLOOKUP(TB_curr[[#This Row],[Synt]],GL[[Account]:[Line]],3,FALSE))</f>
        <v>#VALUE!</v>
      </c>
      <c r="AG464" s="1063" t="e">
        <f>VLOOKUP(TB_curr[[#This Row],[Synt]],GL[[Account]:[B/P]],4,FALSE)</f>
        <v>#N/A</v>
      </c>
      <c r="AH464" s="1066" t="e">
        <v>#VALUE!</v>
      </c>
      <c r="AI464" s="1065" t="e">
        <f>TB_curr[[#This Row],[Synt]]&amp;TB_curr[[#This Row],[Line No. manual corr.]]</f>
        <v>#VALUE!</v>
      </c>
      <c r="AJ464" s="1064">
        <f t="shared" si="36"/>
        <v>0</v>
      </c>
      <c r="AK464" s="1064">
        <f t="shared" si="37"/>
        <v>0</v>
      </c>
      <c r="AL464" s="1064">
        <f t="shared" si="38"/>
        <v>0</v>
      </c>
      <c r="AM464" s="1064">
        <f t="shared" si="39"/>
        <v>0</v>
      </c>
      <c r="AN464" s="1064"/>
      <c r="AO464" s="1064">
        <f>TB_curr[[#This Row],[Closing balance]]+TB_curr[[#This Row],[Rounding]]</f>
        <v>0</v>
      </c>
    </row>
    <row r="465" spans="30:41" x14ac:dyDescent="0.25">
      <c r="AD465" s="1067" t="str">
        <f t="shared" si="35"/>
        <v/>
      </c>
      <c r="AE465" s="1063" t="str">
        <f>IF(ISNA(VLOOKUP(TB_curr[[#This Row],[Synt]],GL[[#Headers],[#Data],[subtotal label]],1,FALSE)),0,(VLOOKUP(TB_curr[[#This Row],[Synt]],GL[[#Headers],[#Data],[subtotal label]],1,FALSE)))</f>
        <v/>
      </c>
      <c r="AF465" s="1063" t="e">
        <f>IF((TB_curr[[#This Row],[Synt]]-TB_curr[[#This Row],[Subtotal Y/N]])=0,0,VLOOKUP(TB_curr[[#This Row],[Synt]],GL[[Account]:[Line]],3,FALSE))</f>
        <v>#VALUE!</v>
      </c>
      <c r="AG465" s="1063" t="e">
        <f>VLOOKUP(TB_curr[[#This Row],[Synt]],GL[[Account]:[B/P]],4,FALSE)</f>
        <v>#N/A</v>
      </c>
      <c r="AH465" s="1066" t="e">
        <v>#VALUE!</v>
      </c>
      <c r="AI465" s="1065" t="e">
        <f>TB_curr[[#This Row],[Synt]]&amp;TB_curr[[#This Row],[Line No. manual corr.]]</f>
        <v>#VALUE!</v>
      </c>
      <c r="AJ465" s="1064">
        <f t="shared" si="36"/>
        <v>0</v>
      </c>
      <c r="AK465" s="1064">
        <f t="shared" si="37"/>
        <v>0</v>
      </c>
      <c r="AL465" s="1064">
        <f t="shared" si="38"/>
        <v>0</v>
      </c>
      <c r="AM465" s="1064">
        <f t="shared" si="39"/>
        <v>0</v>
      </c>
      <c r="AN465" s="1064"/>
      <c r="AO465" s="1064">
        <f>TB_curr[[#This Row],[Closing balance]]+TB_curr[[#This Row],[Rounding]]</f>
        <v>0</v>
      </c>
    </row>
    <row r="466" spans="30:41" x14ac:dyDescent="0.25">
      <c r="AD466" s="1067" t="str">
        <f t="shared" si="35"/>
        <v/>
      </c>
      <c r="AE466" s="1063" t="str">
        <f>IF(ISNA(VLOOKUP(TB_curr[[#This Row],[Synt]],GL[[#Headers],[#Data],[subtotal label]],1,FALSE)),0,(VLOOKUP(TB_curr[[#This Row],[Synt]],GL[[#Headers],[#Data],[subtotal label]],1,FALSE)))</f>
        <v/>
      </c>
      <c r="AF466" s="1063" t="e">
        <f>IF((TB_curr[[#This Row],[Synt]]-TB_curr[[#This Row],[Subtotal Y/N]])=0,0,VLOOKUP(TB_curr[[#This Row],[Synt]],GL[[Account]:[Line]],3,FALSE))</f>
        <v>#VALUE!</v>
      </c>
      <c r="AG466" s="1063" t="e">
        <f>VLOOKUP(TB_curr[[#This Row],[Synt]],GL[[Account]:[B/P]],4,FALSE)</f>
        <v>#N/A</v>
      </c>
      <c r="AH466" s="1066" t="e">
        <v>#VALUE!</v>
      </c>
      <c r="AI466" s="1065" t="e">
        <f>TB_curr[[#This Row],[Synt]]&amp;TB_curr[[#This Row],[Line No. manual corr.]]</f>
        <v>#VALUE!</v>
      </c>
      <c r="AJ466" s="1064">
        <f t="shared" si="36"/>
        <v>0</v>
      </c>
      <c r="AK466" s="1064">
        <f t="shared" si="37"/>
        <v>0</v>
      </c>
      <c r="AL466" s="1064">
        <f t="shared" si="38"/>
        <v>0</v>
      </c>
      <c r="AM466" s="1064">
        <f t="shared" si="39"/>
        <v>0</v>
      </c>
      <c r="AN466" s="1064"/>
      <c r="AO466" s="1064">
        <f>TB_curr[[#This Row],[Closing balance]]+TB_curr[[#This Row],[Rounding]]</f>
        <v>0</v>
      </c>
    </row>
    <row r="467" spans="30:41" x14ac:dyDescent="0.25">
      <c r="AD467" s="1067" t="str">
        <f t="shared" si="35"/>
        <v/>
      </c>
      <c r="AE467" s="1063" t="str">
        <f>IF(ISNA(VLOOKUP(TB_curr[[#This Row],[Synt]],GL[[#Headers],[#Data],[subtotal label]],1,FALSE)),0,(VLOOKUP(TB_curr[[#This Row],[Synt]],GL[[#Headers],[#Data],[subtotal label]],1,FALSE)))</f>
        <v/>
      </c>
      <c r="AF467" s="1063" t="e">
        <f>IF((TB_curr[[#This Row],[Synt]]-TB_curr[[#This Row],[Subtotal Y/N]])=0,0,VLOOKUP(TB_curr[[#This Row],[Synt]],GL[[Account]:[Line]],3,FALSE))</f>
        <v>#VALUE!</v>
      </c>
      <c r="AG467" s="1063" t="e">
        <f>VLOOKUP(TB_curr[[#This Row],[Synt]],GL[[Account]:[B/P]],4,FALSE)</f>
        <v>#N/A</v>
      </c>
      <c r="AH467" s="1066" t="e">
        <v>#VALUE!</v>
      </c>
      <c r="AI467" s="1065" t="e">
        <f>TB_curr[[#This Row],[Synt]]&amp;TB_curr[[#This Row],[Line No. manual corr.]]</f>
        <v>#VALUE!</v>
      </c>
      <c r="AJ467" s="1064">
        <f t="shared" si="36"/>
        <v>0</v>
      </c>
      <c r="AK467" s="1064">
        <f t="shared" si="37"/>
        <v>0</v>
      </c>
      <c r="AL467" s="1064">
        <f t="shared" si="38"/>
        <v>0</v>
      </c>
      <c r="AM467" s="1064">
        <f t="shared" si="39"/>
        <v>0</v>
      </c>
      <c r="AN467" s="1064"/>
      <c r="AO467" s="1064">
        <f>TB_curr[[#This Row],[Closing balance]]+TB_curr[[#This Row],[Rounding]]</f>
        <v>0</v>
      </c>
    </row>
    <row r="468" spans="30:41" x14ac:dyDescent="0.25">
      <c r="AD468" s="1067" t="str">
        <f t="shared" si="35"/>
        <v/>
      </c>
      <c r="AE468" s="1063" t="str">
        <f>IF(ISNA(VLOOKUP(TB_curr[[#This Row],[Synt]],GL[[#Headers],[#Data],[subtotal label]],1,FALSE)),0,(VLOOKUP(TB_curr[[#This Row],[Synt]],GL[[#Headers],[#Data],[subtotal label]],1,FALSE)))</f>
        <v/>
      </c>
      <c r="AF468" s="1063" t="e">
        <f>IF((TB_curr[[#This Row],[Synt]]-TB_curr[[#This Row],[Subtotal Y/N]])=0,0,VLOOKUP(TB_curr[[#This Row],[Synt]],GL[[Account]:[Line]],3,FALSE))</f>
        <v>#VALUE!</v>
      </c>
      <c r="AG468" s="1063" t="e">
        <f>VLOOKUP(TB_curr[[#This Row],[Synt]],GL[[Account]:[B/P]],4,FALSE)</f>
        <v>#N/A</v>
      </c>
      <c r="AH468" s="1066" t="e">
        <v>#VALUE!</v>
      </c>
      <c r="AI468" s="1065" t="e">
        <f>TB_curr[[#This Row],[Synt]]&amp;TB_curr[[#This Row],[Line No. manual corr.]]</f>
        <v>#VALUE!</v>
      </c>
      <c r="AJ468" s="1064">
        <f t="shared" si="36"/>
        <v>0</v>
      </c>
      <c r="AK468" s="1064">
        <f t="shared" si="37"/>
        <v>0</v>
      </c>
      <c r="AL468" s="1064">
        <f t="shared" si="38"/>
        <v>0</v>
      </c>
      <c r="AM468" s="1064">
        <f t="shared" si="39"/>
        <v>0</v>
      </c>
      <c r="AN468" s="1064"/>
      <c r="AO468" s="1064">
        <f>TB_curr[[#This Row],[Closing balance]]+TB_curr[[#This Row],[Rounding]]</f>
        <v>0</v>
      </c>
    </row>
    <row r="469" spans="30:41" x14ac:dyDescent="0.25">
      <c r="AD469" s="1067" t="str">
        <f t="shared" si="35"/>
        <v/>
      </c>
      <c r="AE469" s="1063" t="str">
        <f>IF(ISNA(VLOOKUP(TB_curr[[#This Row],[Synt]],GL[[#Headers],[#Data],[subtotal label]],1,FALSE)),0,(VLOOKUP(TB_curr[[#This Row],[Synt]],GL[[#Headers],[#Data],[subtotal label]],1,FALSE)))</f>
        <v/>
      </c>
      <c r="AF469" s="1063" t="e">
        <f>IF((TB_curr[[#This Row],[Synt]]-TB_curr[[#This Row],[Subtotal Y/N]])=0,0,VLOOKUP(TB_curr[[#This Row],[Synt]],GL[[Account]:[Line]],3,FALSE))</f>
        <v>#VALUE!</v>
      </c>
      <c r="AG469" s="1063" t="e">
        <f>VLOOKUP(TB_curr[[#This Row],[Synt]],GL[[Account]:[B/P]],4,FALSE)</f>
        <v>#N/A</v>
      </c>
      <c r="AH469" s="1066" t="e">
        <v>#VALUE!</v>
      </c>
      <c r="AI469" s="1065" t="e">
        <f>TB_curr[[#This Row],[Synt]]&amp;TB_curr[[#This Row],[Line No. manual corr.]]</f>
        <v>#VALUE!</v>
      </c>
      <c r="AJ469" s="1064">
        <f t="shared" si="36"/>
        <v>0</v>
      </c>
      <c r="AK469" s="1064">
        <f t="shared" si="37"/>
        <v>0</v>
      </c>
      <c r="AL469" s="1064">
        <f t="shared" si="38"/>
        <v>0</v>
      </c>
      <c r="AM469" s="1064">
        <f t="shared" si="39"/>
        <v>0</v>
      </c>
      <c r="AN469" s="1064"/>
      <c r="AO469" s="1064">
        <f>TB_curr[[#This Row],[Closing balance]]+TB_curr[[#This Row],[Rounding]]</f>
        <v>0</v>
      </c>
    </row>
    <row r="470" spans="30:41" x14ac:dyDescent="0.25">
      <c r="AD470" s="1067" t="str">
        <f t="shared" si="35"/>
        <v/>
      </c>
      <c r="AE470" s="1063" t="str">
        <f>IF(ISNA(VLOOKUP(TB_curr[[#This Row],[Synt]],GL[[#Headers],[#Data],[subtotal label]],1,FALSE)),0,(VLOOKUP(TB_curr[[#This Row],[Synt]],GL[[#Headers],[#Data],[subtotal label]],1,FALSE)))</f>
        <v/>
      </c>
      <c r="AF470" s="1063" t="e">
        <f>IF((TB_curr[[#This Row],[Synt]]-TB_curr[[#This Row],[Subtotal Y/N]])=0,0,VLOOKUP(TB_curr[[#This Row],[Synt]],GL[[Account]:[Line]],3,FALSE))</f>
        <v>#VALUE!</v>
      </c>
      <c r="AG470" s="1063" t="e">
        <f>VLOOKUP(TB_curr[[#This Row],[Synt]],GL[[Account]:[B/P]],4,FALSE)</f>
        <v>#N/A</v>
      </c>
      <c r="AH470" s="1066" t="e">
        <v>#VALUE!</v>
      </c>
      <c r="AI470" s="1065" t="e">
        <f>TB_curr[[#This Row],[Synt]]&amp;TB_curr[[#This Row],[Line No. manual corr.]]</f>
        <v>#VALUE!</v>
      </c>
      <c r="AJ470" s="1064">
        <f t="shared" si="36"/>
        <v>0</v>
      </c>
      <c r="AK470" s="1064">
        <f t="shared" si="37"/>
        <v>0</v>
      </c>
      <c r="AL470" s="1064">
        <f t="shared" si="38"/>
        <v>0</v>
      </c>
      <c r="AM470" s="1064">
        <f t="shared" si="39"/>
        <v>0</v>
      </c>
      <c r="AN470" s="1064"/>
      <c r="AO470" s="1064">
        <f>TB_curr[[#This Row],[Closing balance]]+TB_curr[[#This Row],[Rounding]]</f>
        <v>0</v>
      </c>
    </row>
    <row r="471" spans="30:41" x14ac:dyDescent="0.25">
      <c r="AD471" s="1067" t="str">
        <f t="shared" si="35"/>
        <v/>
      </c>
      <c r="AE471" s="1063" t="str">
        <f>IF(ISNA(VLOOKUP(TB_curr[[#This Row],[Synt]],GL[[#Headers],[#Data],[subtotal label]],1,FALSE)),0,(VLOOKUP(TB_curr[[#This Row],[Synt]],GL[[#Headers],[#Data],[subtotal label]],1,FALSE)))</f>
        <v/>
      </c>
      <c r="AF471" s="1063" t="e">
        <f>IF((TB_curr[[#This Row],[Synt]]-TB_curr[[#This Row],[Subtotal Y/N]])=0,0,VLOOKUP(TB_curr[[#This Row],[Synt]],GL[[Account]:[Line]],3,FALSE))</f>
        <v>#VALUE!</v>
      </c>
      <c r="AG471" s="1063" t="e">
        <f>VLOOKUP(TB_curr[[#This Row],[Synt]],GL[[Account]:[B/P]],4,FALSE)</f>
        <v>#N/A</v>
      </c>
      <c r="AH471" s="1066" t="e">
        <v>#VALUE!</v>
      </c>
      <c r="AI471" s="1065" t="e">
        <f>TB_curr[[#This Row],[Synt]]&amp;TB_curr[[#This Row],[Line No. manual corr.]]</f>
        <v>#VALUE!</v>
      </c>
      <c r="AJ471" s="1064">
        <f t="shared" si="36"/>
        <v>0</v>
      </c>
      <c r="AK471" s="1064">
        <f t="shared" si="37"/>
        <v>0</v>
      </c>
      <c r="AL471" s="1064">
        <f t="shared" si="38"/>
        <v>0</v>
      </c>
      <c r="AM471" s="1064">
        <f t="shared" si="39"/>
        <v>0</v>
      </c>
      <c r="AN471" s="1064"/>
      <c r="AO471" s="1064">
        <f>TB_curr[[#This Row],[Closing balance]]+TB_curr[[#This Row],[Rounding]]</f>
        <v>0</v>
      </c>
    </row>
    <row r="472" spans="30:41" x14ac:dyDescent="0.25">
      <c r="AD472" s="1067" t="str">
        <f t="shared" si="35"/>
        <v/>
      </c>
      <c r="AE472" s="1063" t="str">
        <f>IF(ISNA(VLOOKUP(TB_curr[[#This Row],[Synt]],GL[[#Headers],[#Data],[subtotal label]],1,FALSE)),0,(VLOOKUP(TB_curr[[#This Row],[Synt]],GL[[#Headers],[#Data],[subtotal label]],1,FALSE)))</f>
        <v/>
      </c>
      <c r="AF472" s="1063" t="e">
        <f>IF((TB_curr[[#This Row],[Synt]]-TB_curr[[#This Row],[Subtotal Y/N]])=0,0,VLOOKUP(TB_curr[[#This Row],[Synt]],GL[[Account]:[Line]],3,FALSE))</f>
        <v>#VALUE!</v>
      </c>
      <c r="AG472" s="1063" t="e">
        <f>VLOOKUP(TB_curr[[#This Row],[Synt]],GL[[Account]:[B/P]],4,FALSE)</f>
        <v>#N/A</v>
      </c>
      <c r="AH472" s="1066" t="e">
        <v>#VALUE!</v>
      </c>
      <c r="AI472" s="1065" t="e">
        <f>TB_curr[[#This Row],[Synt]]&amp;TB_curr[[#This Row],[Line No. manual corr.]]</f>
        <v>#VALUE!</v>
      </c>
      <c r="AJ472" s="1064">
        <f t="shared" si="36"/>
        <v>0</v>
      </c>
      <c r="AK472" s="1064">
        <f t="shared" si="37"/>
        <v>0</v>
      </c>
      <c r="AL472" s="1064">
        <f t="shared" si="38"/>
        <v>0</v>
      </c>
      <c r="AM472" s="1064">
        <f t="shared" si="39"/>
        <v>0</v>
      </c>
      <c r="AN472" s="1064"/>
      <c r="AO472" s="1064">
        <f>TB_curr[[#This Row],[Closing balance]]+TB_curr[[#This Row],[Rounding]]</f>
        <v>0</v>
      </c>
    </row>
    <row r="473" spans="30:41" x14ac:dyDescent="0.25">
      <c r="AD473" s="1067" t="str">
        <f t="shared" si="35"/>
        <v/>
      </c>
      <c r="AE473" s="1063" t="str">
        <f>IF(ISNA(VLOOKUP(TB_curr[[#This Row],[Synt]],GL[[#Headers],[#Data],[subtotal label]],1,FALSE)),0,(VLOOKUP(TB_curr[[#This Row],[Synt]],GL[[#Headers],[#Data],[subtotal label]],1,FALSE)))</f>
        <v/>
      </c>
      <c r="AF473" s="1063" t="e">
        <f>IF((TB_curr[[#This Row],[Synt]]-TB_curr[[#This Row],[Subtotal Y/N]])=0,0,VLOOKUP(TB_curr[[#This Row],[Synt]],GL[[Account]:[Line]],3,FALSE))</f>
        <v>#VALUE!</v>
      </c>
      <c r="AG473" s="1063" t="e">
        <f>VLOOKUP(TB_curr[[#This Row],[Synt]],GL[[Account]:[B/P]],4,FALSE)</f>
        <v>#N/A</v>
      </c>
      <c r="AH473" s="1066" t="e">
        <v>#VALUE!</v>
      </c>
      <c r="AI473" s="1065" t="e">
        <f>TB_curr[[#This Row],[Synt]]&amp;TB_curr[[#This Row],[Line No. manual corr.]]</f>
        <v>#VALUE!</v>
      </c>
      <c r="AJ473" s="1064">
        <f t="shared" si="36"/>
        <v>0</v>
      </c>
      <c r="AK473" s="1064">
        <f t="shared" si="37"/>
        <v>0</v>
      </c>
      <c r="AL473" s="1064">
        <f t="shared" si="38"/>
        <v>0</v>
      </c>
      <c r="AM473" s="1064">
        <f t="shared" si="39"/>
        <v>0</v>
      </c>
      <c r="AN473" s="1064"/>
      <c r="AO473" s="1064">
        <f>TB_curr[[#This Row],[Closing balance]]+TB_curr[[#This Row],[Rounding]]</f>
        <v>0</v>
      </c>
    </row>
    <row r="474" spans="30:41" x14ac:dyDescent="0.25">
      <c r="AD474" s="1067" t="str">
        <f t="shared" si="35"/>
        <v/>
      </c>
      <c r="AE474" s="1063" t="str">
        <f>IF(ISNA(VLOOKUP(TB_curr[[#This Row],[Synt]],GL[[#Headers],[#Data],[subtotal label]],1,FALSE)),0,(VLOOKUP(TB_curr[[#This Row],[Synt]],GL[[#Headers],[#Data],[subtotal label]],1,FALSE)))</f>
        <v/>
      </c>
      <c r="AF474" s="1063" t="e">
        <f>IF((TB_curr[[#This Row],[Synt]]-TB_curr[[#This Row],[Subtotal Y/N]])=0,0,VLOOKUP(TB_curr[[#This Row],[Synt]],GL[[Account]:[Line]],3,FALSE))</f>
        <v>#VALUE!</v>
      </c>
      <c r="AG474" s="1063" t="e">
        <f>VLOOKUP(TB_curr[[#This Row],[Synt]],GL[[Account]:[B/P]],4,FALSE)</f>
        <v>#N/A</v>
      </c>
      <c r="AH474" s="1066" t="e">
        <v>#VALUE!</v>
      </c>
      <c r="AI474" s="1065" t="e">
        <f>TB_curr[[#This Row],[Synt]]&amp;TB_curr[[#This Row],[Line No. manual corr.]]</f>
        <v>#VALUE!</v>
      </c>
      <c r="AJ474" s="1064">
        <f t="shared" si="36"/>
        <v>0</v>
      </c>
      <c r="AK474" s="1064">
        <f t="shared" si="37"/>
        <v>0</v>
      </c>
      <c r="AL474" s="1064">
        <f t="shared" si="38"/>
        <v>0</v>
      </c>
      <c r="AM474" s="1064">
        <f t="shared" si="39"/>
        <v>0</v>
      </c>
      <c r="AN474" s="1064"/>
      <c r="AO474" s="1064">
        <f>TB_curr[[#This Row],[Closing balance]]+TB_curr[[#This Row],[Rounding]]</f>
        <v>0</v>
      </c>
    </row>
    <row r="475" spans="30:41" x14ac:dyDescent="0.25">
      <c r="AD475" s="1067" t="str">
        <f t="shared" si="35"/>
        <v/>
      </c>
      <c r="AE475" s="1063" t="str">
        <f>IF(ISNA(VLOOKUP(TB_curr[[#This Row],[Synt]],GL[[#Headers],[#Data],[subtotal label]],1,FALSE)),0,(VLOOKUP(TB_curr[[#This Row],[Synt]],GL[[#Headers],[#Data],[subtotal label]],1,FALSE)))</f>
        <v/>
      </c>
      <c r="AF475" s="1063" t="e">
        <f>IF((TB_curr[[#This Row],[Synt]]-TB_curr[[#This Row],[Subtotal Y/N]])=0,0,VLOOKUP(TB_curr[[#This Row],[Synt]],GL[[Account]:[Line]],3,FALSE))</f>
        <v>#VALUE!</v>
      </c>
      <c r="AG475" s="1063" t="e">
        <f>VLOOKUP(TB_curr[[#This Row],[Synt]],GL[[Account]:[B/P]],4,FALSE)</f>
        <v>#N/A</v>
      </c>
      <c r="AH475" s="1066" t="e">
        <v>#VALUE!</v>
      </c>
      <c r="AI475" s="1065" t="e">
        <f>TB_curr[[#This Row],[Synt]]&amp;TB_curr[[#This Row],[Line No. manual corr.]]</f>
        <v>#VALUE!</v>
      </c>
      <c r="AJ475" s="1064">
        <f t="shared" si="36"/>
        <v>0</v>
      </c>
      <c r="AK475" s="1064">
        <f t="shared" si="37"/>
        <v>0</v>
      </c>
      <c r="AL475" s="1064">
        <f t="shared" si="38"/>
        <v>0</v>
      </c>
      <c r="AM475" s="1064">
        <f t="shared" si="39"/>
        <v>0</v>
      </c>
      <c r="AN475" s="1064"/>
      <c r="AO475" s="1064">
        <f>TB_curr[[#This Row],[Closing balance]]+TB_curr[[#This Row],[Rounding]]</f>
        <v>0</v>
      </c>
    </row>
    <row r="476" spans="30:41" x14ac:dyDescent="0.25">
      <c r="AD476" s="1067" t="str">
        <f t="shared" si="35"/>
        <v/>
      </c>
      <c r="AE476" s="1063" t="str">
        <f>IF(ISNA(VLOOKUP(TB_curr[[#This Row],[Synt]],GL[[#Headers],[#Data],[subtotal label]],1,FALSE)),0,(VLOOKUP(TB_curr[[#This Row],[Synt]],GL[[#Headers],[#Data],[subtotal label]],1,FALSE)))</f>
        <v/>
      </c>
      <c r="AF476" s="1063" t="e">
        <f>IF((TB_curr[[#This Row],[Synt]]-TB_curr[[#This Row],[Subtotal Y/N]])=0,0,VLOOKUP(TB_curr[[#This Row],[Synt]],GL[[Account]:[Line]],3,FALSE))</f>
        <v>#VALUE!</v>
      </c>
      <c r="AG476" s="1063" t="e">
        <f>VLOOKUP(TB_curr[[#This Row],[Synt]],GL[[Account]:[B/P]],4,FALSE)</f>
        <v>#N/A</v>
      </c>
      <c r="AH476" s="1066" t="e">
        <v>#VALUE!</v>
      </c>
      <c r="AI476" s="1065" t="e">
        <f>TB_curr[[#This Row],[Synt]]&amp;TB_curr[[#This Row],[Line No. manual corr.]]</f>
        <v>#VALUE!</v>
      </c>
      <c r="AJ476" s="1064">
        <f t="shared" si="36"/>
        <v>0</v>
      </c>
      <c r="AK476" s="1064">
        <f t="shared" si="37"/>
        <v>0</v>
      </c>
      <c r="AL476" s="1064">
        <f t="shared" si="38"/>
        <v>0</v>
      </c>
      <c r="AM476" s="1064">
        <f t="shared" si="39"/>
        <v>0</v>
      </c>
      <c r="AN476" s="1064"/>
      <c r="AO476" s="1064">
        <f>TB_curr[[#This Row],[Closing balance]]+TB_curr[[#This Row],[Rounding]]</f>
        <v>0</v>
      </c>
    </row>
    <row r="477" spans="30:41" x14ac:dyDescent="0.25">
      <c r="AD477" s="1067" t="str">
        <f t="shared" si="35"/>
        <v/>
      </c>
      <c r="AE477" s="1063" t="str">
        <f>IF(ISNA(VLOOKUP(TB_curr[[#This Row],[Synt]],GL[[#Headers],[#Data],[subtotal label]],1,FALSE)),0,(VLOOKUP(TB_curr[[#This Row],[Synt]],GL[[#Headers],[#Data],[subtotal label]],1,FALSE)))</f>
        <v/>
      </c>
      <c r="AF477" s="1063" t="e">
        <f>IF((TB_curr[[#This Row],[Synt]]-TB_curr[[#This Row],[Subtotal Y/N]])=0,0,VLOOKUP(TB_curr[[#This Row],[Synt]],GL[[Account]:[Line]],3,FALSE))</f>
        <v>#VALUE!</v>
      </c>
      <c r="AG477" s="1063" t="e">
        <f>VLOOKUP(TB_curr[[#This Row],[Synt]],GL[[Account]:[B/P]],4,FALSE)</f>
        <v>#N/A</v>
      </c>
      <c r="AH477" s="1066" t="e">
        <v>#VALUE!</v>
      </c>
      <c r="AI477" s="1065" t="e">
        <f>TB_curr[[#This Row],[Synt]]&amp;TB_curr[[#This Row],[Line No. manual corr.]]</f>
        <v>#VALUE!</v>
      </c>
      <c r="AJ477" s="1064">
        <f t="shared" si="36"/>
        <v>0</v>
      </c>
      <c r="AK477" s="1064">
        <f t="shared" si="37"/>
        <v>0</v>
      </c>
      <c r="AL477" s="1064">
        <f t="shared" si="38"/>
        <v>0</v>
      </c>
      <c r="AM477" s="1064">
        <f t="shared" si="39"/>
        <v>0</v>
      </c>
      <c r="AN477" s="1064"/>
      <c r="AO477" s="1064">
        <f>TB_curr[[#This Row],[Closing balance]]+TB_curr[[#This Row],[Rounding]]</f>
        <v>0</v>
      </c>
    </row>
    <row r="478" spans="30:41" x14ac:dyDescent="0.25">
      <c r="AD478" s="1067" t="str">
        <f t="shared" si="35"/>
        <v/>
      </c>
      <c r="AE478" s="1063" t="str">
        <f>IF(ISNA(VLOOKUP(TB_curr[[#This Row],[Synt]],GL[[#Headers],[#Data],[subtotal label]],1,FALSE)),0,(VLOOKUP(TB_curr[[#This Row],[Synt]],GL[[#Headers],[#Data],[subtotal label]],1,FALSE)))</f>
        <v/>
      </c>
      <c r="AF478" s="1063" t="e">
        <f>IF((TB_curr[[#This Row],[Synt]]-TB_curr[[#This Row],[Subtotal Y/N]])=0,0,VLOOKUP(TB_curr[[#This Row],[Synt]],GL[[Account]:[Line]],3,FALSE))</f>
        <v>#VALUE!</v>
      </c>
      <c r="AG478" s="1063" t="e">
        <f>VLOOKUP(TB_curr[[#This Row],[Synt]],GL[[Account]:[B/P]],4,FALSE)</f>
        <v>#N/A</v>
      </c>
      <c r="AH478" s="1066" t="e">
        <v>#VALUE!</v>
      </c>
      <c r="AI478" s="1065" t="e">
        <f>TB_curr[[#This Row],[Synt]]&amp;TB_curr[[#This Row],[Line No. manual corr.]]</f>
        <v>#VALUE!</v>
      </c>
      <c r="AJ478" s="1064">
        <f t="shared" si="36"/>
        <v>0</v>
      </c>
      <c r="AK478" s="1064">
        <f t="shared" si="37"/>
        <v>0</v>
      </c>
      <c r="AL478" s="1064">
        <f t="shared" si="38"/>
        <v>0</v>
      </c>
      <c r="AM478" s="1064">
        <f t="shared" si="39"/>
        <v>0</v>
      </c>
      <c r="AN478" s="1064"/>
      <c r="AO478" s="1064">
        <f>TB_curr[[#This Row],[Closing balance]]+TB_curr[[#This Row],[Rounding]]</f>
        <v>0</v>
      </c>
    </row>
    <row r="479" spans="30:41" x14ac:dyDescent="0.25">
      <c r="AD479" s="1067" t="str">
        <f t="shared" si="35"/>
        <v/>
      </c>
      <c r="AE479" s="1063" t="str">
        <f>IF(ISNA(VLOOKUP(TB_curr[[#This Row],[Synt]],GL[[#Headers],[#Data],[subtotal label]],1,FALSE)),0,(VLOOKUP(TB_curr[[#This Row],[Synt]],GL[[#Headers],[#Data],[subtotal label]],1,FALSE)))</f>
        <v/>
      </c>
      <c r="AF479" s="1063" t="e">
        <f>IF((TB_curr[[#This Row],[Synt]]-TB_curr[[#This Row],[Subtotal Y/N]])=0,0,VLOOKUP(TB_curr[[#This Row],[Synt]],GL[[Account]:[Line]],3,FALSE))</f>
        <v>#VALUE!</v>
      </c>
      <c r="AG479" s="1063" t="e">
        <f>VLOOKUP(TB_curr[[#This Row],[Synt]],GL[[Account]:[B/P]],4,FALSE)</f>
        <v>#N/A</v>
      </c>
      <c r="AH479" s="1066" t="e">
        <v>#VALUE!</v>
      </c>
      <c r="AI479" s="1065" t="e">
        <f>TB_curr[[#This Row],[Synt]]&amp;TB_curr[[#This Row],[Line No. manual corr.]]</f>
        <v>#VALUE!</v>
      </c>
      <c r="AJ479" s="1064">
        <f t="shared" si="36"/>
        <v>0</v>
      </c>
      <c r="AK479" s="1064">
        <f t="shared" si="37"/>
        <v>0</v>
      </c>
      <c r="AL479" s="1064">
        <f t="shared" si="38"/>
        <v>0</v>
      </c>
      <c r="AM479" s="1064">
        <f t="shared" si="39"/>
        <v>0</v>
      </c>
      <c r="AN479" s="1064"/>
      <c r="AO479" s="1064">
        <f>TB_curr[[#This Row],[Closing balance]]+TB_curr[[#This Row],[Rounding]]</f>
        <v>0</v>
      </c>
    </row>
    <row r="480" spans="30:41" x14ac:dyDescent="0.25">
      <c r="AD480" s="1067" t="str">
        <f t="shared" si="35"/>
        <v/>
      </c>
      <c r="AE480" s="1063" t="str">
        <f>IF(ISNA(VLOOKUP(TB_curr[[#This Row],[Synt]],GL[[#Headers],[#Data],[subtotal label]],1,FALSE)),0,(VLOOKUP(TB_curr[[#This Row],[Synt]],GL[[#Headers],[#Data],[subtotal label]],1,FALSE)))</f>
        <v/>
      </c>
      <c r="AF480" s="1063" t="e">
        <f>IF((TB_curr[[#This Row],[Synt]]-TB_curr[[#This Row],[Subtotal Y/N]])=0,0,VLOOKUP(TB_curr[[#This Row],[Synt]],GL[[Account]:[Line]],3,FALSE))</f>
        <v>#VALUE!</v>
      </c>
      <c r="AG480" s="1063" t="e">
        <f>VLOOKUP(TB_curr[[#This Row],[Synt]],GL[[Account]:[B/P]],4,FALSE)</f>
        <v>#N/A</v>
      </c>
      <c r="AH480" s="1066" t="e">
        <v>#VALUE!</v>
      </c>
      <c r="AI480" s="1065" t="e">
        <f>TB_curr[[#This Row],[Synt]]&amp;TB_curr[[#This Row],[Line No. manual corr.]]</f>
        <v>#VALUE!</v>
      </c>
      <c r="AJ480" s="1064">
        <f t="shared" si="36"/>
        <v>0</v>
      </c>
      <c r="AK480" s="1064">
        <f t="shared" si="37"/>
        <v>0</v>
      </c>
      <c r="AL480" s="1064">
        <f t="shared" si="38"/>
        <v>0</v>
      </c>
      <c r="AM480" s="1064">
        <f t="shared" si="39"/>
        <v>0</v>
      </c>
      <c r="AN480" s="1064"/>
      <c r="AO480" s="1064">
        <f>TB_curr[[#This Row],[Closing balance]]+TB_curr[[#This Row],[Rounding]]</f>
        <v>0</v>
      </c>
    </row>
    <row r="481" spans="30:41" x14ac:dyDescent="0.25">
      <c r="AD481" s="1067" t="str">
        <f t="shared" si="35"/>
        <v/>
      </c>
      <c r="AE481" s="1063" t="str">
        <f>IF(ISNA(VLOOKUP(TB_curr[[#This Row],[Synt]],GL[[#Headers],[#Data],[subtotal label]],1,FALSE)),0,(VLOOKUP(TB_curr[[#This Row],[Synt]],GL[[#Headers],[#Data],[subtotal label]],1,FALSE)))</f>
        <v/>
      </c>
      <c r="AF481" s="1063" t="e">
        <f>IF((TB_curr[[#This Row],[Synt]]-TB_curr[[#This Row],[Subtotal Y/N]])=0,0,VLOOKUP(TB_curr[[#This Row],[Synt]],GL[[Account]:[Line]],3,FALSE))</f>
        <v>#VALUE!</v>
      </c>
      <c r="AG481" s="1063" t="e">
        <f>VLOOKUP(TB_curr[[#This Row],[Synt]],GL[[Account]:[B/P]],4,FALSE)</f>
        <v>#N/A</v>
      </c>
      <c r="AH481" s="1066" t="e">
        <v>#VALUE!</v>
      </c>
      <c r="AI481" s="1065" t="e">
        <f>TB_curr[[#This Row],[Synt]]&amp;TB_curr[[#This Row],[Line No. manual corr.]]</f>
        <v>#VALUE!</v>
      </c>
      <c r="AJ481" s="1064">
        <f t="shared" si="36"/>
        <v>0</v>
      </c>
      <c r="AK481" s="1064">
        <f t="shared" si="37"/>
        <v>0</v>
      </c>
      <c r="AL481" s="1064">
        <f t="shared" si="38"/>
        <v>0</v>
      </c>
      <c r="AM481" s="1064">
        <f t="shared" si="39"/>
        <v>0</v>
      </c>
      <c r="AN481" s="1064"/>
      <c r="AO481" s="1064">
        <f>TB_curr[[#This Row],[Closing balance]]+TB_curr[[#This Row],[Rounding]]</f>
        <v>0</v>
      </c>
    </row>
    <row r="482" spans="30:41" x14ac:dyDescent="0.25">
      <c r="AD482" s="1067" t="str">
        <f t="shared" si="35"/>
        <v/>
      </c>
      <c r="AE482" s="1063" t="str">
        <f>IF(ISNA(VLOOKUP(TB_curr[[#This Row],[Synt]],GL[[#Headers],[#Data],[subtotal label]],1,FALSE)),0,(VLOOKUP(TB_curr[[#This Row],[Synt]],GL[[#Headers],[#Data],[subtotal label]],1,FALSE)))</f>
        <v/>
      </c>
      <c r="AF482" s="1063" t="e">
        <f>IF((TB_curr[[#This Row],[Synt]]-TB_curr[[#This Row],[Subtotal Y/N]])=0,0,VLOOKUP(TB_curr[[#This Row],[Synt]],GL[[Account]:[Line]],3,FALSE))</f>
        <v>#VALUE!</v>
      </c>
      <c r="AG482" s="1063" t="e">
        <f>VLOOKUP(TB_curr[[#This Row],[Synt]],GL[[Account]:[B/P]],4,FALSE)</f>
        <v>#N/A</v>
      </c>
      <c r="AH482" s="1066" t="e">
        <v>#VALUE!</v>
      </c>
      <c r="AI482" s="1065" t="e">
        <f>TB_curr[[#This Row],[Synt]]&amp;TB_curr[[#This Row],[Line No. manual corr.]]</f>
        <v>#VALUE!</v>
      </c>
      <c r="AJ482" s="1064">
        <f t="shared" si="36"/>
        <v>0</v>
      </c>
      <c r="AK482" s="1064">
        <f t="shared" si="37"/>
        <v>0</v>
      </c>
      <c r="AL482" s="1064">
        <f t="shared" si="38"/>
        <v>0</v>
      </c>
      <c r="AM482" s="1064">
        <f t="shared" si="39"/>
        <v>0</v>
      </c>
      <c r="AN482" s="1064"/>
      <c r="AO482" s="1064">
        <f>TB_curr[[#This Row],[Closing balance]]+TB_curr[[#This Row],[Rounding]]</f>
        <v>0</v>
      </c>
    </row>
    <row r="483" spans="30:41" x14ac:dyDescent="0.25">
      <c r="AD483" s="1067" t="str">
        <f t="shared" si="35"/>
        <v/>
      </c>
      <c r="AE483" s="1063" t="str">
        <f>IF(ISNA(VLOOKUP(TB_curr[[#This Row],[Synt]],GL[[#Headers],[#Data],[subtotal label]],1,FALSE)),0,(VLOOKUP(TB_curr[[#This Row],[Synt]],GL[[#Headers],[#Data],[subtotal label]],1,FALSE)))</f>
        <v/>
      </c>
      <c r="AF483" s="1063" t="e">
        <f>IF((TB_curr[[#This Row],[Synt]]-TB_curr[[#This Row],[Subtotal Y/N]])=0,0,VLOOKUP(TB_curr[[#This Row],[Synt]],GL[[Account]:[Line]],3,FALSE))</f>
        <v>#VALUE!</v>
      </c>
      <c r="AG483" s="1063" t="e">
        <f>VLOOKUP(TB_curr[[#This Row],[Synt]],GL[[Account]:[B/P]],4,FALSE)</f>
        <v>#N/A</v>
      </c>
      <c r="AH483" s="1066" t="e">
        <v>#VALUE!</v>
      </c>
      <c r="AI483" s="1065" t="e">
        <f>TB_curr[[#This Row],[Synt]]&amp;TB_curr[[#This Row],[Line No. manual corr.]]</f>
        <v>#VALUE!</v>
      </c>
      <c r="AJ483" s="1064">
        <f t="shared" si="36"/>
        <v>0</v>
      </c>
      <c r="AK483" s="1064">
        <f t="shared" si="37"/>
        <v>0</v>
      </c>
      <c r="AL483" s="1064">
        <f t="shared" si="38"/>
        <v>0</v>
      </c>
      <c r="AM483" s="1064">
        <f t="shared" si="39"/>
        <v>0</v>
      </c>
      <c r="AN483" s="1064"/>
      <c r="AO483" s="1064">
        <f>TB_curr[[#This Row],[Closing balance]]+TB_curr[[#This Row],[Rounding]]</f>
        <v>0</v>
      </c>
    </row>
    <row r="484" spans="30:41" x14ac:dyDescent="0.25">
      <c r="AD484" s="1067" t="str">
        <f t="shared" si="35"/>
        <v/>
      </c>
      <c r="AE484" s="1063" t="str">
        <f>IF(ISNA(VLOOKUP(TB_curr[[#This Row],[Synt]],GL[[#Headers],[#Data],[subtotal label]],1,FALSE)),0,(VLOOKUP(TB_curr[[#This Row],[Synt]],GL[[#Headers],[#Data],[subtotal label]],1,FALSE)))</f>
        <v/>
      </c>
      <c r="AF484" s="1063" t="e">
        <f>IF((TB_curr[[#This Row],[Synt]]-TB_curr[[#This Row],[Subtotal Y/N]])=0,0,VLOOKUP(TB_curr[[#This Row],[Synt]],GL[[Account]:[Line]],3,FALSE))</f>
        <v>#VALUE!</v>
      </c>
      <c r="AG484" s="1063" t="e">
        <f>VLOOKUP(TB_curr[[#This Row],[Synt]],GL[[Account]:[B/P]],4,FALSE)</f>
        <v>#N/A</v>
      </c>
      <c r="AH484" s="1066" t="e">
        <v>#VALUE!</v>
      </c>
      <c r="AI484" s="1065" t="e">
        <f>TB_curr[[#This Row],[Synt]]&amp;TB_curr[[#This Row],[Line No. manual corr.]]</f>
        <v>#VALUE!</v>
      </c>
      <c r="AJ484" s="1064">
        <f t="shared" si="36"/>
        <v>0</v>
      </c>
      <c r="AK484" s="1064">
        <f t="shared" si="37"/>
        <v>0</v>
      </c>
      <c r="AL484" s="1064">
        <f t="shared" si="38"/>
        <v>0</v>
      </c>
      <c r="AM484" s="1064">
        <f t="shared" si="39"/>
        <v>0</v>
      </c>
      <c r="AN484" s="1064"/>
      <c r="AO484" s="1064">
        <f>TB_curr[[#This Row],[Closing balance]]+TB_curr[[#This Row],[Rounding]]</f>
        <v>0</v>
      </c>
    </row>
    <row r="485" spans="30:41" x14ac:dyDescent="0.25">
      <c r="AD485" s="1067" t="str">
        <f t="shared" si="35"/>
        <v/>
      </c>
      <c r="AE485" s="1063" t="str">
        <f>IF(ISNA(VLOOKUP(TB_curr[[#This Row],[Synt]],GL[[#Headers],[#Data],[subtotal label]],1,FALSE)),0,(VLOOKUP(TB_curr[[#This Row],[Synt]],GL[[#Headers],[#Data],[subtotal label]],1,FALSE)))</f>
        <v/>
      </c>
      <c r="AF485" s="1063" t="e">
        <f>IF((TB_curr[[#This Row],[Synt]]-TB_curr[[#This Row],[Subtotal Y/N]])=0,0,VLOOKUP(TB_curr[[#This Row],[Synt]],GL[[Account]:[Line]],3,FALSE))</f>
        <v>#VALUE!</v>
      </c>
      <c r="AG485" s="1063" t="e">
        <f>VLOOKUP(TB_curr[[#This Row],[Synt]],GL[[Account]:[B/P]],4,FALSE)</f>
        <v>#N/A</v>
      </c>
      <c r="AH485" s="1066" t="e">
        <v>#VALUE!</v>
      </c>
      <c r="AI485" s="1065" t="e">
        <f>TB_curr[[#This Row],[Synt]]&amp;TB_curr[[#This Row],[Line No. manual corr.]]</f>
        <v>#VALUE!</v>
      </c>
      <c r="AJ485" s="1064">
        <f t="shared" si="36"/>
        <v>0</v>
      </c>
      <c r="AK485" s="1064">
        <f t="shared" si="37"/>
        <v>0</v>
      </c>
      <c r="AL485" s="1064">
        <f t="shared" si="38"/>
        <v>0</v>
      </c>
      <c r="AM485" s="1064">
        <f t="shared" si="39"/>
        <v>0</v>
      </c>
      <c r="AN485" s="1064"/>
      <c r="AO485" s="1064">
        <f>TB_curr[[#This Row],[Closing balance]]+TB_curr[[#This Row],[Rounding]]</f>
        <v>0</v>
      </c>
    </row>
    <row r="486" spans="30:41" x14ac:dyDescent="0.25">
      <c r="AD486" s="1067" t="str">
        <f t="shared" si="35"/>
        <v/>
      </c>
      <c r="AE486" s="1063" t="str">
        <f>IF(ISNA(VLOOKUP(TB_curr[[#This Row],[Synt]],GL[[#Headers],[#Data],[subtotal label]],1,FALSE)),0,(VLOOKUP(TB_curr[[#This Row],[Synt]],GL[[#Headers],[#Data],[subtotal label]],1,FALSE)))</f>
        <v/>
      </c>
      <c r="AF486" s="1063" t="e">
        <f>IF((TB_curr[[#This Row],[Synt]]-TB_curr[[#This Row],[Subtotal Y/N]])=0,0,VLOOKUP(TB_curr[[#This Row],[Synt]],GL[[Account]:[Line]],3,FALSE))</f>
        <v>#VALUE!</v>
      </c>
      <c r="AG486" s="1063" t="e">
        <f>VLOOKUP(TB_curr[[#This Row],[Synt]],GL[[Account]:[B/P]],4,FALSE)</f>
        <v>#N/A</v>
      </c>
      <c r="AH486" s="1066" t="e">
        <v>#VALUE!</v>
      </c>
      <c r="AI486" s="1065" t="e">
        <f>TB_curr[[#This Row],[Synt]]&amp;TB_curr[[#This Row],[Line No. manual corr.]]</f>
        <v>#VALUE!</v>
      </c>
      <c r="AJ486" s="1064">
        <f t="shared" si="36"/>
        <v>0</v>
      </c>
      <c r="AK486" s="1064">
        <f t="shared" si="37"/>
        <v>0</v>
      </c>
      <c r="AL486" s="1064">
        <f t="shared" si="38"/>
        <v>0</v>
      </c>
      <c r="AM486" s="1064">
        <f t="shared" si="39"/>
        <v>0</v>
      </c>
      <c r="AN486" s="1064"/>
      <c r="AO486" s="1064">
        <f>TB_curr[[#This Row],[Closing balance]]+TB_curr[[#This Row],[Rounding]]</f>
        <v>0</v>
      </c>
    </row>
    <row r="487" spans="30:41" x14ac:dyDescent="0.25">
      <c r="AD487" s="1067" t="str">
        <f t="shared" si="35"/>
        <v/>
      </c>
      <c r="AE487" s="1063" t="str">
        <f>IF(ISNA(VLOOKUP(TB_curr[[#This Row],[Synt]],GL[[#Headers],[#Data],[subtotal label]],1,FALSE)),0,(VLOOKUP(TB_curr[[#This Row],[Synt]],GL[[#Headers],[#Data],[subtotal label]],1,FALSE)))</f>
        <v/>
      </c>
      <c r="AF487" s="1063" t="e">
        <f>IF((TB_curr[[#This Row],[Synt]]-TB_curr[[#This Row],[Subtotal Y/N]])=0,0,VLOOKUP(TB_curr[[#This Row],[Synt]],GL[[Account]:[Line]],3,FALSE))</f>
        <v>#VALUE!</v>
      </c>
      <c r="AG487" s="1063" t="e">
        <f>VLOOKUP(TB_curr[[#This Row],[Synt]],GL[[Account]:[B/P]],4,FALSE)</f>
        <v>#N/A</v>
      </c>
      <c r="AH487" s="1066" t="e">
        <v>#VALUE!</v>
      </c>
      <c r="AI487" s="1065" t="e">
        <f>TB_curr[[#This Row],[Synt]]&amp;TB_curr[[#This Row],[Line No. manual corr.]]</f>
        <v>#VALUE!</v>
      </c>
      <c r="AJ487" s="1064">
        <f t="shared" si="36"/>
        <v>0</v>
      </c>
      <c r="AK487" s="1064">
        <f t="shared" si="37"/>
        <v>0</v>
      </c>
      <c r="AL487" s="1064">
        <f t="shared" si="38"/>
        <v>0</v>
      </c>
      <c r="AM487" s="1064">
        <f t="shared" si="39"/>
        <v>0</v>
      </c>
      <c r="AN487" s="1064"/>
      <c r="AO487" s="1064">
        <f>TB_curr[[#This Row],[Closing balance]]+TB_curr[[#This Row],[Rounding]]</f>
        <v>0</v>
      </c>
    </row>
    <row r="488" spans="30:41" x14ac:dyDescent="0.25">
      <c r="AD488" s="1067" t="str">
        <f t="shared" si="35"/>
        <v/>
      </c>
      <c r="AE488" s="1063" t="str">
        <f>IF(ISNA(VLOOKUP(TB_curr[[#This Row],[Synt]],GL[[#Headers],[#Data],[subtotal label]],1,FALSE)),0,(VLOOKUP(TB_curr[[#This Row],[Synt]],GL[[#Headers],[#Data],[subtotal label]],1,FALSE)))</f>
        <v/>
      </c>
      <c r="AF488" s="1063" t="e">
        <f>IF((TB_curr[[#This Row],[Synt]]-TB_curr[[#This Row],[Subtotal Y/N]])=0,0,VLOOKUP(TB_curr[[#This Row],[Synt]],GL[[Account]:[Line]],3,FALSE))</f>
        <v>#VALUE!</v>
      </c>
      <c r="AG488" s="1063" t="e">
        <f>VLOOKUP(TB_curr[[#This Row],[Synt]],GL[[Account]:[B/P]],4,FALSE)</f>
        <v>#N/A</v>
      </c>
      <c r="AH488" s="1066" t="e">
        <v>#VALUE!</v>
      </c>
      <c r="AI488" s="1065" t="e">
        <f>TB_curr[[#This Row],[Synt]]&amp;TB_curr[[#This Row],[Line No. manual corr.]]</f>
        <v>#VALUE!</v>
      </c>
      <c r="AJ488" s="1064">
        <f t="shared" si="36"/>
        <v>0</v>
      </c>
      <c r="AK488" s="1064">
        <f t="shared" si="37"/>
        <v>0</v>
      </c>
      <c r="AL488" s="1064">
        <f t="shared" si="38"/>
        <v>0</v>
      </c>
      <c r="AM488" s="1064">
        <f t="shared" si="39"/>
        <v>0</v>
      </c>
      <c r="AN488" s="1064"/>
      <c r="AO488" s="1064">
        <f>TB_curr[[#This Row],[Closing balance]]+TB_curr[[#This Row],[Rounding]]</f>
        <v>0</v>
      </c>
    </row>
    <row r="489" spans="30:41" x14ac:dyDescent="0.25">
      <c r="AD489" s="1067" t="str">
        <f t="shared" si="35"/>
        <v/>
      </c>
      <c r="AE489" s="1063" t="str">
        <f>IF(ISNA(VLOOKUP(TB_curr[[#This Row],[Synt]],GL[[#Headers],[#Data],[subtotal label]],1,FALSE)),0,(VLOOKUP(TB_curr[[#This Row],[Synt]],GL[[#Headers],[#Data],[subtotal label]],1,FALSE)))</f>
        <v/>
      </c>
      <c r="AF489" s="1063" t="e">
        <f>IF((TB_curr[[#This Row],[Synt]]-TB_curr[[#This Row],[Subtotal Y/N]])=0,0,VLOOKUP(TB_curr[[#This Row],[Synt]],GL[[Account]:[Line]],3,FALSE))</f>
        <v>#VALUE!</v>
      </c>
      <c r="AG489" s="1063" t="e">
        <f>VLOOKUP(TB_curr[[#This Row],[Synt]],GL[[Account]:[B/P]],4,FALSE)</f>
        <v>#N/A</v>
      </c>
      <c r="AH489" s="1066" t="e">
        <v>#VALUE!</v>
      </c>
      <c r="AI489" s="1065" t="e">
        <f>TB_curr[[#This Row],[Synt]]&amp;TB_curr[[#This Row],[Line No. manual corr.]]</f>
        <v>#VALUE!</v>
      </c>
      <c r="AJ489" s="1064">
        <f t="shared" si="36"/>
        <v>0</v>
      </c>
      <c r="AK489" s="1064">
        <f t="shared" si="37"/>
        <v>0</v>
      </c>
      <c r="AL489" s="1064">
        <f t="shared" si="38"/>
        <v>0</v>
      </c>
      <c r="AM489" s="1064">
        <f t="shared" si="39"/>
        <v>0</v>
      </c>
      <c r="AN489" s="1064"/>
      <c r="AO489" s="1064">
        <f>TB_curr[[#This Row],[Closing balance]]+TB_curr[[#This Row],[Rounding]]</f>
        <v>0</v>
      </c>
    </row>
    <row r="490" spans="30:41" x14ac:dyDescent="0.25">
      <c r="AD490" s="1067" t="str">
        <f t="shared" si="35"/>
        <v/>
      </c>
      <c r="AE490" s="1063" t="str">
        <f>IF(ISNA(VLOOKUP(TB_curr[[#This Row],[Synt]],GL[[#Headers],[#Data],[subtotal label]],1,FALSE)),0,(VLOOKUP(TB_curr[[#This Row],[Synt]],GL[[#Headers],[#Data],[subtotal label]],1,FALSE)))</f>
        <v/>
      </c>
      <c r="AF490" s="1063" t="e">
        <f>IF((TB_curr[[#This Row],[Synt]]-TB_curr[[#This Row],[Subtotal Y/N]])=0,0,VLOOKUP(TB_curr[[#This Row],[Synt]],GL[[Account]:[Line]],3,FALSE))</f>
        <v>#VALUE!</v>
      </c>
      <c r="AG490" s="1063" t="e">
        <f>VLOOKUP(TB_curr[[#This Row],[Synt]],GL[[Account]:[B/P]],4,FALSE)</f>
        <v>#N/A</v>
      </c>
      <c r="AH490" s="1066" t="e">
        <v>#VALUE!</v>
      </c>
      <c r="AI490" s="1065" t="e">
        <f>TB_curr[[#This Row],[Synt]]&amp;TB_curr[[#This Row],[Line No. manual corr.]]</f>
        <v>#VALUE!</v>
      </c>
      <c r="AJ490" s="1064">
        <f t="shared" si="36"/>
        <v>0</v>
      </c>
      <c r="AK490" s="1064">
        <f t="shared" si="37"/>
        <v>0</v>
      </c>
      <c r="AL490" s="1064">
        <f t="shared" si="38"/>
        <v>0</v>
      </c>
      <c r="AM490" s="1064">
        <f t="shared" si="39"/>
        <v>0</v>
      </c>
      <c r="AN490" s="1064"/>
      <c r="AO490" s="1064">
        <f>TB_curr[[#This Row],[Closing balance]]+TB_curr[[#This Row],[Rounding]]</f>
        <v>0</v>
      </c>
    </row>
    <row r="491" spans="30:41" x14ac:dyDescent="0.25">
      <c r="AD491" s="1067" t="str">
        <f t="shared" si="35"/>
        <v/>
      </c>
      <c r="AE491" s="1063" t="str">
        <f>IF(ISNA(VLOOKUP(TB_curr[[#This Row],[Synt]],GL[[#Headers],[#Data],[subtotal label]],1,FALSE)),0,(VLOOKUP(TB_curr[[#This Row],[Synt]],GL[[#Headers],[#Data],[subtotal label]],1,FALSE)))</f>
        <v/>
      </c>
      <c r="AF491" s="1063" t="e">
        <f>IF((TB_curr[[#This Row],[Synt]]-TB_curr[[#This Row],[Subtotal Y/N]])=0,0,VLOOKUP(TB_curr[[#This Row],[Synt]],GL[[Account]:[Line]],3,FALSE))</f>
        <v>#VALUE!</v>
      </c>
      <c r="AG491" s="1063" t="e">
        <f>VLOOKUP(TB_curr[[#This Row],[Synt]],GL[[Account]:[B/P]],4,FALSE)</f>
        <v>#N/A</v>
      </c>
      <c r="AH491" s="1066" t="e">
        <v>#VALUE!</v>
      </c>
      <c r="AI491" s="1065" t="e">
        <f>TB_curr[[#This Row],[Synt]]&amp;TB_curr[[#This Row],[Line No. manual corr.]]</f>
        <v>#VALUE!</v>
      </c>
      <c r="AJ491" s="1064">
        <f t="shared" si="36"/>
        <v>0</v>
      </c>
      <c r="AK491" s="1064">
        <f t="shared" si="37"/>
        <v>0</v>
      </c>
      <c r="AL491" s="1064">
        <f t="shared" si="38"/>
        <v>0</v>
      </c>
      <c r="AM491" s="1064">
        <f t="shared" si="39"/>
        <v>0</v>
      </c>
      <c r="AN491" s="1064"/>
      <c r="AO491" s="1064">
        <f>TB_curr[[#This Row],[Closing balance]]+TB_curr[[#This Row],[Rounding]]</f>
        <v>0</v>
      </c>
    </row>
    <row r="492" spans="30:41" x14ac:dyDescent="0.25">
      <c r="AD492" s="1067" t="str">
        <f t="shared" si="35"/>
        <v/>
      </c>
      <c r="AE492" s="1063" t="str">
        <f>IF(ISNA(VLOOKUP(TB_curr[[#This Row],[Synt]],GL[[#Headers],[#Data],[subtotal label]],1,FALSE)),0,(VLOOKUP(TB_curr[[#This Row],[Synt]],GL[[#Headers],[#Data],[subtotal label]],1,FALSE)))</f>
        <v/>
      </c>
      <c r="AF492" s="1063" t="e">
        <f>IF((TB_curr[[#This Row],[Synt]]-TB_curr[[#This Row],[Subtotal Y/N]])=0,0,VLOOKUP(TB_curr[[#This Row],[Synt]],GL[[Account]:[Line]],3,FALSE))</f>
        <v>#VALUE!</v>
      </c>
      <c r="AG492" s="1063" t="e">
        <f>VLOOKUP(TB_curr[[#This Row],[Synt]],GL[[Account]:[B/P]],4,FALSE)</f>
        <v>#N/A</v>
      </c>
      <c r="AH492" s="1066" t="e">
        <v>#VALUE!</v>
      </c>
      <c r="AI492" s="1065" t="e">
        <f>TB_curr[[#This Row],[Synt]]&amp;TB_curr[[#This Row],[Line No. manual corr.]]</f>
        <v>#VALUE!</v>
      </c>
      <c r="AJ492" s="1064">
        <f t="shared" si="36"/>
        <v>0</v>
      </c>
      <c r="AK492" s="1064">
        <f t="shared" si="37"/>
        <v>0</v>
      </c>
      <c r="AL492" s="1064">
        <f t="shared" si="38"/>
        <v>0</v>
      </c>
      <c r="AM492" s="1064">
        <f t="shared" si="39"/>
        <v>0</v>
      </c>
      <c r="AN492" s="1064"/>
      <c r="AO492" s="1064">
        <f>TB_curr[[#This Row],[Closing balance]]+TB_curr[[#This Row],[Rounding]]</f>
        <v>0</v>
      </c>
    </row>
    <row r="493" spans="30:41" x14ac:dyDescent="0.25">
      <c r="AD493" s="1067" t="str">
        <f t="shared" si="35"/>
        <v/>
      </c>
      <c r="AE493" s="1063" t="str">
        <f>IF(ISNA(VLOOKUP(TB_curr[[#This Row],[Synt]],GL[[#Headers],[#Data],[subtotal label]],1,FALSE)),0,(VLOOKUP(TB_curr[[#This Row],[Synt]],GL[[#Headers],[#Data],[subtotal label]],1,FALSE)))</f>
        <v/>
      </c>
      <c r="AF493" s="1063" t="e">
        <f>IF((TB_curr[[#This Row],[Synt]]-TB_curr[[#This Row],[Subtotal Y/N]])=0,0,VLOOKUP(TB_curr[[#This Row],[Synt]],GL[[Account]:[Line]],3,FALSE))</f>
        <v>#VALUE!</v>
      </c>
      <c r="AG493" s="1063" t="e">
        <f>VLOOKUP(TB_curr[[#This Row],[Synt]],GL[[Account]:[B/P]],4,FALSE)</f>
        <v>#N/A</v>
      </c>
      <c r="AH493" s="1066" t="e">
        <v>#VALUE!</v>
      </c>
      <c r="AI493" s="1065" t="e">
        <f>TB_curr[[#This Row],[Synt]]&amp;TB_curr[[#This Row],[Line No. manual corr.]]</f>
        <v>#VALUE!</v>
      </c>
      <c r="AJ493" s="1064">
        <f t="shared" si="36"/>
        <v>0</v>
      </c>
      <c r="AK493" s="1064">
        <f t="shared" si="37"/>
        <v>0</v>
      </c>
      <c r="AL493" s="1064">
        <f t="shared" si="38"/>
        <v>0</v>
      </c>
      <c r="AM493" s="1064">
        <f t="shared" si="39"/>
        <v>0</v>
      </c>
      <c r="AN493" s="1064"/>
      <c r="AO493" s="1064">
        <f>TB_curr[[#This Row],[Closing balance]]+TB_curr[[#This Row],[Rounding]]</f>
        <v>0</v>
      </c>
    </row>
    <row r="494" spans="30:41" x14ac:dyDescent="0.25">
      <c r="AD494" s="1067" t="str">
        <f t="shared" si="35"/>
        <v/>
      </c>
      <c r="AE494" s="1063" t="str">
        <f>IF(ISNA(VLOOKUP(TB_curr[[#This Row],[Synt]],GL[[#Headers],[#Data],[subtotal label]],1,FALSE)),0,(VLOOKUP(TB_curr[[#This Row],[Synt]],GL[[#Headers],[#Data],[subtotal label]],1,FALSE)))</f>
        <v/>
      </c>
      <c r="AF494" s="1063" t="e">
        <f>IF((TB_curr[[#This Row],[Synt]]-TB_curr[[#This Row],[Subtotal Y/N]])=0,0,VLOOKUP(TB_curr[[#This Row],[Synt]],GL[[Account]:[Line]],3,FALSE))</f>
        <v>#VALUE!</v>
      </c>
      <c r="AG494" s="1063" t="e">
        <f>VLOOKUP(TB_curr[[#This Row],[Synt]],GL[[Account]:[B/P]],4,FALSE)</f>
        <v>#N/A</v>
      </c>
      <c r="AH494" s="1066" t="e">
        <v>#VALUE!</v>
      </c>
      <c r="AI494" s="1065" t="e">
        <f>TB_curr[[#This Row],[Synt]]&amp;TB_curr[[#This Row],[Line No. manual corr.]]</f>
        <v>#VALUE!</v>
      </c>
      <c r="AJ494" s="1064">
        <f t="shared" si="36"/>
        <v>0</v>
      </c>
      <c r="AK494" s="1064">
        <f t="shared" si="37"/>
        <v>0</v>
      </c>
      <c r="AL494" s="1064">
        <f t="shared" si="38"/>
        <v>0</v>
      </c>
      <c r="AM494" s="1064">
        <f t="shared" si="39"/>
        <v>0</v>
      </c>
      <c r="AN494" s="1064"/>
      <c r="AO494" s="1064">
        <f>TB_curr[[#This Row],[Closing balance]]+TB_curr[[#This Row],[Rounding]]</f>
        <v>0</v>
      </c>
    </row>
    <row r="495" spans="30:41" x14ac:dyDescent="0.25">
      <c r="AD495" s="1067" t="str">
        <f t="shared" si="35"/>
        <v/>
      </c>
      <c r="AE495" s="1063" t="str">
        <f>IF(ISNA(VLOOKUP(TB_curr[[#This Row],[Synt]],GL[[#Headers],[#Data],[subtotal label]],1,FALSE)),0,(VLOOKUP(TB_curr[[#This Row],[Synt]],GL[[#Headers],[#Data],[subtotal label]],1,FALSE)))</f>
        <v/>
      </c>
      <c r="AF495" s="1063" t="e">
        <f>IF((TB_curr[[#This Row],[Synt]]-TB_curr[[#This Row],[Subtotal Y/N]])=0,0,VLOOKUP(TB_curr[[#This Row],[Synt]],GL[[Account]:[Line]],3,FALSE))</f>
        <v>#VALUE!</v>
      </c>
      <c r="AG495" s="1063" t="e">
        <f>VLOOKUP(TB_curr[[#This Row],[Synt]],GL[[Account]:[B/P]],4,FALSE)</f>
        <v>#N/A</v>
      </c>
      <c r="AH495" s="1066" t="e">
        <v>#VALUE!</v>
      </c>
      <c r="AI495" s="1065" t="e">
        <f>TB_curr[[#This Row],[Synt]]&amp;TB_curr[[#This Row],[Line No. manual corr.]]</f>
        <v>#VALUE!</v>
      </c>
      <c r="AJ495" s="1064">
        <f t="shared" si="36"/>
        <v>0</v>
      </c>
      <c r="AK495" s="1064">
        <f t="shared" si="37"/>
        <v>0</v>
      </c>
      <c r="AL495" s="1064">
        <f t="shared" si="38"/>
        <v>0</v>
      </c>
      <c r="AM495" s="1064">
        <f t="shared" si="39"/>
        <v>0</v>
      </c>
      <c r="AN495" s="1064"/>
      <c r="AO495" s="1064">
        <f>TB_curr[[#This Row],[Closing balance]]+TB_curr[[#This Row],[Rounding]]</f>
        <v>0</v>
      </c>
    </row>
    <row r="496" spans="30:41" x14ac:dyDescent="0.25">
      <c r="AD496" s="1067" t="str">
        <f t="shared" si="35"/>
        <v/>
      </c>
      <c r="AE496" s="1063" t="str">
        <f>IF(ISNA(VLOOKUP(TB_curr[[#This Row],[Synt]],GL[[#Headers],[#Data],[subtotal label]],1,FALSE)),0,(VLOOKUP(TB_curr[[#This Row],[Synt]],GL[[#Headers],[#Data],[subtotal label]],1,FALSE)))</f>
        <v/>
      </c>
      <c r="AF496" s="1063" t="e">
        <f>IF((TB_curr[[#This Row],[Synt]]-TB_curr[[#This Row],[Subtotal Y/N]])=0,0,VLOOKUP(TB_curr[[#This Row],[Synt]],GL[[Account]:[Line]],3,FALSE))</f>
        <v>#VALUE!</v>
      </c>
      <c r="AG496" s="1063" t="e">
        <f>VLOOKUP(TB_curr[[#This Row],[Synt]],GL[[Account]:[B/P]],4,FALSE)</f>
        <v>#N/A</v>
      </c>
      <c r="AH496" s="1066" t="e">
        <v>#VALUE!</v>
      </c>
      <c r="AI496" s="1065" t="e">
        <f>TB_curr[[#This Row],[Synt]]&amp;TB_curr[[#This Row],[Line No. manual corr.]]</f>
        <v>#VALUE!</v>
      </c>
      <c r="AJ496" s="1064">
        <f t="shared" si="36"/>
        <v>0</v>
      </c>
      <c r="AK496" s="1064">
        <f t="shared" si="37"/>
        <v>0</v>
      </c>
      <c r="AL496" s="1064">
        <f t="shared" si="38"/>
        <v>0</v>
      </c>
      <c r="AM496" s="1064">
        <f t="shared" si="39"/>
        <v>0</v>
      </c>
      <c r="AN496" s="1064"/>
      <c r="AO496" s="1064">
        <f>TB_curr[[#This Row],[Closing balance]]+TB_curr[[#This Row],[Rounding]]</f>
        <v>0</v>
      </c>
    </row>
    <row r="497" spans="30:41" x14ac:dyDescent="0.25">
      <c r="AD497" s="1067" t="str">
        <f t="shared" si="35"/>
        <v/>
      </c>
      <c r="AE497" s="1063" t="str">
        <f>IF(ISNA(VLOOKUP(TB_curr[[#This Row],[Synt]],GL[[#Headers],[#Data],[subtotal label]],1,FALSE)),0,(VLOOKUP(TB_curr[[#This Row],[Synt]],GL[[#Headers],[#Data],[subtotal label]],1,FALSE)))</f>
        <v/>
      </c>
      <c r="AF497" s="1063" t="e">
        <f>IF((TB_curr[[#This Row],[Synt]]-TB_curr[[#This Row],[Subtotal Y/N]])=0,0,VLOOKUP(TB_curr[[#This Row],[Synt]],GL[[Account]:[Line]],3,FALSE))</f>
        <v>#VALUE!</v>
      </c>
      <c r="AG497" s="1063" t="e">
        <f>VLOOKUP(TB_curr[[#This Row],[Synt]],GL[[Account]:[B/P]],4,FALSE)</f>
        <v>#N/A</v>
      </c>
      <c r="AH497" s="1066" t="e">
        <v>#VALUE!</v>
      </c>
      <c r="AI497" s="1065" t="e">
        <f>TB_curr[[#This Row],[Synt]]&amp;TB_curr[[#This Row],[Line No. manual corr.]]</f>
        <v>#VALUE!</v>
      </c>
      <c r="AJ497" s="1064">
        <f t="shared" si="36"/>
        <v>0</v>
      </c>
      <c r="AK497" s="1064">
        <f t="shared" si="37"/>
        <v>0</v>
      </c>
      <c r="AL497" s="1064">
        <f t="shared" si="38"/>
        <v>0</v>
      </c>
      <c r="AM497" s="1064">
        <f t="shared" si="39"/>
        <v>0</v>
      </c>
      <c r="AN497" s="1064"/>
      <c r="AO497" s="1064">
        <f>TB_curr[[#This Row],[Closing balance]]+TB_curr[[#This Row],[Rounding]]</f>
        <v>0</v>
      </c>
    </row>
    <row r="498" spans="30:41" x14ac:dyDescent="0.25">
      <c r="AD498" s="1067" t="str">
        <f t="shared" si="35"/>
        <v/>
      </c>
      <c r="AE498" s="1063" t="str">
        <f>IF(ISNA(VLOOKUP(TB_curr[[#This Row],[Synt]],GL[[#Headers],[#Data],[subtotal label]],1,FALSE)),0,(VLOOKUP(TB_curr[[#This Row],[Synt]],GL[[#Headers],[#Data],[subtotal label]],1,FALSE)))</f>
        <v/>
      </c>
      <c r="AF498" s="1063" t="e">
        <f>IF((TB_curr[[#This Row],[Synt]]-TB_curr[[#This Row],[Subtotal Y/N]])=0,0,VLOOKUP(TB_curr[[#This Row],[Synt]],GL[[Account]:[Line]],3,FALSE))</f>
        <v>#VALUE!</v>
      </c>
      <c r="AG498" s="1063" t="e">
        <f>VLOOKUP(TB_curr[[#This Row],[Synt]],GL[[Account]:[B/P]],4,FALSE)</f>
        <v>#N/A</v>
      </c>
      <c r="AH498" s="1066" t="e">
        <v>#VALUE!</v>
      </c>
      <c r="AI498" s="1065" t="e">
        <f>TB_curr[[#This Row],[Synt]]&amp;TB_curr[[#This Row],[Line No. manual corr.]]</f>
        <v>#VALUE!</v>
      </c>
      <c r="AJ498" s="1064">
        <f t="shared" si="36"/>
        <v>0</v>
      </c>
      <c r="AK498" s="1064">
        <f t="shared" si="37"/>
        <v>0</v>
      </c>
      <c r="AL498" s="1064">
        <f t="shared" si="38"/>
        <v>0</v>
      </c>
      <c r="AM498" s="1064">
        <f t="shared" si="39"/>
        <v>0</v>
      </c>
      <c r="AN498" s="1064"/>
      <c r="AO498" s="1064">
        <f>TB_curr[[#This Row],[Closing balance]]+TB_curr[[#This Row],[Rounding]]</f>
        <v>0</v>
      </c>
    </row>
    <row r="499" spans="30:41" x14ac:dyDescent="0.25">
      <c r="AD499" s="1067" t="str">
        <f t="shared" si="35"/>
        <v/>
      </c>
      <c r="AE499" s="1063" t="str">
        <f>IF(ISNA(VLOOKUP(TB_curr[[#This Row],[Synt]],GL[[#Headers],[#Data],[subtotal label]],1,FALSE)),0,(VLOOKUP(TB_curr[[#This Row],[Synt]],GL[[#Headers],[#Data],[subtotal label]],1,FALSE)))</f>
        <v/>
      </c>
      <c r="AF499" s="1063" t="e">
        <f>IF((TB_curr[[#This Row],[Synt]]-TB_curr[[#This Row],[Subtotal Y/N]])=0,0,VLOOKUP(TB_curr[[#This Row],[Synt]],GL[[Account]:[Line]],3,FALSE))</f>
        <v>#VALUE!</v>
      </c>
      <c r="AG499" s="1063" t="e">
        <f>VLOOKUP(TB_curr[[#This Row],[Synt]],GL[[Account]:[B/P]],4,FALSE)</f>
        <v>#N/A</v>
      </c>
      <c r="AH499" s="1066" t="e">
        <v>#VALUE!</v>
      </c>
      <c r="AI499" s="1065" t="e">
        <f>TB_curr[[#This Row],[Synt]]&amp;TB_curr[[#This Row],[Line No. manual corr.]]</f>
        <v>#VALUE!</v>
      </c>
      <c r="AJ499" s="1064">
        <f t="shared" si="36"/>
        <v>0</v>
      </c>
      <c r="AK499" s="1064">
        <f t="shared" si="37"/>
        <v>0</v>
      </c>
      <c r="AL499" s="1064">
        <f t="shared" si="38"/>
        <v>0</v>
      </c>
      <c r="AM499" s="1064">
        <f t="shared" si="39"/>
        <v>0</v>
      </c>
      <c r="AN499" s="1064"/>
      <c r="AO499" s="1064">
        <f>TB_curr[[#This Row],[Closing balance]]+TB_curr[[#This Row],[Rounding]]</f>
        <v>0</v>
      </c>
    </row>
    <row r="500" spans="30:41" x14ac:dyDescent="0.25">
      <c r="AD500" s="1067" t="str">
        <f t="shared" si="35"/>
        <v/>
      </c>
      <c r="AE500" s="1063" t="str">
        <f>IF(ISNA(VLOOKUP(TB_curr[[#This Row],[Synt]],GL[[#Headers],[#Data],[subtotal label]],1,FALSE)),0,(VLOOKUP(TB_curr[[#This Row],[Synt]],GL[[#Headers],[#Data],[subtotal label]],1,FALSE)))</f>
        <v/>
      </c>
      <c r="AF500" s="1063" t="e">
        <f>IF((TB_curr[[#This Row],[Synt]]-TB_curr[[#This Row],[Subtotal Y/N]])=0,0,VLOOKUP(TB_curr[[#This Row],[Synt]],GL[[Account]:[Line]],3,FALSE))</f>
        <v>#VALUE!</v>
      </c>
      <c r="AG500" s="1063" t="e">
        <f>VLOOKUP(TB_curr[[#This Row],[Synt]],GL[[Account]:[B/P]],4,FALSE)</f>
        <v>#N/A</v>
      </c>
      <c r="AH500" s="1066" t="e">
        <v>#VALUE!</v>
      </c>
      <c r="AI500" s="1065" t="e">
        <f>TB_curr[[#This Row],[Synt]]&amp;TB_curr[[#This Row],[Line No. manual corr.]]</f>
        <v>#VALUE!</v>
      </c>
      <c r="AJ500" s="1064">
        <f t="shared" si="36"/>
        <v>0</v>
      </c>
      <c r="AK500" s="1064">
        <f t="shared" si="37"/>
        <v>0</v>
      </c>
      <c r="AL500" s="1064">
        <f t="shared" si="38"/>
        <v>0</v>
      </c>
      <c r="AM500" s="1064">
        <f t="shared" si="39"/>
        <v>0</v>
      </c>
      <c r="AN500" s="1064"/>
      <c r="AO500" s="1064">
        <f>TB_curr[[#This Row],[Closing balance]]+TB_curr[[#This Row],[Rounding]]</f>
        <v>0</v>
      </c>
    </row>
    <row r="501" spans="30:41" x14ac:dyDescent="0.25">
      <c r="AD501" s="1067" t="str">
        <f t="shared" si="35"/>
        <v/>
      </c>
      <c r="AE501" s="1063" t="str">
        <f>IF(ISNA(VLOOKUP(TB_curr[[#This Row],[Synt]],GL[[#Headers],[#Data],[subtotal label]],1,FALSE)),0,(VLOOKUP(TB_curr[[#This Row],[Synt]],GL[[#Headers],[#Data],[subtotal label]],1,FALSE)))</f>
        <v/>
      </c>
      <c r="AF501" s="1063" t="e">
        <f>IF((TB_curr[[#This Row],[Synt]]-TB_curr[[#This Row],[Subtotal Y/N]])=0,0,VLOOKUP(TB_curr[[#This Row],[Synt]],GL[[Account]:[Line]],3,FALSE))</f>
        <v>#VALUE!</v>
      </c>
      <c r="AG501" s="1063" t="e">
        <f>VLOOKUP(TB_curr[[#This Row],[Synt]],GL[[Account]:[B/P]],4,FALSE)</f>
        <v>#N/A</v>
      </c>
      <c r="AH501" s="1066" t="e">
        <v>#VALUE!</v>
      </c>
      <c r="AI501" s="1065" t="e">
        <f>TB_curr[[#This Row],[Synt]]&amp;TB_curr[[#This Row],[Line No. manual corr.]]</f>
        <v>#VALUE!</v>
      </c>
      <c r="AJ501" s="1064">
        <f t="shared" si="36"/>
        <v>0</v>
      </c>
      <c r="AK501" s="1064">
        <f t="shared" si="37"/>
        <v>0</v>
      </c>
      <c r="AL501" s="1064">
        <f t="shared" si="38"/>
        <v>0</v>
      </c>
      <c r="AM501" s="1064">
        <f t="shared" si="39"/>
        <v>0</v>
      </c>
      <c r="AN501" s="1064"/>
      <c r="AO501" s="1064">
        <f>TB_curr[[#This Row],[Closing balance]]+TB_curr[[#This Row],[Rounding]]</f>
        <v>0</v>
      </c>
    </row>
    <row r="502" spans="30:41" x14ac:dyDescent="0.25">
      <c r="AD502" s="1067" t="str">
        <f t="shared" si="35"/>
        <v/>
      </c>
      <c r="AE502" s="1063" t="str">
        <f>IF(ISNA(VLOOKUP(TB_curr[[#This Row],[Synt]],GL[[#Headers],[#Data],[subtotal label]],1,FALSE)),0,(VLOOKUP(TB_curr[[#This Row],[Synt]],GL[[#Headers],[#Data],[subtotal label]],1,FALSE)))</f>
        <v/>
      </c>
      <c r="AF502" s="1063" t="e">
        <f>IF((TB_curr[[#This Row],[Synt]]-TB_curr[[#This Row],[Subtotal Y/N]])=0,0,VLOOKUP(TB_curr[[#This Row],[Synt]],GL[[Account]:[Line]],3,FALSE))</f>
        <v>#VALUE!</v>
      </c>
      <c r="AG502" s="1063" t="e">
        <f>VLOOKUP(TB_curr[[#This Row],[Synt]],GL[[Account]:[B/P]],4,FALSE)</f>
        <v>#N/A</v>
      </c>
      <c r="AH502" s="1066" t="e">
        <v>#VALUE!</v>
      </c>
      <c r="AI502" s="1065" t="e">
        <f>TB_curr[[#This Row],[Synt]]&amp;TB_curr[[#This Row],[Line No. manual corr.]]</f>
        <v>#VALUE!</v>
      </c>
      <c r="AJ502" s="1064">
        <f t="shared" si="36"/>
        <v>0</v>
      </c>
      <c r="AK502" s="1064">
        <f t="shared" si="37"/>
        <v>0</v>
      </c>
      <c r="AL502" s="1064">
        <f t="shared" si="38"/>
        <v>0</v>
      </c>
      <c r="AM502" s="1064">
        <f t="shared" si="39"/>
        <v>0</v>
      </c>
      <c r="AN502" s="1064"/>
      <c r="AO502" s="1064">
        <f>TB_curr[[#This Row],[Closing balance]]+TB_curr[[#This Row],[Rounding]]</f>
        <v>0</v>
      </c>
    </row>
    <row r="503" spans="30:41" x14ac:dyDescent="0.25">
      <c r="AD503" s="1067" t="str">
        <f t="shared" si="35"/>
        <v/>
      </c>
      <c r="AE503" s="1063" t="str">
        <f>IF(ISNA(VLOOKUP(TB_curr[[#This Row],[Synt]],GL[[#Headers],[#Data],[subtotal label]],1,FALSE)),0,(VLOOKUP(TB_curr[[#This Row],[Synt]],GL[[#Headers],[#Data],[subtotal label]],1,FALSE)))</f>
        <v/>
      </c>
      <c r="AF503" s="1063" t="e">
        <f>IF((TB_curr[[#This Row],[Synt]]-TB_curr[[#This Row],[Subtotal Y/N]])=0,0,VLOOKUP(TB_curr[[#This Row],[Synt]],GL[[Account]:[Line]],3,FALSE))</f>
        <v>#VALUE!</v>
      </c>
      <c r="AG503" s="1063" t="e">
        <f>VLOOKUP(TB_curr[[#This Row],[Synt]],GL[[Account]:[B/P]],4,FALSE)</f>
        <v>#N/A</v>
      </c>
      <c r="AH503" s="1066" t="e">
        <v>#VALUE!</v>
      </c>
      <c r="AI503" s="1065" t="e">
        <f>TB_curr[[#This Row],[Synt]]&amp;TB_curr[[#This Row],[Line No. manual corr.]]</f>
        <v>#VALUE!</v>
      </c>
      <c r="AJ503" s="1064">
        <f t="shared" si="36"/>
        <v>0</v>
      </c>
      <c r="AK503" s="1064">
        <f t="shared" si="37"/>
        <v>0</v>
      </c>
      <c r="AL503" s="1064">
        <f t="shared" si="38"/>
        <v>0</v>
      </c>
      <c r="AM503" s="1064">
        <f t="shared" si="39"/>
        <v>0</v>
      </c>
      <c r="AN503" s="1064"/>
      <c r="AO503" s="1064">
        <f>TB_curr[[#This Row],[Closing balance]]+TB_curr[[#This Row],[Rounding]]</f>
        <v>0</v>
      </c>
    </row>
    <row r="504" spans="30:41" x14ac:dyDescent="0.25">
      <c r="AD504" s="1067" t="str">
        <f t="shared" si="35"/>
        <v/>
      </c>
      <c r="AE504" s="1063" t="str">
        <f>IF(ISNA(VLOOKUP(TB_curr[[#This Row],[Synt]],GL[[#Headers],[#Data],[subtotal label]],1,FALSE)),0,(VLOOKUP(TB_curr[[#This Row],[Synt]],GL[[#Headers],[#Data],[subtotal label]],1,FALSE)))</f>
        <v/>
      </c>
      <c r="AF504" s="1063" t="e">
        <f>IF((TB_curr[[#This Row],[Synt]]-TB_curr[[#This Row],[Subtotal Y/N]])=0,0,VLOOKUP(TB_curr[[#This Row],[Synt]],GL[[Account]:[Line]],3,FALSE))</f>
        <v>#VALUE!</v>
      </c>
      <c r="AG504" s="1063" t="e">
        <f>VLOOKUP(TB_curr[[#This Row],[Synt]],GL[[Account]:[B/P]],4,FALSE)</f>
        <v>#N/A</v>
      </c>
      <c r="AH504" s="1066" t="e">
        <v>#VALUE!</v>
      </c>
      <c r="AI504" s="1065" t="e">
        <f>TB_curr[[#This Row],[Synt]]&amp;TB_curr[[#This Row],[Line No. manual corr.]]</f>
        <v>#VALUE!</v>
      </c>
      <c r="AJ504" s="1064">
        <f t="shared" si="36"/>
        <v>0</v>
      </c>
      <c r="AK504" s="1064">
        <f t="shared" si="37"/>
        <v>0</v>
      </c>
      <c r="AL504" s="1064">
        <f t="shared" si="38"/>
        <v>0</v>
      </c>
      <c r="AM504" s="1064">
        <f t="shared" si="39"/>
        <v>0</v>
      </c>
      <c r="AN504" s="1064"/>
      <c r="AO504" s="1064">
        <f>TB_curr[[#This Row],[Closing balance]]+TB_curr[[#This Row],[Rounding]]</f>
        <v>0</v>
      </c>
    </row>
    <row r="505" spans="30:41" x14ac:dyDescent="0.25">
      <c r="AD505" s="1067" t="str">
        <f t="shared" si="35"/>
        <v/>
      </c>
      <c r="AE505" s="1063" t="str">
        <f>IF(ISNA(VLOOKUP(TB_curr[[#This Row],[Synt]],GL[[#Headers],[#Data],[subtotal label]],1,FALSE)),0,(VLOOKUP(TB_curr[[#This Row],[Synt]],GL[[#Headers],[#Data],[subtotal label]],1,FALSE)))</f>
        <v/>
      </c>
      <c r="AF505" s="1063" t="e">
        <f>IF((TB_curr[[#This Row],[Synt]]-TB_curr[[#This Row],[Subtotal Y/N]])=0,0,VLOOKUP(TB_curr[[#This Row],[Synt]],GL[[Account]:[Line]],3,FALSE))</f>
        <v>#VALUE!</v>
      </c>
      <c r="AG505" s="1063" t="e">
        <f>VLOOKUP(TB_curr[[#This Row],[Synt]],GL[[Account]:[B/P]],4,FALSE)</f>
        <v>#N/A</v>
      </c>
      <c r="AH505" s="1066" t="e">
        <v>#VALUE!</v>
      </c>
      <c r="AI505" s="1065" t="e">
        <f>TB_curr[[#This Row],[Synt]]&amp;TB_curr[[#This Row],[Line No. manual corr.]]</f>
        <v>#VALUE!</v>
      </c>
      <c r="AJ505" s="1064">
        <f t="shared" si="36"/>
        <v>0</v>
      </c>
      <c r="AK505" s="1064">
        <f t="shared" si="37"/>
        <v>0</v>
      </c>
      <c r="AL505" s="1064">
        <f t="shared" si="38"/>
        <v>0</v>
      </c>
      <c r="AM505" s="1064">
        <f t="shared" si="39"/>
        <v>0</v>
      </c>
      <c r="AN505" s="1064"/>
      <c r="AO505" s="1064">
        <f>TB_curr[[#This Row],[Closing balance]]+TB_curr[[#This Row],[Rounding]]</f>
        <v>0</v>
      </c>
    </row>
    <row r="506" spans="30:41" x14ac:dyDescent="0.25">
      <c r="AD506" s="1067" t="str">
        <f t="shared" si="35"/>
        <v/>
      </c>
      <c r="AE506" s="1063" t="str">
        <f>IF(ISNA(VLOOKUP(TB_curr[[#This Row],[Synt]],GL[[#Headers],[#Data],[subtotal label]],1,FALSE)),0,(VLOOKUP(TB_curr[[#This Row],[Synt]],GL[[#Headers],[#Data],[subtotal label]],1,FALSE)))</f>
        <v/>
      </c>
      <c r="AF506" s="1063" t="e">
        <f>IF((TB_curr[[#This Row],[Synt]]-TB_curr[[#This Row],[Subtotal Y/N]])=0,0,VLOOKUP(TB_curr[[#This Row],[Synt]],GL[[Account]:[Line]],3,FALSE))</f>
        <v>#VALUE!</v>
      </c>
      <c r="AG506" s="1063" t="e">
        <f>VLOOKUP(TB_curr[[#This Row],[Synt]],GL[[Account]:[B/P]],4,FALSE)</f>
        <v>#N/A</v>
      </c>
      <c r="AH506" s="1066" t="e">
        <v>#VALUE!</v>
      </c>
      <c r="AI506" s="1065" t="e">
        <f>TB_curr[[#This Row],[Synt]]&amp;TB_curr[[#This Row],[Line No. manual corr.]]</f>
        <v>#VALUE!</v>
      </c>
      <c r="AJ506" s="1064">
        <f t="shared" si="36"/>
        <v>0</v>
      </c>
      <c r="AK506" s="1064">
        <f t="shared" si="37"/>
        <v>0</v>
      </c>
      <c r="AL506" s="1064">
        <f t="shared" si="38"/>
        <v>0</v>
      </c>
      <c r="AM506" s="1064">
        <f t="shared" si="39"/>
        <v>0</v>
      </c>
      <c r="AN506" s="1064"/>
      <c r="AO506" s="1064">
        <f>TB_curr[[#This Row],[Closing balance]]+TB_curr[[#This Row],[Rounding]]</f>
        <v>0</v>
      </c>
    </row>
    <row r="507" spans="30:41" x14ac:dyDescent="0.25">
      <c r="AD507" s="1067" t="str">
        <f t="shared" si="35"/>
        <v/>
      </c>
      <c r="AE507" s="1063" t="str">
        <f>IF(ISNA(VLOOKUP(TB_curr[[#This Row],[Synt]],GL[[#Headers],[#Data],[subtotal label]],1,FALSE)),0,(VLOOKUP(TB_curr[[#This Row],[Synt]],GL[[#Headers],[#Data],[subtotal label]],1,FALSE)))</f>
        <v/>
      </c>
      <c r="AF507" s="1063" t="e">
        <f>IF((TB_curr[[#This Row],[Synt]]-TB_curr[[#This Row],[Subtotal Y/N]])=0,0,VLOOKUP(TB_curr[[#This Row],[Synt]],GL[[Account]:[Line]],3,FALSE))</f>
        <v>#VALUE!</v>
      </c>
      <c r="AG507" s="1063" t="e">
        <f>VLOOKUP(TB_curr[[#This Row],[Synt]],GL[[Account]:[B/P]],4,FALSE)</f>
        <v>#N/A</v>
      </c>
      <c r="AH507" s="1066" t="e">
        <v>#VALUE!</v>
      </c>
      <c r="AI507" s="1065" t="e">
        <f>TB_curr[[#This Row],[Synt]]&amp;TB_curr[[#This Row],[Line No. manual corr.]]</f>
        <v>#VALUE!</v>
      </c>
      <c r="AJ507" s="1064">
        <f t="shared" si="36"/>
        <v>0</v>
      </c>
      <c r="AK507" s="1064">
        <f t="shared" si="37"/>
        <v>0</v>
      </c>
      <c r="AL507" s="1064">
        <f t="shared" si="38"/>
        <v>0</v>
      </c>
      <c r="AM507" s="1064">
        <f t="shared" si="39"/>
        <v>0</v>
      </c>
      <c r="AN507" s="1064"/>
      <c r="AO507" s="1064">
        <f>TB_curr[[#This Row],[Closing balance]]+TB_curr[[#This Row],[Rounding]]</f>
        <v>0</v>
      </c>
    </row>
    <row r="508" spans="30:41" x14ac:dyDescent="0.25">
      <c r="AD508" s="1067" t="str">
        <f t="shared" si="35"/>
        <v/>
      </c>
      <c r="AE508" s="1063" t="str">
        <f>IF(ISNA(VLOOKUP(TB_curr[[#This Row],[Synt]],GL[[#Headers],[#Data],[subtotal label]],1,FALSE)),0,(VLOOKUP(TB_curr[[#This Row],[Synt]],GL[[#Headers],[#Data],[subtotal label]],1,FALSE)))</f>
        <v/>
      </c>
      <c r="AF508" s="1063" t="e">
        <f>IF((TB_curr[[#This Row],[Synt]]-TB_curr[[#This Row],[Subtotal Y/N]])=0,0,VLOOKUP(TB_curr[[#This Row],[Synt]],GL[[Account]:[Line]],3,FALSE))</f>
        <v>#VALUE!</v>
      </c>
      <c r="AG508" s="1063" t="e">
        <f>VLOOKUP(TB_curr[[#This Row],[Synt]],GL[[Account]:[B/P]],4,FALSE)</f>
        <v>#N/A</v>
      </c>
      <c r="AH508" s="1066" t="e">
        <v>#VALUE!</v>
      </c>
      <c r="AI508" s="1065" t="e">
        <f>TB_curr[[#This Row],[Synt]]&amp;TB_curr[[#This Row],[Line No. manual corr.]]</f>
        <v>#VALUE!</v>
      </c>
      <c r="AJ508" s="1064">
        <f t="shared" si="36"/>
        <v>0</v>
      </c>
      <c r="AK508" s="1064">
        <f t="shared" si="37"/>
        <v>0</v>
      </c>
      <c r="AL508" s="1064">
        <f t="shared" si="38"/>
        <v>0</v>
      </c>
      <c r="AM508" s="1064">
        <f t="shared" si="39"/>
        <v>0</v>
      </c>
      <c r="AN508" s="1064"/>
      <c r="AO508" s="1064">
        <f>TB_curr[[#This Row],[Closing balance]]+TB_curr[[#This Row],[Rounding]]</f>
        <v>0</v>
      </c>
    </row>
    <row r="509" spans="30:41" x14ac:dyDescent="0.25">
      <c r="AD509" s="1067" t="str">
        <f t="shared" si="35"/>
        <v/>
      </c>
      <c r="AE509" s="1063" t="str">
        <f>IF(ISNA(VLOOKUP(TB_curr[[#This Row],[Synt]],GL[[#Headers],[#Data],[subtotal label]],1,FALSE)),0,(VLOOKUP(TB_curr[[#This Row],[Synt]],GL[[#Headers],[#Data],[subtotal label]],1,FALSE)))</f>
        <v/>
      </c>
      <c r="AF509" s="1063" t="e">
        <f>IF((TB_curr[[#This Row],[Synt]]-TB_curr[[#This Row],[Subtotal Y/N]])=0,0,VLOOKUP(TB_curr[[#This Row],[Synt]],GL[[Account]:[Line]],3,FALSE))</f>
        <v>#VALUE!</v>
      </c>
      <c r="AG509" s="1063" t="e">
        <f>VLOOKUP(TB_curr[[#This Row],[Synt]],GL[[Account]:[B/P]],4,FALSE)</f>
        <v>#N/A</v>
      </c>
      <c r="AH509" s="1066" t="e">
        <v>#VALUE!</v>
      </c>
      <c r="AI509" s="1065" t="e">
        <f>TB_curr[[#This Row],[Synt]]&amp;TB_curr[[#This Row],[Line No. manual corr.]]</f>
        <v>#VALUE!</v>
      </c>
      <c r="AJ509" s="1064">
        <f t="shared" si="36"/>
        <v>0</v>
      </c>
      <c r="AK509" s="1064">
        <f t="shared" si="37"/>
        <v>0</v>
      </c>
      <c r="AL509" s="1064">
        <f t="shared" si="38"/>
        <v>0</v>
      </c>
      <c r="AM509" s="1064">
        <f t="shared" si="39"/>
        <v>0</v>
      </c>
      <c r="AN509" s="1064"/>
      <c r="AO509" s="1064">
        <f>TB_curr[[#This Row],[Closing balance]]+TB_curr[[#This Row],[Rounding]]</f>
        <v>0</v>
      </c>
    </row>
    <row r="510" spans="30:41" x14ac:dyDescent="0.25">
      <c r="AD510" s="1067" t="str">
        <f t="shared" si="35"/>
        <v/>
      </c>
      <c r="AE510" s="1063" t="str">
        <f>IF(ISNA(VLOOKUP(TB_curr[[#This Row],[Synt]],GL[[#Headers],[#Data],[subtotal label]],1,FALSE)),0,(VLOOKUP(TB_curr[[#This Row],[Synt]],GL[[#Headers],[#Data],[subtotal label]],1,FALSE)))</f>
        <v/>
      </c>
      <c r="AF510" s="1063" t="e">
        <f>IF((TB_curr[[#This Row],[Synt]]-TB_curr[[#This Row],[Subtotal Y/N]])=0,0,VLOOKUP(TB_curr[[#This Row],[Synt]],GL[[Account]:[Line]],3,FALSE))</f>
        <v>#VALUE!</v>
      </c>
      <c r="AG510" s="1063" t="e">
        <f>VLOOKUP(TB_curr[[#This Row],[Synt]],GL[[Account]:[B/P]],4,FALSE)</f>
        <v>#N/A</v>
      </c>
      <c r="AH510" s="1066" t="e">
        <v>#VALUE!</v>
      </c>
      <c r="AI510" s="1065" t="e">
        <f>TB_curr[[#This Row],[Synt]]&amp;TB_curr[[#This Row],[Line No. manual corr.]]</f>
        <v>#VALUE!</v>
      </c>
      <c r="AJ510" s="1064">
        <f t="shared" si="36"/>
        <v>0</v>
      </c>
      <c r="AK510" s="1064">
        <f t="shared" si="37"/>
        <v>0</v>
      </c>
      <c r="AL510" s="1064">
        <f t="shared" si="38"/>
        <v>0</v>
      </c>
      <c r="AM510" s="1064">
        <f t="shared" si="39"/>
        <v>0</v>
      </c>
      <c r="AN510" s="1064"/>
      <c r="AO510" s="1064">
        <f>TB_curr[[#This Row],[Closing balance]]+TB_curr[[#This Row],[Rounding]]</f>
        <v>0</v>
      </c>
    </row>
    <row r="511" spans="30:41" x14ac:dyDescent="0.25">
      <c r="AD511" s="1067" t="str">
        <f t="shared" si="35"/>
        <v/>
      </c>
      <c r="AE511" s="1063" t="str">
        <f>IF(ISNA(VLOOKUP(TB_curr[[#This Row],[Synt]],GL[[#Headers],[#Data],[subtotal label]],1,FALSE)),0,(VLOOKUP(TB_curr[[#This Row],[Synt]],GL[[#Headers],[#Data],[subtotal label]],1,FALSE)))</f>
        <v/>
      </c>
      <c r="AF511" s="1063" t="e">
        <f>IF((TB_curr[[#This Row],[Synt]]-TB_curr[[#This Row],[Subtotal Y/N]])=0,0,VLOOKUP(TB_curr[[#This Row],[Synt]],GL[[Account]:[Line]],3,FALSE))</f>
        <v>#VALUE!</v>
      </c>
      <c r="AG511" s="1063" t="e">
        <f>VLOOKUP(TB_curr[[#This Row],[Synt]],GL[[Account]:[B/P]],4,FALSE)</f>
        <v>#N/A</v>
      </c>
      <c r="AH511" s="1066" t="e">
        <v>#VALUE!</v>
      </c>
      <c r="AI511" s="1065" t="e">
        <f>TB_curr[[#This Row],[Synt]]&amp;TB_curr[[#This Row],[Line No. manual corr.]]</f>
        <v>#VALUE!</v>
      </c>
      <c r="AJ511" s="1064">
        <f t="shared" si="36"/>
        <v>0</v>
      </c>
      <c r="AK511" s="1064">
        <f t="shared" si="37"/>
        <v>0</v>
      </c>
      <c r="AL511" s="1064">
        <f t="shared" si="38"/>
        <v>0</v>
      </c>
      <c r="AM511" s="1064">
        <f t="shared" si="39"/>
        <v>0</v>
      </c>
      <c r="AN511" s="1064"/>
      <c r="AO511" s="1064">
        <f>TB_curr[[#This Row],[Closing balance]]+TB_curr[[#This Row],[Rounding]]</f>
        <v>0</v>
      </c>
    </row>
    <row r="512" spans="30:41" x14ac:dyDescent="0.25">
      <c r="AD512" s="1067" t="str">
        <f t="shared" si="35"/>
        <v/>
      </c>
      <c r="AE512" s="1063" t="str">
        <f>IF(ISNA(VLOOKUP(TB_curr[[#This Row],[Synt]],GL[[#Headers],[#Data],[subtotal label]],1,FALSE)),0,(VLOOKUP(TB_curr[[#This Row],[Synt]],GL[[#Headers],[#Data],[subtotal label]],1,FALSE)))</f>
        <v/>
      </c>
      <c r="AF512" s="1063" t="e">
        <f>IF((TB_curr[[#This Row],[Synt]]-TB_curr[[#This Row],[Subtotal Y/N]])=0,0,VLOOKUP(TB_curr[[#This Row],[Synt]],GL[[Account]:[Line]],3,FALSE))</f>
        <v>#VALUE!</v>
      </c>
      <c r="AG512" s="1063" t="e">
        <f>VLOOKUP(TB_curr[[#This Row],[Synt]],GL[[Account]:[B/P]],4,FALSE)</f>
        <v>#N/A</v>
      </c>
      <c r="AH512" s="1066" t="e">
        <v>#VALUE!</v>
      </c>
      <c r="AI512" s="1065" t="e">
        <f>TB_curr[[#This Row],[Synt]]&amp;TB_curr[[#This Row],[Line No. manual corr.]]</f>
        <v>#VALUE!</v>
      </c>
      <c r="AJ512" s="1064">
        <f t="shared" si="36"/>
        <v>0</v>
      </c>
      <c r="AK512" s="1064">
        <f t="shared" si="37"/>
        <v>0</v>
      </c>
      <c r="AL512" s="1064">
        <f t="shared" si="38"/>
        <v>0</v>
      </c>
      <c r="AM512" s="1064">
        <f t="shared" si="39"/>
        <v>0</v>
      </c>
      <c r="AN512" s="1064"/>
      <c r="AO512" s="1064">
        <f>TB_curr[[#This Row],[Closing balance]]+TB_curr[[#This Row],[Rounding]]</f>
        <v>0</v>
      </c>
    </row>
    <row r="513" spans="30:41" x14ac:dyDescent="0.25">
      <c r="AD513" s="1067" t="str">
        <f t="shared" si="35"/>
        <v/>
      </c>
      <c r="AE513" s="1063" t="str">
        <f>IF(ISNA(VLOOKUP(TB_curr[[#This Row],[Synt]],GL[[#Headers],[#Data],[subtotal label]],1,FALSE)),0,(VLOOKUP(TB_curr[[#This Row],[Synt]],GL[[#Headers],[#Data],[subtotal label]],1,FALSE)))</f>
        <v/>
      </c>
      <c r="AF513" s="1063" t="e">
        <f>IF((TB_curr[[#This Row],[Synt]]-TB_curr[[#This Row],[Subtotal Y/N]])=0,0,VLOOKUP(TB_curr[[#This Row],[Synt]],GL[[Account]:[Line]],3,FALSE))</f>
        <v>#VALUE!</v>
      </c>
      <c r="AG513" s="1063" t="e">
        <f>VLOOKUP(TB_curr[[#This Row],[Synt]],GL[[Account]:[B/P]],4,FALSE)</f>
        <v>#N/A</v>
      </c>
      <c r="AH513" s="1066" t="e">
        <v>#VALUE!</v>
      </c>
      <c r="AI513" s="1065" t="e">
        <f>TB_curr[[#This Row],[Synt]]&amp;TB_curr[[#This Row],[Line No. manual corr.]]</f>
        <v>#VALUE!</v>
      </c>
      <c r="AJ513" s="1064">
        <f t="shared" si="36"/>
        <v>0</v>
      </c>
      <c r="AK513" s="1064">
        <f t="shared" si="37"/>
        <v>0</v>
      </c>
      <c r="AL513" s="1064">
        <f t="shared" si="38"/>
        <v>0</v>
      </c>
      <c r="AM513" s="1064">
        <f t="shared" si="39"/>
        <v>0</v>
      </c>
      <c r="AN513" s="1064"/>
      <c r="AO513" s="1064">
        <f>TB_curr[[#This Row],[Closing balance]]+TB_curr[[#This Row],[Rounding]]</f>
        <v>0</v>
      </c>
    </row>
    <row r="514" spans="30:41" x14ac:dyDescent="0.25">
      <c r="AD514" s="1067" t="str">
        <f t="shared" si="35"/>
        <v/>
      </c>
      <c r="AE514" s="1063" t="str">
        <f>IF(ISNA(VLOOKUP(TB_curr[[#This Row],[Synt]],GL[[#Headers],[#Data],[subtotal label]],1,FALSE)),0,(VLOOKUP(TB_curr[[#This Row],[Synt]],GL[[#Headers],[#Data],[subtotal label]],1,FALSE)))</f>
        <v/>
      </c>
      <c r="AF514" s="1063" t="e">
        <f>IF((TB_curr[[#This Row],[Synt]]-TB_curr[[#This Row],[Subtotal Y/N]])=0,0,VLOOKUP(TB_curr[[#This Row],[Synt]],GL[[Account]:[Line]],3,FALSE))</f>
        <v>#VALUE!</v>
      </c>
      <c r="AG514" s="1063" t="e">
        <f>VLOOKUP(TB_curr[[#This Row],[Synt]],GL[[Account]:[B/P]],4,FALSE)</f>
        <v>#N/A</v>
      </c>
      <c r="AH514" s="1066" t="e">
        <v>#VALUE!</v>
      </c>
      <c r="AI514" s="1065" t="e">
        <f>TB_curr[[#This Row],[Synt]]&amp;TB_curr[[#This Row],[Line No. manual corr.]]</f>
        <v>#VALUE!</v>
      </c>
      <c r="AJ514" s="1064">
        <f t="shared" si="36"/>
        <v>0</v>
      </c>
      <c r="AK514" s="1064">
        <f t="shared" si="37"/>
        <v>0</v>
      </c>
      <c r="AL514" s="1064">
        <f t="shared" si="38"/>
        <v>0</v>
      </c>
      <c r="AM514" s="1064">
        <f t="shared" si="39"/>
        <v>0</v>
      </c>
      <c r="AN514" s="1064"/>
      <c r="AO514" s="1064">
        <f>TB_curr[[#This Row],[Closing balance]]+TB_curr[[#This Row],[Rounding]]</f>
        <v>0</v>
      </c>
    </row>
    <row r="515" spans="30:41" x14ac:dyDescent="0.25">
      <c r="AD515" s="1067" t="str">
        <f t="shared" si="35"/>
        <v/>
      </c>
      <c r="AE515" s="1063" t="str">
        <f>IF(ISNA(VLOOKUP(TB_curr[[#This Row],[Synt]],GL[[#Headers],[#Data],[subtotal label]],1,FALSE)),0,(VLOOKUP(TB_curr[[#This Row],[Synt]],GL[[#Headers],[#Data],[subtotal label]],1,FALSE)))</f>
        <v/>
      </c>
      <c r="AF515" s="1063" t="e">
        <f>IF((TB_curr[[#This Row],[Synt]]-TB_curr[[#This Row],[Subtotal Y/N]])=0,0,VLOOKUP(TB_curr[[#This Row],[Synt]],GL[[Account]:[Line]],3,FALSE))</f>
        <v>#VALUE!</v>
      </c>
      <c r="AG515" s="1063" t="e">
        <f>VLOOKUP(TB_curr[[#This Row],[Synt]],GL[[Account]:[B/P]],4,FALSE)</f>
        <v>#N/A</v>
      </c>
      <c r="AH515" s="1066" t="e">
        <v>#VALUE!</v>
      </c>
      <c r="AI515" s="1065" t="e">
        <f>TB_curr[[#This Row],[Synt]]&amp;TB_curr[[#This Row],[Line No. manual corr.]]</f>
        <v>#VALUE!</v>
      </c>
      <c r="AJ515" s="1064">
        <f t="shared" si="36"/>
        <v>0</v>
      </c>
      <c r="AK515" s="1064">
        <f t="shared" si="37"/>
        <v>0</v>
      </c>
      <c r="AL515" s="1064">
        <f t="shared" si="38"/>
        <v>0</v>
      </c>
      <c r="AM515" s="1064">
        <f t="shared" si="39"/>
        <v>0</v>
      </c>
      <c r="AN515" s="1064"/>
      <c r="AO515" s="1064">
        <f>TB_curr[[#This Row],[Closing balance]]+TB_curr[[#This Row],[Rounding]]</f>
        <v>0</v>
      </c>
    </row>
    <row r="516" spans="30:41" x14ac:dyDescent="0.25">
      <c r="AD516" s="1067" t="str">
        <f t="shared" si="35"/>
        <v/>
      </c>
      <c r="AE516" s="1063" t="str">
        <f>IF(ISNA(VLOOKUP(TB_curr[[#This Row],[Synt]],GL[[#Headers],[#Data],[subtotal label]],1,FALSE)),0,(VLOOKUP(TB_curr[[#This Row],[Synt]],GL[[#Headers],[#Data],[subtotal label]],1,FALSE)))</f>
        <v/>
      </c>
      <c r="AF516" s="1063" t="e">
        <f>IF((TB_curr[[#This Row],[Synt]]-TB_curr[[#This Row],[Subtotal Y/N]])=0,0,VLOOKUP(TB_curr[[#This Row],[Synt]],GL[[Account]:[Line]],3,FALSE))</f>
        <v>#VALUE!</v>
      </c>
      <c r="AG516" s="1063" t="e">
        <f>VLOOKUP(TB_curr[[#This Row],[Synt]],GL[[Account]:[B/P]],4,FALSE)</f>
        <v>#N/A</v>
      </c>
      <c r="AH516" s="1066" t="e">
        <v>#VALUE!</v>
      </c>
      <c r="AI516" s="1065" t="e">
        <f>TB_curr[[#This Row],[Synt]]&amp;TB_curr[[#This Row],[Line No. manual corr.]]</f>
        <v>#VALUE!</v>
      </c>
      <c r="AJ516" s="1064">
        <f t="shared" si="36"/>
        <v>0</v>
      </c>
      <c r="AK516" s="1064">
        <f t="shared" si="37"/>
        <v>0</v>
      </c>
      <c r="AL516" s="1064">
        <f t="shared" si="38"/>
        <v>0</v>
      </c>
      <c r="AM516" s="1064">
        <f t="shared" si="39"/>
        <v>0</v>
      </c>
      <c r="AN516" s="1064"/>
      <c r="AO516" s="1064">
        <f>TB_curr[[#This Row],[Closing balance]]+TB_curr[[#This Row],[Rounding]]</f>
        <v>0</v>
      </c>
    </row>
    <row r="517" spans="30:41" x14ac:dyDescent="0.25">
      <c r="AD517" s="1067" t="str">
        <f t="shared" si="35"/>
        <v/>
      </c>
      <c r="AE517" s="1063" t="str">
        <f>IF(ISNA(VLOOKUP(TB_curr[[#This Row],[Synt]],GL[[#Headers],[#Data],[subtotal label]],1,FALSE)),0,(VLOOKUP(TB_curr[[#This Row],[Synt]],GL[[#Headers],[#Data],[subtotal label]],1,FALSE)))</f>
        <v/>
      </c>
      <c r="AF517" s="1063" t="e">
        <f>IF((TB_curr[[#This Row],[Synt]]-TB_curr[[#This Row],[Subtotal Y/N]])=0,0,VLOOKUP(TB_curr[[#This Row],[Synt]],GL[[Account]:[Line]],3,FALSE))</f>
        <v>#VALUE!</v>
      </c>
      <c r="AG517" s="1063" t="e">
        <f>VLOOKUP(TB_curr[[#This Row],[Synt]],GL[[Account]:[B/P]],4,FALSE)</f>
        <v>#N/A</v>
      </c>
      <c r="AH517" s="1066" t="e">
        <v>#VALUE!</v>
      </c>
      <c r="AI517" s="1065" t="e">
        <f>TB_curr[[#This Row],[Synt]]&amp;TB_curr[[#This Row],[Line No. manual corr.]]</f>
        <v>#VALUE!</v>
      </c>
      <c r="AJ517" s="1064">
        <f t="shared" si="36"/>
        <v>0</v>
      </c>
      <c r="AK517" s="1064">
        <f t="shared" si="37"/>
        <v>0</v>
      </c>
      <c r="AL517" s="1064">
        <f t="shared" si="38"/>
        <v>0</v>
      </c>
      <c r="AM517" s="1064">
        <f t="shared" si="39"/>
        <v>0</v>
      </c>
      <c r="AN517" s="1064"/>
      <c r="AO517" s="1064">
        <f>TB_curr[[#This Row],[Closing balance]]+TB_curr[[#This Row],[Rounding]]</f>
        <v>0</v>
      </c>
    </row>
    <row r="518" spans="30:41" x14ac:dyDescent="0.25">
      <c r="AD518" s="1067" t="str">
        <f t="shared" si="35"/>
        <v/>
      </c>
      <c r="AE518" s="1063" t="str">
        <f>IF(ISNA(VLOOKUP(TB_curr[[#This Row],[Synt]],GL[[#Headers],[#Data],[subtotal label]],1,FALSE)),0,(VLOOKUP(TB_curr[[#This Row],[Synt]],GL[[#Headers],[#Data],[subtotal label]],1,FALSE)))</f>
        <v/>
      </c>
      <c r="AF518" s="1063" t="e">
        <f>IF((TB_curr[[#This Row],[Synt]]-TB_curr[[#This Row],[Subtotal Y/N]])=0,0,VLOOKUP(TB_curr[[#This Row],[Synt]],GL[[Account]:[Line]],3,FALSE))</f>
        <v>#VALUE!</v>
      </c>
      <c r="AG518" s="1063" t="e">
        <f>VLOOKUP(TB_curr[[#This Row],[Synt]],GL[[Account]:[B/P]],4,FALSE)</f>
        <v>#N/A</v>
      </c>
      <c r="AH518" s="1066" t="e">
        <v>#VALUE!</v>
      </c>
      <c r="AI518" s="1065" t="e">
        <f>TB_curr[[#This Row],[Synt]]&amp;TB_curr[[#This Row],[Line No. manual corr.]]</f>
        <v>#VALUE!</v>
      </c>
      <c r="AJ518" s="1064">
        <f t="shared" si="36"/>
        <v>0</v>
      </c>
      <c r="AK518" s="1064">
        <f t="shared" si="37"/>
        <v>0</v>
      </c>
      <c r="AL518" s="1064">
        <f t="shared" si="38"/>
        <v>0</v>
      </c>
      <c r="AM518" s="1064">
        <f t="shared" si="39"/>
        <v>0</v>
      </c>
      <c r="AN518" s="1064"/>
      <c r="AO518" s="1064">
        <f>TB_curr[[#This Row],[Closing balance]]+TB_curr[[#This Row],[Rounding]]</f>
        <v>0</v>
      </c>
    </row>
    <row r="519" spans="30:41" x14ac:dyDescent="0.25">
      <c r="AD519" s="1067" t="str">
        <f t="shared" si="35"/>
        <v/>
      </c>
      <c r="AE519" s="1063" t="str">
        <f>IF(ISNA(VLOOKUP(TB_curr[[#This Row],[Synt]],GL[[#Headers],[#Data],[subtotal label]],1,FALSE)),0,(VLOOKUP(TB_curr[[#This Row],[Synt]],GL[[#Headers],[#Data],[subtotal label]],1,FALSE)))</f>
        <v/>
      </c>
      <c r="AF519" s="1063" t="e">
        <f>IF((TB_curr[[#This Row],[Synt]]-TB_curr[[#This Row],[Subtotal Y/N]])=0,0,VLOOKUP(TB_curr[[#This Row],[Synt]],GL[[Account]:[Line]],3,FALSE))</f>
        <v>#VALUE!</v>
      </c>
      <c r="AG519" s="1063" t="e">
        <f>VLOOKUP(TB_curr[[#This Row],[Synt]],GL[[Account]:[B/P]],4,FALSE)</f>
        <v>#N/A</v>
      </c>
      <c r="AH519" s="1066" t="e">
        <v>#VALUE!</v>
      </c>
      <c r="AI519" s="1065" t="e">
        <f>TB_curr[[#This Row],[Synt]]&amp;TB_curr[[#This Row],[Line No. manual corr.]]</f>
        <v>#VALUE!</v>
      </c>
      <c r="AJ519" s="1064">
        <f t="shared" si="36"/>
        <v>0</v>
      </c>
      <c r="AK519" s="1064">
        <f t="shared" si="37"/>
        <v>0</v>
      </c>
      <c r="AL519" s="1064">
        <f t="shared" si="38"/>
        <v>0</v>
      </c>
      <c r="AM519" s="1064">
        <f t="shared" si="39"/>
        <v>0</v>
      </c>
      <c r="AN519" s="1064"/>
      <c r="AO519" s="1064">
        <f>TB_curr[[#This Row],[Closing balance]]+TB_curr[[#This Row],[Rounding]]</f>
        <v>0</v>
      </c>
    </row>
    <row r="520" spans="30:41" x14ac:dyDescent="0.25">
      <c r="AD520" s="1067" t="str">
        <f t="shared" ref="AD520:AD583" si="40">LEFT(B520,3)</f>
        <v/>
      </c>
      <c r="AE520" s="1063" t="str">
        <f>IF(ISNA(VLOOKUP(TB_curr[[#This Row],[Synt]],GL[[#Headers],[#Data],[subtotal label]],1,FALSE)),0,(VLOOKUP(TB_curr[[#This Row],[Synt]],GL[[#Headers],[#Data],[subtotal label]],1,FALSE)))</f>
        <v/>
      </c>
      <c r="AF520" s="1063" t="e">
        <f>IF((TB_curr[[#This Row],[Synt]]-TB_curr[[#This Row],[Subtotal Y/N]])=0,0,VLOOKUP(TB_curr[[#This Row],[Synt]],GL[[Account]:[Line]],3,FALSE))</f>
        <v>#VALUE!</v>
      </c>
      <c r="AG520" s="1063" t="e">
        <f>VLOOKUP(TB_curr[[#This Row],[Synt]],GL[[Account]:[B/P]],4,FALSE)</f>
        <v>#N/A</v>
      </c>
      <c r="AH520" s="1066" t="e">
        <v>#VALUE!</v>
      </c>
      <c r="AI520" s="1065" t="e">
        <f>TB_curr[[#This Row],[Synt]]&amp;TB_curr[[#This Row],[Line No. manual corr.]]</f>
        <v>#VALUE!</v>
      </c>
      <c r="AJ520" s="1064">
        <f t="shared" ref="AJ520:AJ583" si="41">K520-N520</f>
        <v>0</v>
      </c>
      <c r="AK520" s="1064">
        <f t="shared" ref="AK520:AK583" si="42">Q520</f>
        <v>0</v>
      </c>
      <c r="AL520" s="1064">
        <f t="shared" ref="AL520:AL583" si="43">U520</f>
        <v>0</v>
      </c>
      <c r="AM520" s="1064">
        <f t="shared" ref="AM520:AM583" si="44">X520-AB520</f>
        <v>0</v>
      </c>
      <c r="AN520" s="1064"/>
      <c r="AO520" s="1064">
        <f>TB_curr[[#This Row],[Closing balance]]+TB_curr[[#This Row],[Rounding]]</f>
        <v>0</v>
      </c>
    </row>
    <row r="521" spans="30:41" x14ac:dyDescent="0.25">
      <c r="AD521" s="1067" t="str">
        <f t="shared" si="40"/>
        <v/>
      </c>
      <c r="AE521" s="1063" t="str">
        <f>IF(ISNA(VLOOKUP(TB_curr[[#This Row],[Synt]],GL[[#Headers],[#Data],[subtotal label]],1,FALSE)),0,(VLOOKUP(TB_curr[[#This Row],[Synt]],GL[[#Headers],[#Data],[subtotal label]],1,FALSE)))</f>
        <v/>
      </c>
      <c r="AF521" s="1063" t="e">
        <f>IF((TB_curr[[#This Row],[Synt]]-TB_curr[[#This Row],[Subtotal Y/N]])=0,0,VLOOKUP(TB_curr[[#This Row],[Synt]],GL[[Account]:[Line]],3,FALSE))</f>
        <v>#VALUE!</v>
      </c>
      <c r="AG521" s="1063" t="e">
        <f>VLOOKUP(TB_curr[[#This Row],[Synt]],GL[[Account]:[B/P]],4,FALSE)</f>
        <v>#N/A</v>
      </c>
      <c r="AH521" s="1066" t="e">
        <v>#VALUE!</v>
      </c>
      <c r="AI521" s="1065" t="e">
        <f>TB_curr[[#This Row],[Synt]]&amp;TB_curr[[#This Row],[Line No. manual corr.]]</f>
        <v>#VALUE!</v>
      </c>
      <c r="AJ521" s="1064">
        <f t="shared" si="41"/>
        <v>0</v>
      </c>
      <c r="AK521" s="1064">
        <f t="shared" si="42"/>
        <v>0</v>
      </c>
      <c r="AL521" s="1064">
        <f t="shared" si="43"/>
        <v>0</v>
      </c>
      <c r="AM521" s="1064">
        <f t="shared" si="44"/>
        <v>0</v>
      </c>
      <c r="AN521" s="1064"/>
      <c r="AO521" s="1064">
        <f>TB_curr[[#This Row],[Closing balance]]+TB_curr[[#This Row],[Rounding]]</f>
        <v>0</v>
      </c>
    </row>
    <row r="522" spans="30:41" x14ac:dyDescent="0.25">
      <c r="AD522" s="1067" t="str">
        <f t="shared" si="40"/>
        <v/>
      </c>
      <c r="AE522" s="1063" t="str">
        <f>IF(ISNA(VLOOKUP(TB_curr[[#This Row],[Synt]],GL[[#Headers],[#Data],[subtotal label]],1,FALSE)),0,(VLOOKUP(TB_curr[[#This Row],[Synt]],GL[[#Headers],[#Data],[subtotal label]],1,FALSE)))</f>
        <v/>
      </c>
      <c r="AF522" s="1063" t="e">
        <f>IF((TB_curr[[#This Row],[Synt]]-TB_curr[[#This Row],[Subtotal Y/N]])=0,0,VLOOKUP(TB_curr[[#This Row],[Synt]],GL[[Account]:[Line]],3,FALSE))</f>
        <v>#VALUE!</v>
      </c>
      <c r="AG522" s="1063" t="e">
        <f>VLOOKUP(TB_curr[[#This Row],[Synt]],GL[[Account]:[B/P]],4,FALSE)</f>
        <v>#N/A</v>
      </c>
      <c r="AH522" s="1066" t="e">
        <v>#VALUE!</v>
      </c>
      <c r="AI522" s="1065" t="e">
        <f>TB_curr[[#This Row],[Synt]]&amp;TB_curr[[#This Row],[Line No. manual corr.]]</f>
        <v>#VALUE!</v>
      </c>
      <c r="AJ522" s="1064">
        <f t="shared" si="41"/>
        <v>0</v>
      </c>
      <c r="AK522" s="1064">
        <f t="shared" si="42"/>
        <v>0</v>
      </c>
      <c r="AL522" s="1064">
        <f t="shared" si="43"/>
        <v>0</v>
      </c>
      <c r="AM522" s="1064">
        <f t="shared" si="44"/>
        <v>0</v>
      </c>
      <c r="AN522" s="1064"/>
      <c r="AO522" s="1064">
        <f>TB_curr[[#This Row],[Closing balance]]+TB_curr[[#This Row],[Rounding]]</f>
        <v>0</v>
      </c>
    </row>
    <row r="523" spans="30:41" x14ac:dyDescent="0.25">
      <c r="AD523" s="1067" t="str">
        <f t="shared" si="40"/>
        <v/>
      </c>
      <c r="AE523" s="1063" t="str">
        <f>IF(ISNA(VLOOKUP(TB_curr[[#This Row],[Synt]],GL[[#Headers],[#Data],[subtotal label]],1,FALSE)),0,(VLOOKUP(TB_curr[[#This Row],[Synt]],GL[[#Headers],[#Data],[subtotal label]],1,FALSE)))</f>
        <v/>
      </c>
      <c r="AF523" s="1063" t="e">
        <f>IF((TB_curr[[#This Row],[Synt]]-TB_curr[[#This Row],[Subtotal Y/N]])=0,0,VLOOKUP(TB_curr[[#This Row],[Synt]],GL[[Account]:[Line]],3,FALSE))</f>
        <v>#VALUE!</v>
      </c>
      <c r="AG523" s="1063" t="e">
        <f>VLOOKUP(TB_curr[[#This Row],[Synt]],GL[[Account]:[B/P]],4,FALSE)</f>
        <v>#N/A</v>
      </c>
      <c r="AH523" s="1066" t="e">
        <v>#VALUE!</v>
      </c>
      <c r="AI523" s="1065" t="e">
        <f>TB_curr[[#This Row],[Synt]]&amp;TB_curr[[#This Row],[Line No. manual corr.]]</f>
        <v>#VALUE!</v>
      </c>
      <c r="AJ523" s="1064">
        <f t="shared" si="41"/>
        <v>0</v>
      </c>
      <c r="AK523" s="1064">
        <f t="shared" si="42"/>
        <v>0</v>
      </c>
      <c r="AL523" s="1064">
        <f t="shared" si="43"/>
        <v>0</v>
      </c>
      <c r="AM523" s="1064">
        <f t="shared" si="44"/>
        <v>0</v>
      </c>
      <c r="AN523" s="1064"/>
      <c r="AO523" s="1064">
        <f>TB_curr[[#This Row],[Closing balance]]+TB_curr[[#This Row],[Rounding]]</f>
        <v>0</v>
      </c>
    </row>
    <row r="524" spans="30:41" x14ac:dyDescent="0.25">
      <c r="AD524" s="1067" t="str">
        <f t="shared" si="40"/>
        <v/>
      </c>
      <c r="AE524" s="1063" t="str">
        <f>IF(ISNA(VLOOKUP(TB_curr[[#This Row],[Synt]],GL[[#Headers],[#Data],[subtotal label]],1,FALSE)),0,(VLOOKUP(TB_curr[[#This Row],[Synt]],GL[[#Headers],[#Data],[subtotal label]],1,FALSE)))</f>
        <v/>
      </c>
      <c r="AF524" s="1063" t="e">
        <f>IF((TB_curr[[#This Row],[Synt]]-TB_curr[[#This Row],[Subtotal Y/N]])=0,0,VLOOKUP(TB_curr[[#This Row],[Synt]],GL[[Account]:[Line]],3,FALSE))</f>
        <v>#VALUE!</v>
      </c>
      <c r="AG524" s="1063" t="e">
        <f>VLOOKUP(TB_curr[[#This Row],[Synt]],GL[[Account]:[B/P]],4,FALSE)</f>
        <v>#N/A</v>
      </c>
      <c r="AH524" s="1066" t="e">
        <v>#VALUE!</v>
      </c>
      <c r="AI524" s="1065" t="e">
        <f>TB_curr[[#This Row],[Synt]]&amp;TB_curr[[#This Row],[Line No. manual corr.]]</f>
        <v>#VALUE!</v>
      </c>
      <c r="AJ524" s="1064">
        <f t="shared" si="41"/>
        <v>0</v>
      </c>
      <c r="AK524" s="1064">
        <f t="shared" si="42"/>
        <v>0</v>
      </c>
      <c r="AL524" s="1064">
        <f t="shared" si="43"/>
        <v>0</v>
      </c>
      <c r="AM524" s="1064">
        <f t="shared" si="44"/>
        <v>0</v>
      </c>
      <c r="AN524" s="1064"/>
      <c r="AO524" s="1064">
        <f>TB_curr[[#This Row],[Closing balance]]+TB_curr[[#This Row],[Rounding]]</f>
        <v>0</v>
      </c>
    </row>
    <row r="525" spans="30:41" x14ac:dyDescent="0.25">
      <c r="AD525" s="1067" t="str">
        <f t="shared" si="40"/>
        <v/>
      </c>
      <c r="AE525" s="1063" t="str">
        <f>IF(ISNA(VLOOKUP(TB_curr[[#This Row],[Synt]],GL[[#Headers],[#Data],[subtotal label]],1,FALSE)),0,(VLOOKUP(TB_curr[[#This Row],[Synt]],GL[[#Headers],[#Data],[subtotal label]],1,FALSE)))</f>
        <v/>
      </c>
      <c r="AF525" s="1063" t="e">
        <f>IF((TB_curr[[#This Row],[Synt]]-TB_curr[[#This Row],[Subtotal Y/N]])=0,0,VLOOKUP(TB_curr[[#This Row],[Synt]],GL[[Account]:[Line]],3,FALSE))</f>
        <v>#VALUE!</v>
      </c>
      <c r="AG525" s="1063" t="e">
        <f>VLOOKUP(TB_curr[[#This Row],[Synt]],GL[[Account]:[B/P]],4,FALSE)</f>
        <v>#N/A</v>
      </c>
      <c r="AH525" s="1066" t="e">
        <v>#VALUE!</v>
      </c>
      <c r="AI525" s="1065" t="e">
        <f>TB_curr[[#This Row],[Synt]]&amp;TB_curr[[#This Row],[Line No. manual corr.]]</f>
        <v>#VALUE!</v>
      </c>
      <c r="AJ525" s="1064">
        <f t="shared" si="41"/>
        <v>0</v>
      </c>
      <c r="AK525" s="1064">
        <f t="shared" si="42"/>
        <v>0</v>
      </c>
      <c r="AL525" s="1064">
        <f t="shared" si="43"/>
        <v>0</v>
      </c>
      <c r="AM525" s="1064">
        <f t="shared" si="44"/>
        <v>0</v>
      </c>
      <c r="AN525" s="1064"/>
      <c r="AO525" s="1064">
        <f>TB_curr[[#This Row],[Closing balance]]+TB_curr[[#This Row],[Rounding]]</f>
        <v>0</v>
      </c>
    </row>
    <row r="526" spans="30:41" x14ac:dyDescent="0.25">
      <c r="AD526" s="1067" t="str">
        <f t="shared" si="40"/>
        <v/>
      </c>
      <c r="AE526" s="1063" t="str">
        <f>IF(ISNA(VLOOKUP(TB_curr[[#This Row],[Synt]],GL[[#Headers],[#Data],[subtotal label]],1,FALSE)),0,(VLOOKUP(TB_curr[[#This Row],[Synt]],GL[[#Headers],[#Data],[subtotal label]],1,FALSE)))</f>
        <v/>
      </c>
      <c r="AF526" s="1063" t="e">
        <f>IF((TB_curr[[#This Row],[Synt]]-TB_curr[[#This Row],[Subtotal Y/N]])=0,0,VLOOKUP(TB_curr[[#This Row],[Synt]],GL[[Account]:[Line]],3,FALSE))</f>
        <v>#VALUE!</v>
      </c>
      <c r="AG526" s="1063" t="e">
        <f>VLOOKUP(TB_curr[[#This Row],[Synt]],GL[[Account]:[B/P]],4,FALSE)</f>
        <v>#N/A</v>
      </c>
      <c r="AH526" s="1066" t="e">
        <v>#VALUE!</v>
      </c>
      <c r="AI526" s="1065" t="e">
        <f>TB_curr[[#This Row],[Synt]]&amp;TB_curr[[#This Row],[Line No. manual corr.]]</f>
        <v>#VALUE!</v>
      </c>
      <c r="AJ526" s="1064">
        <f t="shared" si="41"/>
        <v>0</v>
      </c>
      <c r="AK526" s="1064">
        <f t="shared" si="42"/>
        <v>0</v>
      </c>
      <c r="AL526" s="1064">
        <f t="shared" si="43"/>
        <v>0</v>
      </c>
      <c r="AM526" s="1064">
        <f t="shared" si="44"/>
        <v>0</v>
      </c>
      <c r="AN526" s="1064"/>
      <c r="AO526" s="1064">
        <f>TB_curr[[#This Row],[Closing balance]]+TB_curr[[#This Row],[Rounding]]</f>
        <v>0</v>
      </c>
    </row>
    <row r="527" spans="30:41" x14ac:dyDescent="0.25">
      <c r="AD527" s="1067" t="str">
        <f t="shared" si="40"/>
        <v/>
      </c>
      <c r="AE527" s="1063" t="str">
        <f>IF(ISNA(VLOOKUP(TB_curr[[#This Row],[Synt]],GL[[#Headers],[#Data],[subtotal label]],1,FALSE)),0,(VLOOKUP(TB_curr[[#This Row],[Synt]],GL[[#Headers],[#Data],[subtotal label]],1,FALSE)))</f>
        <v/>
      </c>
      <c r="AF527" s="1063" t="e">
        <f>IF((TB_curr[[#This Row],[Synt]]-TB_curr[[#This Row],[Subtotal Y/N]])=0,0,VLOOKUP(TB_curr[[#This Row],[Synt]],GL[[Account]:[Line]],3,FALSE))</f>
        <v>#VALUE!</v>
      </c>
      <c r="AG527" s="1063" t="e">
        <f>VLOOKUP(TB_curr[[#This Row],[Synt]],GL[[Account]:[B/P]],4,FALSE)</f>
        <v>#N/A</v>
      </c>
      <c r="AH527" s="1066" t="e">
        <v>#VALUE!</v>
      </c>
      <c r="AI527" s="1065" t="e">
        <f>TB_curr[[#This Row],[Synt]]&amp;TB_curr[[#This Row],[Line No. manual corr.]]</f>
        <v>#VALUE!</v>
      </c>
      <c r="AJ527" s="1064">
        <f t="shared" si="41"/>
        <v>0</v>
      </c>
      <c r="AK527" s="1064">
        <f t="shared" si="42"/>
        <v>0</v>
      </c>
      <c r="AL527" s="1064">
        <f t="shared" si="43"/>
        <v>0</v>
      </c>
      <c r="AM527" s="1064">
        <f t="shared" si="44"/>
        <v>0</v>
      </c>
      <c r="AN527" s="1064"/>
      <c r="AO527" s="1064">
        <f>TB_curr[[#This Row],[Closing balance]]+TB_curr[[#This Row],[Rounding]]</f>
        <v>0</v>
      </c>
    </row>
    <row r="528" spans="30:41" x14ac:dyDescent="0.25">
      <c r="AD528" s="1067" t="str">
        <f t="shared" si="40"/>
        <v/>
      </c>
      <c r="AE528" s="1063" t="str">
        <f>IF(ISNA(VLOOKUP(TB_curr[[#This Row],[Synt]],GL[[#Headers],[#Data],[subtotal label]],1,FALSE)),0,(VLOOKUP(TB_curr[[#This Row],[Synt]],GL[[#Headers],[#Data],[subtotal label]],1,FALSE)))</f>
        <v/>
      </c>
      <c r="AF528" s="1063" t="e">
        <f>IF((TB_curr[[#This Row],[Synt]]-TB_curr[[#This Row],[Subtotal Y/N]])=0,0,VLOOKUP(TB_curr[[#This Row],[Synt]],GL[[Account]:[Line]],3,FALSE))</f>
        <v>#VALUE!</v>
      </c>
      <c r="AG528" s="1063" t="e">
        <f>VLOOKUP(TB_curr[[#This Row],[Synt]],GL[[Account]:[B/P]],4,FALSE)</f>
        <v>#N/A</v>
      </c>
      <c r="AH528" s="1066" t="e">
        <v>#VALUE!</v>
      </c>
      <c r="AI528" s="1065" t="e">
        <f>TB_curr[[#This Row],[Synt]]&amp;TB_curr[[#This Row],[Line No. manual corr.]]</f>
        <v>#VALUE!</v>
      </c>
      <c r="AJ528" s="1064">
        <f t="shared" si="41"/>
        <v>0</v>
      </c>
      <c r="AK528" s="1064">
        <f t="shared" si="42"/>
        <v>0</v>
      </c>
      <c r="AL528" s="1064">
        <f t="shared" si="43"/>
        <v>0</v>
      </c>
      <c r="AM528" s="1064">
        <f t="shared" si="44"/>
        <v>0</v>
      </c>
      <c r="AN528" s="1064"/>
      <c r="AO528" s="1064">
        <f>TB_curr[[#This Row],[Closing balance]]+TB_curr[[#This Row],[Rounding]]</f>
        <v>0</v>
      </c>
    </row>
    <row r="529" spans="30:41" x14ac:dyDescent="0.25">
      <c r="AD529" s="1067" t="str">
        <f t="shared" si="40"/>
        <v/>
      </c>
      <c r="AE529" s="1063" t="str">
        <f>IF(ISNA(VLOOKUP(TB_curr[[#This Row],[Synt]],GL[[#Headers],[#Data],[subtotal label]],1,FALSE)),0,(VLOOKUP(TB_curr[[#This Row],[Synt]],GL[[#Headers],[#Data],[subtotal label]],1,FALSE)))</f>
        <v/>
      </c>
      <c r="AF529" s="1063" t="e">
        <f>IF((TB_curr[[#This Row],[Synt]]-TB_curr[[#This Row],[Subtotal Y/N]])=0,0,VLOOKUP(TB_curr[[#This Row],[Synt]],GL[[Account]:[Line]],3,FALSE))</f>
        <v>#VALUE!</v>
      </c>
      <c r="AG529" s="1063" t="e">
        <f>VLOOKUP(TB_curr[[#This Row],[Synt]],GL[[Account]:[B/P]],4,FALSE)</f>
        <v>#N/A</v>
      </c>
      <c r="AH529" s="1066" t="e">
        <v>#VALUE!</v>
      </c>
      <c r="AI529" s="1065" t="e">
        <f>TB_curr[[#This Row],[Synt]]&amp;TB_curr[[#This Row],[Line No. manual corr.]]</f>
        <v>#VALUE!</v>
      </c>
      <c r="AJ529" s="1064">
        <f t="shared" si="41"/>
        <v>0</v>
      </c>
      <c r="AK529" s="1064">
        <f t="shared" si="42"/>
        <v>0</v>
      </c>
      <c r="AL529" s="1064">
        <f t="shared" si="43"/>
        <v>0</v>
      </c>
      <c r="AM529" s="1064">
        <f t="shared" si="44"/>
        <v>0</v>
      </c>
      <c r="AN529" s="1064"/>
      <c r="AO529" s="1064">
        <f>TB_curr[[#This Row],[Closing balance]]+TB_curr[[#This Row],[Rounding]]</f>
        <v>0</v>
      </c>
    </row>
    <row r="530" spans="30:41" x14ac:dyDescent="0.25">
      <c r="AD530" s="1067" t="str">
        <f t="shared" si="40"/>
        <v/>
      </c>
      <c r="AE530" s="1063" t="str">
        <f>IF(ISNA(VLOOKUP(TB_curr[[#This Row],[Synt]],GL[[#Headers],[#Data],[subtotal label]],1,FALSE)),0,(VLOOKUP(TB_curr[[#This Row],[Synt]],GL[[#Headers],[#Data],[subtotal label]],1,FALSE)))</f>
        <v/>
      </c>
      <c r="AF530" s="1063" t="e">
        <f>IF((TB_curr[[#This Row],[Synt]]-TB_curr[[#This Row],[Subtotal Y/N]])=0,0,VLOOKUP(TB_curr[[#This Row],[Synt]],GL[[Account]:[Line]],3,FALSE))</f>
        <v>#VALUE!</v>
      </c>
      <c r="AG530" s="1063" t="e">
        <f>VLOOKUP(TB_curr[[#This Row],[Synt]],GL[[Account]:[B/P]],4,FALSE)</f>
        <v>#N/A</v>
      </c>
      <c r="AH530" s="1066" t="e">
        <v>#VALUE!</v>
      </c>
      <c r="AI530" s="1065" t="e">
        <f>TB_curr[[#This Row],[Synt]]&amp;TB_curr[[#This Row],[Line No. manual corr.]]</f>
        <v>#VALUE!</v>
      </c>
      <c r="AJ530" s="1064">
        <f t="shared" si="41"/>
        <v>0</v>
      </c>
      <c r="AK530" s="1064">
        <f t="shared" si="42"/>
        <v>0</v>
      </c>
      <c r="AL530" s="1064">
        <f t="shared" si="43"/>
        <v>0</v>
      </c>
      <c r="AM530" s="1064">
        <f t="shared" si="44"/>
        <v>0</v>
      </c>
      <c r="AN530" s="1064"/>
      <c r="AO530" s="1064">
        <f>TB_curr[[#This Row],[Closing balance]]+TB_curr[[#This Row],[Rounding]]</f>
        <v>0</v>
      </c>
    </row>
    <row r="531" spans="30:41" x14ac:dyDescent="0.25">
      <c r="AD531" s="1067" t="str">
        <f t="shared" si="40"/>
        <v/>
      </c>
      <c r="AE531" s="1063" t="str">
        <f>IF(ISNA(VLOOKUP(TB_curr[[#This Row],[Synt]],GL[[#Headers],[#Data],[subtotal label]],1,FALSE)),0,(VLOOKUP(TB_curr[[#This Row],[Synt]],GL[[#Headers],[#Data],[subtotal label]],1,FALSE)))</f>
        <v/>
      </c>
      <c r="AF531" s="1063" t="e">
        <f>IF((TB_curr[[#This Row],[Synt]]-TB_curr[[#This Row],[Subtotal Y/N]])=0,0,VLOOKUP(TB_curr[[#This Row],[Synt]],GL[[Account]:[Line]],3,FALSE))</f>
        <v>#VALUE!</v>
      </c>
      <c r="AG531" s="1063" t="e">
        <f>VLOOKUP(TB_curr[[#This Row],[Synt]],GL[[Account]:[B/P]],4,FALSE)</f>
        <v>#N/A</v>
      </c>
      <c r="AH531" s="1066" t="e">
        <v>#VALUE!</v>
      </c>
      <c r="AI531" s="1065" t="e">
        <f>TB_curr[[#This Row],[Synt]]&amp;TB_curr[[#This Row],[Line No. manual corr.]]</f>
        <v>#VALUE!</v>
      </c>
      <c r="AJ531" s="1064">
        <f t="shared" si="41"/>
        <v>0</v>
      </c>
      <c r="AK531" s="1064">
        <f t="shared" si="42"/>
        <v>0</v>
      </c>
      <c r="AL531" s="1064">
        <f t="shared" si="43"/>
        <v>0</v>
      </c>
      <c r="AM531" s="1064">
        <f t="shared" si="44"/>
        <v>0</v>
      </c>
      <c r="AN531" s="1064"/>
      <c r="AO531" s="1064">
        <f>TB_curr[[#This Row],[Closing balance]]+TB_curr[[#This Row],[Rounding]]</f>
        <v>0</v>
      </c>
    </row>
    <row r="532" spans="30:41" x14ac:dyDescent="0.25">
      <c r="AD532" s="1067" t="str">
        <f t="shared" si="40"/>
        <v/>
      </c>
      <c r="AE532" s="1063" t="str">
        <f>IF(ISNA(VLOOKUP(TB_curr[[#This Row],[Synt]],GL[[#Headers],[#Data],[subtotal label]],1,FALSE)),0,(VLOOKUP(TB_curr[[#This Row],[Synt]],GL[[#Headers],[#Data],[subtotal label]],1,FALSE)))</f>
        <v/>
      </c>
      <c r="AF532" s="1063" t="e">
        <f>IF((TB_curr[[#This Row],[Synt]]-TB_curr[[#This Row],[Subtotal Y/N]])=0,0,VLOOKUP(TB_curr[[#This Row],[Synt]],GL[[Account]:[Line]],3,FALSE))</f>
        <v>#VALUE!</v>
      </c>
      <c r="AG532" s="1063" t="e">
        <f>VLOOKUP(TB_curr[[#This Row],[Synt]],GL[[Account]:[B/P]],4,FALSE)</f>
        <v>#N/A</v>
      </c>
      <c r="AH532" s="1066" t="e">
        <v>#VALUE!</v>
      </c>
      <c r="AI532" s="1065" t="e">
        <f>TB_curr[[#This Row],[Synt]]&amp;TB_curr[[#This Row],[Line No. manual corr.]]</f>
        <v>#VALUE!</v>
      </c>
      <c r="AJ532" s="1064">
        <f t="shared" si="41"/>
        <v>0</v>
      </c>
      <c r="AK532" s="1064">
        <f t="shared" si="42"/>
        <v>0</v>
      </c>
      <c r="AL532" s="1064">
        <f t="shared" si="43"/>
        <v>0</v>
      </c>
      <c r="AM532" s="1064">
        <f t="shared" si="44"/>
        <v>0</v>
      </c>
      <c r="AN532" s="1064"/>
      <c r="AO532" s="1064">
        <f>TB_curr[[#This Row],[Closing balance]]+TB_curr[[#This Row],[Rounding]]</f>
        <v>0</v>
      </c>
    </row>
    <row r="533" spans="30:41" x14ac:dyDescent="0.25">
      <c r="AD533" s="1067" t="str">
        <f t="shared" si="40"/>
        <v/>
      </c>
      <c r="AE533" s="1063" t="str">
        <f>IF(ISNA(VLOOKUP(TB_curr[[#This Row],[Synt]],GL[[#Headers],[#Data],[subtotal label]],1,FALSE)),0,(VLOOKUP(TB_curr[[#This Row],[Synt]],GL[[#Headers],[#Data],[subtotal label]],1,FALSE)))</f>
        <v/>
      </c>
      <c r="AF533" s="1063" t="e">
        <f>IF((TB_curr[[#This Row],[Synt]]-TB_curr[[#This Row],[Subtotal Y/N]])=0,0,VLOOKUP(TB_curr[[#This Row],[Synt]],GL[[Account]:[Line]],3,FALSE))</f>
        <v>#VALUE!</v>
      </c>
      <c r="AG533" s="1063" t="e">
        <f>VLOOKUP(TB_curr[[#This Row],[Synt]],GL[[Account]:[B/P]],4,FALSE)</f>
        <v>#N/A</v>
      </c>
      <c r="AH533" s="1066" t="e">
        <v>#VALUE!</v>
      </c>
      <c r="AI533" s="1065" t="e">
        <f>TB_curr[[#This Row],[Synt]]&amp;TB_curr[[#This Row],[Line No. manual corr.]]</f>
        <v>#VALUE!</v>
      </c>
      <c r="AJ533" s="1064">
        <f t="shared" si="41"/>
        <v>0</v>
      </c>
      <c r="AK533" s="1064">
        <f t="shared" si="42"/>
        <v>0</v>
      </c>
      <c r="AL533" s="1064">
        <f t="shared" si="43"/>
        <v>0</v>
      </c>
      <c r="AM533" s="1064">
        <f t="shared" si="44"/>
        <v>0</v>
      </c>
      <c r="AN533" s="1064"/>
      <c r="AO533" s="1064">
        <f>TB_curr[[#This Row],[Closing balance]]+TB_curr[[#This Row],[Rounding]]</f>
        <v>0</v>
      </c>
    </row>
    <row r="534" spans="30:41" x14ac:dyDescent="0.25">
      <c r="AD534" s="1067" t="str">
        <f t="shared" si="40"/>
        <v/>
      </c>
      <c r="AE534" s="1063" t="str">
        <f>IF(ISNA(VLOOKUP(TB_curr[[#This Row],[Synt]],GL[[#Headers],[#Data],[subtotal label]],1,FALSE)),0,(VLOOKUP(TB_curr[[#This Row],[Synt]],GL[[#Headers],[#Data],[subtotal label]],1,FALSE)))</f>
        <v/>
      </c>
      <c r="AF534" s="1063" t="e">
        <f>IF((TB_curr[[#This Row],[Synt]]-TB_curr[[#This Row],[Subtotal Y/N]])=0,0,VLOOKUP(TB_curr[[#This Row],[Synt]],GL[[Account]:[Line]],3,FALSE))</f>
        <v>#VALUE!</v>
      </c>
      <c r="AG534" s="1063" t="e">
        <f>VLOOKUP(TB_curr[[#This Row],[Synt]],GL[[Account]:[B/P]],4,FALSE)</f>
        <v>#N/A</v>
      </c>
      <c r="AH534" s="1066" t="e">
        <v>#VALUE!</v>
      </c>
      <c r="AI534" s="1065" t="e">
        <f>TB_curr[[#This Row],[Synt]]&amp;TB_curr[[#This Row],[Line No. manual corr.]]</f>
        <v>#VALUE!</v>
      </c>
      <c r="AJ534" s="1064">
        <f t="shared" si="41"/>
        <v>0</v>
      </c>
      <c r="AK534" s="1064">
        <f t="shared" si="42"/>
        <v>0</v>
      </c>
      <c r="AL534" s="1064">
        <f t="shared" si="43"/>
        <v>0</v>
      </c>
      <c r="AM534" s="1064">
        <f t="shared" si="44"/>
        <v>0</v>
      </c>
      <c r="AN534" s="1064"/>
      <c r="AO534" s="1064">
        <f>TB_curr[[#This Row],[Closing balance]]+TB_curr[[#This Row],[Rounding]]</f>
        <v>0</v>
      </c>
    </row>
    <row r="535" spans="30:41" x14ac:dyDescent="0.25">
      <c r="AD535" s="1067" t="str">
        <f t="shared" si="40"/>
        <v/>
      </c>
      <c r="AE535" s="1063" t="str">
        <f>IF(ISNA(VLOOKUP(TB_curr[[#This Row],[Synt]],GL[[#Headers],[#Data],[subtotal label]],1,FALSE)),0,(VLOOKUP(TB_curr[[#This Row],[Synt]],GL[[#Headers],[#Data],[subtotal label]],1,FALSE)))</f>
        <v/>
      </c>
      <c r="AF535" s="1063" t="e">
        <f>IF((TB_curr[[#This Row],[Synt]]-TB_curr[[#This Row],[Subtotal Y/N]])=0,0,VLOOKUP(TB_curr[[#This Row],[Synt]],GL[[Account]:[Line]],3,FALSE))</f>
        <v>#VALUE!</v>
      </c>
      <c r="AG535" s="1063" t="e">
        <f>VLOOKUP(TB_curr[[#This Row],[Synt]],GL[[Account]:[B/P]],4,FALSE)</f>
        <v>#N/A</v>
      </c>
      <c r="AH535" s="1066" t="e">
        <v>#VALUE!</v>
      </c>
      <c r="AI535" s="1065" t="e">
        <f>TB_curr[[#This Row],[Synt]]&amp;TB_curr[[#This Row],[Line No. manual corr.]]</f>
        <v>#VALUE!</v>
      </c>
      <c r="AJ535" s="1064">
        <f t="shared" si="41"/>
        <v>0</v>
      </c>
      <c r="AK535" s="1064">
        <f t="shared" si="42"/>
        <v>0</v>
      </c>
      <c r="AL535" s="1064">
        <f t="shared" si="43"/>
        <v>0</v>
      </c>
      <c r="AM535" s="1064">
        <f t="shared" si="44"/>
        <v>0</v>
      </c>
      <c r="AN535" s="1064"/>
      <c r="AO535" s="1064">
        <f>TB_curr[[#This Row],[Closing balance]]+TB_curr[[#This Row],[Rounding]]</f>
        <v>0</v>
      </c>
    </row>
    <row r="536" spans="30:41" x14ac:dyDescent="0.25">
      <c r="AD536" s="1067" t="str">
        <f t="shared" si="40"/>
        <v/>
      </c>
      <c r="AE536" s="1063" t="str">
        <f>IF(ISNA(VLOOKUP(TB_curr[[#This Row],[Synt]],GL[[#Headers],[#Data],[subtotal label]],1,FALSE)),0,(VLOOKUP(TB_curr[[#This Row],[Synt]],GL[[#Headers],[#Data],[subtotal label]],1,FALSE)))</f>
        <v/>
      </c>
      <c r="AF536" s="1063" t="e">
        <f>IF((TB_curr[[#This Row],[Synt]]-TB_curr[[#This Row],[Subtotal Y/N]])=0,0,VLOOKUP(TB_curr[[#This Row],[Synt]],GL[[Account]:[Line]],3,FALSE))</f>
        <v>#VALUE!</v>
      </c>
      <c r="AG536" s="1063" t="e">
        <f>VLOOKUP(TB_curr[[#This Row],[Synt]],GL[[Account]:[B/P]],4,FALSE)</f>
        <v>#N/A</v>
      </c>
      <c r="AH536" s="1066" t="e">
        <v>#VALUE!</v>
      </c>
      <c r="AI536" s="1065" t="e">
        <f>TB_curr[[#This Row],[Synt]]&amp;TB_curr[[#This Row],[Line No. manual corr.]]</f>
        <v>#VALUE!</v>
      </c>
      <c r="AJ536" s="1064">
        <f t="shared" si="41"/>
        <v>0</v>
      </c>
      <c r="AK536" s="1064">
        <f t="shared" si="42"/>
        <v>0</v>
      </c>
      <c r="AL536" s="1064">
        <f t="shared" si="43"/>
        <v>0</v>
      </c>
      <c r="AM536" s="1064">
        <f t="shared" si="44"/>
        <v>0</v>
      </c>
      <c r="AN536" s="1064"/>
      <c r="AO536" s="1064">
        <f>TB_curr[[#This Row],[Closing balance]]+TB_curr[[#This Row],[Rounding]]</f>
        <v>0</v>
      </c>
    </row>
    <row r="537" spans="30:41" x14ac:dyDescent="0.25">
      <c r="AD537" s="1067" t="str">
        <f t="shared" si="40"/>
        <v/>
      </c>
      <c r="AE537" s="1063" t="str">
        <f>IF(ISNA(VLOOKUP(TB_curr[[#This Row],[Synt]],GL[[#Headers],[#Data],[subtotal label]],1,FALSE)),0,(VLOOKUP(TB_curr[[#This Row],[Synt]],GL[[#Headers],[#Data],[subtotal label]],1,FALSE)))</f>
        <v/>
      </c>
      <c r="AF537" s="1063" t="e">
        <f>IF((TB_curr[[#This Row],[Synt]]-TB_curr[[#This Row],[Subtotal Y/N]])=0,0,VLOOKUP(TB_curr[[#This Row],[Synt]],GL[[Account]:[Line]],3,FALSE))</f>
        <v>#VALUE!</v>
      </c>
      <c r="AG537" s="1063" t="e">
        <f>VLOOKUP(TB_curr[[#This Row],[Synt]],GL[[Account]:[B/P]],4,FALSE)</f>
        <v>#N/A</v>
      </c>
      <c r="AH537" s="1066" t="e">
        <v>#VALUE!</v>
      </c>
      <c r="AI537" s="1065" t="e">
        <f>TB_curr[[#This Row],[Synt]]&amp;TB_curr[[#This Row],[Line No. manual corr.]]</f>
        <v>#VALUE!</v>
      </c>
      <c r="AJ537" s="1064">
        <f t="shared" si="41"/>
        <v>0</v>
      </c>
      <c r="AK537" s="1064">
        <f t="shared" si="42"/>
        <v>0</v>
      </c>
      <c r="AL537" s="1064">
        <f t="shared" si="43"/>
        <v>0</v>
      </c>
      <c r="AM537" s="1064">
        <f t="shared" si="44"/>
        <v>0</v>
      </c>
      <c r="AN537" s="1064"/>
      <c r="AO537" s="1064">
        <f>TB_curr[[#This Row],[Closing balance]]+TB_curr[[#This Row],[Rounding]]</f>
        <v>0</v>
      </c>
    </row>
    <row r="538" spans="30:41" x14ac:dyDescent="0.25">
      <c r="AD538" s="1067" t="str">
        <f t="shared" si="40"/>
        <v/>
      </c>
      <c r="AE538" s="1063" t="str">
        <f>IF(ISNA(VLOOKUP(TB_curr[[#This Row],[Synt]],GL[[#Headers],[#Data],[subtotal label]],1,FALSE)),0,(VLOOKUP(TB_curr[[#This Row],[Synt]],GL[[#Headers],[#Data],[subtotal label]],1,FALSE)))</f>
        <v/>
      </c>
      <c r="AF538" s="1063" t="e">
        <f>IF((TB_curr[[#This Row],[Synt]]-TB_curr[[#This Row],[Subtotal Y/N]])=0,0,VLOOKUP(TB_curr[[#This Row],[Synt]],GL[[Account]:[Line]],3,FALSE))</f>
        <v>#VALUE!</v>
      </c>
      <c r="AG538" s="1063" t="e">
        <f>VLOOKUP(TB_curr[[#This Row],[Synt]],GL[[Account]:[B/P]],4,FALSE)</f>
        <v>#N/A</v>
      </c>
      <c r="AH538" s="1066" t="e">
        <v>#VALUE!</v>
      </c>
      <c r="AI538" s="1065" t="e">
        <f>TB_curr[[#This Row],[Synt]]&amp;TB_curr[[#This Row],[Line No. manual corr.]]</f>
        <v>#VALUE!</v>
      </c>
      <c r="AJ538" s="1064">
        <f t="shared" si="41"/>
        <v>0</v>
      </c>
      <c r="AK538" s="1064">
        <f t="shared" si="42"/>
        <v>0</v>
      </c>
      <c r="AL538" s="1064">
        <f t="shared" si="43"/>
        <v>0</v>
      </c>
      <c r="AM538" s="1064">
        <f t="shared" si="44"/>
        <v>0</v>
      </c>
      <c r="AN538" s="1064"/>
      <c r="AO538" s="1064">
        <f>TB_curr[[#This Row],[Closing balance]]+TB_curr[[#This Row],[Rounding]]</f>
        <v>0</v>
      </c>
    </row>
    <row r="539" spans="30:41" x14ac:dyDescent="0.25">
      <c r="AD539" s="1067" t="str">
        <f t="shared" si="40"/>
        <v/>
      </c>
      <c r="AE539" s="1063" t="str">
        <f>IF(ISNA(VLOOKUP(TB_curr[[#This Row],[Synt]],GL[[#Headers],[#Data],[subtotal label]],1,FALSE)),0,(VLOOKUP(TB_curr[[#This Row],[Synt]],GL[[#Headers],[#Data],[subtotal label]],1,FALSE)))</f>
        <v/>
      </c>
      <c r="AF539" s="1063" t="e">
        <f>IF((TB_curr[[#This Row],[Synt]]-TB_curr[[#This Row],[Subtotal Y/N]])=0,0,VLOOKUP(TB_curr[[#This Row],[Synt]],GL[[Account]:[Line]],3,FALSE))</f>
        <v>#VALUE!</v>
      </c>
      <c r="AG539" s="1063" t="e">
        <f>VLOOKUP(TB_curr[[#This Row],[Synt]],GL[[Account]:[B/P]],4,FALSE)</f>
        <v>#N/A</v>
      </c>
      <c r="AH539" s="1066" t="e">
        <v>#VALUE!</v>
      </c>
      <c r="AI539" s="1065" t="e">
        <f>TB_curr[[#This Row],[Synt]]&amp;TB_curr[[#This Row],[Line No. manual corr.]]</f>
        <v>#VALUE!</v>
      </c>
      <c r="AJ539" s="1064">
        <f t="shared" si="41"/>
        <v>0</v>
      </c>
      <c r="AK539" s="1064">
        <f t="shared" si="42"/>
        <v>0</v>
      </c>
      <c r="AL539" s="1064">
        <f t="shared" si="43"/>
        <v>0</v>
      </c>
      <c r="AM539" s="1064">
        <f t="shared" si="44"/>
        <v>0</v>
      </c>
      <c r="AN539" s="1064"/>
      <c r="AO539" s="1064">
        <f>TB_curr[[#This Row],[Closing balance]]+TB_curr[[#This Row],[Rounding]]</f>
        <v>0</v>
      </c>
    </row>
    <row r="540" spans="30:41" x14ac:dyDescent="0.25">
      <c r="AD540" s="1067" t="str">
        <f t="shared" si="40"/>
        <v/>
      </c>
      <c r="AE540" s="1063" t="str">
        <f>IF(ISNA(VLOOKUP(TB_curr[[#This Row],[Synt]],GL[[#Headers],[#Data],[subtotal label]],1,FALSE)),0,(VLOOKUP(TB_curr[[#This Row],[Synt]],GL[[#Headers],[#Data],[subtotal label]],1,FALSE)))</f>
        <v/>
      </c>
      <c r="AF540" s="1063" t="e">
        <f>IF((TB_curr[[#This Row],[Synt]]-TB_curr[[#This Row],[Subtotal Y/N]])=0,0,VLOOKUP(TB_curr[[#This Row],[Synt]],GL[[Account]:[Line]],3,FALSE))</f>
        <v>#VALUE!</v>
      </c>
      <c r="AG540" s="1063" t="e">
        <f>VLOOKUP(TB_curr[[#This Row],[Synt]],GL[[Account]:[B/P]],4,FALSE)</f>
        <v>#N/A</v>
      </c>
      <c r="AH540" s="1066" t="e">
        <v>#VALUE!</v>
      </c>
      <c r="AI540" s="1065" t="e">
        <f>TB_curr[[#This Row],[Synt]]&amp;TB_curr[[#This Row],[Line No. manual corr.]]</f>
        <v>#VALUE!</v>
      </c>
      <c r="AJ540" s="1064">
        <f t="shared" si="41"/>
        <v>0</v>
      </c>
      <c r="AK540" s="1064">
        <f t="shared" si="42"/>
        <v>0</v>
      </c>
      <c r="AL540" s="1064">
        <f t="shared" si="43"/>
        <v>0</v>
      </c>
      <c r="AM540" s="1064">
        <f t="shared" si="44"/>
        <v>0</v>
      </c>
      <c r="AN540" s="1064"/>
      <c r="AO540" s="1064">
        <f>TB_curr[[#This Row],[Closing balance]]+TB_curr[[#This Row],[Rounding]]</f>
        <v>0</v>
      </c>
    </row>
    <row r="541" spans="30:41" x14ac:dyDescent="0.25">
      <c r="AD541" s="1067" t="str">
        <f t="shared" si="40"/>
        <v/>
      </c>
      <c r="AE541" s="1063" t="str">
        <f>IF(ISNA(VLOOKUP(TB_curr[[#This Row],[Synt]],GL[[#Headers],[#Data],[subtotal label]],1,FALSE)),0,(VLOOKUP(TB_curr[[#This Row],[Synt]],GL[[#Headers],[#Data],[subtotal label]],1,FALSE)))</f>
        <v/>
      </c>
      <c r="AF541" s="1063" t="e">
        <f>IF((TB_curr[[#This Row],[Synt]]-TB_curr[[#This Row],[Subtotal Y/N]])=0,0,VLOOKUP(TB_curr[[#This Row],[Synt]],GL[[Account]:[Line]],3,FALSE))</f>
        <v>#VALUE!</v>
      </c>
      <c r="AG541" s="1063" t="e">
        <f>VLOOKUP(TB_curr[[#This Row],[Synt]],GL[[Account]:[B/P]],4,FALSE)</f>
        <v>#N/A</v>
      </c>
      <c r="AH541" s="1066" t="e">
        <v>#VALUE!</v>
      </c>
      <c r="AI541" s="1065" t="e">
        <f>TB_curr[[#This Row],[Synt]]&amp;TB_curr[[#This Row],[Line No. manual corr.]]</f>
        <v>#VALUE!</v>
      </c>
      <c r="AJ541" s="1064">
        <f t="shared" si="41"/>
        <v>0</v>
      </c>
      <c r="AK541" s="1064">
        <f t="shared" si="42"/>
        <v>0</v>
      </c>
      <c r="AL541" s="1064">
        <f t="shared" si="43"/>
        <v>0</v>
      </c>
      <c r="AM541" s="1064">
        <f t="shared" si="44"/>
        <v>0</v>
      </c>
      <c r="AN541" s="1064"/>
      <c r="AO541" s="1064">
        <f>TB_curr[[#This Row],[Closing balance]]+TB_curr[[#This Row],[Rounding]]</f>
        <v>0</v>
      </c>
    </row>
    <row r="542" spans="30:41" x14ac:dyDescent="0.25">
      <c r="AD542" s="1067" t="str">
        <f t="shared" si="40"/>
        <v/>
      </c>
      <c r="AE542" s="1063" t="str">
        <f>IF(ISNA(VLOOKUP(TB_curr[[#This Row],[Synt]],GL[[#Headers],[#Data],[subtotal label]],1,FALSE)),0,(VLOOKUP(TB_curr[[#This Row],[Synt]],GL[[#Headers],[#Data],[subtotal label]],1,FALSE)))</f>
        <v/>
      </c>
      <c r="AF542" s="1063" t="e">
        <f>IF((TB_curr[[#This Row],[Synt]]-TB_curr[[#This Row],[Subtotal Y/N]])=0,0,VLOOKUP(TB_curr[[#This Row],[Synt]],GL[[Account]:[Line]],3,FALSE))</f>
        <v>#VALUE!</v>
      </c>
      <c r="AG542" s="1063" t="e">
        <f>VLOOKUP(TB_curr[[#This Row],[Synt]],GL[[Account]:[B/P]],4,FALSE)</f>
        <v>#N/A</v>
      </c>
      <c r="AH542" s="1066" t="e">
        <v>#VALUE!</v>
      </c>
      <c r="AI542" s="1065" t="e">
        <f>TB_curr[[#This Row],[Synt]]&amp;TB_curr[[#This Row],[Line No. manual corr.]]</f>
        <v>#VALUE!</v>
      </c>
      <c r="AJ542" s="1064">
        <f t="shared" si="41"/>
        <v>0</v>
      </c>
      <c r="AK542" s="1064">
        <f t="shared" si="42"/>
        <v>0</v>
      </c>
      <c r="AL542" s="1064">
        <f t="shared" si="43"/>
        <v>0</v>
      </c>
      <c r="AM542" s="1064">
        <f t="shared" si="44"/>
        <v>0</v>
      </c>
      <c r="AN542" s="1064"/>
      <c r="AO542" s="1064">
        <f>TB_curr[[#This Row],[Closing balance]]+TB_curr[[#This Row],[Rounding]]</f>
        <v>0</v>
      </c>
    </row>
    <row r="543" spans="30:41" x14ac:dyDescent="0.25">
      <c r="AD543" s="1067" t="str">
        <f t="shared" si="40"/>
        <v/>
      </c>
      <c r="AE543" s="1063" t="str">
        <f>IF(ISNA(VLOOKUP(TB_curr[[#This Row],[Synt]],GL[[#Headers],[#Data],[subtotal label]],1,FALSE)),0,(VLOOKUP(TB_curr[[#This Row],[Synt]],GL[[#Headers],[#Data],[subtotal label]],1,FALSE)))</f>
        <v/>
      </c>
      <c r="AF543" s="1063" t="e">
        <f>IF((TB_curr[[#This Row],[Synt]]-TB_curr[[#This Row],[Subtotal Y/N]])=0,0,VLOOKUP(TB_curr[[#This Row],[Synt]],GL[[Account]:[Line]],3,FALSE))</f>
        <v>#VALUE!</v>
      </c>
      <c r="AG543" s="1063" t="e">
        <f>VLOOKUP(TB_curr[[#This Row],[Synt]],GL[[Account]:[B/P]],4,FALSE)</f>
        <v>#N/A</v>
      </c>
      <c r="AH543" s="1066" t="e">
        <v>#VALUE!</v>
      </c>
      <c r="AI543" s="1065" t="e">
        <f>TB_curr[[#This Row],[Synt]]&amp;TB_curr[[#This Row],[Line No. manual corr.]]</f>
        <v>#VALUE!</v>
      </c>
      <c r="AJ543" s="1064">
        <f t="shared" si="41"/>
        <v>0</v>
      </c>
      <c r="AK543" s="1064">
        <f t="shared" si="42"/>
        <v>0</v>
      </c>
      <c r="AL543" s="1064">
        <f t="shared" si="43"/>
        <v>0</v>
      </c>
      <c r="AM543" s="1064">
        <f t="shared" si="44"/>
        <v>0</v>
      </c>
      <c r="AN543" s="1064"/>
      <c r="AO543" s="1064">
        <f>TB_curr[[#This Row],[Closing balance]]+TB_curr[[#This Row],[Rounding]]</f>
        <v>0</v>
      </c>
    </row>
    <row r="544" spans="30:41" x14ac:dyDescent="0.25">
      <c r="AD544" s="1067" t="str">
        <f t="shared" si="40"/>
        <v/>
      </c>
      <c r="AE544" s="1063" t="str">
        <f>IF(ISNA(VLOOKUP(TB_curr[[#This Row],[Synt]],GL[[#Headers],[#Data],[subtotal label]],1,FALSE)),0,(VLOOKUP(TB_curr[[#This Row],[Synt]],GL[[#Headers],[#Data],[subtotal label]],1,FALSE)))</f>
        <v/>
      </c>
      <c r="AF544" s="1063" t="e">
        <f>IF((TB_curr[[#This Row],[Synt]]-TB_curr[[#This Row],[Subtotal Y/N]])=0,0,VLOOKUP(TB_curr[[#This Row],[Synt]],GL[[Account]:[Line]],3,FALSE))</f>
        <v>#VALUE!</v>
      </c>
      <c r="AG544" s="1063" t="e">
        <f>VLOOKUP(TB_curr[[#This Row],[Synt]],GL[[Account]:[B/P]],4,FALSE)</f>
        <v>#N/A</v>
      </c>
      <c r="AH544" s="1066" t="e">
        <v>#VALUE!</v>
      </c>
      <c r="AI544" s="1065" t="e">
        <f>TB_curr[[#This Row],[Synt]]&amp;TB_curr[[#This Row],[Line No. manual corr.]]</f>
        <v>#VALUE!</v>
      </c>
      <c r="AJ544" s="1064">
        <f t="shared" si="41"/>
        <v>0</v>
      </c>
      <c r="AK544" s="1064">
        <f t="shared" si="42"/>
        <v>0</v>
      </c>
      <c r="AL544" s="1064">
        <f t="shared" si="43"/>
        <v>0</v>
      </c>
      <c r="AM544" s="1064">
        <f t="shared" si="44"/>
        <v>0</v>
      </c>
      <c r="AN544" s="1064"/>
      <c r="AO544" s="1064">
        <f>TB_curr[[#This Row],[Closing balance]]+TB_curr[[#This Row],[Rounding]]</f>
        <v>0</v>
      </c>
    </row>
    <row r="545" spans="30:41" x14ac:dyDescent="0.25">
      <c r="AD545" s="1067" t="str">
        <f t="shared" si="40"/>
        <v/>
      </c>
      <c r="AE545" s="1063" t="str">
        <f>IF(ISNA(VLOOKUP(TB_curr[[#This Row],[Synt]],GL[[#Headers],[#Data],[subtotal label]],1,FALSE)),0,(VLOOKUP(TB_curr[[#This Row],[Synt]],GL[[#Headers],[#Data],[subtotal label]],1,FALSE)))</f>
        <v/>
      </c>
      <c r="AF545" s="1063" t="e">
        <f>IF((TB_curr[[#This Row],[Synt]]-TB_curr[[#This Row],[Subtotal Y/N]])=0,0,VLOOKUP(TB_curr[[#This Row],[Synt]],GL[[Account]:[Line]],3,FALSE))</f>
        <v>#VALUE!</v>
      </c>
      <c r="AG545" s="1063" t="e">
        <f>VLOOKUP(TB_curr[[#This Row],[Synt]],GL[[Account]:[B/P]],4,FALSE)</f>
        <v>#N/A</v>
      </c>
      <c r="AH545" s="1066" t="e">
        <v>#VALUE!</v>
      </c>
      <c r="AI545" s="1065" t="e">
        <f>TB_curr[[#This Row],[Synt]]&amp;TB_curr[[#This Row],[Line No. manual corr.]]</f>
        <v>#VALUE!</v>
      </c>
      <c r="AJ545" s="1064">
        <f t="shared" si="41"/>
        <v>0</v>
      </c>
      <c r="AK545" s="1064">
        <f t="shared" si="42"/>
        <v>0</v>
      </c>
      <c r="AL545" s="1064">
        <f t="shared" si="43"/>
        <v>0</v>
      </c>
      <c r="AM545" s="1064">
        <f t="shared" si="44"/>
        <v>0</v>
      </c>
      <c r="AN545" s="1064"/>
      <c r="AO545" s="1064">
        <f>TB_curr[[#This Row],[Closing balance]]+TB_curr[[#This Row],[Rounding]]</f>
        <v>0</v>
      </c>
    </row>
    <row r="546" spans="30:41" x14ac:dyDescent="0.25">
      <c r="AD546" s="1067" t="str">
        <f t="shared" si="40"/>
        <v/>
      </c>
      <c r="AE546" s="1063" t="str">
        <f>IF(ISNA(VLOOKUP(TB_curr[[#This Row],[Synt]],GL[[#Headers],[#Data],[subtotal label]],1,FALSE)),0,(VLOOKUP(TB_curr[[#This Row],[Synt]],GL[[#Headers],[#Data],[subtotal label]],1,FALSE)))</f>
        <v/>
      </c>
      <c r="AF546" s="1063" t="e">
        <f>IF((TB_curr[[#This Row],[Synt]]-TB_curr[[#This Row],[Subtotal Y/N]])=0,0,VLOOKUP(TB_curr[[#This Row],[Synt]],GL[[Account]:[Line]],3,FALSE))</f>
        <v>#VALUE!</v>
      </c>
      <c r="AG546" s="1063" t="e">
        <f>VLOOKUP(TB_curr[[#This Row],[Synt]],GL[[Account]:[B/P]],4,FALSE)</f>
        <v>#N/A</v>
      </c>
      <c r="AH546" s="1066" t="e">
        <v>#VALUE!</v>
      </c>
      <c r="AI546" s="1065" t="e">
        <f>TB_curr[[#This Row],[Synt]]&amp;TB_curr[[#This Row],[Line No. manual corr.]]</f>
        <v>#VALUE!</v>
      </c>
      <c r="AJ546" s="1064">
        <f t="shared" si="41"/>
        <v>0</v>
      </c>
      <c r="AK546" s="1064">
        <f t="shared" si="42"/>
        <v>0</v>
      </c>
      <c r="AL546" s="1064">
        <f t="shared" si="43"/>
        <v>0</v>
      </c>
      <c r="AM546" s="1064">
        <f t="shared" si="44"/>
        <v>0</v>
      </c>
      <c r="AN546" s="1064"/>
      <c r="AO546" s="1064">
        <f>TB_curr[[#This Row],[Closing balance]]+TB_curr[[#This Row],[Rounding]]</f>
        <v>0</v>
      </c>
    </row>
    <row r="547" spans="30:41" x14ac:dyDescent="0.25">
      <c r="AD547" s="1067" t="str">
        <f t="shared" si="40"/>
        <v/>
      </c>
      <c r="AE547" s="1063" t="str">
        <f>IF(ISNA(VLOOKUP(TB_curr[[#This Row],[Synt]],GL[[#Headers],[#Data],[subtotal label]],1,FALSE)),0,(VLOOKUP(TB_curr[[#This Row],[Synt]],GL[[#Headers],[#Data],[subtotal label]],1,FALSE)))</f>
        <v/>
      </c>
      <c r="AF547" s="1063" t="e">
        <f>IF((TB_curr[[#This Row],[Synt]]-TB_curr[[#This Row],[Subtotal Y/N]])=0,0,VLOOKUP(TB_curr[[#This Row],[Synt]],GL[[Account]:[Line]],3,FALSE))</f>
        <v>#VALUE!</v>
      </c>
      <c r="AG547" s="1063" t="e">
        <f>VLOOKUP(TB_curr[[#This Row],[Synt]],GL[[Account]:[B/P]],4,FALSE)</f>
        <v>#N/A</v>
      </c>
      <c r="AH547" s="1066" t="e">
        <v>#VALUE!</v>
      </c>
      <c r="AI547" s="1065" t="e">
        <f>TB_curr[[#This Row],[Synt]]&amp;TB_curr[[#This Row],[Line No. manual corr.]]</f>
        <v>#VALUE!</v>
      </c>
      <c r="AJ547" s="1064">
        <f t="shared" si="41"/>
        <v>0</v>
      </c>
      <c r="AK547" s="1064">
        <f t="shared" si="42"/>
        <v>0</v>
      </c>
      <c r="AL547" s="1064">
        <f t="shared" si="43"/>
        <v>0</v>
      </c>
      <c r="AM547" s="1064">
        <f t="shared" si="44"/>
        <v>0</v>
      </c>
      <c r="AN547" s="1064"/>
      <c r="AO547" s="1064">
        <f>TB_curr[[#This Row],[Closing balance]]+TB_curr[[#This Row],[Rounding]]</f>
        <v>0</v>
      </c>
    </row>
    <row r="548" spans="30:41" x14ac:dyDescent="0.25">
      <c r="AD548" s="1067" t="str">
        <f t="shared" si="40"/>
        <v/>
      </c>
      <c r="AE548" s="1063" t="str">
        <f>IF(ISNA(VLOOKUP(TB_curr[[#This Row],[Synt]],GL[[#Headers],[#Data],[subtotal label]],1,FALSE)),0,(VLOOKUP(TB_curr[[#This Row],[Synt]],GL[[#Headers],[#Data],[subtotal label]],1,FALSE)))</f>
        <v/>
      </c>
      <c r="AF548" s="1063" t="e">
        <f>IF((TB_curr[[#This Row],[Synt]]-TB_curr[[#This Row],[Subtotal Y/N]])=0,0,VLOOKUP(TB_curr[[#This Row],[Synt]],GL[[Account]:[Line]],3,FALSE))</f>
        <v>#VALUE!</v>
      </c>
      <c r="AG548" s="1063" t="e">
        <f>VLOOKUP(TB_curr[[#This Row],[Synt]],GL[[Account]:[B/P]],4,FALSE)</f>
        <v>#N/A</v>
      </c>
      <c r="AH548" s="1066" t="e">
        <v>#VALUE!</v>
      </c>
      <c r="AI548" s="1065" t="e">
        <f>TB_curr[[#This Row],[Synt]]&amp;TB_curr[[#This Row],[Line No. manual corr.]]</f>
        <v>#VALUE!</v>
      </c>
      <c r="AJ548" s="1064">
        <f t="shared" si="41"/>
        <v>0</v>
      </c>
      <c r="AK548" s="1064">
        <f t="shared" si="42"/>
        <v>0</v>
      </c>
      <c r="AL548" s="1064">
        <f t="shared" si="43"/>
        <v>0</v>
      </c>
      <c r="AM548" s="1064">
        <f t="shared" si="44"/>
        <v>0</v>
      </c>
      <c r="AN548" s="1064"/>
      <c r="AO548" s="1064">
        <f>TB_curr[[#This Row],[Closing balance]]+TB_curr[[#This Row],[Rounding]]</f>
        <v>0</v>
      </c>
    </row>
    <row r="549" spans="30:41" x14ac:dyDescent="0.25">
      <c r="AD549" s="1067" t="str">
        <f t="shared" si="40"/>
        <v/>
      </c>
      <c r="AE549" s="1063" t="str">
        <f>IF(ISNA(VLOOKUP(TB_curr[[#This Row],[Synt]],GL[[#Headers],[#Data],[subtotal label]],1,FALSE)),0,(VLOOKUP(TB_curr[[#This Row],[Synt]],GL[[#Headers],[#Data],[subtotal label]],1,FALSE)))</f>
        <v/>
      </c>
      <c r="AF549" s="1063" t="e">
        <f>IF((TB_curr[[#This Row],[Synt]]-TB_curr[[#This Row],[Subtotal Y/N]])=0,0,VLOOKUP(TB_curr[[#This Row],[Synt]],GL[[Account]:[Line]],3,FALSE))</f>
        <v>#VALUE!</v>
      </c>
      <c r="AG549" s="1063" t="e">
        <f>VLOOKUP(TB_curr[[#This Row],[Synt]],GL[[Account]:[B/P]],4,FALSE)</f>
        <v>#N/A</v>
      </c>
      <c r="AH549" s="1066" t="e">
        <v>#VALUE!</v>
      </c>
      <c r="AI549" s="1065" t="e">
        <f>TB_curr[[#This Row],[Synt]]&amp;TB_curr[[#This Row],[Line No. manual corr.]]</f>
        <v>#VALUE!</v>
      </c>
      <c r="AJ549" s="1064">
        <f t="shared" si="41"/>
        <v>0</v>
      </c>
      <c r="AK549" s="1064">
        <f t="shared" si="42"/>
        <v>0</v>
      </c>
      <c r="AL549" s="1064">
        <f t="shared" si="43"/>
        <v>0</v>
      </c>
      <c r="AM549" s="1064">
        <f t="shared" si="44"/>
        <v>0</v>
      </c>
      <c r="AN549" s="1064"/>
      <c r="AO549" s="1064">
        <f>TB_curr[[#This Row],[Closing balance]]+TB_curr[[#This Row],[Rounding]]</f>
        <v>0</v>
      </c>
    </row>
    <row r="550" spans="30:41" x14ac:dyDescent="0.25">
      <c r="AD550" s="1067" t="str">
        <f t="shared" si="40"/>
        <v/>
      </c>
      <c r="AE550" s="1063" t="str">
        <f>IF(ISNA(VLOOKUP(TB_curr[[#This Row],[Synt]],GL[[#Headers],[#Data],[subtotal label]],1,FALSE)),0,(VLOOKUP(TB_curr[[#This Row],[Synt]],GL[[#Headers],[#Data],[subtotal label]],1,FALSE)))</f>
        <v/>
      </c>
      <c r="AF550" s="1063" t="e">
        <f>IF((TB_curr[[#This Row],[Synt]]-TB_curr[[#This Row],[Subtotal Y/N]])=0,0,VLOOKUP(TB_curr[[#This Row],[Synt]],GL[[Account]:[Line]],3,FALSE))</f>
        <v>#VALUE!</v>
      </c>
      <c r="AG550" s="1063" t="e">
        <f>VLOOKUP(TB_curr[[#This Row],[Synt]],GL[[Account]:[B/P]],4,FALSE)</f>
        <v>#N/A</v>
      </c>
      <c r="AH550" s="1066" t="e">
        <v>#VALUE!</v>
      </c>
      <c r="AI550" s="1065" t="e">
        <f>TB_curr[[#This Row],[Synt]]&amp;TB_curr[[#This Row],[Line No. manual corr.]]</f>
        <v>#VALUE!</v>
      </c>
      <c r="AJ550" s="1064">
        <f t="shared" si="41"/>
        <v>0</v>
      </c>
      <c r="AK550" s="1064">
        <f t="shared" si="42"/>
        <v>0</v>
      </c>
      <c r="AL550" s="1064">
        <f t="shared" si="43"/>
        <v>0</v>
      </c>
      <c r="AM550" s="1064">
        <f t="shared" si="44"/>
        <v>0</v>
      </c>
      <c r="AN550" s="1064"/>
      <c r="AO550" s="1064">
        <f>TB_curr[[#This Row],[Closing balance]]+TB_curr[[#This Row],[Rounding]]</f>
        <v>0</v>
      </c>
    </row>
    <row r="551" spans="30:41" x14ac:dyDescent="0.25">
      <c r="AD551" s="1067" t="str">
        <f t="shared" si="40"/>
        <v/>
      </c>
      <c r="AE551" s="1063" t="str">
        <f>IF(ISNA(VLOOKUP(TB_curr[[#This Row],[Synt]],GL[[#Headers],[#Data],[subtotal label]],1,FALSE)),0,(VLOOKUP(TB_curr[[#This Row],[Synt]],GL[[#Headers],[#Data],[subtotal label]],1,FALSE)))</f>
        <v/>
      </c>
      <c r="AF551" s="1063" t="e">
        <f>IF((TB_curr[[#This Row],[Synt]]-TB_curr[[#This Row],[Subtotal Y/N]])=0,0,VLOOKUP(TB_curr[[#This Row],[Synt]],GL[[Account]:[Line]],3,FALSE))</f>
        <v>#VALUE!</v>
      </c>
      <c r="AG551" s="1063" t="e">
        <f>VLOOKUP(TB_curr[[#This Row],[Synt]],GL[[Account]:[B/P]],4,FALSE)</f>
        <v>#N/A</v>
      </c>
      <c r="AH551" s="1066" t="e">
        <v>#VALUE!</v>
      </c>
      <c r="AI551" s="1065" t="e">
        <f>TB_curr[[#This Row],[Synt]]&amp;TB_curr[[#This Row],[Line No. manual corr.]]</f>
        <v>#VALUE!</v>
      </c>
      <c r="AJ551" s="1064">
        <f t="shared" si="41"/>
        <v>0</v>
      </c>
      <c r="AK551" s="1064">
        <f t="shared" si="42"/>
        <v>0</v>
      </c>
      <c r="AL551" s="1064">
        <f t="shared" si="43"/>
        <v>0</v>
      </c>
      <c r="AM551" s="1064">
        <f t="shared" si="44"/>
        <v>0</v>
      </c>
      <c r="AN551" s="1064"/>
      <c r="AO551" s="1064">
        <f>TB_curr[[#This Row],[Closing balance]]+TB_curr[[#This Row],[Rounding]]</f>
        <v>0</v>
      </c>
    </row>
    <row r="552" spans="30:41" x14ac:dyDescent="0.25">
      <c r="AD552" s="1067" t="str">
        <f t="shared" si="40"/>
        <v/>
      </c>
      <c r="AE552" s="1063" t="str">
        <f>IF(ISNA(VLOOKUP(TB_curr[[#This Row],[Synt]],GL[[#Headers],[#Data],[subtotal label]],1,FALSE)),0,(VLOOKUP(TB_curr[[#This Row],[Synt]],GL[[#Headers],[#Data],[subtotal label]],1,FALSE)))</f>
        <v/>
      </c>
      <c r="AF552" s="1063" t="e">
        <f>IF((TB_curr[[#This Row],[Synt]]-TB_curr[[#This Row],[Subtotal Y/N]])=0,0,VLOOKUP(TB_curr[[#This Row],[Synt]],GL[[Account]:[Line]],3,FALSE))</f>
        <v>#VALUE!</v>
      </c>
      <c r="AG552" s="1063" t="e">
        <f>VLOOKUP(TB_curr[[#This Row],[Synt]],GL[[Account]:[B/P]],4,FALSE)</f>
        <v>#N/A</v>
      </c>
      <c r="AH552" s="1066" t="e">
        <v>#VALUE!</v>
      </c>
      <c r="AI552" s="1065" t="e">
        <f>TB_curr[[#This Row],[Synt]]&amp;TB_curr[[#This Row],[Line No. manual corr.]]</f>
        <v>#VALUE!</v>
      </c>
      <c r="AJ552" s="1064">
        <f t="shared" si="41"/>
        <v>0</v>
      </c>
      <c r="AK552" s="1064">
        <f t="shared" si="42"/>
        <v>0</v>
      </c>
      <c r="AL552" s="1064">
        <f t="shared" si="43"/>
        <v>0</v>
      </c>
      <c r="AM552" s="1064">
        <f t="shared" si="44"/>
        <v>0</v>
      </c>
      <c r="AN552" s="1064"/>
      <c r="AO552" s="1064">
        <f>TB_curr[[#This Row],[Closing balance]]+TB_curr[[#This Row],[Rounding]]</f>
        <v>0</v>
      </c>
    </row>
    <row r="553" spans="30:41" x14ac:dyDescent="0.25">
      <c r="AD553" s="1067" t="str">
        <f t="shared" si="40"/>
        <v/>
      </c>
      <c r="AE553" s="1063" t="str">
        <f>IF(ISNA(VLOOKUP(TB_curr[[#This Row],[Synt]],GL[[#Headers],[#Data],[subtotal label]],1,FALSE)),0,(VLOOKUP(TB_curr[[#This Row],[Synt]],GL[[#Headers],[#Data],[subtotal label]],1,FALSE)))</f>
        <v/>
      </c>
      <c r="AF553" s="1063" t="e">
        <f>IF((TB_curr[[#This Row],[Synt]]-TB_curr[[#This Row],[Subtotal Y/N]])=0,0,VLOOKUP(TB_curr[[#This Row],[Synt]],GL[[Account]:[Line]],3,FALSE))</f>
        <v>#VALUE!</v>
      </c>
      <c r="AG553" s="1063" t="e">
        <f>VLOOKUP(TB_curr[[#This Row],[Synt]],GL[[Account]:[B/P]],4,FALSE)</f>
        <v>#N/A</v>
      </c>
      <c r="AH553" s="1066" t="e">
        <v>#VALUE!</v>
      </c>
      <c r="AI553" s="1065" t="e">
        <f>TB_curr[[#This Row],[Synt]]&amp;TB_curr[[#This Row],[Line No. manual corr.]]</f>
        <v>#VALUE!</v>
      </c>
      <c r="AJ553" s="1064">
        <f t="shared" si="41"/>
        <v>0</v>
      </c>
      <c r="AK553" s="1064">
        <f t="shared" si="42"/>
        <v>0</v>
      </c>
      <c r="AL553" s="1064">
        <f t="shared" si="43"/>
        <v>0</v>
      </c>
      <c r="AM553" s="1064">
        <f t="shared" si="44"/>
        <v>0</v>
      </c>
      <c r="AN553" s="1064"/>
      <c r="AO553" s="1064">
        <f>TB_curr[[#This Row],[Closing balance]]+TB_curr[[#This Row],[Rounding]]</f>
        <v>0</v>
      </c>
    </row>
    <row r="554" spans="30:41" x14ac:dyDescent="0.25">
      <c r="AD554" s="1067" t="str">
        <f t="shared" si="40"/>
        <v/>
      </c>
      <c r="AE554" s="1063" t="str">
        <f>IF(ISNA(VLOOKUP(TB_curr[[#This Row],[Synt]],GL[[#Headers],[#Data],[subtotal label]],1,FALSE)),0,(VLOOKUP(TB_curr[[#This Row],[Synt]],GL[[#Headers],[#Data],[subtotal label]],1,FALSE)))</f>
        <v/>
      </c>
      <c r="AF554" s="1063" t="e">
        <f>IF((TB_curr[[#This Row],[Synt]]-TB_curr[[#This Row],[Subtotal Y/N]])=0,0,VLOOKUP(TB_curr[[#This Row],[Synt]],GL[[Account]:[Line]],3,FALSE))</f>
        <v>#VALUE!</v>
      </c>
      <c r="AG554" s="1063" t="e">
        <f>VLOOKUP(TB_curr[[#This Row],[Synt]],GL[[Account]:[B/P]],4,FALSE)</f>
        <v>#N/A</v>
      </c>
      <c r="AH554" s="1066" t="e">
        <v>#VALUE!</v>
      </c>
      <c r="AI554" s="1065" t="e">
        <f>TB_curr[[#This Row],[Synt]]&amp;TB_curr[[#This Row],[Line No. manual corr.]]</f>
        <v>#VALUE!</v>
      </c>
      <c r="AJ554" s="1064">
        <f t="shared" si="41"/>
        <v>0</v>
      </c>
      <c r="AK554" s="1064">
        <f t="shared" si="42"/>
        <v>0</v>
      </c>
      <c r="AL554" s="1064">
        <f t="shared" si="43"/>
        <v>0</v>
      </c>
      <c r="AM554" s="1064">
        <f t="shared" si="44"/>
        <v>0</v>
      </c>
      <c r="AN554" s="1064"/>
      <c r="AO554" s="1064">
        <f>TB_curr[[#This Row],[Closing balance]]+TB_curr[[#This Row],[Rounding]]</f>
        <v>0</v>
      </c>
    </row>
    <row r="555" spans="30:41" x14ac:dyDescent="0.25">
      <c r="AD555" s="1067" t="str">
        <f t="shared" si="40"/>
        <v/>
      </c>
      <c r="AE555" s="1063" t="str">
        <f>IF(ISNA(VLOOKUP(TB_curr[[#This Row],[Synt]],GL[[#Headers],[#Data],[subtotal label]],1,FALSE)),0,(VLOOKUP(TB_curr[[#This Row],[Synt]],GL[[#Headers],[#Data],[subtotal label]],1,FALSE)))</f>
        <v/>
      </c>
      <c r="AF555" s="1063" t="e">
        <f>IF((TB_curr[[#This Row],[Synt]]-TB_curr[[#This Row],[Subtotal Y/N]])=0,0,VLOOKUP(TB_curr[[#This Row],[Synt]],GL[[Account]:[Line]],3,FALSE))</f>
        <v>#VALUE!</v>
      </c>
      <c r="AG555" s="1063" t="e">
        <f>VLOOKUP(TB_curr[[#This Row],[Synt]],GL[[Account]:[B/P]],4,FALSE)</f>
        <v>#N/A</v>
      </c>
      <c r="AH555" s="1066" t="e">
        <v>#VALUE!</v>
      </c>
      <c r="AI555" s="1065" t="e">
        <f>TB_curr[[#This Row],[Synt]]&amp;TB_curr[[#This Row],[Line No. manual corr.]]</f>
        <v>#VALUE!</v>
      </c>
      <c r="AJ555" s="1064">
        <f t="shared" si="41"/>
        <v>0</v>
      </c>
      <c r="AK555" s="1064">
        <f t="shared" si="42"/>
        <v>0</v>
      </c>
      <c r="AL555" s="1064">
        <f t="shared" si="43"/>
        <v>0</v>
      </c>
      <c r="AM555" s="1064">
        <f t="shared" si="44"/>
        <v>0</v>
      </c>
      <c r="AN555" s="1064"/>
      <c r="AO555" s="1064">
        <f>TB_curr[[#This Row],[Closing balance]]+TB_curr[[#This Row],[Rounding]]</f>
        <v>0</v>
      </c>
    </row>
    <row r="556" spans="30:41" x14ac:dyDescent="0.25">
      <c r="AD556" s="1067" t="str">
        <f t="shared" si="40"/>
        <v/>
      </c>
      <c r="AE556" s="1063" t="str">
        <f>IF(ISNA(VLOOKUP(TB_curr[[#This Row],[Synt]],GL[[#Headers],[#Data],[subtotal label]],1,FALSE)),0,(VLOOKUP(TB_curr[[#This Row],[Synt]],GL[[#Headers],[#Data],[subtotal label]],1,FALSE)))</f>
        <v/>
      </c>
      <c r="AF556" s="1063" t="e">
        <f>IF((TB_curr[[#This Row],[Synt]]-TB_curr[[#This Row],[Subtotal Y/N]])=0,0,VLOOKUP(TB_curr[[#This Row],[Synt]],GL[[Account]:[Line]],3,FALSE))</f>
        <v>#VALUE!</v>
      </c>
      <c r="AG556" s="1063" t="e">
        <f>VLOOKUP(TB_curr[[#This Row],[Synt]],GL[[Account]:[B/P]],4,FALSE)</f>
        <v>#N/A</v>
      </c>
      <c r="AH556" s="1066" t="e">
        <v>#VALUE!</v>
      </c>
      <c r="AI556" s="1065" t="e">
        <f>TB_curr[[#This Row],[Synt]]&amp;TB_curr[[#This Row],[Line No. manual corr.]]</f>
        <v>#VALUE!</v>
      </c>
      <c r="AJ556" s="1064">
        <f t="shared" si="41"/>
        <v>0</v>
      </c>
      <c r="AK556" s="1064">
        <f t="shared" si="42"/>
        <v>0</v>
      </c>
      <c r="AL556" s="1064">
        <f t="shared" si="43"/>
        <v>0</v>
      </c>
      <c r="AM556" s="1064">
        <f t="shared" si="44"/>
        <v>0</v>
      </c>
      <c r="AN556" s="1064"/>
      <c r="AO556" s="1064">
        <f>TB_curr[[#This Row],[Closing balance]]+TB_curr[[#This Row],[Rounding]]</f>
        <v>0</v>
      </c>
    </row>
    <row r="557" spans="30:41" x14ac:dyDescent="0.25">
      <c r="AD557" s="1067" t="str">
        <f t="shared" si="40"/>
        <v/>
      </c>
      <c r="AE557" s="1063" t="str">
        <f>IF(ISNA(VLOOKUP(TB_curr[[#This Row],[Synt]],GL[[#Headers],[#Data],[subtotal label]],1,FALSE)),0,(VLOOKUP(TB_curr[[#This Row],[Synt]],GL[[#Headers],[#Data],[subtotal label]],1,FALSE)))</f>
        <v/>
      </c>
      <c r="AF557" s="1063" t="e">
        <f>IF((TB_curr[[#This Row],[Synt]]-TB_curr[[#This Row],[Subtotal Y/N]])=0,0,VLOOKUP(TB_curr[[#This Row],[Synt]],GL[[Account]:[Line]],3,FALSE))</f>
        <v>#VALUE!</v>
      </c>
      <c r="AG557" s="1063" t="e">
        <f>VLOOKUP(TB_curr[[#This Row],[Synt]],GL[[Account]:[B/P]],4,FALSE)</f>
        <v>#N/A</v>
      </c>
      <c r="AH557" s="1066" t="e">
        <v>#VALUE!</v>
      </c>
      <c r="AI557" s="1065" t="e">
        <f>TB_curr[[#This Row],[Synt]]&amp;TB_curr[[#This Row],[Line No. manual corr.]]</f>
        <v>#VALUE!</v>
      </c>
      <c r="AJ557" s="1064">
        <f t="shared" si="41"/>
        <v>0</v>
      </c>
      <c r="AK557" s="1064">
        <f t="shared" si="42"/>
        <v>0</v>
      </c>
      <c r="AL557" s="1064">
        <f t="shared" si="43"/>
        <v>0</v>
      </c>
      <c r="AM557" s="1064">
        <f t="shared" si="44"/>
        <v>0</v>
      </c>
      <c r="AN557" s="1064"/>
      <c r="AO557" s="1064">
        <f>TB_curr[[#This Row],[Closing balance]]+TB_curr[[#This Row],[Rounding]]</f>
        <v>0</v>
      </c>
    </row>
    <row r="558" spans="30:41" x14ac:dyDescent="0.25">
      <c r="AD558" s="1067" t="str">
        <f t="shared" si="40"/>
        <v/>
      </c>
      <c r="AE558" s="1063" t="str">
        <f>IF(ISNA(VLOOKUP(TB_curr[[#This Row],[Synt]],GL[[#Headers],[#Data],[subtotal label]],1,FALSE)),0,(VLOOKUP(TB_curr[[#This Row],[Synt]],GL[[#Headers],[#Data],[subtotal label]],1,FALSE)))</f>
        <v/>
      </c>
      <c r="AF558" s="1063" t="e">
        <f>IF((TB_curr[[#This Row],[Synt]]-TB_curr[[#This Row],[Subtotal Y/N]])=0,0,VLOOKUP(TB_curr[[#This Row],[Synt]],GL[[Account]:[Line]],3,FALSE))</f>
        <v>#VALUE!</v>
      </c>
      <c r="AG558" s="1063" t="e">
        <f>VLOOKUP(TB_curr[[#This Row],[Synt]],GL[[Account]:[B/P]],4,FALSE)</f>
        <v>#N/A</v>
      </c>
      <c r="AH558" s="1066" t="e">
        <v>#VALUE!</v>
      </c>
      <c r="AI558" s="1065" t="e">
        <f>TB_curr[[#This Row],[Synt]]&amp;TB_curr[[#This Row],[Line No. manual corr.]]</f>
        <v>#VALUE!</v>
      </c>
      <c r="AJ558" s="1064">
        <f t="shared" si="41"/>
        <v>0</v>
      </c>
      <c r="AK558" s="1064">
        <f t="shared" si="42"/>
        <v>0</v>
      </c>
      <c r="AL558" s="1064">
        <f t="shared" si="43"/>
        <v>0</v>
      </c>
      <c r="AM558" s="1064">
        <f t="shared" si="44"/>
        <v>0</v>
      </c>
      <c r="AN558" s="1064"/>
      <c r="AO558" s="1064">
        <f>TB_curr[[#This Row],[Closing balance]]+TB_curr[[#This Row],[Rounding]]</f>
        <v>0</v>
      </c>
    </row>
    <row r="559" spans="30:41" x14ac:dyDescent="0.25">
      <c r="AD559" s="1067" t="str">
        <f t="shared" si="40"/>
        <v/>
      </c>
      <c r="AE559" s="1063" t="str">
        <f>IF(ISNA(VLOOKUP(TB_curr[[#This Row],[Synt]],GL[[#Headers],[#Data],[subtotal label]],1,FALSE)),0,(VLOOKUP(TB_curr[[#This Row],[Synt]],GL[[#Headers],[#Data],[subtotal label]],1,FALSE)))</f>
        <v/>
      </c>
      <c r="AF559" s="1063" t="e">
        <f>IF((TB_curr[[#This Row],[Synt]]-TB_curr[[#This Row],[Subtotal Y/N]])=0,0,VLOOKUP(TB_curr[[#This Row],[Synt]],GL[[Account]:[Line]],3,FALSE))</f>
        <v>#VALUE!</v>
      </c>
      <c r="AG559" s="1063" t="e">
        <f>VLOOKUP(TB_curr[[#This Row],[Synt]],GL[[Account]:[B/P]],4,FALSE)</f>
        <v>#N/A</v>
      </c>
      <c r="AH559" s="1066" t="e">
        <v>#VALUE!</v>
      </c>
      <c r="AI559" s="1065" t="e">
        <f>TB_curr[[#This Row],[Synt]]&amp;TB_curr[[#This Row],[Line No. manual corr.]]</f>
        <v>#VALUE!</v>
      </c>
      <c r="AJ559" s="1064">
        <f t="shared" si="41"/>
        <v>0</v>
      </c>
      <c r="AK559" s="1064">
        <f t="shared" si="42"/>
        <v>0</v>
      </c>
      <c r="AL559" s="1064">
        <f t="shared" si="43"/>
        <v>0</v>
      </c>
      <c r="AM559" s="1064">
        <f t="shared" si="44"/>
        <v>0</v>
      </c>
      <c r="AN559" s="1064"/>
      <c r="AO559" s="1064">
        <f>TB_curr[[#This Row],[Closing balance]]+TB_curr[[#This Row],[Rounding]]</f>
        <v>0</v>
      </c>
    </row>
    <row r="560" spans="30:41" x14ac:dyDescent="0.25">
      <c r="AD560" s="1067" t="str">
        <f t="shared" si="40"/>
        <v/>
      </c>
      <c r="AE560" s="1063" t="str">
        <f>IF(ISNA(VLOOKUP(TB_curr[[#This Row],[Synt]],GL[[#Headers],[#Data],[subtotal label]],1,FALSE)),0,(VLOOKUP(TB_curr[[#This Row],[Synt]],GL[[#Headers],[#Data],[subtotal label]],1,FALSE)))</f>
        <v/>
      </c>
      <c r="AF560" s="1063" t="e">
        <f>IF((TB_curr[[#This Row],[Synt]]-TB_curr[[#This Row],[Subtotal Y/N]])=0,0,VLOOKUP(TB_curr[[#This Row],[Synt]],GL[[Account]:[Line]],3,FALSE))</f>
        <v>#VALUE!</v>
      </c>
      <c r="AG560" s="1063" t="e">
        <f>VLOOKUP(TB_curr[[#This Row],[Synt]],GL[[Account]:[B/P]],4,FALSE)</f>
        <v>#N/A</v>
      </c>
      <c r="AH560" s="1066" t="e">
        <v>#VALUE!</v>
      </c>
      <c r="AI560" s="1065" t="e">
        <f>TB_curr[[#This Row],[Synt]]&amp;TB_curr[[#This Row],[Line No. manual corr.]]</f>
        <v>#VALUE!</v>
      </c>
      <c r="AJ560" s="1064">
        <f t="shared" si="41"/>
        <v>0</v>
      </c>
      <c r="AK560" s="1064">
        <f t="shared" si="42"/>
        <v>0</v>
      </c>
      <c r="AL560" s="1064">
        <f t="shared" si="43"/>
        <v>0</v>
      </c>
      <c r="AM560" s="1064">
        <f t="shared" si="44"/>
        <v>0</v>
      </c>
      <c r="AN560" s="1064"/>
      <c r="AO560" s="1064">
        <f>TB_curr[[#This Row],[Closing balance]]+TB_curr[[#This Row],[Rounding]]</f>
        <v>0</v>
      </c>
    </row>
    <row r="561" spans="30:41" x14ac:dyDescent="0.25">
      <c r="AD561" s="1067" t="str">
        <f t="shared" si="40"/>
        <v/>
      </c>
      <c r="AE561" s="1063" t="str">
        <f>IF(ISNA(VLOOKUP(TB_curr[[#This Row],[Synt]],GL[[#Headers],[#Data],[subtotal label]],1,FALSE)),0,(VLOOKUP(TB_curr[[#This Row],[Synt]],GL[[#Headers],[#Data],[subtotal label]],1,FALSE)))</f>
        <v/>
      </c>
      <c r="AF561" s="1063" t="e">
        <f>IF((TB_curr[[#This Row],[Synt]]-TB_curr[[#This Row],[Subtotal Y/N]])=0,0,VLOOKUP(TB_curr[[#This Row],[Synt]],GL[[Account]:[Line]],3,FALSE))</f>
        <v>#VALUE!</v>
      </c>
      <c r="AG561" s="1063" t="e">
        <f>VLOOKUP(TB_curr[[#This Row],[Synt]],GL[[Account]:[B/P]],4,FALSE)</f>
        <v>#N/A</v>
      </c>
      <c r="AH561" s="1066" t="e">
        <v>#VALUE!</v>
      </c>
      <c r="AI561" s="1065" t="e">
        <f>TB_curr[[#This Row],[Synt]]&amp;TB_curr[[#This Row],[Line No. manual corr.]]</f>
        <v>#VALUE!</v>
      </c>
      <c r="AJ561" s="1064">
        <f t="shared" si="41"/>
        <v>0</v>
      </c>
      <c r="AK561" s="1064">
        <f t="shared" si="42"/>
        <v>0</v>
      </c>
      <c r="AL561" s="1064">
        <f t="shared" si="43"/>
        <v>0</v>
      </c>
      <c r="AM561" s="1064">
        <f t="shared" si="44"/>
        <v>0</v>
      </c>
      <c r="AN561" s="1064"/>
      <c r="AO561" s="1064">
        <f>TB_curr[[#This Row],[Closing balance]]+TB_curr[[#This Row],[Rounding]]</f>
        <v>0</v>
      </c>
    </row>
    <row r="562" spans="30:41" x14ac:dyDescent="0.25">
      <c r="AD562" s="1067" t="str">
        <f t="shared" si="40"/>
        <v/>
      </c>
      <c r="AE562" s="1063" t="str">
        <f>IF(ISNA(VLOOKUP(TB_curr[[#This Row],[Synt]],GL[[#Headers],[#Data],[subtotal label]],1,FALSE)),0,(VLOOKUP(TB_curr[[#This Row],[Synt]],GL[[#Headers],[#Data],[subtotal label]],1,FALSE)))</f>
        <v/>
      </c>
      <c r="AF562" s="1063" t="e">
        <f>IF((TB_curr[[#This Row],[Synt]]-TB_curr[[#This Row],[Subtotal Y/N]])=0,0,VLOOKUP(TB_curr[[#This Row],[Synt]],GL[[Account]:[Line]],3,FALSE))</f>
        <v>#VALUE!</v>
      </c>
      <c r="AG562" s="1063" t="e">
        <f>VLOOKUP(TB_curr[[#This Row],[Synt]],GL[[Account]:[B/P]],4,FALSE)</f>
        <v>#N/A</v>
      </c>
      <c r="AH562" s="1066" t="e">
        <v>#VALUE!</v>
      </c>
      <c r="AI562" s="1065" t="e">
        <f>TB_curr[[#This Row],[Synt]]&amp;TB_curr[[#This Row],[Line No. manual corr.]]</f>
        <v>#VALUE!</v>
      </c>
      <c r="AJ562" s="1064">
        <f t="shared" si="41"/>
        <v>0</v>
      </c>
      <c r="AK562" s="1064">
        <f t="shared" si="42"/>
        <v>0</v>
      </c>
      <c r="AL562" s="1064">
        <f t="shared" si="43"/>
        <v>0</v>
      </c>
      <c r="AM562" s="1064">
        <f t="shared" si="44"/>
        <v>0</v>
      </c>
      <c r="AN562" s="1064"/>
      <c r="AO562" s="1064">
        <f>TB_curr[[#This Row],[Closing balance]]+TB_curr[[#This Row],[Rounding]]</f>
        <v>0</v>
      </c>
    </row>
    <row r="563" spans="30:41" x14ac:dyDescent="0.25">
      <c r="AD563" s="1067" t="str">
        <f t="shared" si="40"/>
        <v/>
      </c>
      <c r="AE563" s="1063" t="str">
        <f>IF(ISNA(VLOOKUP(TB_curr[[#This Row],[Synt]],GL[[#Headers],[#Data],[subtotal label]],1,FALSE)),0,(VLOOKUP(TB_curr[[#This Row],[Synt]],GL[[#Headers],[#Data],[subtotal label]],1,FALSE)))</f>
        <v/>
      </c>
      <c r="AF563" s="1063" t="e">
        <f>IF((TB_curr[[#This Row],[Synt]]-TB_curr[[#This Row],[Subtotal Y/N]])=0,0,VLOOKUP(TB_curr[[#This Row],[Synt]],GL[[Account]:[Line]],3,FALSE))</f>
        <v>#VALUE!</v>
      </c>
      <c r="AG563" s="1063" t="e">
        <f>VLOOKUP(TB_curr[[#This Row],[Synt]],GL[[Account]:[B/P]],4,FALSE)</f>
        <v>#N/A</v>
      </c>
      <c r="AH563" s="1066" t="e">
        <v>#VALUE!</v>
      </c>
      <c r="AI563" s="1065" t="e">
        <f>TB_curr[[#This Row],[Synt]]&amp;TB_curr[[#This Row],[Line No. manual corr.]]</f>
        <v>#VALUE!</v>
      </c>
      <c r="AJ563" s="1064">
        <f t="shared" si="41"/>
        <v>0</v>
      </c>
      <c r="AK563" s="1064">
        <f t="shared" si="42"/>
        <v>0</v>
      </c>
      <c r="AL563" s="1064">
        <f t="shared" si="43"/>
        <v>0</v>
      </c>
      <c r="AM563" s="1064">
        <f t="shared" si="44"/>
        <v>0</v>
      </c>
      <c r="AN563" s="1064"/>
      <c r="AO563" s="1064">
        <f>TB_curr[[#This Row],[Closing balance]]+TB_curr[[#This Row],[Rounding]]</f>
        <v>0</v>
      </c>
    </row>
    <row r="564" spans="30:41" x14ac:dyDescent="0.25">
      <c r="AD564" s="1067" t="str">
        <f t="shared" si="40"/>
        <v/>
      </c>
      <c r="AE564" s="1063" t="str">
        <f>IF(ISNA(VLOOKUP(TB_curr[[#This Row],[Synt]],GL[[#Headers],[#Data],[subtotal label]],1,FALSE)),0,(VLOOKUP(TB_curr[[#This Row],[Synt]],GL[[#Headers],[#Data],[subtotal label]],1,FALSE)))</f>
        <v/>
      </c>
      <c r="AF564" s="1063" t="e">
        <f>IF((TB_curr[[#This Row],[Synt]]-TB_curr[[#This Row],[Subtotal Y/N]])=0,0,VLOOKUP(TB_curr[[#This Row],[Synt]],GL[[Account]:[Line]],3,FALSE))</f>
        <v>#VALUE!</v>
      </c>
      <c r="AG564" s="1063" t="e">
        <f>VLOOKUP(TB_curr[[#This Row],[Synt]],GL[[Account]:[B/P]],4,FALSE)</f>
        <v>#N/A</v>
      </c>
      <c r="AH564" s="1066" t="e">
        <v>#VALUE!</v>
      </c>
      <c r="AI564" s="1065" t="e">
        <f>TB_curr[[#This Row],[Synt]]&amp;TB_curr[[#This Row],[Line No. manual corr.]]</f>
        <v>#VALUE!</v>
      </c>
      <c r="AJ564" s="1064">
        <f t="shared" si="41"/>
        <v>0</v>
      </c>
      <c r="AK564" s="1064">
        <f t="shared" si="42"/>
        <v>0</v>
      </c>
      <c r="AL564" s="1064">
        <f t="shared" si="43"/>
        <v>0</v>
      </c>
      <c r="AM564" s="1064">
        <f t="shared" si="44"/>
        <v>0</v>
      </c>
      <c r="AN564" s="1064"/>
      <c r="AO564" s="1064">
        <f>TB_curr[[#This Row],[Closing balance]]+TB_curr[[#This Row],[Rounding]]</f>
        <v>0</v>
      </c>
    </row>
    <row r="565" spans="30:41" x14ac:dyDescent="0.25">
      <c r="AD565" s="1067" t="str">
        <f t="shared" si="40"/>
        <v/>
      </c>
      <c r="AE565" s="1063" t="str">
        <f>IF(ISNA(VLOOKUP(TB_curr[[#This Row],[Synt]],GL[[#Headers],[#Data],[subtotal label]],1,FALSE)),0,(VLOOKUP(TB_curr[[#This Row],[Synt]],GL[[#Headers],[#Data],[subtotal label]],1,FALSE)))</f>
        <v/>
      </c>
      <c r="AF565" s="1063" t="e">
        <f>IF((TB_curr[[#This Row],[Synt]]-TB_curr[[#This Row],[Subtotal Y/N]])=0,0,VLOOKUP(TB_curr[[#This Row],[Synt]],GL[[Account]:[Line]],3,FALSE))</f>
        <v>#VALUE!</v>
      </c>
      <c r="AG565" s="1063" t="e">
        <f>VLOOKUP(TB_curr[[#This Row],[Synt]],GL[[Account]:[B/P]],4,FALSE)</f>
        <v>#N/A</v>
      </c>
      <c r="AH565" s="1066" t="e">
        <v>#VALUE!</v>
      </c>
      <c r="AI565" s="1065" t="e">
        <f>TB_curr[[#This Row],[Synt]]&amp;TB_curr[[#This Row],[Line No. manual corr.]]</f>
        <v>#VALUE!</v>
      </c>
      <c r="AJ565" s="1064">
        <f t="shared" si="41"/>
        <v>0</v>
      </c>
      <c r="AK565" s="1064">
        <f t="shared" si="42"/>
        <v>0</v>
      </c>
      <c r="AL565" s="1064">
        <f t="shared" si="43"/>
        <v>0</v>
      </c>
      <c r="AM565" s="1064">
        <f t="shared" si="44"/>
        <v>0</v>
      </c>
      <c r="AN565" s="1064"/>
      <c r="AO565" s="1064">
        <f>TB_curr[[#This Row],[Closing balance]]+TB_curr[[#This Row],[Rounding]]</f>
        <v>0</v>
      </c>
    </row>
    <row r="566" spans="30:41" x14ac:dyDescent="0.25">
      <c r="AD566" s="1067" t="str">
        <f t="shared" si="40"/>
        <v/>
      </c>
      <c r="AE566" s="1063" t="str">
        <f>IF(ISNA(VLOOKUP(TB_curr[[#This Row],[Synt]],GL[[#Headers],[#Data],[subtotal label]],1,FALSE)),0,(VLOOKUP(TB_curr[[#This Row],[Synt]],GL[[#Headers],[#Data],[subtotal label]],1,FALSE)))</f>
        <v/>
      </c>
      <c r="AF566" s="1063" t="e">
        <f>IF((TB_curr[[#This Row],[Synt]]-TB_curr[[#This Row],[Subtotal Y/N]])=0,0,VLOOKUP(TB_curr[[#This Row],[Synt]],GL[[Account]:[Line]],3,FALSE))</f>
        <v>#VALUE!</v>
      </c>
      <c r="AG566" s="1063" t="e">
        <f>VLOOKUP(TB_curr[[#This Row],[Synt]],GL[[Account]:[B/P]],4,FALSE)</f>
        <v>#N/A</v>
      </c>
      <c r="AH566" s="1066" t="e">
        <v>#VALUE!</v>
      </c>
      <c r="AI566" s="1065" t="e">
        <f>TB_curr[[#This Row],[Synt]]&amp;TB_curr[[#This Row],[Line No. manual corr.]]</f>
        <v>#VALUE!</v>
      </c>
      <c r="AJ566" s="1064">
        <f t="shared" si="41"/>
        <v>0</v>
      </c>
      <c r="AK566" s="1064">
        <f t="shared" si="42"/>
        <v>0</v>
      </c>
      <c r="AL566" s="1064">
        <f t="shared" si="43"/>
        <v>0</v>
      </c>
      <c r="AM566" s="1064">
        <f t="shared" si="44"/>
        <v>0</v>
      </c>
      <c r="AN566" s="1064"/>
      <c r="AO566" s="1064">
        <f>TB_curr[[#This Row],[Closing balance]]+TB_curr[[#This Row],[Rounding]]</f>
        <v>0</v>
      </c>
    </row>
    <row r="567" spans="30:41" x14ac:dyDescent="0.25">
      <c r="AD567" s="1067" t="str">
        <f t="shared" si="40"/>
        <v/>
      </c>
      <c r="AE567" s="1063" t="str">
        <f>IF(ISNA(VLOOKUP(TB_curr[[#This Row],[Synt]],GL[[#Headers],[#Data],[subtotal label]],1,FALSE)),0,(VLOOKUP(TB_curr[[#This Row],[Synt]],GL[[#Headers],[#Data],[subtotal label]],1,FALSE)))</f>
        <v/>
      </c>
      <c r="AF567" s="1063" t="e">
        <f>IF((TB_curr[[#This Row],[Synt]]-TB_curr[[#This Row],[Subtotal Y/N]])=0,0,VLOOKUP(TB_curr[[#This Row],[Synt]],GL[[Account]:[Line]],3,FALSE))</f>
        <v>#VALUE!</v>
      </c>
      <c r="AG567" s="1063" t="e">
        <f>VLOOKUP(TB_curr[[#This Row],[Synt]],GL[[Account]:[B/P]],4,FALSE)</f>
        <v>#N/A</v>
      </c>
      <c r="AH567" s="1066" t="e">
        <v>#VALUE!</v>
      </c>
      <c r="AI567" s="1065" t="e">
        <f>TB_curr[[#This Row],[Synt]]&amp;TB_curr[[#This Row],[Line No. manual corr.]]</f>
        <v>#VALUE!</v>
      </c>
      <c r="AJ567" s="1064">
        <f t="shared" si="41"/>
        <v>0</v>
      </c>
      <c r="AK567" s="1064">
        <f t="shared" si="42"/>
        <v>0</v>
      </c>
      <c r="AL567" s="1064">
        <f t="shared" si="43"/>
        <v>0</v>
      </c>
      <c r="AM567" s="1064">
        <f t="shared" si="44"/>
        <v>0</v>
      </c>
      <c r="AN567" s="1064"/>
      <c r="AO567" s="1064">
        <f>TB_curr[[#This Row],[Closing balance]]+TB_curr[[#This Row],[Rounding]]</f>
        <v>0</v>
      </c>
    </row>
    <row r="568" spans="30:41" x14ac:dyDescent="0.25">
      <c r="AD568" s="1067" t="str">
        <f t="shared" si="40"/>
        <v/>
      </c>
      <c r="AE568" s="1063" t="str">
        <f>IF(ISNA(VLOOKUP(TB_curr[[#This Row],[Synt]],GL[[#Headers],[#Data],[subtotal label]],1,FALSE)),0,(VLOOKUP(TB_curr[[#This Row],[Synt]],GL[[#Headers],[#Data],[subtotal label]],1,FALSE)))</f>
        <v/>
      </c>
      <c r="AF568" s="1063" t="e">
        <f>IF((TB_curr[[#This Row],[Synt]]-TB_curr[[#This Row],[Subtotal Y/N]])=0,0,VLOOKUP(TB_curr[[#This Row],[Synt]],GL[[Account]:[Line]],3,FALSE))</f>
        <v>#VALUE!</v>
      </c>
      <c r="AG568" s="1063" t="e">
        <f>VLOOKUP(TB_curr[[#This Row],[Synt]],GL[[Account]:[B/P]],4,FALSE)</f>
        <v>#N/A</v>
      </c>
      <c r="AH568" s="1066" t="e">
        <v>#VALUE!</v>
      </c>
      <c r="AI568" s="1065" t="e">
        <f>TB_curr[[#This Row],[Synt]]&amp;TB_curr[[#This Row],[Line No. manual corr.]]</f>
        <v>#VALUE!</v>
      </c>
      <c r="AJ568" s="1064">
        <f t="shared" si="41"/>
        <v>0</v>
      </c>
      <c r="AK568" s="1064">
        <f t="shared" si="42"/>
        <v>0</v>
      </c>
      <c r="AL568" s="1064">
        <f t="shared" si="43"/>
        <v>0</v>
      </c>
      <c r="AM568" s="1064">
        <f t="shared" si="44"/>
        <v>0</v>
      </c>
      <c r="AN568" s="1064"/>
      <c r="AO568" s="1064">
        <f>TB_curr[[#This Row],[Closing balance]]+TB_curr[[#This Row],[Rounding]]</f>
        <v>0</v>
      </c>
    </row>
    <row r="569" spans="30:41" x14ac:dyDescent="0.25">
      <c r="AD569" s="1067" t="str">
        <f t="shared" si="40"/>
        <v/>
      </c>
      <c r="AE569" s="1063" t="str">
        <f>IF(ISNA(VLOOKUP(TB_curr[[#This Row],[Synt]],GL[[#Headers],[#Data],[subtotal label]],1,FALSE)),0,(VLOOKUP(TB_curr[[#This Row],[Synt]],GL[[#Headers],[#Data],[subtotal label]],1,FALSE)))</f>
        <v/>
      </c>
      <c r="AF569" s="1063" t="e">
        <f>IF((TB_curr[[#This Row],[Synt]]-TB_curr[[#This Row],[Subtotal Y/N]])=0,0,VLOOKUP(TB_curr[[#This Row],[Synt]],GL[[Account]:[Line]],3,FALSE))</f>
        <v>#VALUE!</v>
      </c>
      <c r="AG569" s="1063" t="e">
        <f>VLOOKUP(TB_curr[[#This Row],[Synt]],GL[[Account]:[B/P]],4,FALSE)</f>
        <v>#N/A</v>
      </c>
      <c r="AH569" s="1066" t="e">
        <v>#VALUE!</v>
      </c>
      <c r="AI569" s="1065" t="e">
        <f>TB_curr[[#This Row],[Synt]]&amp;TB_curr[[#This Row],[Line No. manual corr.]]</f>
        <v>#VALUE!</v>
      </c>
      <c r="AJ569" s="1064">
        <f t="shared" si="41"/>
        <v>0</v>
      </c>
      <c r="AK569" s="1064">
        <f t="shared" si="42"/>
        <v>0</v>
      </c>
      <c r="AL569" s="1064">
        <f t="shared" si="43"/>
        <v>0</v>
      </c>
      <c r="AM569" s="1064">
        <f t="shared" si="44"/>
        <v>0</v>
      </c>
      <c r="AN569" s="1064"/>
      <c r="AO569" s="1064">
        <f>TB_curr[[#This Row],[Closing balance]]+TB_curr[[#This Row],[Rounding]]</f>
        <v>0</v>
      </c>
    </row>
    <row r="570" spans="30:41" x14ac:dyDescent="0.25">
      <c r="AD570" s="1067" t="str">
        <f t="shared" si="40"/>
        <v/>
      </c>
      <c r="AE570" s="1063" t="str">
        <f>IF(ISNA(VLOOKUP(TB_curr[[#This Row],[Synt]],GL[[#Headers],[#Data],[subtotal label]],1,FALSE)),0,(VLOOKUP(TB_curr[[#This Row],[Synt]],GL[[#Headers],[#Data],[subtotal label]],1,FALSE)))</f>
        <v/>
      </c>
      <c r="AF570" s="1063" t="e">
        <f>IF((TB_curr[[#This Row],[Synt]]-TB_curr[[#This Row],[Subtotal Y/N]])=0,0,VLOOKUP(TB_curr[[#This Row],[Synt]],GL[[Account]:[Line]],3,FALSE))</f>
        <v>#VALUE!</v>
      </c>
      <c r="AG570" s="1063" t="e">
        <f>VLOOKUP(TB_curr[[#This Row],[Synt]],GL[[Account]:[B/P]],4,FALSE)</f>
        <v>#N/A</v>
      </c>
      <c r="AH570" s="1066" t="e">
        <v>#VALUE!</v>
      </c>
      <c r="AI570" s="1065" t="e">
        <f>TB_curr[[#This Row],[Synt]]&amp;TB_curr[[#This Row],[Line No. manual corr.]]</f>
        <v>#VALUE!</v>
      </c>
      <c r="AJ570" s="1064">
        <f t="shared" si="41"/>
        <v>0</v>
      </c>
      <c r="AK570" s="1064">
        <f t="shared" si="42"/>
        <v>0</v>
      </c>
      <c r="AL570" s="1064">
        <f t="shared" si="43"/>
        <v>0</v>
      </c>
      <c r="AM570" s="1064">
        <f t="shared" si="44"/>
        <v>0</v>
      </c>
      <c r="AN570" s="1064"/>
      <c r="AO570" s="1064">
        <f>TB_curr[[#This Row],[Closing balance]]+TB_curr[[#This Row],[Rounding]]</f>
        <v>0</v>
      </c>
    </row>
    <row r="571" spans="30:41" x14ac:dyDescent="0.25">
      <c r="AD571" s="1067" t="str">
        <f t="shared" si="40"/>
        <v/>
      </c>
      <c r="AE571" s="1063" t="str">
        <f>IF(ISNA(VLOOKUP(TB_curr[[#This Row],[Synt]],GL[[#Headers],[#Data],[subtotal label]],1,FALSE)),0,(VLOOKUP(TB_curr[[#This Row],[Synt]],GL[[#Headers],[#Data],[subtotal label]],1,FALSE)))</f>
        <v/>
      </c>
      <c r="AF571" s="1063" t="e">
        <f>IF((TB_curr[[#This Row],[Synt]]-TB_curr[[#This Row],[Subtotal Y/N]])=0,0,VLOOKUP(TB_curr[[#This Row],[Synt]],GL[[Account]:[Line]],3,FALSE))</f>
        <v>#VALUE!</v>
      </c>
      <c r="AG571" s="1063" t="e">
        <f>VLOOKUP(TB_curr[[#This Row],[Synt]],GL[[Account]:[B/P]],4,FALSE)</f>
        <v>#N/A</v>
      </c>
      <c r="AH571" s="1066" t="e">
        <v>#VALUE!</v>
      </c>
      <c r="AI571" s="1065" t="e">
        <f>TB_curr[[#This Row],[Synt]]&amp;TB_curr[[#This Row],[Line No. manual corr.]]</f>
        <v>#VALUE!</v>
      </c>
      <c r="AJ571" s="1064">
        <f t="shared" si="41"/>
        <v>0</v>
      </c>
      <c r="AK571" s="1064">
        <f t="shared" si="42"/>
        <v>0</v>
      </c>
      <c r="AL571" s="1064">
        <f t="shared" si="43"/>
        <v>0</v>
      </c>
      <c r="AM571" s="1064">
        <f t="shared" si="44"/>
        <v>0</v>
      </c>
      <c r="AN571" s="1064"/>
      <c r="AO571" s="1064">
        <f>TB_curr[[#This Row],[Closing balance]]+TB_curr[[#This Row],[Rounding]]</f>
        <v>0</v>
      </c>
    </row>
    <row r="572" spans="30:41" x14ac:dyDescent="0.25">
      <c r="AD572" s="1067" t="str">
        <f t="shared" si="40"/>
        <v/>
      </c>
      <c r="AE572" s="1063" t="str">
        <f>IF(ISNA(VLOOKUP(TB_curr[[#This Row],[Synt]],GL[[#Headers],[#Data],[subtotal label]],1,FALSE)),0,(VLOOKUP(TB_curr[[#This Row],[Synt]],GL[[#Headers],[#Data],[subtotal label]],1,FALSE)))</f>
        <v/>
      </c>
      <c r="AF572" s="1063" t="e">
        <f>IF((TB_curr[[#This Row],[Synt]]-TB_curr[[#This Row],[Subtotal Y/N]])=0,0,VLOOKUP(TB_curr[[#This Row],[Synt]],GL[[Account]:[Line]],3,FALSE))</f>
        <v>#VALUE!</v>
      </c>
      <c r="AG572" s="1063" t="e">
        <f>VLOOKUP(TB_curr[[#This Row],[Synt]],GL[[Account]:[B/P]],4,FALSE)</f>
        <v>#N/A</v>
      </c>
      <c r="AH572" s="1066" t="e">
        <v>#VALUE!</v>
      </c>
      <c r="AI572" s="1065" t="e">
        <f>TB_curr[[#This Row],[Synt]]&amp;TB_curr[[#This Row],[Line No. manual corr.]]</f>
        <v>#VALUE!</v>
      </c>
      <c r="AJ572" s="1064">
        <f t="shared" si="41"/>
        <v>0</v>
      </c>
      <c r="AK572" s="1064">
        <f t="shared" si="42"/>
        <v>0</v>
      </c>
      <c r="AL572" s="1064">
        <f t="shared" si="43"/>
        <v>0</v>
      </c>
      <c r="AM572" s="1064">
        <f t="shared" si="44"/>
        <v>0</v>
      </c>
      <c r="AN572" s="1064"/>
      <c r="AO572" s="1064">
        <f>TB_curr[[#This Row],[Closing balance]]+TB_curr[[#This Row],[Rounding]]</f>
        <v>0</v>
      </c>
    </row>
    <row r="573" spans="30:41" x14ac:dyDescent="0.25">
      <c r="AD573" s="1067" t="str">
        <f t="shared" si="40"/>
        <v/>
      </c>
      <c r="AE573" s="1063" t="str">
        <f>IF(ISNA(VLOOKUP(TB_curr[[#This Row],[Synt]],GL[[#Headers],[#Data],[subtotal label]],1,FALSE)),0,(VLOOKUP(TB_curr[[#This Row],[Synt]],GL[[#Headers],[#Data],[subtotal label]],1,FALSE)))</f>
        <v/>
      </c>
      <c r="AF573" s="1063" t="e">
        <f>IF((TB_curr[[#This Row],[Synt]]-TB_curr[[#This Row],[Subtotal Y/N]])=0,0,VLOOKUP(TB_curr[[#This Row],[Synt]],GL[[Account]:[Line]],3,FALSE))</f>
        <v>#VALUE!</v>
      </c>
      <c r="AG573" s="1063" t="e">
        <f>VLOOKUP(TB_curr[[#This Row],[Synt]],GL[[Account]:[B/P]],4,FALSE)</f>
        <v>#N/A</v>
      </c>
      <c r="AH573" s="1066" t="e">
        <v>#VALUE!</v>
      </c>
      <c r="AI573" s="1065" t="e">
        <f>TB_curr[[#This Row],[Synt]]&amp;TB_curr[[#This Row],[Line No. manual corr.]]</f>
        <v>#VALUE!</v>
      </c>
      <c r="AJ573" s="1064">
        <f t="shared" si="41"/>
        <v>0</v>
      </c>
      <c r="AK573" s="1064">
        <f t="shared" si="42"/>
        <v>0</v>
      </c>
      <c r="AL573" s="1064">
        <f t="shared" si="43"/>
        <v>0</v>
      </c>
      <c r="AM573" s="1064">
        <f t="shared" si="44"/>
        <v>0</v>
      </c>
      <c r="AN573" s="1064"/>
      <c r="AO573" s="1064">
        <f>TB_curr[[#This Row],[Closing balance]]+TB_curr[[#This Row],[Rounding]]</f>
        <v>0</v>
      </c>
    </row>
    <row r="574" spans="30:41" x14ac:dyDescent="0.25">
      <c r="AD574" s="1067" t="str">
        <f t="shared" si="40"/>
        <v/>
      </c>
      <c r="AE574" s="1063" t="str">
        <f>IF(ISNA(VLOOKUP(TB_curr[[#This Row],[Synt]],GL[[#Headers],[#Data],[subtotal label]],1,FALSE)),0,(VLOOKUP(TB_curr[[#This Row],[Synt]],GL[[#Headers],[#Data],[subtotal label]],1,FALSE)))</f>
        <v/>
      </c>
      <c r="AF574" s="1063" t="e">
        <f>IF((TB_curr[[#This Row],[Synt]]-TB_curr[[#This Row],[Subtotal Y/N]])=0,0,VLOOKUP(TB_curr[[#This Row],[Synt]],GL[[Account]:[Line]],3,FALSE))</f>
        <v>#VALUE!</v>
      </c>
      <c r="AG574" s="1063" t="e">
        <f>VLOOKUP(TB_curr[[#This Row],[Synt]],GL[[Account]:[B/P]],4,FALSE)</f>
        <v>#N/A</v>
      </c>
      <c r="AH574" s="1066" t="e">
        <v>#VALUE!</v>
      </c>
      <c r="AI574" s="1065" t="e">
        <f>TB_curr[[#This Row],[Synt]]&amp;TB_curr[[#This Row],[Line No. manual corr.]]</f>
        <v>#VALUE!</v>
      </c>
      <c r="AJ574" s="1064">
        <f t="shared" si="41"/>
        <v>0</v>
      </c>
      <c r="AK574" s="1064">
        <f t="shared" si="42"/>
        <v>0</v>
      </c>
      <c r="AL574" s="1064">
        <f t="shared" si="43"/>
        <v>0</v>
      </c>
      <c r="AM574" s="1064">
        <f t="shared" si="44"/>
        <v>0</v>
      </c>
      <c r="AN574" s="1064"/>
      <c r="AO574" s="1064">
        <f>TB_curr[[#This Row],[Closing balance]]+TB_curr[[#This Row],[Rounding]]</f>
        <v>0</v>
      </c>
    </row>
    <row r="575" spans="30:41" x14ac:dyDescent="0.25">
      <c r="AD575" s="1067" t="str">
        <f t="shared" si="40"/>
        <v/>
      </c>
      <c r="AE575" s="1063" t="str">
        <f>IF(ISNA(VLOOKUP(TB_curr[[#This Row],[Synt]],GL[[#Headers],[#Data],[subtotal label]],1,FALSE)),0,(VLOOKUP(TB_curr[[#This Row],[Synt]],GL[[#Headers],[#Data],[subtotal label]],1,FALSE)))</f>
        <v/>
      </c>
      <c r="AF575" s="1063" t="e">
        <f>IF((TB_curr[[#This Row],[Synt]]-TB_curr[[#This Row],[Subtotal Y/N]])=0,0,VLOOKUP(TB_curr[[#This Row],[Synt]],GL[[Account]:[Line]],3,FALSE))</f>
        <v>#VALUE!</v>
      </c>
      <c r="AG575" s="1063" t="e">
        <f>VLOOKUP(TB_curr[[#This Row],[Synt]],GL[[Account]:[B/P]],4,FALSE)</f>
        <v>#N/A</v>
      </c>
      <c r="AH575" s="1066" t="e">
        <v>#VALUE!</v>
      </c>
      <c r="AI575" s="1065" t="e">
        <f>TB_curr[[#This Row],[Synt]]&amp;TB_curr[[#This Row],[Line No. manual corr.]]</f>
        <v>#VALUE!</v>
      </c>
      <c r="AJ575" s="1064">
        <f t="shared" si="41"/>
        <v>0</v>
      </c>
      <c r="AK575" s="1064">
        <f t="shared" si="42"/>
        <v>0</v>
      </c>
      <c r="AL575" s="1064">
        <f t="shared" si="43"/>
        <v>0</v>
      </c>
      <c r="AM575" s="1064">
        <f t="shared" si="44"/>
        <v>0</v>
      </c>
      <c r="AN575" s="1064"/>
      <c r="AO575" s="1064">
        <f>TB_curr[[#This Row],[Closing balance]]+TB_curr[[#This Row],[Rounding]]</f>
        <v>0</v>
      </c>
    </row>
    <row r="576" spans="30:41" x14ac:dyDescent="0.25">
      <c r="AD576" s="1067" t="str">
        <f t="shared" si="40"/>
        <v/>
      </c>
      <c r="AE576" s="1063" t="str">
        <f>IF(ISNA(VLOOKUP(TB_curr[[#This Row],[Synt]],GL[[#Headers],[#Data],[subtotal label]],1,FALSE)),0,(VLOOKUP(TB_curr[[#This Row],[Synt]],GL[[#Headers],[#Data],[subtotal label]],1,FALSE)))</f>
        <v/>
      </c>
      <c r="AF576" s="1063" t="e">
        <f>IF((TB_curr[[#This Row],[Synt]]-TB_curr[[#This Row],[Subtotal Y/N]])=0,0,VLOOKUP(TB_curr[[#This Row],[Synt]],GL[[Account]:[Line]],3,FALSE))</f>
        <v>#VALUE!</v>
      </c>
      <c r="AG576" s="1063" t="e">
        <f>VLOOKUP(TB_curr[[#This Row],[Synt]],GL[[Account]:[B/P]],4,FALSE)</f>
        <v>#N/A</v>
      </c>
      <c r="AH576" s="1066" t="e">
        <v>#VALUE!</v>
      </c>
      <c r="AI576" s="1065" t="e">
        <f>TB_curr[[#This Row],[Synt]]&amp;TB_curr[[#This Row],[Line No. manual corr.]]</f>
        <v>#VALUE!</v>
      </c>
      <c r="AJ576" s="1064">
        <f t="shared" si="41"/>
        <v>0</v>
      </c>
      <c r="AK576" s="1064">
        <f t="shared" si="42"/>
        <v>0</v>
      </c>
      <c r="AL576" s="1064">
        <f t="shared" si="43"/>
        <v>0</v>
      </c>
      <c r="AM576" s="1064">
        <f t="shared" si="44"/>
        <v>0</v>
      </c>
      <c r="AN576" s="1064"/>
      <c r="AO576" s="1064">
        <f>TB_curr[[#This Row],[Closing balance]]+TB_curr[[#This Row],[Rounding]]</f>
        <v>0</v>
      </c>
    </row>
    <row r="577" spans="30:41" x14ac:dyDescent="0.25">
      <c r="AD577" s="1067" t="str">
        <f t="shared" si="40"/>
        <v/>
      </c>
      <c r="AE577" s="1063" t="str">
        <f>IF(ISNA(VLOOKUP(TB_curr[[#This Row],[Synt]],GL[[#Headers],[#Data],[subtotal label]],1,FALSE)),0,(VLOOKUP(TB_curr[[#This Row],[Synt]],GL[[#Headers],[#Data],[subtotal label]],1,FALSE)))</f>
        <v/>
      </c>
      <c r="AF577" s="1063" t="e">
        <f>IF((TB_curr[[#This Row],[Synt]]-TB_curr[[#This Row],[Subtotal Y/N]])=0,0,VLOOKUP(TB_curr[[#This Row],[Synt]],GL[[Account]:[Line]],3,FALSE))</f>
        <v>#VALUE!</v>
      </c>
      <c r="AG577" s="1063" t="e">
        <f>VLOOKUP(TB_curr[[#This Row],[Synt]],GL[[Account]:[B/P]],4,FALSE)</f>
        <v>#N/A</v>
      </c>
      <c r="AH577" s="1066" t="e">
        <v>#VALUE!</v>
      </c>
      <c r="AI577" s="1065" t="e">
        <f>TB_curr[[#This Row],[Synt]]&amp;TB_curr[[#This Row],[Line No. manual corr.]]</f>
        <v>#VALUE!</v>
      </c>
      <c r="AJ577" s="1064">
        <f t="shared" si="41"/>
        <v>0</v>
      </c>
      <c r="AK577" s="1064">
        <f t="shared" si="42"/>
        <v>0</v>
      </c>
      <c r="AL577" s="1064">
        <f t="shared" si="43"/>
        <v>0</v>
      </c>
      <c r="AM577" s="1064">
        <f t="shared" si="44"/>
        <v>0</v>
      </c>
      <c r="AN577" s="1064"/>
      <c r="AO577" s="1064">
        <f>TB_curr[[#This Row],[Closing balance]]+TB_curr[[#This Row],[Rounding]]</f>
        <v>0</v>
      </c>
    </row>
    <row r="578" spans="30:41" x14ac:dyDescent="0.25">
      <c r="AD578" s="1067" t="str">
        <f t="shared" si="40"/>
        <v/>
      </c>
      <c r="AE578" s="1063" t="str">
        <f>IF(ISNA(VLOOKUP(TB_curr[[#This Row],[Synt]],GL[[#Headers],[#Data],[subtotal label]],1,FALSE)),0,(VLOOKUP(TB_curr[[#This Row],[Synt]],GL[[#Headers],[#Data],[subtotal label]],1,FALSE)))</f>
        <v/>
      </c>
      <c r="AF578" s="1063" t="e">
        <f>IF((TB_curr[[#This Row],[Synt]]-TB_curr[[#This Row],[Subtotal Y/N]])=0,0,VLOOKUP(TB_curr[[#This Row],[Synt]],GL[[Account]:[Line]],3,FALSE))</f>
        <v>#VALUE!</v>
      </c>
      <c r="AG578" s="1063" t="e">
        <f>VLOOKUP(TB_curr[[#This Row],[Synt]],GL[[Account]:[B/P]],4,FALSE)</f>
        <v>#N/A</v>
      </c>
      <c r="AH578" s="1066" t="e">
        <v>#VALUE!</v>
      </c>
      <c r="AI578" s="1065" t="e">
        <f>TB_curr[[#This Row],[Synt]]&amp;TB_curr[[#This Row],[Line No. manual corr.]]</f>
        <v>#VALUE!</v>
      </c>
      <c r="AJ578" s="1064">
        <f t="shared" si="41"/>
        <v>0</v>
      </c>
      <c r="AK578" s="1064">
        <f t="shared" si="42"/>
        <v>0</v>
      </c>
      <c r="AL578" s="1064">
        <f t="shared" si="43"/>
        <v>0</v>
      </c>
      <c r="AM578" s="1064">
        <f t="shared" si="44"/>
        <v>0</v>
      </c>
      <c r="AN578" s="1064"/>
      <c r="AO578" s="1064">
        <f>TB_curr[[#This Row],[Closing balance]]+TB_curr[[#This Row],[Rounding]]</f>
        <v>0</v>
      </c>
    </row>
    <row r="579" spans="30:41" x14ac:dyDescent="0.25">
      <c r="AD579" s="1067" t="str">
        <f t="shared" si="40"/>
        <v/>
      </c>
      <c r="AE579" s="1063" t="str">
        <f>IF(ISNA(VLOOKUP(TB_curr[[#This Row],[Synt]],GL[[#Headers],[#Data],[subtotal label]],1,FALSE)),0,(VLOOKUP(TB_curr[[#This Row],[Synt]],GL[[#Headers],[#Data],[subtotal label]],1,FALSE)))</f>
        <v/>
      </c>
      <c r="AF579" s="1063" t="e">
        <f>IF((TB_curr[[#This Row],[Synt]]-TB_curr[[#This Row],[Subtotal Y/N]])=0,0,VLOOKUP(TB_curr[[#This Row],[Synt]],GL[[Account]:[Line]],3,FALSE))</f>
        <v>#VALUE!</v>
      </c>
      <c r="AG579" s="1063" t="e">
        <f>VLOOKUP(TB_curr[[#This Row],[Synt]],GL[[Account]:[B/P]],4,FALSE)</f>
        <v>#N/A</v>
      </c>
      <c r="AH579" s="1066" t="e">
        <v>#VALUE!</v>
      </c>
      <c r="AI579" s="1065" t="e">
        <f>TB_curr[[#This Row],[Synt]]&amp;TB_curr[[#This Row],[Line No. manual corr.]]</f>
        <v>#VALUE!</v>
      </c>
      <c r="AJ579" s="1064">
        <f t="shared" si="41"/>
        <v>0</v>
      </c>
      <c r="AK579" s="1064">
        <f t="shared" si="42"/>
        <v>0</v>
      </c>
      <c r="AL579" s="1064">
        <f t="shared" si="43"/>
        <v>0</v>
      </c>
      <c r="AM579" s="1064">
        <f t="shared" si="44"/>
        <v>0</v>
      </c>
      <c r="AN579" s="1064"/>
      <c r="AO579" s="1064">
        <f>TB_curr[[#This Row],[Closing balance]]+TB_curr[[#This Row],[Rounding]]</f>
        <v>0</v>
      </c>
    </row>
    <row r="580" spans="30:41" x14ac:dyDescent="0.25">
      <c r="AD580" s="1067" t="str">
        <f t="shared" si="40"/>
        <v/>
      </c>
      <c r="AE580" s="1063" t="str">
        <f>IF(ISNA(VLOOKUP(TB_curr[[#This Row],[Synt]],GL[[#Headers],[#Data],[subtotal label]],1,FALSE)),0,(VLOOKUP(TB_curr[[#This Row],[Synt]],GL[[#Headers],[#Data],[subtotal label]],1,FALSE)))</f>
        <v/>
      </c>
      <c r="AF580" s="1063" t="e">
        <f>IF((TB_curr[[#This Row],[Synt]]-TB_curr[[#This Row],[Subtotal Y/N]])=0,0,VLOOKUP(TB_curr[[#This Row],[Synt]],GL[[Account]:[Line]],3,FALSE))</f>
        <v>#VALUE!</v>
      </c>
      <c r="AG580" s="1063" t="e">
        <f>VLOOKUP(TB_curr[[#This Row],[Synt]],GL[[Account]:[B/P]],4,FALSE)</f>
        <v>#N/A</v>
      </c>
      <c r="AH580" s="1066" t="e">
        <v>#VALUE!</v>
      </c>
      <c r="AI580" s="1065" t="e">
        <f>TB_curr[[#This Row],[Synt]]&amp;TB_curr[[#This Row],[Line No. manual corr.]]</f>
        <v>#VALUE!</v>
      </c>
      <c r="AJ580" s="1064">
        <f t="shared" si="41"/>
        <v>0</v>
      </c>
      <c r="AK580" s="1064">
        <f t="shared" si="42"/>
        <v>0</v>
      </c>
      <c r="AL580" s="1064">
        <f t="shared" si="43"/>
        <v>0</v>
      </c>
      <c r="AM580" s="1064">
        <f t="shared" si="44"/>
        <v>0</v>
      </c>
      <c r="AN580" s="1064"/>
      <c r="AO580" s="1064">
        <f>TB_curr[[#This Row],[Closing balance]]+TB_curr[[#This Row],[Rounding]]</f>
        <v>0</v>
      </c>
    </row>
    <row r="581" spans="30:41" x14ac:dyDescent="0.25">
      <c r="AD581" s="1067" t="str">
        <f t="shared" si="40"/>
        <v/>
      </c>
      <c r="AE581" s="1063" t="str">
        <f>IF(ISNA(VLOOKUP(TB_curr[[#This Row],[Synt]],GL[[#Headers],[#Data],[subtotal label]],1,FALSE)),0,(VLOOKUP(TB_curr[[#This Row],[Synt]],GL[[#Headers],[#Data],[subtotal label]],1,FALSE)))</f>
        <v/>
      </c>
      <c r="AF581" s="1063" t="e">
        <f>IF((TB_curr[[#This Row],[Synt]]-TB_curr[[#This Row],[Subtotal Y/N]])=0,0,VLOOKUP(TB_curr[[#This Row],[Synt]],GL[[Account]:[Line]],3,FALSE))</f>
        <v>#VALUE!</v>
      </c>
      <c r="AG581" s="1063" t="e">
        <f>VLOOKUP(TB_curr[[#This Row],[Synt]],GL[[Account]:[B/P]],4,FALSE)</f>
        <v>#N/A</v>
      </c>
      <c r="AH581" s="1066" t="e">
        <v>#VALUE!</v>
      </c>
      <c r="AI581" s="1065" t="e">
        <f>TB_curr[[#This Row],[Synt]]&amp;TB_curr[[#This Row],[Line No. manual corr.]]</f>
        <v>#VALUE!</v>
      </c>
      <c r="AJ581" s="1064">
        <f t="shared" si="41"/>
        <v>0</v>
      </c>
      <c r="AK581" s="1064">
        <f t="shared" si="42"/>
        <v>0</v>
      </c>
      <c r="AL581" s="1064">
        <f t="shared" si="43"/>
        <v>0</v>
      </c>
      <c r="AM581" s="1064">
        <f t="shared" si="44"/>
        <v>0</v>
      </c>
      <c r="AN581" s="1064"/>
      <c r="AO581" s="1064">
        <f>TB_curr[[#This Row],[Closing balance]]+TB_curr[[#This Row],[Rounding]]</f>
        <v>0</v>
      </c>
    </row>
    <row r="582" spans="30:41" x14ac:dyDescent="0.25">
      <c r="AD582" s="1067" t="str">
        <f t="shared" si="40"/>
        <v/>
      </c>
      <c r="AE582" s="1063" t="str">
        <f>IF(ISNA(VLOOKUP(TB_curr[[#This Row],[Synt]],GL[[#Headers],[#Data],[subtotal label]],1,FALSE)),0,(VLOOKUP(TB_curr[[#This Row],[Synt]],GL[[#Headers],[#Data],[subtotal label]],1,FALSE)))</f>
        <v/>
      </c>
      <c r="AF582" s="1063" t="e">
        <f>IF((TB_curr[[#This Row],[Synt]]-TB_curr[[#This Row],[Subtotal Y/N]])=0,0,VLOOKUP(TB_curr[[#This Row],[Synt]],GL[[Account]:[Line]],3,FALSE))</f>
        <v>#VALUE!</v>
      </c>
      <c r="AG582" s="1063" t="e">
        <f>VLOOKUP(TB_curr[[#This Row],[Synt]],GL[[Account]:[B/P]],4,FALSE)</f>
        <v>#N/A</v>
      </c>
      <c r="AH582" s="1066" t="e">
        <v>#VALUE!</v>
      </c>
      <c r="AI582" s="1065" t="e">
        <f>TB_curr[[#This Row],[Synt]]&amp;TB_curr[[#This Row],[Line No. manual corr.]]</f>
        <v>#VALUE!</v>
      </c>
      <c r="AJ582" s="1064">
        <f t="shared" si="41"/>
        <v>0</v>
      </c>
      <c r="AK582" s="1064">
        <f t="shared" si="42"/>
        <v>0</v>
      </c>
      <c r="AL582" s="1064">
        <f t="shared" si="43"/>
        <v>0</v>
      </c>
      <c r="AM582" s="1064">
        <f t="shared" si="44"/>
        <v>0</v>
      </c>
      <c r="AN582" s="1064"/>
      <c r="AO582" s="1064">
        <f>TB_curr[[#This Row],[Closing balance]]+TB_curr[[#This Row],[Rounding]]</f>
        <v>0</v>
      </c>
    </row>
    <row r="583" spans="30:41" x14ac:dyDescent="0.25">
      <c r="AD583" s="1067" t="str">
        <f t="shared" si="40"/>
        <v/>
      </c>
      <c r="AE583" s="1063" t="str">
        <f>IF(ISNA(VLOOKUP(TB_curr[[#This Row],[Synt]],GL[[#Headers],[#Data],[subtotal label]],1,FALSE)),0,(VLOOKUP(TB_curr[[#This Row],[Synt]],GL[[#Headers],[#Data],[subtotal label]],1,FALSE)))</f>
        <v/>
      </c>
      <c r="AF583" s="1063" t="e">
        <f>IF((TB_curr[[#This Row],[Synt]]-TB_curr[[#This Row],[Subtotal Y/N]])=0,0,VLOOKUP(TB_curr[[#This Row],[Synt]],GL[[Account]:[Line]],3,FALSE))</f>
        <v>#VALUE!</v>
      </c>
      <c r="AG583" s="1063" t="e">
        <f>VLOOKUP(TB_curr[[#This Row],[Synt]],GL[[Account]:[B/P]],4,FALSE)</f>
        <v>#N/A</v>
      </c>
      <c r="AH583" s="1066" t="e">
        <v>#VALUE!</v>
      </c>
      <c r="AI583" s="1065" t="e">
        <f>TB_curr[[#This Row],[Synt]]&amp;TB_curr[[#This Row],[Line No. manual corr.]]</f>
        <v>#VALUE!</v>
      </c>
      <c r="AJ583" s="1064">
        <f t="shared" si="41"/>
        <v>0</v>
      </c>
      <c r="AK583" s="1064">
        <f t="shared" si="42"/>
        <v>0</v>
      </c>
      <c r="AL583" s="1064">
        <f t="shared" si="43"/>
        <v>0</v>
      </c>
      <c r="AM583" s="1064">
        <f t="shared" si="44"/>
        <v>0</v>
      </c>
      <c r="AN583" s="1064"/>
      <c r="AO583" s="1064">
        <f>TB_curr[[#This Row],[Closing balance]]+TB_curr[[#This Row],[Rounding]]</f>
        <v>0</v>
      </c>
    </row>
    <row r="584" spans="30:41" x14ac:dyDescent="0.25">
      <c r="AD584" s="1067" t="str">
        <f t="shared" ref="AD584:AD647" si="45">LEFT(B584,3)</f>
        <v/>
      </c>
      <c r="AE584" s="1063" t="str">
        <f>IF(ISNA(VLOOKUP(TB_curr[[#This Row],[Synt]],GL[[#Headers],[#Data],[subtotal label]],1,FALSE)),0,(VLOOKUP(TB_curr[[#This Row],[Synt]],GL[[#Headers],[#Data],[subtotal label]],1,FALSE)))</f>
        <v/>
      </c>
      <c r="AF584" s="1063" t="e">
        <f>IF((TB_curr[[#This Row],[Synt]]-TB_curr[[#This Row],[Subtotal Y/N]])=0,0,VLOOKUP(TB_curr[[#This Row],[Synt]],GL[[Account]:[Line]],3,FALSE))</f>
        <v>#VALUE!</v>
      </c>
      <c r="AG584" s="1063" t="e">
        <f>VLOOKUP(TB_curr[[#This Row],[Synt]],GL[[Account]:[B/P]],4,FALSE)</f>
        <v>#N/A</v>
      </c>
      <c r="AH584" s="1066" t="e">
        <v>#VALUE!</v>
      </c>
      <c r="AI584" s="1065" t="e">
        <f>TB_curr[[#This Row],[Synt]]&amp;TB_curr[[#This Row],[Line No. manual corr.]]</f>
        <v>#VALUE!</v>
      </c>
      <c r="AJ584" s="1064">
        <f t="shared" ref="AJ584:AJ647" si="46">K584-N584</f>
        <v>0</v>
      </c>
      <c r="AK584" s="1064">
        <f t="shared" ref="AK584:AK647" si="47">Q584</f>
        <v>0</v>
      </c>
      <c r="AL584" s="1064">
        <f t="shared" ref="AL584:AL647" si="48">U584</f>
        <v>0</v>
      </c>
      <c r="AM584" s="1064">
        <f t="shared" ref="AM584:AM647" si="49">X584-AB584</f>
        <v>0</v>
      </c>
      <c r="AN584" s="1064"/>
      <c r="AO584" s="1064">
        <f>TB_curr[[#This Row],[Closing balance]]+TB_curr[[#This Row],[Rounding]]</f>
        <v>0</v>
      </c>
    </row>
    <row r="585" spans="30:41" x14ac:dyDescent="0.25">
      <c r="AD585" s="1067" t="str">
        <f t="shared" si="45"/>
        <v/>
      </c>
      <c r="AE585" s="1063" t="str">
        <f>IF(ISNA(VLOOKUP(TB_curr[[#This Row],[Synt]],GL[[#Headers],[#Data],[subtotal label]],1,FALSE)),0,(VLOOKUP(TB_curr[[#This Row],[Synt]],GL[[#Headers],[#Data],[subtotal label]],1,FALSE)))</f>
        <v/>
      </c>
      <c r="AF585" s="1063" t="e">
        <f>IF((TB_curr[[#This Row],[Synt]]-TB_curr[[#This Row],[Subtotal Y/N]])=0,0,VLOOKUP(TB_curr[[#This Row],[Synt]],GL[[Account]:[Line]],3,FALSE))</f>
        <v>#VALUE!</v>
      </c>
      <c r="AG585" s="1063" t="e">
        <f>VLOOKUP(TB_curr[[#This Row],[Synt]],GL[[Account]:[B/P]],4,FALSE)</f>
        <v>#N/A</v>
      </c>
      <c r="AH585" s="1066" t="e">
        <v>#VALUE!</v>
      </c>
      <c r="AI585" s="1065" t="e">
        <f>TB_curr[[#This Row],[Synt]]&amp;TB_curr[[#This Row],[Line No. manual corr.]]</f>
        <v>#VALUE!</v>
      </c>
      <c r="AJ585" s="1064">
        <f t="shared" si="46"/>
        <v>0</v>
      </c>
      <c r="AK585" s="1064">
        <f t="shared" si="47"/>
        <v>0</v>
      </c>
      <c r="AL585" s="1064">
        <f t="shared" si="48"/>
        <v>0</v>
      </c>
      <c r="AM585" s="1064">
        <f t="shared" si="49"/>
        <v>0</v>
      </c>
      <c r="AN585" s="1064"/>
      <c r="AO585" s="1064">
        <f>TB_curr[[#This Row],[Closing balance]]+TB_curr[[#This Row],[Rounding]]</f>
        <v>0</v>
      </c>
    </row>
    <row r="586" spans="30:41" x14ac:dyDescent="0.25">
      <c r="AD586" s="1067" t="str">
        <f t="shared" si="45"/>
        <v/>
      </c>
      <c r="AE586" s="1063" t="str">
        <f>IF(ISNA(VLOOKUP(TB_curr[[#This Row],[Synt]],GL[[#Headers],[#Data],[subtotal label]],1,FALSE)),0,(VLOOKUP(TB_curr[[#This Row],[Synt]],GL[[#Headers],[#Data],[subtotal label]],1,FALSE)))</f>
        <v/>
      </c>
      <c r="AF586" s="1063" t="e">
        <f>IF((TB_curr[[#This Row],[Synt]]-TB_curr[[#This Row],[Subtotal Y/N]])=0,0,VLOOKUP(TB_curr[[#This Row],[Synt]],GL[[Account]:[Line]],3,FALSE))</f>
        <v>#VALUE!</v>
      </c>
      <c r="AG586" s="1063" t="e">
        <f>VLOOKUP(TB_curr[[#This Row],[Synt]],GL[[Account]:[B/P]],4,FALSE)</f>
        <v>#N/A</v>
      </c>
      <c r="AH586" s="1066" t="e">
        <v>#VALUE!</v>
      </c>
      <c r="AI586" s="1065" t="e">
        <f>TB_curr[[#This Row],[Synt]]&amp;TB_curr[[#This Row],[Line No. manual corr.]]</f>
        <v>#VALUE!</v>
      </c>
      <c r="AJ586" s="1064">
        <f t="shared" si="46"/>
        <v>0</v>
      </c>
      <c r="AK586" s="1064">
        <f t="shared" si="47"/>
        <v>0</v>
      </c>
      <c r="AL586" s="1064">
        <f t="shared" si="48"/>
        <v>0</v>
      </c>
      <c r="AM586" s="1064">
        <f t="shared" si="49"/>
        <v>0</v>
      </c>
      <c r="AN586" s="1064"/>
      <c r="AO586" s="1064">
        <f>TB_curr[[#This Row],[Closing balance]]+TB_curr[[#This Row],[Rounding]]</f>
        <v>0</v>
      </c>
    </row>
    <row r="587" spans="30:41" x14ac:dyDescent="0.25">
      <c r="AD587" s="1067" t="str">
        <f t="shared" si="45"/>
        <v/>
      </c>
      <c r="AE587" s="1063" t="str">
        <f>IF(ISNA(VLOOKUP(TB_curr[[#This Row],[Synt]],GL[[#Headers],[#Data],[subtotal label]],1,FALSE)),0,(VLOOKUP(TB_curr[[#This Row],[Synt]],GL[[#Headers],[#Data],[subtotal label]],1,FALSE)))</f>
        <v/>
      </c>
      <c r="AF587" s="1063" t="e">
        <f>IF((TB_curr[[#This Row],[Synt]]-TB_curr[[#This Row],[Subtotal Y/N]])=0,0,VLOOKUP(TB_curr[[#This Row],[Synt]],GL[[Account]:[Line]],3,FALSE))</f>
        <v>#VALUE!</v>
      </c>
      <c r="AG587" s="1063" t="e">
        <f>VLOOKUP(TB_curr[[#This Row],[Synt]],GL[[Account]:[B/P]],4,FALSE)</f>
        <v>#N/A</v>
      </c>
      <c r="AH587" s="1066" t="e">
        <v>#VALUE!</v>
      </c>
      <c r="AI587" s="1065" t="e">
        <f>TB_curr[[#This Row],[Synt]]&amp;TB_curr[[#This Row],[Line No. manual corr.]]</f>
        <v>#VALUE!</v>
      </c>
      <c r="AJ587" s="1064">
        <f t="shared" si="46"/>
        <v>0</v>
      </c>
      <c r="AK587" s="1064">
        <f t="shared" si="47"/>
        <v>0</v>
      </c>
      <c r="AL587" s="1064">
        <f t="shared" si="48"/>
        <v>0</v>
      </c>
      <c r="AM587" s="1064">
        <f t="shared" si="49"/>
        <v>0</v>
      </c>
      <c r="AN587" s="1064"/>
      <c r="AO587" s="1064">
        <f>TB_curr[[#This Row],[Closing balance]]+TB_curr[[#This Row],[Rounding]]</f>
        <v>0</v>
      </c>
    </row>
    <row r="588" spans="30:41" x14ac:dyDescent="0.25">
      <c r="AD588" s="1067" t="str">
        <f t="shared" si="45"/>
        <v/>
      </c>
      <c r="AE588" s="1063" t="str">
        <f>IF(ISNA(VLOOKUP(TB_curr[[#This Row],[Synt]],GL[[#Headers],[#Data],[subtotal label]],1,FALSE)),0,(VLOOKUP(TB_curr[[#This Row],[Synt]],GL[[#Headers],[#Data],[subtotal label]],1,FALSE)))</f>
        <v/>
      </c>
      <c r="AF588" s="1063" t="e">
        <f>IF((TB_curr[[#This Row],[Synt]]-TB_curr[[#This Row],[Subtotal Y/N]])=0,0,VLOOKUP(TB_curr[[#This Row],[Synt]],GL[[Account]:[Line]],3,FALSE))</f>
        <v>#VALUE!</v>
      </c>
      <c r="AG588" s="1063" t="e">
        <f>VLOOKUP(TB_curr[[#This Row],[Synt]],GL[[Account]:[B/P]],4,FALSE)</f>
        <v>#N/A</v>
      </c>
      <c r="AH588" s="1066" t="e">
        <v>#VALUE!</v>
      </c>
      <c r="AI588" s="1065" t="e">
        <f>TB_curr[[#This Row],[Synt]]&amp;TB_curr[[#This Row],[Line No. manual corr.]]</f>
        <v>#VALUE!</v>
      </c>
      <c r="AJ588" s="1064">
        <f t="shared" si="46"/>
        <v>0</v>
      </c>
      <c r="AK588" s="1064">
        <f t="shared" si="47"/>
        <v>0</v>
      </c>
      <c r="AL588" s="1064">
        <f t="shared" si="48"/>
        <v>0</v>
      </c>
      <c r="AM588" s="1064">
        <f t="shared" si="49"/>
        <v>0</v>
      </c>
      <c r="AN588" s="1064"/>
      <c r="AO588" s="1064">
        <f>TB_curr[[#This Row],[Closing balance]]+TB_curr[[#This Row],[Rounding]]</f>
        <v>0</v>
      </c>
    </row>
    <row r="589" spans="30:41" x14ac:dyDescent="0.25">
      <c r="AD589" s="1067" t="str">
        <f t="shared" si="45"/>
        <v/>
      </c>
      <c r="AE589" s="1063" t="str">
        <f>IF(ISNA(VLOOKUP(TB_curr[[#This Row],[Synt]],GL[[#Headers],[#Data],[subtotal label]],1,FALSE)),0,(VLOOKUP(TB_curr[[#This Row],[Synt]],GL[[#Headers],[#Data],[subtotal label]],1,FALSE)))</f>
        <v/>
      </c>
      <c r="AF589" s="1063" t="e">
        <f>IF((TB_curr[[#This Row],[Synt]]-TB_curr[[#This Row],[Subtotal Y/N]])=0,0,VLOOKUP(TB_curr[[#This Row],[Synt]],GL[[Account]:[Line]],3,FALSE))</f>
        <v>#VALUE!</v>
      </c>
      <c r="AG589" s="1063" t="e">
        <f>VLOOKUP(TB_curr[[#This Row],[Synt]],GL[[Account]:[B/P]],4,FALSE)</f>
        <v>#N/A</v>
      </c>
      <c r="AH589" s="1066" t="e">
        <v>#VALUE!</v>
      </c>
      <c r="AI589" s="1065" t="e">
        <f>TB_curr[[#This Row],[Synt]]&amp;TB_curr[[#This Row],[Line No. manual corr.]]</f>
        <v>#VALUE!</v>
      </c>
      <c r="AJ589" s="1064">
        <f t="shared" si="46"/>
        <v>0</v>
      </c>
      <c r="AK589" s="1064">
        <f t="shared" si="47"/>
        <v>0</v>
      </c>
      <c r="AL589" s="1064">
        <f t="shared" si="48"/>
        <v>0</v>
      </c>
      <c r="AM589" s="1064">
        <f t="shared" si="49"/>
        <v>0</v>
      </c>
      <c r="AN589" s="1064"/>
      <c r="AO589" s="1064">
        <f>TB_curr[[#This Row],[Closing balance]]+TB_curr[[#This Row],[Rounding]]</f>
        <v>0</v>
      </c>
    </row>
    <row r="590" spans="30:41" x14ac:dyDescent="0.25">
      <c r="AD590" s="1067" t="str">
        <f t="shared" si="45"/>
        <v/>
      </c>
      <c r="AE590" s="1063" t="str">
        <f>IF(ISNA(VLOOKUP(TB_curr[[#This Row],[Synt]],GL[[#Headers],[#Data],[subtotal label]],1,FALSE)),0,(VLOOKUP(TB_curr[[#This Row],[Synt]],GL[[#Headers],[#Data],[subtotal label]],1,FALSE)))</f>
        <v/>
      </c>
      <c r="AF590" s="1063" t="e">
        <f>IF((TB_curr[[#This Row],[Synt]]-TB_curr[[#This Row],[Subtotal Y/N]])=0,0,VLOOKUP(TB_curr[[#This Row],[Synt]],GL[[Account]:[Line]],3,FALSE))</f>
        <v>#VALUE!</v>
      </c>
      <c r="AG590" s="1063" t="e">
        <f>VLOOKUP(TB_curr[[#This Row],[Synt]],GL[[Account]:[B/P]],4,FALSE)</f>
        <v>#N/A</v>
      </c>
      <c r="AH590" s="1066" t="e">
        <v>#VALUE!</v>
      </c>
      <c r="AI590" s="1065" t="e">
        <f>TB_curr[[#This Row],[Synt]]&amp;TB_curr[[#This Row],[Line No. manual corr.]]</f>
        <v>#VALUE!</v>
      </c>
      <c r="AJ590" s="1064">
        <f t="shared" si="46"/>
        <v>0</v>
      </c>
      <c r="AK590" s="1064">
        <f t="shared" si="47"/>
        <v>0</v>
      </c>
      <c r="AL590" s="1064">
        <f t="shared" si="48"/>
        <v>0</v>
      </c>
      <c r="AM590" s="1064">
        <f t="shared" si="49"/>
        <v>0</v>
      </c>
      <c r="AN590" s="1064"/>
      <c r="AO590" s="1064">
        <f>TB_curr[[#This Row],[Closing balance]]+TB_curr[[#This Row],[Rounding]]</f>
        <v>0</v>
      </c>
    </row>
    <row r="591" spans="30:41" x14ac:dyDescent="0.25">
      <c r="AD591" s="1067" t="str">
        <f t="shared" si="45"/>
        <v/>
      </c>
      <c r="AE591" s="1063" t="str">
        <f>IF(ISNA(VLOOKUP(TB_curr[[#This Row],[Synt]],GL[[#Headers],[#Data],[subtotal label]],1,FALSE)),0,(VLOOKUP(TB_curr[[#This Row],[Synt]],GL[[#Headers],[#Data],[subtotal label]],1,FALSE)))</f>
        <v/>
      </c>
      <c r="AF591" s="1063" t="e">
        <f>IF((TB_curr[[#This Row],[Synt]]-TB_curr[[#This Row],[Subtotal Y/N]])=0,0,VLOOKUP(TB_curr[[#This Row],[Synt]],GL[[Account]:[Line]],3,FALSE))</f>
        <v>#VALUE!</v>
      </c>
      <c r="AG591" s="1063" t="e">
        <f>VLOOKUP(TB_curr[[#This Row],[Synt]],GL[[Account]:[B/P]],4,FALSE)</f>
        <v>#N/A</v>
      </c>
      <c r="AH591" s="1066" t="e">
        <v>#VALUE!</v>
      </c>
      <c r="AI591" s="1065" t="e">
        <f>TB_curr[[#This Row],[Synt]]&amp;TB_curr[[#This Row],[Line No. manual corr.]]</f>
        <v>#VALUE!</v>
      </c>
      <c r="AJ591" s="1064">
        <f t="shared" si="46"/>
        <v>0</v>
      </c>
      <c r="AK591" s="1064">
        <f t="shared" si="47"/>
        <v>0</v>
      </c>
      <c r="AL591" s="1064">
        <f t="shared" si="48"/>
        <v>0</v>
      </c>
      <c r="AM591" s="1064">
        <f t="shared" si="49"/>
        <v>0</v>
      </c>
      <c r="AN591" s="1064"/>
      <c r="AO591" s="1064">
        <f>TB_curr[[#This Row],[Closing balance]]+TB_curr[[#This Row],[Rounding]]</f>
        <v>0</v>
      </c>
    </row>
    <row r="592" spans="30:41" x14ac:dyDescent="0.25">
      <c r="AD592" s="1067" t="str">
        <f t="shared" si="45"/>
        <v/>
      </c>
      <c r="AE592" s="1063" t="str">
        <f>IF(ISNA(VLOOKUP(TB_curr[[#This Row],[Synt]],GL[[#Headers],[#Data],[subtotal label]],1,FALSE)),0,(VLOOKUP(TB_curr[[#This Row],[Synt]],GL[[#Headers],[#Data],[subtotal label]],1,FALSE)))</f>
        <v/>
      </c>
      <c r="AF592" s="1063" t="e">
        <f>IF((TB_curr[[#This Row],[Synt]]-TB_curr[[#This Row],[Subtotal Y/N]])=0,0,VLOOKUP(TB_curr[[#This Row],[Synt]],GL[[Account]:[Line]],3,FALSE))</f>
        <v>#VALUE!</v>
      </c>
      <c r="AG592" s="1063" t="e">
        <f>VLOOKUP(TB_curr[[#This Row],[Synt]],GL[[Account]:[B/P]],4,FALSE)</f>
        <v>#N/A</v>
      </c>
      <c r="AH592" s="1066" t="e">
        <v>#VALUE!</v>
      </c>
      <c r="AI592" s="1065" t="e">
        <f>TB_curr[[#This Row],[Synt]]&amp;TB_curr[[#This Row],[Line No. manual corr.]]</f>
        <v>#VALUE!</v>
      </c>
      <c r="AJ592" s="1064">
        <f t="shared" si="46"/>
        <v>0</v>
      </c>
      <c r="AK592" s="1064">
        <f t="shared" si="47"/>
        <v>0</v>
      </c>
      <c r="AL592" s="1064">
        <f t="shared" si="48"/>
        <v>0</v>
      </c>
      <c r="AM592" s="1064">
        <f t="shared" si="49"/>
        <v>0</v>
      </c>
      <c r="AN592" s="1064"/>
      <c r="AO592" s="1064">
        <f>TB_curr[[#This Row],[Closing balance]]+TB_curr[[#This Row],[Rounding]]</f>
        <v>0</v>
      </c>
    </row>
    <row r="593" spans="30:41" x14ac:dyDescent="0.25">
      <c r="AD593" s="1067" t="str">
        <f t="shared" si="45"/>
        <v/>
      </c>
      <c r="AE593" s="1063" t="str">
        <f>IF(ISNA(VLOOKUP(TB_curr[[#This Row],[Synt]],GL[[#Headers],[#Data],[subtotal label]],1,FALSE)),0,(VLOOKUP(TB_curr[[#This Row],[Synt]],GL[[#Headers],[#Data],[subtotal label]],1,FALSE)))</f>
        <v/>
      </c>
      <c r="AF593" s="1063" t="e">
        <f>IF((TB_curr[[#This Row],[Synt]]-TB_curr[[#This Row],[Subtotal Y/N]])=0,0,VLOOKUP(TB_curr[[#This Row],[Synt]],GL[[Account]:[Line]],3,FALSE))</f>
        <v>#VALUE!</v>
      </c>
      <c r="AG593" s="1063" t="e">
        <f>VLOOKUP(TB_curr[[#This Row],[Synt]],GL[[Account]:[B/P]],4,FALSE)</f>
        <v>#N/A</v>
      </c>
      <c r="AH593" s="1066" t="e">
        <v>#VALUE!</v>
      </c>
      <c r="AI593" s="1065" t="e">
        <f>TB_curr[[#This Row],[Synt]]&amp;TB_curr[[#This Row],[Line No. manual corr.]]</f>
        <v>#VALUE!</v>
      </c>
      <c r="AJ593" s="1064">
        <f t="shared" si="46"/>
        <v>0</v>
      </c>
      <c r="AK593" s="1064">
        <f t="shared" si="47"/>
        <v>0</v>
      </c>
      <c r="AL593" s="1064">
        <f t="shared" si="48"/>
        <v>0</v>
      </c>
      <c r="AM593" s="1064">
        <f t="shared" si="49"/>
        <v>0</v>
      </c>
      <c r="AN593" s="1064"/>
      <c r="AO593" s="1064">
        <f>TB_curr[[#This Row],[Closing balance]]+TB_curr[[#This Row],[Rounding]]</f>
        <v>0</v>
      </c>
    </row>
    <row r="594" spans="30:41" x14ac:dyDescent="0.25">
      <c r="AD594" s="1067" t="str">
        <f t="shared" si="45"/>
        <v/>
      </c>
      <c r="AE594" s="1063" t="str">
        <f>IF(ISNA(VLOOKUP(TB_curr[[#This Row],[Synt]],GL[[#Headers],[#Data],[subtotal label]],1,FALSE)),0,(VLOOKUP(TB_curr[[#This Row],[Synt]],GL[[#Headers],[#Data],[subtotal label]],1,FALSE)))</f>
        <v/>
      </c>
      <c r="AF594" s="1063" t="e">
        <f>IF((TB_curr[[#This Row],[Synt]]-TB_curr[[#This Row],[Subtotal Y/N]])=0,0,VLOOKUP(TB_curr[[#This Row],[Synt]],GL[[Account]:[Line]],3,FALSE))</f>
        <v>#VALUE!</v>
      </c>
      <c r="AG594" s="1063" t="e">
        <f>VLOOKUP(TB_curr[[#This Row],[Synt]],GL[[Account]:[B/P]],4,FALSE)</f>
        <v>#N/A</v>
      </c>
      <c r="AH594" s="1066" t="e">
        <v>#VALUE!</v>
      </c>
      <c r="AI594" s="1065" t="e">
        <f>TB_curr[[#This Row],[Synt]]&amp;TB_curr[[#This Row],[Line No. manual corr.]]</f>
        <v>#VALUE!</v>
      </c>
      <c r="AJ594" s="1064">
        <f t="shared" si="46"/>
        <v>0</v>
      </c>
      <c r="AK594" s="1064">
        <f t="shared" si="47"/>
        <v>0</v>
      </c>
      <c r="AL594" s="1064">
        <f t="shared" si="48"/>
        <v>0</v>
      </c>
      <c r="AM594" s="1064">
        <f t="shared" si="49"/>
        <v>0</v>
      </c>
      <c r="AN594" s="1064"/>
      <c r="AO594" s="1064">
        <f>TB_curr[[#This Row],[Closing balance]]+TB_curr[[#This Row],[Rounding]]</f>
        <v>0</v>
      </c>
    </row>
    <row r="595" spans="30:41" x14ac:dyDescent="0.25">
      <c r="AD595" s="1067" t="str">
        <f t="shared" si="45"/>
        <v/>
      </c>
      <c r="AE595" s="1063" t="str">
        <f>IF(ISNA(VLOOKUP(TB_curr[[#This Row],[Synt]],GL[[#Headers],[#Data],[subtotal label]],1,FALSE)),0,(VLOOKUP(TB_curr[[#This Row],[Synt]],GL[[#Headers],[#Data],[subtotal label]],1,FALSE)))</f>
        <v/>
      </c>
      <c r="AF595" s="1063" t="e">
        <f>IF((TB_curr[[#This Row],[Synt]]-TB_curr[[#This Row],[Subtotal Y/N]])=0,0,VLOOKUP(TB_curr[[#This Row],[Synt]],GL[[Account]:[Line]],3,FALSE))</f>
        <v>#VALUE!</v>
      </c>
      <c r="AG595" s="1063" t="e">
        <f>VLOOKUP(TB_curr[[#This Row],[Synt]],GL[[Account]:[B/P]],4,FALSE)</f>
        <v>#N/A</v>
      </c>
      <c r="AH595" s="1066" t="e">
        <v>#VALUE!</v>
      </c>
      <c r="AI595" s="1065" t="e">
        <f>TB_curr[[#This Row],[Synt]]&amp;TB_curr[[#This Row],[Line No. manual corr.]]</f>
        <v>#VALUE!</v>
      </c>
      <c r="AJ595" s="1064">
        <f t="shared" si="46"/>
        <v>0</v>
      </c>
      <c r="AK595" s="1064">
        <f t="shared" si="47"/>
        <v>0</v>
      </c>
      <c r="AL595" s="1064">
        <f t="shared" si="48"/>
        <v>0</v>
      </c>
      <c r="AM595" s="1064">
        <f t="shared" si="49"/>
        <v>0</v>
      </c>
      <c r="AN595" s="1064"/>
      <c r="AO595" s="1064">
        <f>TB_curr[[#This Row],[Closing balance]]+TB_curr[[#This Row],[Rounding]]</f>
        <v>0</v>
      </c>
    </row>
    <row r="596" spans="30:41" x14ac:dyDescent="0.25">
      <c r="AD596" s="1067" t="str">
        <f t="shared" si="45"/>
        <v/>
      </c>
      <c r="AE596" s="1063" t="str">
        <f>IF(ISNA(VLOOKUP(TB_curr[[#This Row],[Synt]],GL[[#Headers],[#Data],[subtotal label]],1,FALSE)),0,(VLOOKUP(TB_curr[[#This Row],[Synt]],GL[[#Headers],[#Data],[subtotal label]],1,FALSE)))</f>
        <v/>
      </c>
      <c r="AF596" s="1063" t="e">
        <f>IF((TB_curr[[#This Row],[Synt]]-TB_curr[[#This Row],[Subtotal Y/N]])=0,0,VLOOKUP(TB_curr[[#This Row],[Synt]],GL[[Account]:[Line]],3,FALSE))</f>
        <v>#VALUE!</v>
      </c>
      <c r="AG596" s="1063" t="e">
        <f>VLOOKUP(TB_curr[[#This Row],[Synt]],GL[[Account]:[B/P]],4,FALSE)</f>
        <v>#N/A</v>
      </c>
      <c r="AH596" s="1066" t="e">
        <v>#VALUE!</v>
      </c>
      <c r="AI596" s="1065" t="e">
        <f>TB_curr[[#This Row],[Synt]]&amp;TB_curr[[#This Row],[Line No. manual corr.]]</f>
        <v>#VALUE!</v>
      </c>
      <c r="AJ596" s="1064">
        <f t="shared" si="46"/>
        <v>0</v>
      </c>
      <c r="AK596" s="1064">
        <f t="shared" si="47"/>
        <v>0</v>
      </c>
      <c r="AL596" s="1064">
        <f t="shared" si="48"/>
        <v>0</v>
      </c>
      <c r="AM596" s="1064">
        <f t="shared" si="49"/>
        <v>0</v>
      </c>
      <c r="AN596" s="1064"/>
      <c r="AO596" s="1064">
        <f>TB_curr[[#This Row],[Closing balance]]+TB_curr[[#This Row],[Rounding]]</f>
        <v>0</v>
      </c>
    </row>
    <row r="597" spans="30:41" x14ac:dyDescent="0.25">
      <c r="AD597" s="1067" t="str">
        <f t="shared" si="45"/>
        <v/>
      </c>
      <c r="AE597" s="1063" t="str">
        <f>IF(ISNA(VLOOKUP(TB_curr[[#This Row],[Synt]],GL[[#Headers],[#Data],[subtotal label]],1,FALSE)),0,(VLOOKUP(TB_curr[[#This Row],[Synt]],GL[[#Headers],[#Data],[subtotal label]],1,FALSE)))</f>
        <v/>
      </c>
      <c r="AF597" s="1063" t="e">
        <f>IF((TB_curr[[#This Row],[Synt]]-TB_curr[[#This Row],[Subtotal Y/N]])=0,0,VLOOKUP(TB_curr[[#This Row],[Synt]],GL[[Account]:[Line]],3,FALSE))</f>
        <v>#VALUE!</v>
      </c>
      <c r="AG597" s="1063" t="e">
        <f>VLOOKUP(TB_curr[[#This Row],[Synt]],GL[[Account]:[B/P]],4,FALSE)</f>
        <v>#N/A</v>
      </c>
      <c r="AH597" s="1066" t="e">
        <v>#VALUE!</v>
      </c>
      <c r="AI597" s="1065" t="e">
        <f>TB_curr[[#This Row],[Synt]]&amp;TB_curr[[#This Row],[Line No. manual corr.]]</f>
        <v>#VALUE!</v>
      </c>
      <c r="AJ597" s="1064">
        <f t="shared" si="46"/>
        <v>0</v>
      </c>
      <c r="AK597" s="1064">
        <f t="shared" si="47"/>
        <v>0</v>
      </c>
      <c r="AL597" s="1064">
        <f t="shared" si="48"/>
        <v>0</v>
      </c>
      <c r="AM597" s="1064">
        <f t="shared" si="49"/>
        <v>0</v>
      </c>
      <c r="AN597" s="1064"/>
      <c r="AO597" s="1064">
        <f>TB_curr[[#This Row],[Closing balance]]+TB_curr[[#This Row],[Rounding]]</f>
        <v>0</v>
      </c>
    </row>
    <row r="598" spans="30:41" x14ac:dyDescent="0.25">
      <c r="AD598" s="1067" t="str">
        <f t="shared" si="45"/>
        <v/>
      </c>
      <c r="AE598" s="1063" t="str">
        <f>IF(ISNA(VLOOKUP(TB_curr[[#This Row],[Synt]],GL[[#Headers],[#Data],[subtotal label]],1,FALSE)),0,(VLOOKUP(TB_curr[[#This Row],[Synt]],GL[[#Headers],[#Data],[subtotal label]],1,FALSE)))</f>
        <v/>
      </c>
      <c r="AF598" s="1063" t="e">
        <f>IF((TB_curr[[#This Row],[Synt]]-TB_curr[[#This Row],[Subtotal Y/N]])=0,0,VLOOKUP(TB_curr[[#This Row],[Synt]],GL[[Account]:[Line]],3,FALSE))</f>
        <v>#VALUE!</v>
      </c>
      <c r="AG598" s="1063" t="e">
        <f>VLOOKUP(TB_curr[[#This Row],[Synt]],GL[[Account]:[B/P]],4,FALSE)</f>
        <v>#N/A</v>
      </c>
      <c r="AH598" s="1066" t="e">
        <v>#VALUE!</v>
      </c>
      <c r="AI598" s="1065" t="e">
        <f>TB_curr[[#This Row],[Synt]]&amp;TB_curr[[#This Row],[Line No. manual corr.]]</f>
        <v>#VALUE!</v>
      </c>
      <c r="AJ598" s="1064">
        <f t="shared" si="46"/>
        <v>0</v>
      </c>
      <c r="AK598" s="1064">
        <f t="shared" si="47"/>
        <v>0</v>
      </c>
      <c r="AL598" s="1064">
        <f t="shared" si="48"/>
        <v>0</v>
      </c>
      <c r="AM598" s="1064">
        <f t="shared" si="49"/>
        <v>0</v>
      </c>
      <c r="AN598" s="1064"/>
      <c r="AO598" s="1064">
        <f>TB_curr[[#This Row],[Closing balance]]+TB_curr[[#This Row],[Rounding]]</f>
        <v>0</v>
      </c>
    </row>
    <row r="599" spans="30:41" x14ac:dyDescent="0.25">
      <c r="AD599" s="1067" t="str">
        <f t="shared" si="45"/>
        <v/>
      </c>
      <c r="AE599" s="1063" t="str">
        <f>IF(ISNA(VLOOKUP(TB_curr[[#This Row],[Synt]],GL[[#Headers],[#Data],[subtotal label]],1,FALSE)),0,(VLOOKUP(TB_curr[[#This Row],[Synt]],GL[[#Headers],[#Data],[subtotal label]],1,FALSE)))</f>
        <v/>
      </c>
      <c r="AF599" s="1063" t="e">
        <f>IF((TB_curr[[#This Row],[Synt]]-TB_curr[[#This Row],[Subtotal Y/N]])=0,0,VLOOKUP(TB_curr[[#This Row],[Synt]],GL[[Account]:[Line]],3,FALSE))</f>
        <v>#VALUE!</v>
      </c>
      <c r="AG599" s="1063" t="e">
        <f>VLOOKUP(TB_curr[[#This Row],[Synt]],GL[[Account]:[B/P]],4,FALSE)</f>
        <v>#N/A</v>
      </c>
      <c r="AH599" s="1066" t="e">
        <v>#VALUE!</v>
      </c>
      <c r="AI599" s="1065" t="e">
        <f>TB_curr[[#This Row],[Synt]]&amp;TB_curr[[#This Row],[Line No. manual corr.]]</f>
        <v>#VALUE!</v>
      </c>
      <c r="AJ599" s="1064">
        <f t="shared" si="46"/>
        <v>0</v>
      </c>
      <c r="AK599" s="1064">
        <f t="shared" si="47"/>
        <v>0</v>
      </c>
      <c r="AL599" s="1064">
        <f t="shared" si="48"/>
        <v>0</v>
      </c>
      <c r="AM599" s="1064">
        <f t="shared" si="49"/>
        <v>0</v>
      </c>
      <c r="AN599" s="1064"/>
      <c r="AO599" s="1064">
        <f>TB_curr[[#This Row],[Closing balance]]+TB_curr[[#This Row],[Rounding]]</f>
        <v>0</v>
      </c>
    </row>
    <row r="600" spans="30:41" x14ac:dyDescent="0.25">
      <c r="AD600" s="1067" t="str">
        <f t="shared" si="45"/>
        <v/>
      </c>
      <c r="AE600" s="1063" t="str">
        <f>IF(ISNA(VLOOKUP(TB_curr[[#This Row],[Synt]],GL[[#Headers],[#Data],[subtotal label]],1,FALSE)),0,(VLOOKUP(TB_curr[[#This Row],[Synt]],GL[[#Headers],[#Data],[subtotal label]],1,FALSE)))</f>
        <v/>
      </c>
      <c r="AF600" s="1063" t="e">
        <f>IF((TB_curr[[#This Row],[Synt]]-TB_curr[[#This Row],[Subtotal Y/N]])=0,0,VLOOKUP(TB_curr[[#This Row],[Synt]],GL[[Account]:[Line]],3,FALSE))</f>
        <v>#VALUE!</v>
      </c>
      <c r="AG600" s="1063" t="e">
        <f>VLOOKUP(TB_curr[[#This Row],[Synt]],GL[[Account]:[B/P]],4,FALSE)</f>
        <v>#N/A</v>
      </c>
      <c r="AH600" s="1066" t="e">
        <v>#VALUE!</v>
      </c>
      <c r="AI600" s="1065" t="e">
        <f>TB_curr[[#This Row],[Synt]]&amp;TB_curr[[#This Row],[Line No. manual corr.]]</f>
        <v>#VALUE!</v>
      </c>
      <c r="AJ600" s="1064">
        <f t="shared" si="46"/>
        <v>0</v>
      </c>
      <c r="AK600" s="1064">
        <f t="shared" si="47"/>
        <v>0</v>
      </c>
      <c r="AL600" s="1064">
        <f t="shared" si="48"/>
        <v>0</v>
      </c>
      <c r="AM600" s="1064">
        <f t="shared" si="49"/>
        <v>0</v>
      </c>
      <c r="AN600" s="1064"/>
      <c r="AO600" s="1064">
        <f>TB_curr[[#This Row],[Closing balance]]+TB_curr[[#This Row],[Rounding]]</f>
        <v>0</v>
      </c>
    </row>
    <row r="601" spans="30:41" x14ac:dyDescent="0.25">
      <c r="AD601" s="1067" t="str">
        <f t="shared" si="45"/>
        <v/>
      </c>
      <c r="AE601" s="1063" t="str">
        <f>IF(ISNA(VLOOKUP(TB_curr[[#This Row],[Synt]],GL[[#Headers],[#Data],[subtotal label]],1,FALSE)),0,(VLOOKUP(TB_curr[[#This Row],[Synt]],GL[[#Headers],[#Data],[subtotal label]],1,FALSE)))</f>
        <v/>
      </c>
      <c r="AF601" s="1063" t="e">
        <f>IF((TB_curr[[#This Row],[Synt]]-TB_curr[[#This Row],[Subtotal Y/N]])=0,0,VLOOKUP(TB_curr[[#This Row],[Synt]],GL[[Account]:[Line]],3,FALSE))</f>
        <v>#VALUE!</v>
      </c>
      <c r="AG601" s="1063" t="e">
        <f>VLOOKUP(TB_curr[[#This Row],[Synt]],GL[[Account]:[B/P]],4,FALSE)</f>
        <v>#N/A</v>
      </c>
      <c r="AH601" s="1066" t="e">
        <v>#VALUE!</v>
      </c>
      <c r="AI601" s="1065" t="e">
        <f>TB_curr[[#This Row],[Synt]]&amp;TB_curr[[#This Row],[Line No. manual corr.]]</f>
        <v>#VALUE!</v>
      </c>
      <c r="AJ601" s="1064">
        <f t="shared" si="46"/>
        <v>0</v>
      </c>
      <c r="AK601" s="1064">
        <f t="shared" si="47"/>
        <v>0</v>
      </c>
      <c r="AL601" s="1064">
        <f t="shared" si="48"/>
        <v>0</v>
      </c>
      <c r="AM601" s="1064">
        <f t="shared" si="49"/>
        <v>0</v>
      </c>
      <c r="AN601" s="1064"/>
      <c r="AO601" s="1064">
        <f>TB_curr[[#This Row],[Closing balance]]+TB_curr[[#This Row],[Rounding]]</f>
        <v>0</v>
      </c>
    </row>
    <row r="602" spans="30:41" x14ac:dyDescent="0.25">
      <c r="AD602" s="1067" t="str">
        <f t="shared" si="45"/>
        <v/>
      </c>
      <c r="AE602" s="1063" t="str">
        <f>IF(ISNA(VLOOKUP(TB_curr[[#This Row],[Synt]],GL[[#Headers],[#Data],[subtotal label]],1,FALSE)),0,(VLOOKUP(TB_curr[[#This Row],[Synt]],GL[[#Headers],[#Data],[subtotal label]],1,FALSE)))</f>
        <v/>
      </c>
      <c r="AF602" s="1063" t="e">
        <f>IF((TB_curr[[#This Row],[Synt]]-TB_curr[[#This Row],[Subtotal Y/N]])=0,0,VLOOKUP(TB_curr[[#This Row],[Synt]],GL[[Account]:[Line]],3,FALSE))</f>
        <v>#VALUE!</v>
      </c>
      <c r="AG602" s="1063" t="e">
        <f>VLOOKUP(TB_curr[[#This Row],[Synt]],GL[[Account]:[B/P]],4,FALSE)</f>
        <v>#N/A</v>
      </c>
      <c r="AH602" s="1066" t="e">
        <v>#VALUE!</v>
      </c>
      <c r="AI602" s="1065" t="e">
        <f>TB_curr[[#This Row],[Synt]]&amp;TB_curr[[#This Row],[Line No. manual corr.]]</f>
        <v>#VALUE!</v>
      </c>
      <c r="AJ602" s="1064">
        <f t="shared" si="46"/>
        <v>0</v>
      </c>
      <c r="AK602" s="1064">
        <f t="shared" si="47"/>
        <v>0</v>
      </c>
      <c r="AL602" s="1064">
        <f t="shared" si="48"/>
        <v>0</v>
      </c>
      <c r="AM602" s="1064">
        <f t="shared" si="49"/>
        <v>0</v>
      </c>
      <c r="AN602" s="1064"/>
      <c r="AO602" s="1064">
        <f>TB_curr[[#This Row],[Closing balance]]+TB_curr[[#This Row],[Rounding]]</f>
        <v>0</v>
      </c>
    </row>
    <row r="603" spans="30:41" x14ac:dyDescent="0.25">
      <c r="AD603" s="1067" t="str">
        <f t="shared" si="45"/>
        <v/>
      </c>
      <c r="AE603" s="1063" t="str">
        <f>IF(ISNA(VLOOKUP(TB_curr[[#This Row],[Synt]],GL[[#Headers],[#Data],[subtotal label]],1,FALSE)),0,(VLOOKUP(TB_curr[[#This Row],[Synt]],GL[[#Headers],[#Data],[subtotal label]],1,FALSE)))</f>
        <v/>
      </c>
      <c r="AF603" s="1063" t="e">
        <f>IF((TB_curr[[#This Row],[Synt]]-TB_curr[[#This Row],[Subtotal Y/N]])=0,0,VLOOKUP(TB_curr[[#This Row],[Synt]],GL[[Account]:[Line]],3,FALSE))</f>
        <v>#VALUE!</v>
      </c>
      <c r="AG603" s="1063" t="e">
        <f>VLOOKUP(TB_curr[[#This Row],[Synt]],GL[[Account]:[B/P]],4,FALSE)</f>
        <v>#N/A</v>
      </c>
      <c r="AH603" s="1066" t="e">
        <v>#VALUE!</v>
      </c>
      <c r="AI603" s="1065" t="e">
        <f>TB_curr[[#This Row],[Synt]]&amp;TB_curr[[#This Row],[Line No. manual corr.]]</f>
        <v>#VALUE!</v>
      </c>
      <c r="AJ603" s="1064">
        <f t="shared" si="46"/>
        <v>0</v>
      </c>
      <c r="AK603" s="1064">
        <f t="shared" si="47"/>
        <v>0</v>
      </c>
      <c r="AL603" s="1064">
        <f t="shared" si="48"/>
        <v>0</v>
      </c>
      <c r="AM603" s="1064">
        <f t="shared" si="49"/>
        <v>0</v>
      </c>
      <c r="AN603" s="1064"/>
      <c r="AO603" s="1064">
        <f>TB_curr[[#This Row],[Closing balance]]+TB_curr[[#This Row],[Rounding]]</f>
        <v>0</v>
      </c>
    </row>
    <row r="604" spans="30:41" x14ac:dyDescent="0.25">
      <c r="AD604" s="1067" t="str">
        <f t="shared" si="45"/>
        <v/>
      </c>
      <c r="AE604" s="1063" t="str">
        <f>IF(ISNA(VLOOKUP(TB_curr[[#This Row],[Synt]],GL[[#Headers],[#Data],[subtotal label]],1,FALSE)),0,(VLOOKUP(TB_curr[[#This Row],[Synt]],GL[[#Headers],[#Data],[subtotal label]],1,FALSE)))</f>
        <v/>
      </c>
      <c r="AF604" s="1063" t="e">
        <f>IF((TB_curr[[#This Row],[Synt]]-TB_curr[[#This Row],[Subtotal Y/N]])=0,0,VLOOKUP(TB_curr[[#This Row],[Synt]],GL[[Account]:[Line]],3,FALSE))</f>
        <v>#VALUE!</v>
      </c>
      <c r="AG604" s="1063" t="e">
        <f>VLOOKUP(TB_curr[[#This Row],[Synt]],GL[[Account]:[B/P]],4,FALSE)</f>
        <v>#N/A</v>
      </c>
      <c r="AH604" s="1066" t="e">
        <v>#VALUE!</v>
      </c>
      <c r="AI604" s="1065" t="e">
        <f>TB_curr[[#This Row],[Synt]]&amp;TB_curr[[#This Row],[Line No. manual corr.]]</f>
        <v>#VALUE!</v>
      </c>
      <c r="AJ604" s="1064">
        <f t="shared" si="46"/>
        <v>0</v>
      </c>
      <c r="AK604" s="1064">
        <f t="shared" si="47"/>
        <v>0</v>
      </c>
      <c r="AL604" s="1064">
        <f t="shared" si="48"/>
        <v>0</v>
      </c>
      <c r="AM604" s="1064">
        <f t="shared" si="49"/>
        <v>0</v>
      </c>
      <c r="AN604" s="1064"/>
      <c r="AO604" s="1064">
        <f>TB_curr[[#This Row],[Closing balance]]+TB_curr[[#This Row],[Rounding]]</f>
        <v>0</v>
      </c>
    </row>
    <row r="605" spans="30:41" x14ac:dyDescent="0.25">
      <c r="AD605" s="1067" t="str">
        <f t="shared" si="45"/>
        <v/>
      </c>
      <c r="AE605" s="1063" t="str">
        <f>IF(ISNA(VLOOKUP(TB_curr[[#This Row],[Synt]],GL[[#Headers],[#Data],[subtotal label]],1,FALSE)),0,(VLOOKUP(TB_curr[[#This Row],[Synt]],GL[[#Headers],[#Data],[subtotal label]],1,FALSE)))</f>
        <v/>
      </c>
      <c r="AF605" s="1063" t="e">
        <f>IF((TB_curr[[#This Row],[Synt]]-TB_curr[[#This Row],[Subtotal Y/N]])=0,0,VLOOKUP(TB_curr[[#This Row],[Synt]],GL[[Account]:[Line]],3,FALSE))</f>
        <v>#VALUE!</v>
      </c>
      <c r="AG605" s="1063" t="e">
        <f>VLOOKUP(TB_curr[[#This Row],[Synt]],GL[[Account]:[B/P]],4,FALSE)</f>
        <v>#N/A</v>
      </c>
      <c r="AH605" s="1066" t="e">
        <v>#VALUE!</v>
      </c>
      <c r="AI605" s="1065" t="e">
        <f>TB_curr[[#This Row],[Synt]]&amp;TB_curr[[#This Row],[Line No. manual corr.]]</f>
        <v>#VALUE!</v>
      </c>
      <c r="AJ605" s="1064">
        <f t="shared" si="46"/>
        <v>0</v>
      </c>
      <c r="AK605" s="1064">
        <f t="shared" si="47"/>
        <v>0</v>
      </c>
      <c r="AL605" s="1064">
        <f t="shared" si="48"/>
        <v>0</v>
      </c>
      <c r="AM605" s="1064">
        <f t="shared" si="49"/>
        <v>0</v>
      </c>
      <c r="AN605" s="1064"/>
      <c r="AO605" s="1064">
        <f>TB_curr[[#This Row],[Closing balance]]+TB_curr[[#This Row],[Rounding]]</f>
        <v>0</v>
      </c>
    </row>
    <row r="606" spans="30:41" x14ac:dyDescent="0.25">
      <c r="AD606" s="1067" t="str">
        <f t="shared" si="45"/>
        <v/>
      </c>
      <c r="AE606" s="1063" t="str">
        <f>IF(ISNA(VLOOKUP(TB_curr[[#This Row],[Synt]],GL[[#Headers],[#Data],[subtotal label]],1,FALSE)),0,(VLOOKUP(TB_curr[[#This Row],[Synt]],GL[[#Headers],[#Data],[subtotal label]],1,FALSE)))</f>
        <v/>
      </c>
      <c r="AF606" s="1063" t="e">
        <f>IF((TB_curr[[#This Row],[Synt]]-TB_curr[[#This Row],[Subtotal Y/N]])=0,0,VLOOKUP(TB_curr[[#This Row],[Synt]],GL[[Account]:[Line]],3,FALSE))</f>
        <v>#VALUE!</v>
      </c>
      <c r="AG606" s="1063" t="e">
        <f>VLOOKUP(TB_curr[[#This Row],[Synt]],GL[[Account]:[B/P]],4,FALSE)</f>
        <v>#N/A</v>
      </c>
      <c r="AH606" s="1066" t="e">
        <v>#VALUE!</v>
      </c>
      <c r="AI606" s="1065" t="e">
        <f>TB_curr[[#This Row],[Synt]]&amp;TB_curr[[#This Row],[Line No. manual corr.]]</f>
        <v>#VALUE!</v>
      </c>
      <c r="AJ606" s="1064">
        <f t="shared" si="46"/>
        <v>0</v>
      </c>
      <c r="AK606" s="1064">
        <f t="shared" si="47"/>
        <v>0</v>
      </c>
      <c r="AL606" s="1064">
        <f t="shared" si="48"/>
        <v>0</v>
      </c>
      <c r="AM606" s="1064">
        <f t="shared" si="49"/>
        <v>0</v>
      </c>
      <c r="AN606" s="1064"/>
      <c r="AO606" s="1064">
        <f>TB_curr[[#This Row],[Closing balance]]+TB_curr[[#This Row],[Rounding]]</f>
        <v>0</v>
      </c>
    </row>
    <row r="607" spans="30:41" x14ac:dyDescent="0.25">
      <c r="AD607" s="1067" t="str">
        <f t="shared" si="45"/>
        <v/>
      </c>
      <c r="AE607" s="1063" t="str">
        <f>IF(ISNA(VLOOKUP(TB_curr[[#This Row],[Synt]],GL[[#Headers],[#Data],[subtotal label]],1,FALSE)),0,(VLOOKUP(TB_curr[[#This Row],[Synt]],GL[[#Headers],[#Data],[subtotal label]],1,FALSE)))</f>
        <v/>
      </c>
      <c r="AF607" s="1063" t="e">
        <f>IF((TB_curr[[#This Row],[Synt]]-TB_curr[[#This Row],[Subtotal Y/N]])=0,0,VLOOKUP(TB_curr[[#This Row],[Synt]],GL[[Account]:[Line]],3,FALSE))</f>
        <v>#VALUE!</v>
      </c>
      <c r="AG607" s="1063" t="e">
        <f>VLOOKUP(TB_curr[[#This Row],[Synt]],GL[[Account]:[B/P]],4,FALSE)</f>
        <v>#N/A</v>
      </c>
      <c r="AH607" s="1066" t="e">
        <v>#VALUE!</v>
      </c>
      <c r="AI607" s="1065" t="e">
        <f>TB_curr[[#This Row],[Synt]]&amp;TB_curr[[#This Row],[Line No. manual corr.]]</f>
        <v>#VALUE!</v>
      </c>
      <c r="AJ607" s="1064">
        <f t="shared" si="46"/>
        <v>0</v>
      </c>
      <c r="AK607" s="1064">
        <f t="shared" si="47"/>
        <v>0</v>
      </c>
      <c r="AL607" s="1064">
        <f t="shared" si="48"/>
        <v>0</v>
      </c>
      <c r="AM607" s="1064">
        <f t="shared" si="49"/>
        <v>0</v>
      </c>
      <c r="AN607" s="1064"/>
      <c r="AO607" s="1064">
        <f>TB_curr[[#This Row],[Closing balance]]+TB_curr[[#This Row],[Rounding]]</f>
        <v>0</v>
      </c>
    </row>
    <row r="608" spans="30:41" x14ac:dyDescent="0.25">
      <c r="AD608" s="1067" t="str">
        <f t="shared" si="45"/>
        <v/>
      </c>
      <c r="AE608" s="1063" t="str">
        <f>IF(ISNA(VLOOKUP(TB_curr[[#This Row],[Synt]],GL[[#Headers],[#Data],[subtotal label]],1,FALSE)),0,(VLOOKUP(TB_curr[[#This Row],[Synt]],GL[[#Headers],[#Data],[subtotal label]],1,FALSE)))</f>
        <v/>
      </c>
      <c r="AF608" s="1063" t="e">
        <f>IF((TB_curr[[#This Row],[Synt]]-TB_curr[[#This Row],[Subtotal Y/N]])=0,0,VLOOKUP(TB_curr[[#This Row],[Synt]],GL[[Account]:[Line]],3,FALSE))</f>
        <v>#VALUE!</v>
      </c>
      <c r="AG608" s="1063" t="e">
        <f>VLOOKUP(TB_curr[[#This Row],[Synt]],GL[[Account]:[B/P]],4,FALSE)</f>
        <v>#N/A</v>
      </c>
      <c r="AH608" s="1066" t="e">
        <v>#VALUE!</v>
      </c>
      <c r="AI608" s="1065" t="e">
        <f>TB_curr[[#This Row],[Synt]]&amp;TB_curr[[#This Row],[Line No. manual corr.]]</f>
        <v>#VALUE!</v>
      </c>
      <c r="AJ608" s="1064">
        <f t="shared" si="46"/>
        <v>0</v>
      </c>
      <c r="AK608" s="1064">
        <f t="shared" si="47"/>
        <v>0</v>
      </c>
      <c r="AL608" s="1064">
        <f t="shared" si="48"/>
        <v>0</v>
      </c>
      <c r="AM608" s="1064">
        <f t="shared" si="49"/>
        <v>0</v>
      </c>
      <c r="AN608" s="1064"/>
      <c r="AO608" s="1064">
        <f>TB_curr[[#This Row],[Closing balance]]+TB_curr[[#This Row],[Rounding]]</f>
        <v>0</v>
      </c>
    </row>
    <row r="609" spans="30:41" x14ac:dyDescent="0.25">
      <c r="AD609" s="1067" t="str">
        <f t="shared" si="45"/>
        <v/>
      </c>
      <c r="AE609" s="1063" t="str">
        <f>IF(ISNA(VLOOKUP(TB_curr[[#This Row],[Synt]],GL[[#Headers],[#Data],[subtotal label]],1,FALSE)),0,(VLOOKUP(TB_curr[[#This Row],[Synt]],GL[[#Headers],[#Data],[subtotal label]],1,FALSE)))</f>
        <v/>
      </c>
      <c r="AF609" s="1063" t="e">
        <f>IF((TB_curr[[#This Row],[Synt]]-TB_curr[[#This Row],[Subtotal Y/N]])=0,0,VLOOKUP(TB_curr[[#This Row],[Synt]],GL[[Account]:[Line]],3,FALSE))</f>
        <v>#VALUE!</v>
      </c>
      <c r="AG609" s="1063" t="e">
        <f>VLOOKUP(TB_curr[[#This Row],[Synt]],GL[[Account]:[B/P]],4,FALSE)</f>
        <v>#N/A</v>
      </c>
      <c r="AH609" s="1066" t="e">
        <v>#VALUE!</v>
      </c>
      <c r="AI609" s="1065" t="e">
        <f>TB_curr[[#This Row],[Synt]]&amp;TB_curr[[#This Row],[Line No. manual corr.]]</f>
        <v>#VALUE!</v>
      </c>
      <c r="AJ609" s="1064">
        <f t="shared" si="46"/>
        <v>0</v>
      </c>
      <c r="AK609" s="1064">
        <f t="shared" si="47"/>
        <v>0</v>
      </c>
      <c r="AL609" s="1064">
        <f t="shared" si="48"/>
        <v>0</v>
      </c>
      <c r="AM609" s="1064">
        <f t="shared" si="49"/>
        <v>0</v>
      </c>
      <c r="AN609" s="1064"/>
      <c r="AO609" s="1064">
        <f>TB_curr[[#This Row],[Closing balance]]+TB_curr[[#This Row],[Rounding]]</f>
        <v>0</v>
      </c>
    </row>
    <row r="610" spans="30:41" x14ac:dyDescent="0.25">
      <c r="AD610" s="1067" t="str">
        <f t="shared" si="45"/>
        <v/>
      </c>
      <c r="AE610" s="1063" t="str">
        <f>IF(ISNA(VLOOKUP(TB_curr[[#This Row],[Synt]],GL[[#Headers],[#Data],[subtotal label]],1,FALSE)),0,(VLOOKUP(TB_curr[[#This Row],[Synt]],GL[[#Headers],[#Data],[subtotal label]],1,FALSE)))</f>
        <v/>
      </c>
      <c r="AF610" s="1063" t="e">
        <f>IF((TB_curr[[#This Row],[Synt]]-TB_curr[[#This Row],[Subtotal Y/N]])=0,0,VLOOKUP(TB_curr[[#This Row],[Synt]],GL[[Account]:[Line]],3,FALSE))</f>
        <v>#VALUE!</v>
      </c>
      <c r="AG610" s="1063" t="e">
        <f>VLOOKUP(TB_curr[[#This Row],[Synt]],GL[[Account]:[B/P]],4,FALSE)</f>
        <v>#N/A</v>
      </c>
      <c r="AH610" s="1066" t="e">
        <v>#VALUE!</v>
      </c>
      <c r="AI610" s="1065" t="e">
        <f>TB_curr[[#This Row],[Synt]]&amp;TB_curr[[#This Row],[Line No. manual corr.]]</f>
        <v>#VALUE!</v>
      </c>
      <c r="AJ610" s="1064">
        <f t="shared" si="46"/>
        <v>0</v>
      </c>
      <c r="AK610" s="1064">
        <f t="shared" si="47"/>
        <v>0</v>
      </c>
      <c r="AL610" s="1064">
        <f t="shared" si="48"/>
        <v>0</v>
      </c>
      <c r="AM610" s="1064">
        <f t="shared" si="49"/>
        <v>0</v>
      </c>
      <c r="AN610" s="1064"/>
      <c r="AO610" s="1064">
        <f>TB_curr[[#This Row],[Closing balance]]+TB_curr[[#This Row],[Rounding]]</f>
        <v>0</v>
      </c>
    </row>
    <row r="611" spans="30:41" x14ac:dyDescent="0.25">
      <c r="AD611" s="1067" t="str">
        <f t="shared" si="45"/>
        <v/>
      </c>
      <c r="AE611" s="1063" t="str">
        <f>IF(ISNA(VLOOKUP(TB_curr[[#This Row],[Synt]],GL[[#Headers],[#Data],[subtotal label]],1,FALSE)),0,(VLOOKUP(TB_curr[[#This Row],[Synt]],GL[[#Headers],[#Data],[subtotal label]],1,FALSE)))</f>
        <v/>
      </c>
      <c r="AF611" s="1063" t="e">
        <f>IF((TB_curr[[#This Row],[Synt]]-TB_curr[[#This Row],[Subtotal Y/N]])=0,0,VLOOKUP(TB_curr[[#This Row],[Synt]],GL[[Account]:[Line]],3,FALSE))</f>
        <v>#VALUE!</v>
      </c>
      <c r="AG611" s="1063" t="e">
        <f>VLOOKUP(TB_curr[[#This Row],[Synt]],GL[[Account]:[B/P]],4,FALSE)</f>
        <v>#N/A</v>
      </c>
      <c r="AH611" s="1066" t="e">
        <v>#VALUE!</v>
      </c>
      <c r="AI611" s="1065" t="e">
        <f>TB_curr[[#This Row],[Synt]]&amp;TB_curr[[#This Row],[Line No. manual corr.]]</f>
        <v>#VALUE!</v>
      </c>
      <c r="AJ611" s="1064">
        <f t="shared" si="46"/>
        <v>0</v>
      </c>
      <c r="AK611" s="1064">
        <f t="shared" si="47"/>
        <v>0</v>
      </c>
      <c r="AL611" s="1064">
        <f t="shared" si="48"/>
        <v>0</v>
      </c>
      <c r="AM611" s="1064">
        <f t="shared" si="49"/>
        <v>0</v>
      </c>
      <c r="AN611" s="1064"/>
      <c r="AO611" s="1064">
        <f>TB_curr[[#This Row],[Closing balance]]+TB_curr[[#This Row],[Rounding]]</f>
        <v>0</v>
      </c>
    </row>
    <row r="612" spans="30:41" x14ac:dyDescent="0.25">
      <c r="AD612" s="1067" t="str">
        <f t="shared" si="45"/>
        <v/>
      </c>
      <c r="AE612" s="1063" t="str">
        <f>IF(ISNA(VLOOKUP(TB_curr[[#This Row],[Synt]],GL[[#Headers],[#Data],[subtotal label]],1,FALSE)),0,(VLOOKUP(TB_curr[[#This Row],[Synt]],GL[[#Headers],[#Data],[subtotal label]],1,FALSE)))</f>
        <v/>
      </c>
      <c r="AF612" s="1063" t="e">
        <f>IF((TB_curr[[#This Row],[Synt]]-TB_curr[[#This Row],[Subtotal Y/N]])=0,0,VLOOKUP(TB_curr[[#This Row],[Synt]],GL[[Account]:[Line]],3,FALSE))</f>
        <v>#VALUE!</v>
      </c>
      <c r="AG612" s="1063" t="e">
        <f>VLOOKUP(TB_curr[[#This Row],[Synt]],GL[[Account]:[B/P]],4,FALSE)</f>
        <v>#N/A</v>
      </c>
      <c r="AH612" s="1066" t="e">
        <v>#VALUE!</v>
      </c>
      <c r="AI612" s="1065" t="e">
        <f>TB_curr[[#This Row],[Synt]]&amp;TB_curr[[#This Row],[Line No. manual corr.]]</f>
        <v>#VALUE!</v>
      </c>
      <c r="AJ612" s="1064">
        <f t="shared" si="46"/>
        <v>0</v>
      </c>
      <c r="AK612" s="1064">
        <f t="shared" si="47"/>
        <v>0</v>
      </c>
      <c r="AL612" s="1064">
        <f t="shared" si="48"/>
        <v>0</v>
      </c>
      <c r="AM612" s="1064">
        <f t="shared" si="49"/>
        <v>0</v>
      </c>
      <c r="AN612" s="1064"/>
      <c r="AO612" s="1064">
        <f>TB_curr[[#This Row],[Closing balance]]+TB_curr[[#This Row],[Rounding]]</f>
        <v>0</v>
      </c>
    </row>
    <row r="613" spans="30:41" x14ac:dyDescent="0.25">
      <c r="AD613" s="1067" t="str">
        <f t="shared" si="45"/>
        <v/>
      </c>
      <c r="AE613" s="1063" t="str">
        <f>IF(ISNA(VLOOKUP(TB_curr[[#This Row],[Synt]],GL[[#Headers],[#Data],[subtotal label]],1,FALSE)),0,(VLOOKUP(TB_curr[[#This Row],[Synt]],GL[[#Headers],[#Data],[subtotal label]],1,FALSE)))</f>
        <v/>
      </c>
      <c r="AF613" s="1063" t="e">
        <f>IF((TB_curr[[#This Row],[Synt]]-TB_curr[[#This Row],[Subtotal Y/N]])=0,0,VLOOKUP(TB_curr[[#This Row],[Synt]],GL[[Account]:[Line]],3,FALSE))</f>
        <v>#VALUE!</v>
      </c>
      <c r="AG613" s="1063" t="e">
        <f>VLOOKUP(TB_curr[[#This Row],[Synt]],GL[[Account]:[B/P]],4,FALSE)</f>
        <v>#N/A</v>
      </c>
      <c r="AH613" s="1066" t="e">
        <v>#VALUE!</v>
      </c>
      <c r="AI613" s="1065" t="e">
        <f>TB_curr[[#This Row],[Synt]]&amp;TB_curr[[#This Row],[Line No. manual corr.]]</f>
        <v>#VALUE!</v>
      </c>
      <c r="AJ613" s="1064">
        <f t="shared" si="46"/>
        <v>0</v>
      </c>
      <c r="AK613" s="1064">
        <f t="shared" si="47"/>
        <v>0</v>
      </c>
      <c r="AL613" s="1064">
        <f t="shared" si="48"/>
        <v>0</v>
      </c>
      <c r="AM613" s="1064">
        <f t="shared" si="49"/>
        <v>0</v>
      </c>
      <c r="AN613" s="1064"/>
      <c r="AO613" s="1064">
        <f>TB_curr[[#This Row],[Closing balance]]+TB_curr[[#This Row],[Rounding]]</f>
        <v>0</v>
      </c>
    </row>
    <row r="614" spans="30:41" x14ac:dyDescent="0.25">
      <c r="AD614" s="1067" t="str">
        <f t="shared" si="45"/>
        <v/>
      </c>
      <c r="AE614" s="1063" t="str">
        <f>IF(ISNA(VLOOKUP(TB_curr[[#This Row],[Synt]],GL[[#Headers],[#Data],[subtotal label]],1,FALSE)),0,(VLOOKUP(TB_curr[[#This Row],[Synt]],GL[[#Headers],[#Data],[subtotal label]],1,FALSE)))</f>
        <v/>
      </c>
      <c r="AF614" s="1063" t="e">
        <f>IF((TB_curr[[#This Row],[Synt]]-TB_curr[[#This Row],[Subtotal Y/N]])=0,0,VLOOKUP(TB_curr[[#This Row],[Synt]],GL[[Account]:[Line]],3,FALSE))</f>
        <v>#VALUE!</v>
      </c>
      <c r="AG614" s="1063" t="e">
        <f>VLOOKUP(TB_curr[[#This Row],[Synt]],GL[[Account]:[B/P]],4,FALSE)</f>
        <v>#N/A</v>
      </c>
      <c r="AH614" s="1066" t="e">
        <v>#VALUE!</v>
      </c>
      <c r="AI614" s="1065" t="e">
        <f>TB_curr[[#This Row],[Synt]]&amp;TB_curr[[#This Row],[Line No. manual corr.]]</f>
        <v>#VALUE!</v>
      </c>
      <c r="AJ614" s="1064">
        <f t="shared" si="46"/>
        <v>0</v>
      </c>
      <c r="AK614" s="1064">
        <f t="shared" si="47"/>
        <v>0</v>
      </c>
      <c r="AL614" s="1064">
        <f t="shared" si="48"/>
        <v>0</v>
      </c>
      <c r="AM614" s="1064">
        <f t="shared" si="49"/>
        <v>0</v>
      </c>
      <c r="AN614" s="1064"/>
      <c r="AO614" s="1064">
        <f>TB_curr[[#This Row],[Closing balance]]+TB_curr[[#This Row],[Rounding]]</f>
        <v>0</v>
      </c>
    </row>
    <row r="615" spans="30:41" x14ac:dyDescent="0.25">
      <c r="AD615" s="1067" t="str">
        <f t="shared" si="45"/>
        <v/>
      </c>
      <c r="AE615" s="1063" t="str">
        <f>IF(ISNA(VLOOKUP(TB_curr[[#This Row],[Synt]],GL[[#Headers],[#Data],[subtotal label]],1,FALSE)),0,(VLOOKUP(TB_curr[[#This Row],[Synt]],GL[[#Headers],[#Data],[subtotal label]],1,FALSE)))</f>
        <v/>
      </c>
      <c r="AF615" s="1063" t="e">
        <f>IF((TB_curr[[#This Row],[Synt]]-TB_curr[[#This Row],[Subtotal Y/N]])=0,0,VLOOKUP(TB_curr[[#This Row],[Synt]],GL[[Account]:[Line]],3,FALSE))</f>
        <v>#VALUE!</v>
      </c>
      <c r="AG615" s="1063" t="e">
        <f>VLOOKUP(TB_curr[[#This Row],[Synt]],GL[[Account]:[B/P]],4,FALSE)</f>
        <v>#N/A</v>
      </c>
      <c r="AH615" s="1066" t="e">
        <v>#VALUE!</v>
      </c>
      <c r="AI615" s="1065" t="e">
        <f>TB_curr[[#This Row],[Synt]]&amp;TB_curr[[#This Row],[Line No. manual corr.]]</f>
        <v>#VALUE!</v>
      </c>
      <c r="AJ615" s="1064">
        <f t="shared" si="46"/>
        <v>0</v>
      </c>
      <c r="AK615" s="1064">
        <f t="shared" si="47"/>
        <v>0</v>
      </c>
      <c r="AL615" s="1064">
        <f t="shared" si="48"/>
        <v>0</v>
      </c>
      <c r="AM615" s="1064">
        <f t="shared" si="49"/>
        <v>0</v>
      </c>
      <c r="AN615" s="1064"/>
      <c r="AO615" s="1064">
        <f>TB_curr[[#This Row],[Closing balance]]+TB_curr[[#This Row],[Rounding]]</f>
        <v>0</v>
      </c>
    </row>
    <row r="616" spans="30:41" x14ac:dyDescent="0.25">
      <c r="AD616" s="1067" t="str">
        <f t="shared" si="45"/>
        <v/>
      </c>
      <c r="AE616" s="1063" t="str">
        <f>IF(ISNA(VLOOKUP(TB_curr[[#This Row],[Synt]],GL[[#Headers],[#Data],[subtotal label]],1,FALSE)),0,(VLOOKUP(TB_curr[[#This Row],[Synt]],GL[[#Headers],[#Data],[subtotal label]],1,FALSE)))</f>
        <v/>
      </c>
      <c r="AF616" s="1063" t="e">
        <f>IF((TB_curr[[#This Row],[Synt]]-TB_curr[[#This Row],[Subtotal Y/N]])=0,0,VLOOKUP(TB_curr[[#This Row],[Synt]],GL[[Account]:[Line]],3,FALSE))</f>
        <v>#VALUE!</v>
      </c>
      <c r="AG616" s="1063" t="e">
        <f>VLOOKUP(TB_curr[[#This Row],[Synt]],GL[[Account]:[B/P]],4,FALSE)</f>
        <v>#N/A</v>
      </c>
      <c r="AH616" s="1066" t="e">
        <v>#VALUE!</v>
      </c>
      <c r="AI616" s="1065" t="e">
        <f>TB_curr[[#This Row],[Synt]]&amp;TB_curr[[#This Row],[Line No. manual corr.]]</f>
        <v>#VALUE!</v>
      </c>
      <c r="AJ616" s="1064">
        <f t="shared" si="46"/>
        <v>0</v>
      </c>
      <c r="AK616" s="1064">
        <f t="shared" si="47"/>
        <v>0</v>
      </c>
      <c r="AL616" s="1064">
        <f t="shared" si="48"/>
        <v>0</v>
      </c>
      <c r="AM616" s="1064">
        <f t="shared" si="49"/>
        <v>0</v>
      </c>
      <c r="AN616" s="1064"/>
      <c r="AO616" s="1064">
        <f>TB_curr[[#This Row],[Closing balance]]+TB_curr[[#This Row],[Rounding]]</f>
        <v>0</v>
      </c>
    </row>
    <row r="617" spans="30:41" x14ac:dyDescent="0.25">
      <c r="AD617" s="1067" t="str">
        <f t="shared" si="45"/>
        <v/>
      </c>
      <c r="AE617" s="1063" t="str">
        <f>IF(ISNA(VLOOKUP(TB_curr[[#This Row],[Synt]],GL[[#Headers],[#Data],[subtotal label]],1,FALSE)),0,(VLOOKUP(TB_curr[[#This Row],[Synt]],GL[[#Headers],[#Data],[subtotal label]],1,FALSE)))</f>
        <v/>
      </c>
      <c r="AF617" s="1063" t="e">
        <f>IF((TB_curr[[#This Row],[Synt]]-TB_curr[[#This Row],[Subtotal Y/N]])=0,0,VLOOKUP(TB_curr[[#This Row],[Synt]],GL[[Account]:[Line]],3,FALSE))</f>
        <v>#VALUE!</v>
      </c>
      <c r="AG617" s="1063" t="e">
        <f>VLOOKUP(TB_curr[[#This Row],[Synt]],GL[[Account]:[B/P]],4,FALSE)</f>
        <v>#N/A</v>
      </c>
      <c r="AH617" s="1066" t="e">
        <v>#VALUE!</v>
      </c>
      <c r="AI617" s="1065" t="e">
        <f>TB_curr[[#This Row],[Synt]]&amp;TB_curr[[#This Row],[Line No. manual corr.]]</f>
        <v>#VALUE!</v>
      </c>
      <c r="AJ617" s="1064">
        <f t="shared" si="46"/>
        <v>0</v>
      </c>
      <c r="AK617" s="1064">
        <f t="shared" si="47"/>
        <v>0</v>
      </c>
      <c r="AL617" s="1064">
        <f t="shared" si="48"/>
        <v>0</v>
      </c>
      <c r="AM617" s="1064">
        <f t="shared" si="49"/>
        <v>0</v>
      </c>
      <c r="AN617" s="1064"/>
      <c r="AO617" s="1064">
        <f>TB_curr[[#This Row],[Closing balance]]+TB_curr[[#This Row],[Rounding]]</f>
        <v>0</v>
      </c>
    </row>
    <row r="618" spans="30:41" x14ac:dyDescent="0.25">
      <c r="AD618" s="1067" t="str">
        <f t="shared" si="45"/>
        <v/>
      </c>
      <c r="AE618" s="1063" t="str">
        <f>IF(ISNA(VLOOKUP(TB_curr[[#This Row],[Synt]],GL[[#Headers],[#Data],[subtotal label]],1,FALSE)),0,(VLOOKUP(TB_curr[[#This Row],[Synt]],GL[[#Headers],[#Data],[subtotal label]],1,FALSE)))</f>
        <v/>
      </c>
      <c r="AF618" s="1063" t="e">
        <f>IF((TB_curr[[#This Row],[Synt]]-TB_curr[[#This Row],[Subtotal Y/N]])=0,0,VLOOKUP(TB_curr[[#This Row],[Synt]],GL[[Account]:[Line]],3,FALSE))</f>
        <v>#VALUE!</v>
      </c>
      <c r="AG618" s="1063" t="e">
        <f>VLOOKUP(TB_curr[[#This Row],[Synt]],GL[[Account]:[B/P]],4,FALSE)</f>
        <v>#N/A</v>
      </c>
      <c r="AH618" s="1066" t="e">
        <v>#VALUE!</v>
      </c>
      <c r="AI618" s="1065" t="e">
        <f>TB_curr[[#This Row],[Synt]]&amp;TB_curr[[#This Row],[Line No. manual corr.]]</f>
        <v>#VALUE!</v>
      </c>
      <c r="AJ618" s="1064">
        <f t="shared" si="46"/>
        <v>0</v>
      </c>
      <c r="AK618" s="1064">
        <f t="shared" si="47"/>
        <v>0</v>
      </c>
      <c r="AL618" s="1064">
        <f t="shared" si="48"/>
        <v>0</v>
      </c>
      <c r="AM618" s="1064">
        <f t="shared" si="49"/>
        <v>0</v>
      </c>
      <c r="AN618" s="1064"/>
      <c r="AO618" s="1064">
        <f>TB_curr[[#This Row],[Closing balance]]+TB_curr[[#This Row],[Rounding]]</f>
        <v>0</v>
      </c>
    </row>
    <row r="619" spans="30:41" x14ac:dyDescent="0.25">
      <c r="AD619" s="1067" t="str">
        <f t="shared" si="45"/>
        <v/>
      </c>
      <c r="AE619" s="1063" t="str">
        <f>IF(ISNA(VLOOKUP(TB_curr[[#This Row],[Synt]],GL[[#Headers],[#Data],[subtotal label]],1,FALSE)),0,(VLOOKUP(TB_curr[[#This Row],[Synt]],GL[[#Headers],[#Data],[subtotal label]],1,FALSE)))</f>
        <v/>
      </c>
      <c r="AF619" s="1063" t="e">
        <f>IF((TB_curr[[#This Row],[Synt]]-TB_curr[[#This Row],[Subtotal Y/N]])=0,0,VLOOKUP(TB_curr[[#This Row],[Synt]],GL[[Account]:[Line]],3,FALSE))</f>
        <v>#VALUE!</v>
      </c>
      <c r="AG619" s="1063" t="e">
        <f>VLOOKUP(TB_curr[[#This Row],[Synt]],GL[[Account]:[B/P]],4,FALSE)</f>
        <v>#N/A</v>
      </c>
      <c r="AH619" s="1066" t="e">
        <v>#VALUE!</v>
      </c>
      <c r="AI619" s="1065" t="e">
        <f>TB_curr[[#This Row],[Synt]]&amp;TB_curr[[#This Row],[Line No. manual corr.]]</f>
        <v>#VALUE!</v>
      </c>
      <c r="AJ619" s="1064">
        <f t="shared" si="46"/>
        <v>0</v>
      </c>
      <c r="AK619" s="1064">
        <f t="shared" si="47"/>
        <v>0</v>
      </c>
      <c r="AL619" s="1064">
        <f t="shared" si="48"/>
        <v>0</v>
      </c>
      <c r="AM619" s="1064">
        <f t="shared" si="49"/>
        <v>0</v>
      </c>
      <c r="AN619" s="1064"/>
      <c r="AO619" s="1064">
        <f>TB_curr[[#This Row],[Closing balance]]+TB_curr[[#This Row],[Rounding]]</f>
        <v>0</v>
      </c>
    </row>
    <row r="620" spans="30:41" x14ac:dyDescent="0.25">
      <c r="AD620" s="1067" t="str">
        <f t="shared" si="45"/>
        <v/>
      </c>
      <c r="AE620" s="1063" t="str">
        <f>IF(ISNA(VLOOKUP(TB_curr[[#This Row],[Synt]],GL[[#Headers],[#Data],[subtotal label]],1,FALSE)),0,(VLOOKUP(TB_curr[[#This Row],[Synt]],GL[[#Headers],[#Data],[subtotal label]],1,FALSE)))</f>
        <v/>
      </c>
      <c r="AF620" s="1063" t="e">
        <f>IF((TB_curr[[#This Row],[Synt]]-TB_curr[[#This Row],[Subtotal Y/N]])=0,0,VLOOKUP(TB_curr[[#This Row],[Synt]],GL[[Account]:[Line]],3,FALSE))</f>
        <v>#VALUE!</v>
      </c>
      <c r="AG620" s="1063" t="e">
        <f>VLOOKUP(TB_curr[[#This Row],[Synt]],GL[[Account]:[B/P]],4,FALSE)</f>
        <v>#N/A</v>
      </c>
      <c r="AH620" s="1066" t="e">
        <v>#VALUE!</v>
      </c>
      <c r="AI620" s="1065" t="e">
        <f>TB_curr[[#This Row],[Synt]]&amp;TB_curr[[#This Row],[Line No. manual corr.]]</f>
        <v>#VALUE!</v>
      </c>
      <c r="AJ620" s="1064">
        <f t="shared" si="46"/>
        <v>0</v>
      </c>
      <c r="AK620" s="1064">
        <f t="shared" si="47"/>
        <v>0</v>
      </c>
      <c r="AL620" s="1064">
        <f t="shared" si="48"/>
        <v>0</v>
      </c>
      <c r="AM620" s="1064">
        <f t="shared" si="49"/>
        <v>0</v>
      </c>
      <c r="AN620" s="1064"/>
      <c r="AO620" s="1064">
        <f>TB_curr[[#This Row],[Closing balance]]+TB_curr[[#This Row],[Rounding]]</f>
        <v>0</v>
      </c>
    </row>
    <row r="621" spans="30:41" x14ac:dyDescent="0.25">
      <c r="AD621" s="1067" t="str">
        <f t="shared" si="45"/>
        <v/>
      </c>
      <c r="AE621" s="1063" t="str">
        <f>IF(ISNA(VLOOKUP(TB_curr[[#This Row],[Synt]],GL[[#Headers],[#Data],[subtotal label]],1,FALSE)),0,(VLOOKUP(TB_curr[[#This Row],[Synt]],GL[[#Headers],[#Data],[subtotal label]],1,FALSE)))</f>
        <v/>
      </c>
      <c r="AF621" s="1063" t="e">
        <f>IF((TB_curr[[#This Row],[Synt]]-TB_curr[[#This Row],[Subtotal Y/N]])=0,0,VLOOKUP(TB_curr[[#This Row],[Synt]],GL[[Account]:[Line]],3,FALSE))</f>
        <v>#VALUE!</v>
      </c>
      <c r="AG621" s="1063" t="e">
        <f>VLOOKUP(TB_curr[[#This Row],[Synt]],GL[[Account]:[B/P]],4,FALSE)</f>
        <v>#N/A</v>
      </c>
      <c r="AH621" s="1066" t="e">
        <v>#VALUE!</v>
      </c>
      <c r="AI621" s="1065" t="e">
        <f>TB_curr[[#This Row],[Synt]]&amp;TB_curr[[#This Row],[Line No. manual corr.]]</f>
        <v>#VALUE!</v>
      </c>
      <c r="AJ621" s="1064">
        <f t="shared" si="46"/>
        <v>0</v>
      </c>
      <c r="AK621" s="1064">
        <f t="shared" si="47"/>
        <v>0</v>
      </c>
      <c r="AL621" s="1064">
        <f t="shared" si="48"/>
        <v>0</v>
      </c>
      <c r="AM621" s="1064">
        <f t="shared" si="49"/>
        <v>0</v>
      </c>
      <c r="AN621" s="1064"/>
      <c r="AO621" s="1064">
        <f>TB_curr[[#This Row],[Closing balance]]+TB_curr[[#This Row],[Rounding]]</f>
        <v>0</v>
      </c>
    </row>
    <row r="622" spans="30:41" x14ac:dyDescent="0.25">
      <c r="AD622" s="1067" t="str">
        <f t="shared" si="45"/>
        <v/>
      </c>
      <c r="AE622" s="1063" t="str">
        <f>IF(ISNA(VLOOKUP(TB_curr[[#This Row],[Synt]],GL[[#Headers],[#Data],[subtotal label]],1,FALSE)),0,(VLOOKUP(TB_curr[[#This Row],[Synt]],GL[[#Headers],[#Data],[subtotal label]],1,FALSE)))</f>
        <v/>
      </c>
      <c r="AF622" s="1063" t="e">
        <f>IF((TB_curr[[#This Row],[Synt]]-TB_curr[[#This Row],[Subtotal Y/N]])=0,0,VLOOKUP(TB_curr[[#This Row],[Synt]],GL[[Account]:[Line]],3,FALSE))</f>
        <v>#VALUE!</v>
      </c>
      <c r="AG622" s="1063" t="e">
        <f>VLOOKUP(TB_curr[[#This Row],[Synt]],GL[[Account]:[B/P]],4,FALSE)</f>
        <v>#N/A</v>
      </c>
      <c r="AH622" s="1066" t="e">
        <v>#VALUE!</v>
      </c>
      <c r="AI622" s="1065" t="e">
        <f>TB_curr[[#This Row],[Synt]]&amp;TB_curr[[#This Row],[Line No. manual corr.]]</f>
        <v>#VALUE!</v>
      </c>
      <c r="AJ622" s="1064">
        <f t="shared" si="46"/>
        <v>0</v>
      </c>
      <c r="AK622" s="1064">
        <f t="shared" si="47"/>
        <v>0</v>
      </c>
      <c r="AL622" s="1064">
        <f t="shared" si="48"/>
        <v>0</v>
      </c>
      <c r="AM622" s="1064">
        <f t="shared" si="49"/>
        <v>0</v>
      </c>
      <c r="AN622" s="1064"/>
      <c r="AO622" s="1064">
        <f>TB_curr[[#This Row],[Closing balance]]+TB_curr[[#This Row],[Rounding]]</f>
        <v>0</v>
      </c>
    </row>
    <row r="623" spans="30:41" x14ac:dyDescent="0.25">
      <c r="AD623" s="1067" t="str">
        <f t="shared" si="45"/>
        <v/>
      </c>
      <c r="AE623" s="1063" t="str">
        <f>IF(ISNA(VLOOKUP(TB_curr[[#This Row],[Synt]],GL[[#Headers],[#Data],[subtotal label]],1,FALSE)),0,(VLOOKUP(TB_curr[[#This Row],[Synt]],GL[[#Headers],[#Data],[subtotal label]],1,FALSE)))</f>
        <v/>
      </c>
      <c r="AF623" s="1063" t="e">
        <f>IF((TB_curr[[#This Row],[Synt]]-TB_curr[[#This Row],[Subtotal Y/N]])=0,0,VLOOKUP(TB_curr[[#This Row],[Synt]],GL[[Account]:[Line]],3,FALSE))</f>
        <v>#VALUE!</v>
      </c>
      <c r="AG623" s="1063" t="e">
        <f>VLOOKUP(TB_curr[[#This Row],[Synt]],GL[[Account]:[B/P]],4,FALSE)</f>
        <v>#N/A</v>
      </c>
      <c r="AH623" s="1066" t="e">
        <v>#VALUE!</v>
      </c>
      <c r="AI623" s="1065" t="e">
        <f>TB_curr[[#This Row],[Synt]]&amp;TB_curr[[#This Row],[Line No. manual corr.]]</f>
        <v>#VALUE!</v>
      </c>
      <c r="AJ623" s="1064">
        <f t="shared" si="46"/>
        <v>0</v>
      </c>
      <c r="AK623" s="1064">
        <f t="shared" si="47"/>
        <v>0</v>
      </c>
      <c r="AL623" s="1064">
        <f t="shared" si="48"/>
        <v>0</v>
      </c>
      <c r="AM623" s="1064">
        <f t="shared" si="49"/>
        <v>0</v>
      </c>
      <c r="AN623" s="1064"/>
      <c r="AO623" s="1064">
        <f>TB_curr[[#This Row],[Closing balance]]+TB_curr[[#This Row],[Rounding]]</f>
        <v>0</v>
      </c>
    </row>
    <row r="624" spans="30:41" x14ac:dyDescent="0.25">
      <c r="AD624" s="1067" t="str">
        <f t="shared" si="45"/>
        <v/>
      </c>
      <c r="AE624" s="1063" t="str">
        <f>IF(ISNA(VLOOKUP(TB_curr[[#This Row],[Synt]],GL[[#Headers],[#Data],[subtotal label]],1,FALSE)),0,(VLOOKUP(TB_curr[[#This Row],[Synt]],GL[[#Headers],[#Data],[subtotal label]],1,FALSE)))</f>
        <v/>
      </c>
      <c r="AF624" s="1063" t="e">
        <f>IF((TB_curr[[#This Row],[Synt]]-TB_curr[[#This Row],[Subtotal Y/N]])=0,0,VLOOKUP(TB_curr[[#This Row],[Synt]],GL[[Account]:[Line]],3,FALSE))</f>
        <v>#VALUE!</v>
      </c>
      <c r="AG624" s="1063" t="e">
        <f>VLOOKUP(TB_curr[[#This Row],[Synt]],GL[[Account]:[B/P]],4,FALSE)</f>
        <v>#N/A</v>
      </c>
      <c r="AH624" s="1066" t="e">
        <v>#VALUE!</v>
      </c>
      <c r="AI624" s="1065" t="e">
        <f>TB_curr[[#This Row],[Synt]]&amp;TB_curr[[#This Row],[Line No. manual corr.]]</f>
        <v>#VALUE!</v>
      </c>
      <c r="AJ624" s="1064">
        <f t="shared" si="46"/>
        <v>0</v>
      </c>
      <c r="AK624" s="1064">
        <f t="shared" si="47"/>
        <v>0</v>
      </c>
      <c r="AL624" s="1064">
        <f t="shared" si="48"/>
        <v>0</v>
      </c>
      <c r="AM624" s="1064">
        <f t="shared" si="49"/>
        <v>0</v>
      </c>
      <c r="AN624" s="1064"/>
      <c r="AO624" s="1064">
        <f>TB_curr[[#This Row],[Closing balance]]+TB_curr[[#This Row],[Rounding]]</f>
        <v>0</v>
      </c>
    </row>
    <row r="625" spans="30:41" x14ac:dyDescent="0.25">
      <c r="AD625" s="1067" t="str">
        <f t="shared" si="45"/>
        <v/>
      </c>
      <c r="AE625" s="1063" t="str">
        <f>IF(ISNA(VLOOKUP(TB_curr[[#This Row],[Synt]],GL[[#Headers],[#Data],[subtotal label]],1,FALSE)),0,(VLOOKUP(TB_curr[[#This Row],[Synt]],GL[[#Headers],[#Data],[subtotal label]],1,FALSE)))</f>
        <v/>
      </c>
      <c r="AF625" s="1063" t="e">
        <f>IF((TB_curr[[#This Row],[Synt]]-TB_curr[[#This Row],[Subtotal Y/N]])=0,0,VLOOKUP(TB_curr[[#This Row],[Synt]],GL[[Account]:[Line]],3,FALSE))</f>
        <v>#VALUE!</v>
      </c>
      <c r="AG625" s="1063" t="e">
        <f>VLOOKUP(TB_curr[[#This Row],[Synt]],GL[[Account]:[B/P]],4,FALSE)</f>
        <v>#N/A</v>
      </c>
      <c r="AH625" s="1066" t="e">
        <v>#VALUE!</v>
      </c>
      <c r="AI625" s="1065" t="e">
        <f>TB_curr[[#This Row],[Synt]]&amp;TB_curr[[#This Row],[Line No. manual corr.]]</f>
        <v>#VALUE!</v>
      </c>
      <c r="AJ625" s="1064">
        <f t="shared" si="46"/>
        <v>0</v>
      </c>
      <c r="AK625" s="1064">
        <f t="shared" si="47"/>
        <v>0</v>
      </c>
      <c r="AL625" s="1064">
        <f t="shared" si="48"/>
        <v>0</v>
      </c>
      <c r="AM625" s="1064">
        <f t="shared" si="49"/>
        <v>0</v>
      </c>
      <c r="AN625" s="1064"/>
      <c r="AO625" s="1064">
        <f>TB_curr[[#This Row],[Closing balance]]+TB_curr[[#This Row],[Rounding]]</f>
        <v>0</v>
      </c>
    </row>
    <row r="626" spans="30:41" x14ac:dyDescent="0.25">
      <c r="AD626" s="1067" t="str">
        <f t="shared" si="45"/>
        <v/>
      </c>
      <c r="AE626" s="1063" t="str">
        <f>IF(ISNA(VLOOKUP(TB_curr[[#This Row],[Synt]],GL[[#Headers],[#Data],[subtotal label]],1,FALSE)),0,(VLOOKUP(TB_curr[[#This Row],[Synt]],GL[[#Headers],[#Data],[subtotal label]],1,FALSE)))</f>
        <v/>
      </c>
      <c r="AF626" s="1063" t="e">
        <f>IF((TB_curr[[#This Row],[Synt]]-TB_curr[[#This Row],[Subtotal Y/N]])=0,0,VLOOKUP(TB_curr[[#This Row],[Synt]],GL[[Account]:[Line]],3,FALSE))</f>
        <v>#VALUE!</v>
      </c>
      <c r="AG626" s="1063" t="e">
        <f>VLOOKUP(TB_curr[[#This Row],[Synt]],GL[[Account]:[B/P]],4,FALSE)</f>
        <v>#N/A</v>
      </c>
      <c r="AH626" s="1066" t="e">
        <v>#VALUE!</v>
      </c>
      <c r="AI626" s="1065" t="e">
        <f>TB_curr[[#This Row],[Synt]]&amp;TB_curr[[#This Row],[Line No. manual corr.]]</f>
        <v>#VALUE!</v>
      </c>
      <c r="AJ626" s="1064">
        <f t="shared" si="46"/>
        <v>0</v>
      </c>
      <c r="AK626" s="1064">
        <f t="shared" si="47"/>
        <v>0</v>
      </c>
      <c r="AL626" s="1064">
        <f t="shared" si="48"/>
        <v>0</v>
      </c>
      <c r="AM626" s="1064">
        <f t="shared" si="49"/>
        <v>0</v>
      </c>
      <c r="AN626" s="1064"/>
      <c r="AO626" s="1064">
        <f>TB_curr[[#This Row],[Closing balance]]+TB_curr[[#This Row],[Rounding]]</f>
        <v>0</v>
      </c>
    </row>
    <row r="627" spans="30:41" x14ac:dyDescent="0.25">
      <c r="AD627" s="1067" t="str">
        <f t="shared" si="45"/>
        <v/>
      </c>
      <c r="AE627" s="1063" t="str">
        <f>IF(ISNA(VLOOKUP(TB_curr[[#This Row],[Synt]],GL[[#Headers],[#Data],[subtotal label]],1,FALSE)),0,(VLOOKUP(TB_curr[[#This Row],[Synt]],GL[[#Headers],[#Data],[subtotal label]],1,FALSE)))</f>
        <v/>
      </c>
      <c r="AF627" s="1063" t="e">
        <f>IF((TB_curr[[#This Row],[Synt]]-TB_curr[[#This Row],[Subtotal Y/N]])=0,0,VLOOKUP(TB_curr[[#This Row],[Synt]],GL[[Account]:[Line]],3,FALSE))</f>
        <v>#VALUE!</v>
      </c>
      <c r="AG627" s="1063" t="e">
        <f>VLOOKUP(TB_curr[[#This Row],[Synt]],GL[[Account]:[B/P]],4,FALSE)</f>
        <v>#N/A</v>
      </c>
      <c r="AH627" s="1066" t="e">
        <v>#VALUE!</v>
      </c>
      <c r="AI627" s="1065" t="e">
        <f>TB_curr[[#This Row],[Synt]]&amp;TB_curr[[#This Row],[Line No. manual corr.]]</f>
        <v>#VALUE!</v>
      </c>
      <c r="AJ627" s="1064">
        <f t="shared" si="46"/>
        <v>0</v>
      </c>
      <c r="AK627" s="1064">
        <f t="shared" si="47"/>
        <v>0</v>
      </c>
      <c r="AL627" s="1064">
        <f t="shared" si="48"/>
        <v>0</v>
      </c>
      <c r="AM627" s="1064">
        <f t="shared" si="49"/>
        <v>0</v>
      </c>
      <c r="AN627" s="1064"/>
      <c r="AO627" s="1064">
        <f>TB_curr[[#This Row],[Closing balance]]+TB_curr[[#This Row],[Rounding]]</f>
        <v>0</v>
      </c>
    </row>
    <row r="628" spans="30:41" x14ac:dyDescent="0.25">
      <c r="AD628" s="1067" t="str">
        <f t="shared" si="45"/>
        <v/>
      </c>
      <c r="AE628" s="1063" t="str">
        <f>IF(ISNA(VLOOKUP(TB_curr[[#This Row],[Synt]],GL[[#Headers],[#Data],[subtotal label]],1,FALSE)),0,(VLOOKUP(TB_curr[[#This Row],[Synt]],GL[[#Headers],[#Data],[subtotal label]],1,FALSE)))</f>
        <v/>
      </c>
      <c r="AF628" s="1063" t="e">
        <f>IF((TB_curr[[#This Row],[Synt]]-TB_curr[[#This Row],[Subtotal Y/N]])=0,0,VLOOKUP(TB_curr[[#This Row],[Synt]],GL[[Account]:[Line]],3,FALSE))</f>
        <v>#VALUE!</v>
      </c>
      <c r="AG628" s="1063" t="e">
        <f>VLOOKUP(TB_curr[[#This Row],[Synt]],GL[[Account]:[B/P]],4,FALSE)</f>
        <v>#N/A</v>
      </c>
      <c r="AH628" s="1066" t="e">
        <v>#VALUE!</v>
      </c>
      <c r="AI628" s="1065" t="e">
        <f>TB_curr[[#This Row],[Synt]]&amp;TB_curr[[#This Row],[Line No. manual corr.]]</f>
        <v>#VALUE!</v>
      </c>
      <c r="AJ628" s="1064">
        <f t="shared" si="46"/>
        <v>0</v>
      </c>
      <c r="AK628" s="1064">
        <f t="shared" si="47"/>
        <v>0</v>
      </c>
      <c r="AL628" s="1064">
        <f t="shared" si="48"/>
        <v>0</v>
      </c>
      <c r="AM628" s="1064">
        <f t="shared" si="49"/>
        <v>0</v>
      </c>
      <c r="AN628" s="1064"/>
      <c r="AO628" s="1064">
        <f>TB_curr[[#This Row],[Closing balance]]+TB_curr[[#This Row],[Rounding]]</f>
        <v>0</v>
      </c>
    </row>
    <row r="629" spans="30:41" x14ac:dyDescent="0.25">
      <c r="AD629" s="1067" t="str">
        <f t="shared" si="45"/>
        <v/>
      </c>
      <c r="AE629" s="1063" t="str">
        <f>IF(ISNA(VLOOKUP(TB_curr[[#This Row],[Synt]],GL[[#Headers],[#Data],[subtotal label]],1,FALSE)),0,(VLOOKUP(TB_curr[[#This Row],[Synt]],GL[[#Headers],[#Data],[subtotal label]],1,FALSE)))</f>
        <v/>
      </c>
      <c r="AF629" s="1063" t="e">
        <f>IF((TB_curr[[#This Row],[Synt]]-TB_curr[[#This Row],[Subtotal Y/N]])=0,0,VLOOKUP(TB_curr[[#This Row],[Synt]],GL[[Account]:[Line]],3,FALSE))</f>
        <v>#VALUE!</v>
      </c>
      <c r="AG629" s="1063" t="e">
        <f>VLOOKUP(TB_curr[[#This Row],[Synt]],GL[[Account]:[B/P]],4,FALSE)</f>
        <v>#N/A</v>
      </c>
      <c r="AH629" s="1066" t="e">
        <v>#VALUE!</v>
      </c>
      <c r="AI629" s="1065" t="e">
        <f>TB_curr[[#This Row],[Synt]]&amp;TB_curr[[#This Row],[Line No. manual corr.]]</f>
        <v>#VALUE!</v>
      </c>
      <c r="AJ629" s="1064">
        <f t="shared" si="46"/>
        <v>0</v>
      </c>
      <c r="AK629" s="1064">
        <f t="shared" si="47"/>
        <v>0</v>
      </c>
      <c r="AL629" s="1064">
        <f t="shared" si="48"/>
        <v>0</v>
      </c>
      <c r="AM629" s="1064">
        <f t="shared" si="49"/>
        <v>0</v>
      </c>
      <c r="AN629" s="1064"/>
      <c r="AO629" s="1064">
        <f>TB_curr[[#This Row],[Closing balance]]+TB_curr[[#This Row],[Rounding]]</f>
        <v>0</v>
      </c>
    </row>
    <row r="630" spans="30:41" x14ac:dyDescent="0.25">
      <c r="AD630" s="1067" t="str">
        <f t="shared" si="45"/>
        <v/>
      </c>
      <c r="AE630" s="1063" t="str">
        <f>IF(ISNA(VLOOKUP(TB_curr[[#This Row],[Synt]],GL[[#Headers],[#Data],[subtotal label]],1,FALSE)),0,(VLOOKUP(TB_curr[[#This Row],[Synt]],GL[[#Headers],[#Data],[subtotal label]],1,FALSE)))</f>
        <v/>
      </c>
      <c r="AF630" s="1063" t="e">
        <f>IF((TB_curr[[#This Row],[Synt]]-TB_curr[[#This Row],[Subtotal Y/N]])=0,0,VLOOKUP(TB_curr[[#This Row],[Synt]],GL[[Account]:[Line]],3,FALSE))</f>
        <v>#VALUE!</v>
      </c>
      <c r="AG630" s="1063" t="e">
        <f>VLOOKUP(TB_curr[[#This Row],[Synt]],GL[[Account]:[B/P]],4,FALSE)</f>
        <v>#N/A</v>
      </c>
      <c r="AH630" s="1066" t="e">
        <v>#VALUE!</v>
      </c>
      <c r="AI630" s="1065" t="e">
        <f>TB_curr[[#This Row],[Synt]]&amp;TB_curr[[#This Row],[Line No. manual corr.]]</f>
        <v>#VALUE!</v>
      </c>
      <c r="AJ630" s="1064">
        <f t="shared" si="46"/>
        <v>0</v>
      </c>
      <c r="AK630" s="1064">
        <f t="shared" si="47"/>
        <v>0</v>
      </c>
      <c r="AL630" s="1064">
        <f t="shared" si="48"/>
        <v>0</v>
      </c>
      <c r="AM630" s="1064">
        <f t="shared" si="49"/>
        <v>0</v>
      </c>
      <c r="AN630" s="1064"/>
      <c r="AO630" s="1064">
        <f>TB_curr[[#This Row],[Closing balance]]+TB_curr[[#This Row],[Rounding]]</f>
        <v>0</v>
      </c>
    </row>
    <row r="631" spans="30:41" x14ac:dyDescent="0.25">
      <c r="AD631" s="1067" t="str">
        <f t="shared" si="45"/>
        <v/>
      </c>
      <c r="AE631" s="1063" t="str">
        <f>IF(ISNA(VLOOKUP(TB_curr[[#This Row],[Synt]],GL[[#Headers],[#Data],[subtotal label]],1,FALSE)),0,(VLOOKUP(TB_curr[[#This Row],[Synt]],GL[[#Headers],[#Data],[subtotal label]],1,FALSE)))</f>
        <v/>
      </c>
      <c r="AF631" s="1063" t="e">
        <f>IF((TB_curr[[#This Row],[Synt]]-TB_curr[[#This Row],[Subtotal Y/N]])=0,0,VLOOKUP(TB_curr[[#This Row],[Synt]],GL[[Account]:[Line]],3,FALSE))</f>
        <v>#VALUE!</v>
      </c>
      <c r="AG631" s="1063" t="e">
        <f>VLOOKUP(TB_curr[[#This Row],[Synt]],GL[[Account]:[B/P]],4,FALSE)</f>
        <v>#N/A</v>
      </c>
      <c r="AH631" s="1066" t="e">
        <v>#VALUE!</v>
      </c>
      <c r="AI631" s="1065" t="e">
        <f>TB_curr[[#This Row],[Synt]]&amp;TB_curr[[#This Row],[Line No. manual corr.]]</f>
        <v>#VALUE!</v>
      </c>
      <c r="AJ631" s="1064">
        <f t="shared" si="46"/>
        <v>0</v>
      </c>
      <c r="AK631" s="1064">
        <f t="shared" si="47"/>
        <v>0</v>
      </c>
      <c r="AL631" s="1064">
        <f t="shared" si="48"/>
        <v>0</v>
      </c>
      <c r="AM631" s="1064">
        <f t="shared" si="49"/>
        <v>0</v>
      </c>
      <c r="AN631" s="1064"/>
      <c r="AO631" s="1064">
        <f>TB_curr[[#This Row],[Closing balance]]+TB_curr[[#This Row],[Rounding]]</f>
        <v>0</v>
      </c>
    </row>
    <row r="632" spans="30:41" x14ac:dyDescent="0.25">
      <c r="AD632" s="1067" t="str">
        <f t="shared" si="45"/>
        <v/>
      </c>
      <c r="AE632" s="1063" t="str">
        <f>IF(ISNA(VLOOKUP(TB_curr[[#This Row],[Synt]],GL[[#Headers],[#Data],[subtotal label]],1,FALSE)),0,(VLOOKUP(TB_curr[[#This Row],[Synt]],GL[[#Headers],[#Data],[subtotal label]],1,FALSE)))</f>
        <v/>
      </c>
      <c r="AF632" s="1063" t="e">
        <f>IF((TB_curr[[#This Row],[Synt]]-TB_curr[[#This Row],[Subtotal Y/N]])=0,0,VLOOKUP(TB_curr[[#This Row],[Synt]],GL[[Account]:[Line]],3,FALSE))</f>
        <v>#VALUE!</v>
      </c>
      <c r="AG632" s="1063" t="e">
        <f>VLOOKUP(TB_curr[[#This Row],[Synt]],GL[[Account]:[B/P]],4,FALSE)</f>
        <v>#N/A</v>
      </c>
      <c r="AH632" s="1066" t="e">
        <v>#VALUE!</v>
      </c>
      <c r="AI632" s="1065" t="e">
        <f>TB_curr[[#This Row],[Synt]]&amp;TB_curr[[#This Row],[Line No. manual corr.]]</f>
        <v>#VALUE!</v>
      </c>
      <c r="AJ632" s="1064">
        <f t="shared" si="46"/>
        <v>0</v>
      </c>
      <c r="AK632" s="1064">
        <f t="shared" si="47"/>
        <v>0</v>
      </c>
      <c r="AL632" s="1064">
        <f t="shared" si="48"/>
        <v>0</v>
      </c>
      <c r="AM632" s="1064">
        <f t="shared" si="49"/>
        <v>0</v>
      </c>
      <c r="AN632" s="1064"/>
      <c r="AO632" s="1064">
        <f>TB_curr[[#This Row],[Closing balance]]+TB_curr[[#This Row],[Rounding]]</f>
        <v>0</v>
      </c>
    </row>
    <row r="633" spans="30:41" x14ac:dyDescent="0.25">
      <c r="AD633" s="1067" t="str">
        <f t="shared" si="45"/>
        <v/>
      </c>
      <c r="AE633" s="1063" t="str">
        <f>IF(ISNA(VLOOKUP(TB_curr[[#This Row],[Synt]],GL[[#Headers],[#Data],[subtotal label]],1,FALSE)),0,(VLOOKUP(TB_curr[[#This Row],[Synt]],GL[[#Headers],[#Data],[subtotal label]],1,FALSE)))</f>
        <v/>
      </c>
      <c r="AF633" s="1063" t="e">
        <f>IF((TB_curr[[#This Row],[Synt]]-TB_curr[[#This Row],[Subtotal Y/N]])=0,0,VLOOKUP(TB_curr[[#This Row],[Synt]],GL[[Account]:[Line]],3,FALSE))</f>
        <v>#VALUE!</v>
      </c>
      <c r="AG633" s="1063" t="e">
        <f>VLOOKUP(TB_curr[[#This Row],[Synt]],GL[[Account]:[B/P]],4,FALSE)</f>
        <v>#N/A</v>
      </c>
      <c r="AH633" s="1066" t="e">
        <v>#VALUE!</v>
      </c>
      <c r="AI633" s="1065" t="e">
        <f>TB_curr[[#This Row],[Synt]]&amp;TB_curr[[#This Row],[Line No. manual corr.]]</f>
        <v>#VALUE!</v>
      </c>
      <c r="AJ633" s="1064">
        <f t="shared" si="46"/>
        <v>0</v>
      </c>
      <c r="AK633" s="1064">
        <f t="shared" si="47"/>
        <v>0</v>
      </c>
      <c r="AL633" s="1064">
        <f t="shared" si="48"/>
        <v>0</v>
      </c>
      <c r="AM633" s="1064">
        <f t="shared" si="49"/>
        <v>0</v>
      </c>
      <c r="AN633" s="1064"/>
      <c r="AO633" s="1064">
        <f>TB_curr[[#This Row],[Closing balance]]+TB_curr[[#This Row],[Rounding]]</f>
        <v>0</v>
      </c>
    </row>
    <row r="634" spans="30:41" x14ac:dyDescent="0.25">
      <c r="AD634" s="1067" t="str">
        <f t="shared" si="45"/>
        <v/>
      </c>
      <c r="AE634" s="1063" t="str">
        <f>IF(ISNA(VLOOKUP(TB_curr[[#This Row],[Synt]],GL[[#Headers],[#Data],[subtotal label]],1,FALSE)),0,(VLOOKUP(TB_curr[[#This Row],[Synt]],GL[[#Headers],[#Data],[subtotal label]],1,FALSE)))</f>
        <v/>
      </c>
      <c r="AF634" s="1063" t="e">
        <f>IF((TB_curr[[#This Row],[Synt]]-TB_curr[[#This Row],[Subtotal Y/N]])=0,0,VLOOKUP(TB_curr[[#This Row],[Synt]],GL[[Account]:[Line]],3,FALSE))</f>
        <v>#VALUE!</v>
      </c>
      <c r="AG634" s="1063" t="e">
        <f>VLOOKUP(TB_curr[[#This Row],[Synt]],GL[[Account]:[B/P]],4,FALSE)</f>
        <v>#N/A</v>
      </c>
      <c r="AH634" s="1066" t="e">
        <v>#VALUE!</v>
      </c>
      <c r="AI634" s="1065" t="e">
        <f>TB_curr[[#This Row],[Synt]]&amp;TB_curr[[#This Row],[Line No. manual corr.]]</f>
        <v>#VALUE!</v>
      </c>
      <c r="AJ634" s="1064">
        <f t="shared" si="46"/>
        <v>0</v>
      </c>
      <c r="AK634" s="1064">
        <f t="shared" si="47"/>
        <v>0</v>
      </c>
      <c r="AL634" s="1064">
        <f t="shared" si="48"/>
        <v>0</v>
      </c>
      <c r="AM634" s="1064">
        <f t="shared" si="49"/>
        <v>0</v>
      </c>
      <c r="AN634" s="1064"/>
      <c r="AO634" s="1064">
        <f>TB_curr[[#This Row],[Closing balance]]+TB_curr[[#This Row],[Rounding]]</f>
        <v>0</v>
      </c>
    </row>
    <row r="635" spans="30:41" x14ac:dyDescent="0.25">
      <c r="AD635" s="1067" t="str">
        <f t="shared" si="45"/>
        <v/>
      </c>
      <c r="AE635" s="1063" t="str">
        <f>IF(ISNA(VLOOKUP(TB_curr[[#This Row],[Synt]],GL[[#Headers],[#Data],[subtotal label]],1,FALSE)),0,(VLOOKUP(TB_curr[[#This Row],[Synt]],GL[[#Headers],[#Data],[subtotal label]],1,FALSE)))</f>
        <v/>
      </c>
      <c r="AF635" s="1063" t="e">
        <f>IF((TB_curr[[#This Row],[Synt]]-TB_curr[[#This Row],[Subtotal Y/N]])=0,0,VLOOKUP(TB_curr[[#This Row],[Synt]],GL[[Account]:[Line]],3,FALSE))</f>
        <v>#VALUE!</v>
      </c>
      <c r="AG635" s="1063" t="e">
        <f>VLOOKUP(TB_curr[[#This Row],[Synt]],GL[[Account]:[B/P]],4,FALSE)</f>
        <v>#N/A</v>
      </c>
      <c r="AH635" s="1066" t="e">
        <v>#VALUE!</v>
      </c>
      <c r="AI635" s="1065" t="e">
        <f>TB_curr[[#This Row],[Synt]]&amp;TB_curr[[#This Row],[Line No. manual corr.]]</f>
        <v>#VALUE!</v>
      </c>
      <c r="AJ635" s="1064">
        <f t="shared" si="46"/>
        <v>0</v>
      </c>
      <c r="AK635" s="1064">
        <f t="shared" si="47"/>
        <v>0</v>
      </c>
      <c r="AL635" s="1064">
        <f t="shared" si="48"/>
        <v>0</v>
      </c>
      <c r="AM635" s="1064">
        <f t="shared" si="49"/>
        <v>0</v>
      </c>
      <c r="AN635" s="1064"/>
      <c r="AO635" s="1064">
        <f>TB_curr[[#This Row],[Closing balance]]+TB_curr[[#This Row],[Rounding]]</f>
        <v>0</v>
      </c>
    </row>
    <row r="636" spans="30:41" x14ac:dyDescent="0.25">
      <c r="AD636" s="1067" t="str">
        <f t="shared" si="45"/>
        <v/>
      </c>
      <c r="AE636" s="1063" t="str">
        <f>IF(ISNA(VLOOKUP(TB_curr[[#This Row],[Synt]],GL[[#Headers],[#Data],[subtotal label]],1,FALSE)),0,(VLOOKUP(TB_curr[[#This Row],[Synt]],GL[[#Headers],[#Data],[subtotal label]],1,FALSE)))</f>
        <v/>
      </c>
      <c r="AF636" s="1063" t="e">
        <f>IF((TB_curr[[#This Row],[Synt]]-TB_curr[[#This Row],[Subtotal Y/N]])=0,0,VLOOKUP(TB_curr[[#This Row],[Synt]],GL[[Account]:[Line]],3,FALSE))</f>
        <v>#VALUE!</v>
      </c>
      <c r="AG636" s="1063" t="e">
        <f>VLOOKUP(TB_curr[[#This Row],[Synt]],GL[[Account]:[B/P]],4,FALSE)</f>
        <v>#N/A</v>
      </c>
      <c r="AH636" s="1066" t="e">
        <v>#VALUE!</v>
      </c>
      <c r="AI636" s="1065" t="e">
        <f>TB_curr[[#This Row],[Synt]]&amp;TB_curr[[#This Row],[Line No. manual corr.]]</f>
        <v>#VALUE!</v>
      </c>
      <c r="AJ636" s="1064">
        <f t="shared" si="46"/>
        <v>0</v>
      </c>
      <c r="AK636" s="1064">
        <f t="shared" si="47"/>
        <v>0</v>
      </c>
      <c r="AL636" s="1064">
        <f t="shared" si="48"/>
        <v>0</v>
      </c>
      <c r="AM636" s="1064">
        <f t="shared" si="49"/>
        <v>0</v>
      </c>
      <c r="AN636" s="1064"/>
      <c r="AO636" s="1064">
        <f>TB_curr[[#This Row],[Closing balance]]+TB_curr[[#This Row],[Rounding]]</f>
        <v>0</v>
      </c>
    </row>
    <row r="637" spans="30:41" x14ac:dyDescent="0.25">
      <c r="AD637" s="1067" t="str">
        <f t="shared" si="45"/>
        <v/>
      </c>
      <c r="AE637" s="1063" t="str">
        <f>IF(ISNA(VLOOKUP(TB_curr[[#This Row],[Synt]],GL[[#Headers],[#Data],[subtotal label]],1,FALSE)),0,(VLOOKUP(TB_curr[[#This Row],[Synt]],GL[[#Headers],[#Data],[subtotal label]],1,FALSE)))</f>
        <v/>
      </c>
      <c r="AF637" s="1063" t="e">
        <f>IF((TB_curr[[#This Row],[Synt]]-TB_curr[[#This Row],[Subtotal Y/N]])=0,0,VLOOKUP(TB_curr[[#This Row],[Synt]],GL[[Account]:[Line]],3,FALSE))</f>
        <v>#VALUE!</v>
      </c>
      <c r="AG637" s="1063" t="e">
        <f>VLOOKUP(TB_curr[[#This Row],[Synt]],GL[[Account]:[B/P]],4,FALSE)</f>
        <v>#N/A</v>
      </c>
      <c r="AH637" s="1066" t="e">
        <v>#VALUE!</v>
      </c>
      <c r="AI637" s="1065" t="e">
        <f>TB_curr[[#This Row],[Synt]]&amp;TB_curr[[#This Row],[Line No. manual corr.]]</f>
        <v>#VALUE!</v>
      </c>
      <c r="AJ637" s="1064">
        <f t="shared" si="46"/>
        <v>0</v>
      </c>
      <c r="AK637" s="1064">
        <f t="shared" si="47"/>
        <v>0</v>
      </c>
      <c r="AL637" s="1064">
        <f t="shared" si="48"/>
        <v>0</v>
      </c>
      <c r="AM637" s="1064">
        <f t="shared" si="49"/>
        <v>0</v>
      </c>
      <c r="AN637" s="1064"/>
      <c r="AO637" s="1064">
        <f>TB_curr[[#This Row],[Closing balance]]+TB_curr[[#This Row],[Rounding]]</f>
        <v>0</v>
      </c>
    </row>
    <row r="638" spans="30:41" x14ac:dyDescent="0.25">
      <c r="AD638" s="1067" t="str">
        <f t="shared" si="45"/>
        <v/>
      </c>
      <c r="AE638" s="1063" t="str">
        <f>IF(ISNA(VLOOKUP(TB_curr[[#This Row],[Synt]],GL[[#Headers],[#Data],[subtotal label]],1,FALSE)),0,(VLOOKUP(TB_curr[[#This Row],[Synt]],GL[[#Headers],[#Data],[subtotal label]],1,FALSE)))</f>
        <v/>
      </c>
      <c r="AF638" s="1063" t="e">
        <f>IF((TB_curr[[#This Row],[Synt]]-TB_curr[[#This Row],[Subtotal Y/N]])=0,0,VLOOKUP(TB_curr[[#This Row],[Synt]],GL[[Account]:[Line]],3,FALSE))</f>
        <v>#VALUE!</v>
      </c>
      <c r="AG638" s="1063" t="e">
        <f>VLOOKUP(TB_curr[[#This Row],[Synt]],GL[[Account]:[B/P]],4,FALSE)</f>
        <v>#N/A</v>
      </c>
      <c r="AH638" s="1066" t="e">
        <v>#VALUE!</v>
      </c>
      <c r="AI638" s="1065" t="e">
        <f>TB_curr[[#This Row],[Synt]]&amp;TB_curr[[#This Row],[Line No. manual corr.]]</f>
        <v>#VALUE!</v>
      </c>
      <c r="AJ638" s="1064">
        <f t="shared" si="46"/>
        <v>0</v>
      </c>
      <c r="AK638" s="1064">
        <f t="shared" si="47"/>
        <v>0</v>
      </c>
      <c r="AL638" s="1064">
        <f t="shared" si="48"/>
        <v>0</v>
      </c>
      <c r="AM638" s="1064">
        <f t="shared" si="49"/>
        <v>0</v>
      </c>
      <c r="AN638" s="1064"/>
      <c r="AO638" s="1064">
        <f>TB_curr[[#This Row],[Closing balance]]+TB_curr[[#This Row],[Rounding]]</f>
        <v>0</v>
      </c>
    </row>
    <row r="639" spans="30:41" x14ac:dyDescent="0.25">
      <c r="AD639" s="1067" t="str">
        <f t="shared" si="45"/>
        <v/>
      </c>
      <c r="AE639" s="1063" t="str">
        <f>IF(ISNA(VLOOKUP(TB_curr[[#This Row],[Synt]],GL[[#Headers],[#Data],[subtotal label]],1,FALSE)),0,(VLOOKUP(TB_curr[[#This Row],[Synt]],GL[[#Headers],[#Data],[subtotal label]],1,FALSE)))</f>
        <v/>
      </c>
      <c r="AF639" s="1063" t="e">
        <f>IF((TB_curr[[#This Row],[Synt]]-TB_curr[[#This Row],[Subtotal Y/N]])=0,0,VLOOKUP(TB_curr[[#This Row],[Synt]],GL[[Account]:[Line]],3,FALSE))</f>
        <v>#VALUE!</v>
      </c>
      <c r="AG639" s="1063" t="e">
        <f>VLOOKUP(TB_curr[[#This Row],[Synt]],GL[[Account]:[B/P]],4,FALSE)</f>
        <v>#N/A</v>
      </c>
      <c r="AH639" s="1066" t="e">
        <v>#VALUE!</v>
      </c>
      <c r="AI639" s="1065" t="e">
        <f>TB_curr[[#This Row],[Synt]]&amp;TB_curr[[#This Row],[Line No. manual corr.]]</f>
        <v>#VALUE!</v>
      </c>
      <c r="AJ639" s="1064">
        <f t="shared" si="46"/>
        <v>0</v>
      </c>
      <c r="AK639" s="1064">
        <f t="shared" si="47"/>
        <v>0</v>
      </c>
      <c r="AL639" s="1064">
        <f t="shared" si="48"/>
        <v>0</v>
      </c>
      <c r="AM639" s="1064">
        <f t="shared" si="49"/>
        <v>0</v>
      </c>
      <c r="AN639" s="1064"/>
      <c r="AO639" s="1064">
        <f>TB_curr[[#This Row],[Closing balance]]+TB_curr[[#This Row],[Rounding]]</f>
        <v>0</v>
      </c>
    </row>
    <row r="640" spans="30:41" x14ac:dyDescent="0.25">
      <c r="AD640" s="1067" t="str">
        <f t="shared" si="45"/>
        <v/>
      </c>
      <c r="AE640" s="1063" t="str">
        <f>IF(ISNA(VLOOKUP(TB_curr[[#This Row],[Synt]],GL[[#Headers],[#Data],[subtotal label]],1,FALSE)),0,(VLOOKUP(TB_curr[[#This Row],[Synt]],GL[[#Headers],[#Data],[subtotal label]],1,FALSE)))</f>
        <v/>
      </c>
      <c r="AF640" s="1063" t="e">
        <f>IF((TB_curr[[#This Row],[Synt]]-TB_curr[[#This Row],[Subtotal Y/N]])=0,0,VLOOKUP(TB_curr[[#This Row],[Synt]],GL[[Account]:[Line]],3,FALSE))</f>
        <v>#VALUE!</v>
      </c>
      <c r="AG640" s="1063" t="e">
        <f>VLOOKUP(TB_curr[[#This Row],[Synt]],GL[[Account]:[B/P]],4,FALSE)</f>
        <v>#N/A</v>
      </c>
      <c r="AH640" s="1066" t="e">
        <v>#VALUE!</v>
      </c>
      <c r="AI640" s="1065" t="e">
        <f>TB_curr[[#This Row],[Synt]]&amp;TB_curr[[#This Row],[Line No. manual corr.]]</f>
        <v>#VALUE!</v>
      </c>
      <c r="AJ640" s="1064">
        <f t="shared" si="46"/>
        <v>0</v>
      </c>
      <c r="AK640" s="1064">
        <f t="shared" si="47"/>
        <v>0</v>
      </c>
      <c r="AL640" s="1064">
        <f t="shared" si="48"/>
        <v>0</v>
      </c>
      <c r="AM640" s="1064">
        <f t="shared" si="49"/>
        <v>0</v>
      </c>
      <c r="AN640" s="1064"/>
      <c r="AO640" s="1064">
        <f>TB_curr[[#This Row],[Closing balance]]+TB_curr[[#This Row],[Rounding]]</f>
        <v>0</v>
      </c>
    </row>
    <row r="641" spans="30:41" x14ac:dyDescent="0.25">
      <c r="AD641" s="1067" t="str">
        <f t="shared" si="45"/>
        <v/>
      </c>
      <c r="AE641" s="1063" t="str">
        <f>IF(ISNA(VLOOKUP(TB_curr[[#This Row],[Synt]],GL[[#Headers],[#Data],[subtotal label]],1,FALSE)),0,(VLOOKUP(TB_curr[[#This Row],[Synt]],GL[[#Headers],[#Data],[subtotal label]],1,FALSE)))</f>
        <v/>
      </c>
      <c r="AF641" s="1063" t="e">
        <f>IF((TB_curr[[#This Row],[Synt]]-TB_curr[[#This Row],[Subtotal Y/N]])=0,0,VLOOKUP(TB_curr[[#This Row],[Synt]],GL[[Account]:[Line]],3,FALSE))</f>
        <v>#VALUE!</v>
      </c>
      <c r="AG641" s="1063" t="e">
        <f>VLOOKUP(TB_curr[[#This Row],[Synt]],GL[[Account]:[B/P]],4,FALSE)</f>
        <v>#N/A</v>
      </c>
      <c r="AH641" s="1066" t="e">
        <v>#VALUE!</v>
      </c>
      <c r="AI641" s="1065" t="e">
        <f>TB_curr[[#This Row],[Synt]]&amp;TB_curr[[#This Row],[Line No. manual corr.]]</f>
        <v>#VALUE!</v>
      </c>
      <c r="AJ641" s="1064">
        <f t="shared" si="46"/>
        <v>0</v>
      </c>
      <c r="AK641" s="1064">
        <f t="shared" si="47"/>
        <v>0</v>
      </c>
      <c r="AL641" s="1064">
        <f t="shared" si="48"/>
        <v>0</v>
      </c>
      <c r="AM641" s="1064">
        <f t="shared" si="49"/>
        <v>0</v>
      </c>
      <c r="AN641" s="1064"/>
      <c r="AO641" s="1064">
        <f>TB_curr[[#This Row],[Closing balance]]+TB_curr[[#This Row],[Rounding]]</f>
        <v>0</v>
      </c>
    </row>
    <row r="642" spans="30:41" x14ac:dyDescent="0.25">
      <c r="AD642" s="1067" t="str">
        <f t="shared" si="45"/>
        <v/>
      </c>
      <c r="AE642" s="1063" t="str">
        <f>IF(ISNA(VLOOKUP(TB_curr[[#This Row],[Synt]],GL[[#Headers],[#Data],[subtotal label]],1,FALSE)),0,(VLOOKUP(TB_curr[[#This Row],[Synt]],GL[[#Headers],[#Data],[subtotal label]],1,FALSE)))</f>
        <v/>
      </c>
      <c r="AF642" s="1063" t="e">
        <f>IF((TB_curr[[#This Row],[Synt]]-TB_curr[[#This Row],[Subtotal Y/N]])=0,0,VLOOKUP(TB_curr[[#This Row],[Synt]],GL[[Account]:[Line]],3,FALSE))</f>
        <v>#VALUE!</v>
      </c>
      <c r="AG642" s="1063" t="e">
        <f>VLOOKUP(TB_curr[[#This Row],[Synt]],GL[[Account]:[B/P]],4,FALSE)</f>
        <v>#N/A</v>
      </c>
      <c r="AH642" s="1066" t="e">
        <v>#VALUE!</v>
      </c>
      <c r="AI642" s="1065" t="e">
        <f>TB_curr[[#This Row],[Synt]]&amp;TB_curr[[#This Row],[Line No. manual corr.]]</f>
        <v>#VALUE!</v>
      </c>
      <c r="AJ642" s="1064">
        <f t="shared" si="46"/>
        <v>0</v>
      </c>
      <c r="AK642" s="1064">
        <f t="shared" si="47"/>
        <v>0</v>
      </c>
      <c r="AL642" s="1064">
        <f t="shared" si="48"/>
        <v>0</v>
      </c>
      <c r="AM642" s="1064">
        <f t="shared" si="49"/>
        <v>0</v>
      </c>
      <c r="AN642" s="1064"/>
      <c r="AO642" s="1064">
        <f>TB_curr[[#This Row],[Closing balance]]+TB_curr[[#This Row],[Rounding]]</f>
        <v>0</v>
      </c>
    </row>
    <row r="643" spans="30:41" x14ac:dyDescent="0.25">
      <c r="AD643" s="1067" t="str">
        <f t="shared" si="45"/>
        <v/>
      </c>
      <c r="AE643" s="1063" t="str">
        <f>IF(ISNA(VLOOKUP(TB_curr[[#This Row],[Synt]],GL[[#Headers],[#Data],[subtotal label]],1,FALSE)),0,(VLOOKUP(TB_curr[[#This Row],[Synt]],GL[[#Headers],[#Data],[subtotal label]],1,FALSE)))</f>
        <v/>
      </c>
      <c r="AF643" s="1063" t="e">
        <f>IF((TB_curr[[#This Row],[Synt]]-TB_curr[[#This Row],[Subtotal Y/N]])=0,0,VLOOKUP(TB_curr[[#This Row],[Synt]],GL[[Account]:[Line]],3,FALSE))</f>
        <v>#VALUE!</v>
      </c>
      <c r="AG643" s="1063" t="e">
        <f>VLOOKUP(TB_curr[[#This Row],[Synt]],GL[[Account]:[B/P]],4,FALSE)</f>
        <v>#N/A</v>
      </c>
      <c r="AH643" s="1066" t="e">
        <v>#VALUE!</v>
      </c>
      <c r="AI643" s="1065" t="e">
        <f>TB_curr[[#This Row],[Synt]]&amp;TB_curr[[#This Row],[Line No. manual corr.]]</f>
        <v>#VALUE!</v>
      </c>
      <c r="AJ643" s="1064">
        <f t="shared" si="46"/>
        <v>0</v>
      </c>
      <c r="AK643" s="1064">
        <f t="shared" si="47"/>
        <v>0</v>
      </c>
      <c r="AL643" s="1064">
        <f t="shared" si="48"/>
        <v>0</v>
      </c>
      <c r="AM643" s="1064">
        <f t="shared" si="49"/>
        <v>0</v>
      </c>
      <c r="AN643" s="1064"/>
      <c r="AO643" s="1064">
        <f>TB_curr[[#This Row],[Closing balance]]+TB_curr[[#This Row],[Rounding]]</f>
        <v>0</v>
      </c>
    </row>
    <row r="644" spans="30:41" x14ac:dyDescent="0.25">
      <c r="AD644" s="1067" t="str">
        <f t="shared" si="45"/>
        <v/>
      </c>
      <c r="AE644" s="1063" t="str">
        <f>IF(ISNA(VLOOKUP(TB_curr[[#This Row],[Synt]],GL[[#Headers],[#Data],[subtotal label]],1,FALSE)),0,(VLOOKUP(TB_curr[[#This Row],[Synt]],GL[[#Headers],[#Data],[subtotal label]],1,FALSE)))</f>
        <v/>
      </c>
      <c r="AF644" s="1063" t="e">
        <f>IF((TB_curr[[#This Row],[Synt]]-TB_curr[[#This Row],[Subtotal Y/N]])=0,0,VLOOKUP(TB_curr[[#This Row],[Synt]],GL[[Account]:[Line]],3,FALSE))</f>
        <v>#VALUE!</v>
      </c>
      <c r="AG644" s="1063" t="e">
        <f>VLOOKUP(TB_curr[[#This Row],[Synt]],GL[[Account]:[B/P]],4,FALSE)</f>
        <v>#N/A</v>
      </c>
      <c r="AH644" s="1066" t="e">
        <v>#VALUE!</v>
      </c>
      <c r="AI644" s="1065" t="e">
        <f>TB_curr[[#This Row],[Synt]]&amp;TB_curr[[#This Row],[Line No. manual corr.]]</f>
        <v>#VALUE!</v>
      </c>
      <c r="AJ644" s="1064">
        <f t="shared" si="46"/>
        <v>0</v>
      </c>
      <c r="AK644" s="1064">
        <f t="shared" si="47"/>
        <v>0</v>
      </c>
      <c r="AL644" s="1064">
        <f t="shared" si="48"/>
        <v>0</v>
      </c>
      <c r="AM644" s="1064">
        <f t="shared" si="49"/>
        <v>0</v>
      </c>
      <c r="AN644" s="1064"/>
      <c r="AO644" s="1064">
        <f>TB_curr[[#This Row],[Closing balance]]+TB_curr[[#This Row],[Rounding]]</f>
        <v>0</v>
      </c>
    </row>
    <row r="645" spans="30:41" x14ac:dyDescent="0.25">
      <c r="AD645" s="1067" t="str">
        <f t="shared" si="45"/>
        <v/>
      </c>
      <c r="AE645" s="1063" t="str">
        <f>IF(ISNA(VLOOKUP(TB_curr[[#This Row],[Synt]],GL[[#Headers],[#Data],[subtotal label]],1,FALSE)),0,(VLOOKUP(TB_curr[[#This Row],[Synt]],GL[[#Headers],[#Data],[subtotal label]],1,FALSE)))</f>
        <v/>
      </c>
      <c r="AF645" s="1063" t="e">
        <f>IF((TB_curr[[#This Row],[Synt]]-TB_curr[[#This Row],[Subtotal Y/N]])=0,0,VLOOKUP(TB_curr[[#This Row],[Synt]],GL[[Account]:[Line]],3,FALSE))</f>
        <v>#VALUE!</v>
      </c>
      <c r="AG645" s="1063" t="e">
        <f>VLOOKUP(TB_curr[[#This Row],[Synt]],GL[[Account]:[B/P]],4,FALSE)</f>
        <v>#N/A</v>
      </c>
      <c r="AH645" s="1066" t="e">
        <v>#VALUE!</v>
      </c>
      <c r="AI645" s="1065" t="e">
        <f>TB_curr[[#This Row],[Synt]]&amp;TB_curr[[#This Row],[Line No. manual corr.]]</f>
        <v>#VALUE!</v>
      </c>
      <c r="AJ645" s="1064">
        <f t="shared" si="46"/>
        <v>0</v>
      </c>
      <c r="AK645" s="1064">
        <f t="shared" si="47"/>
        <v>0</v>
      </c>
      <c r="AL645" s="1064">
        <f t="shared" si="48"/>
        <v>0</v>
      </c>
      <c r="AM645" s="1064">
        <f t="shared" si="49"/>
        <v>0</v>
      </c>
      <c r="AN645" s="1064"/>
      <c r="AO645" s="1064">
        <f>TB_curr[[#This Row],[Closing balance]]+TB_curr[[#This Row],[Rounding]]</f>
        <v>0</v>
      </c>
    </row>
    <row r="646" spans="30:41" x14ac:dyDescent="0.25">
      <c r="AD646" s="1067" t="str">
        <f t="shared" si="45"/>
        <v/>
      </c>
      <c r="AE646" s="1063" t="str">
        <f>IF(ISNA(VLOOKUP(TB_curr[[#This Row],[Synt]],GL[[#Headers],[#Data],[subtotal label]],1,FALSE)),0,(VLOOKUP(TB_curr[[#This Row],[Synt]],GL[[#Headers],[#Data],[subtotal label]],1,FALSE)))</f>
        <v/>
      </c>
      <c r="AF646" s="1063" t="e">
        <f>IF((TB_curr[[#This Row],[Synt]]-TB_curr[[#This Row],[Subtotal Y/N]])=0,0,VLOOKUP(TB_curr[[#This Row],[Synt]],GL[[Account]:[Line]],3,FALSE))</f>
        <v>#VALUE!</v>
      </c>
      <c r="AG646" s="1063" t="e">
        <f>VLOOKUP(TB_curr[[#This Row],[Synt]],GL[[Account]:[B/P]],4,FALSE)</f>
        <v>#N/A</v>
      </c>
      <c r="AH646" s="1066" t="e">
        <v>#VALUE!</v>
      </c>
      <c r="AI646" s="1065" t="e">
        <f>TB_curr[[#This Row],[Synt]]&amp;TB_curr[[#This Row],[Line No. manual corr.]]</f>
        <v>#VALUE!</v>
      </c>
      <c r="AJ646" s="1064">
        <f t="shared" si="46"/>
        <v>0</v>
      </c>
      <c r="AK646" s="1064">
        <f t="shared" si="47"/>
        <v>0</v>
      </c>
      <c r="AL646" s="1064">
        <f t="shared" si="48"/>
        <v>0</v>
      </c>
      <c r="AM646" s="1064">
        <f t="shared" si="49"/>
        <v>0</v>
      </c>
      <c r="AN646" s="1064"/>
      <c r="AO646" s="1064">
        <f>TB_curr[[#This Row],[Closing balance]]+TB_curr[[#This Row],[Rounding]]</f>
        <v>0</v>
      </c>
    </row>
    <row r="647" spans="30:41" x14ac:dyDescent="0.25">
      <c r="AD647" s="1067" t="str">
        <f t="shared" si="45"/>
        <v/>
      </c>
      <c r="AE647" s="1063" t="str">
        <f>IF(ISNA(VLOOKUP(TB_curr[[#This Row],[Synt]],GL[[#Headers],[#Data],[subtotal label]],1,FALSE)),0,(VLOOKUP(TB_curr[[#This Row],[Synt]],GL[[#Headers],[#Data],[subtotal label]],1,FALSE)))</f>
        <v/>
      </c>
      <c r="AF647" s="1063" t="e">
        <f>IF((TB_curr[[#This Row],[Synt]]-TB_curr[[#This Row],[Subtotal Y/N]])=0,0,VLOOKUP(TB_curr[[#This Row],[Synt]],GL[[Account]:[Line]],3,FALSE))</f>
        <v>#VALUE!</v>
      </c>
      <c r="AG647" s="1063" t="e">
        <f>VLOOKUP(TB_curr[[#This Row],[Synt]],GL[[Account]:[B/P]],4,FALSE)</f>
        <v>#N/A</v>
      </c>
      <c r="AH647" s="1066" t="e">
        <v>#VALUE!</v>
      </c>
      <c r="AI647" s="1065" t="e">
        <f>TB_curr[[#This Row],[Synt]]&amp;TB_curr[[#This Row],[Line No. manual corr.]]</f>
        <v>#VALUE!</v>
      </c>
      <c r="AJ647" s="1064">
        <f t="shared" si="46"/>
        <v>0</v>
      </c>
      <c r="AK647" s="1064">
        <f t="shared" si="47"/>
        <v>0</v>
      </c>
      <c r="AL647" s="1064">
        <f t="shared" si="48"/>
        <v>0</v>
      </c>
      <c r="AM647" s="1064">
        <f t="shared" si="49"/>
        <v>0</v>
      </c>
      <c r="AN647" s="1064"/>
      <c r="AO647" s="1064">
        <f>TB_curr[[#This Row],[Closing balance]]+TB_curr[[#This Row],[Rounding]]</f>
        <v>0</v>
      </c>
    </row>
    <row r="648" spans="30:41" x14ac:dyDescent="0.25">
      <c r="AD648" s="1067" t="str">
        <f t="shared" ref="AD648:AD711" si="50">LEFT(B648,3)</f>
        <v/>
      </c>
      <c r="AE648" s="1063" t="str">
        <f>IF(ISNA(VLOOKUP(TB_curr[[#This Row],[Synt]],GL[[#Headers],[#Data],[subtotal label]],1,FALSE)),0,(VLOOKUP(TB_curr[[#This Row],[Synt]],GL[[#Headers],[#Data],[subtotal label]],1,FALSE)))</f>
        <v/>
      </c>
      <c r="AF648" s="1063" t="e">
        <f>IF((TB_curr[[#This Row],[Synt]]-TB_curr[[#This Row],[Subtotal Y/N]])=0,0,VLOOKUP(TB_curr[[#This Row],[Synt]],GL[[Account]:[Line]],3,FALSE))</f>
        <v>#VALUE!</v>
      </c>
      <c r="AG648" s="1063" t="e">
        <f>VLOOKUP(TB_curr[[#This Row],[Synt]],GL[[Account]:[B/P]],4,FALSE)</f>
        <v>#N/A</v>
      </c>
      <c r="AH648" s="1066" t="e">
        <v>#VALUE!</v>
      </c>
      <c r="AI648" s="1065" t="e">
        <f>TB_curr[[#This Row],[Synt]]&amp;TB_curr[[#This Row],[Line No. manual corr.]]</f>
        <v>#VALUE!</v>
      </c>
      <c r="AJ648" s="1064">
        <f t="shared" ref="AJ648:AJ711" si="51">K648-N648</f>
        <v>0</v>
      </c>
      <c r="AK648" s="1064">
        <f t="shared" ref="AK648:AK711" si="52">Q648</f>
        <v>0</v>
      </c>
      <c r="AL648" s="1064">
        <f t="shared" ref="AL648:AL711" si="53">U648</f>
        <v>0</v>
      </c>
      <c r="AM648" s="1064">
        <f t="shared" ref="AM648:AM711" si="54">X648-AB648</f>
        <v>0</v>
      </c>
      <c r="AN648" s="1064"/>
      <c r="AO648" s="1064">
        <f>TB_curr[[#This Row],[Closing balance]]+TB_curr[[#This Row],[Rounding]]</f>
        <v>0</v>
      </c>
    </row>
    <row r="649" spans="30:41" x14ac:dyDescent="0.25">
      <c r="AD649" s="1067" t="str">
        <f t="shared" si="50"/>
        <v/>
      </c>
      <c r="AE649" s="1063" t="str">
        <f>IF(ISNA(VLOOKUP(TB_curr[[#This Row],[Synt]],GL[[#Headers],[#Data],[subtotal label]],1,FALSE)),0,(VLOOKUP(TB_curr[[#This Row],[Synt]],GL[[#Headers],[#Data],[subtotal label]],1,FALSE)))</f>
        <v/>
      </c>
      <c r="AF649" s="1063" t="e">
        <f>IF((TB_curr[[#This Row],[Synt]]-TB_curr[[#This Row],[Subtotal Y/N]])=0,0,VLOOKUP(TB_curr[[#This Row],[Synt]],GL[[Account]:[Line]],3,FALSE))</f>
        <v>#VALUE!</v>
      </c>
      <c r="AG649" s="1063" t="e">
        <f>VLOOKUP(TB_curr[[#This Row],[Synt]],GL[[Account]:[B/P]],4,FALSE)</f>
        <v>#N/A</v>
      </c>
      <c r="AH649" s="1066" t="e">
        <v>#VALUE!</v>
      </c>
      <c r="AI649" s="1065" t="e">
        <f>TB_curr[[#This Row],[Synt]]&amp;TB_curr[[#This Row],[Line No. manual corr.]]</f>
        <v>#VALUE!</v>
      </c>
      <c r="AJ649" s="1064">
        <f t="shared" si="51"/>
        <v>0</v>
      </c>
      <c r="AK649" s="1064">
        <f t="shared" si="52"/>
        <v>0</v>
      </c>
      <c r="AL649" s="1064">
        <f t="shared" si="53"/>
        <v>0</v>
      </c>
      <c r="AM649" s="1064">
        <f t="shared" si="54"/>
        <v>0</v>
      </c>
      <c r="AN649" s="1064"/>
      <c r="AO649" s="1064">
        <f>TB_curr[[#This Row],[Closing balance]]+TB_curr[[#This Row],[Rounding]]</f>
        <v>0</v>
      </c>
    </row>
    <row r="650" spans="30:41" x14ac:dyDescent="0.25">
      <c r="AD650" s="1067" t="str">
        <f t="shared" si="50"/>
        <v/>
      </c>
      <c r="AE650" s="1063" t="str">
        <f>IF(ISNA(VLOOKUP(TB_curr[[#This Row],[Synt]],GL[[#Headers],[#Data],[subtotal label]],1,FALSE)),0,(VLOOKUP(TB_curr[[#This Row],[Synt]],GL[[#Headers],[#Data],[subtotal label]],1,FALSE)))</f>
        <v/>
      </c>
      <c r="AF650" s="1063" t="e">
        <f>IF((TB_curr[[#This Row],[Synt]]-TB_curr[[#This Row],[Subtotal Y/N]])=0,0,VLOOKUP(TB_curr[[#This Row],[Synt]],GL[[Account]:[Line]],3,FALSE))</f>
        <v>#VALUE!</v>
      </c>
      <c r="AG650" s="1063" t="e">
        <f>VLOOKUP(TB_curr[[#This Row],[Synt]],GL[[Account]:[B/P]],4,FALSE)</f>
        <v>#N/A</v>
      </c>
      <c r="AH650" s="1066" t="e">
        <v>#VALUE!</v>
      </c>
      <c r="AI650" s="1065" t="e">
        <f>TB_curr[[#This Row],[Synt]]&amp;TB_curr[[#This Row],[Line No. manual corr.]]</f>
        <v>#VALUE!</v>
      </c>
      <c r="AJ650" s="1064">
        <f t="shared" si="51"/>
        <v>0</v>
      </c>
      <c r="AK650" s="1064">
        <f t="shared" si="52"/>
        <v>0</v>
      </c>
      <c r="AL650" s="1064">
        <f t="shared" si="53"/>
        <v>0</v>
      </c>
      <c r="AM650" s="1064">
        <f t="shared" si="54"/>
        <v>0</v>
      </c>
      <c r="AN650" s="1064"/>
      <c r="AO650" s="1064">
        <f>TB_curr[[#This Row],[Closing balance]]+TB_curr[[#This Row],[Rounding]]</f>
        <v>0</v>
      </c>
    </row>
    <row r="651" spans="30:41" x14ac:dyDescent="0.25">
      <c r="AD651" s="1067" t="str">
        <f t="shared" si="50"/>
        <v/>
      </c>
      <c r="AE651" s="1063" t="str">
        <f>IF(ISNA(VLOOKUP(TB_curr[[#This Row],[Synt]],GL[[#Headers],[#Data],[subtotal label]],1,FALSE)),0,(VLOOKUP(TB_curr[[#This Row],[Synt]],GL[[#Headers],[#Data],[subtotal label]],1,FALSE)))</f>
        <v/>
      </c>
      <c r="AF651" s="1063" t="e">
        <f>IF((TB_curr[[#This Row],[Synt]]-TB_curr[[#This Row],[Subtotal Y/N]])=0,0,VLOOKUP(TB_curr[[#This Row],[Synt]],GL[[Account]:[Line]],3,FALSE))</f>
        <v>#VALUE!</v>
      </c>
      <c r="AG651" s="1063" t="e">
        <f>VLOOKUP(TB_curr[[#This Row],[Synt]],GL[[Account]:[B/P]],4,FALSE)</f>
        <v>#N/A</v>
      </c>
      <c r="AH651" s="1066" t="e">
        <v>#VALUE!</v>
      </c>
      <c r="AI651" s="1065" t="e">
        <f>TB_curr[[#This Row],[Synt]]&amp;TB_curr[[#This Row],[Line No. manual corr.]]</f>
        <v>#VALUE!</v>
      </c>
      <c r="AJ651" s="1064">
        <f t="shared" si="51"/>
        <v>0</v>
      </c>
      <c r="AK651" s="1064">
        <f t="shared" si="52"/>
        <v>0</v>
      </c>
      <c r="AL651" s="1064">
        <f t="shared" si="53"/>
        <v>0</v>
      </c>
      <c r="AM651" s="1064">
        <f t="shared" si="54"/>
        <v>0</v>
      </c>
      <c r="AN651" s="1064"/>
      <c r="AO651" s="1064">
        <f>TB_curr[[#This Row],[Closing balance]]+TB_curr[[#This Row],[Rounding]]</f>
        <v>0</v>
      </c>
    </row>
    <row r="652" spans="30:41" x14ac:dyDescent="0.25">
      <c r="AD652" s="1067" t="str">
        <f t="shared" si="50"/>
        <v/>
      </c>
      <c r="AE652" s="1063" t="str">
        <f>IF(ISNA(VLOOKUP(TB_curr[[#This Row],[Synt]],GL[[#Headers],[#Data],[subtotal label]],1,FALSE)),0,(VLOOKUP(TB_curr[[#This Row],[Synt]],GL[[#Headers],[#Data],[subtotal label]],1,FALSE)))</f>
        <v/>
      </c>
      <c r="AF652" s="1063" t="e">
        <f>IF((TB_curr[[#This Row],[Synt]]-TB_curr[[#This Row],[Subtotal Y/N]])=0,0,VLOOKUP(TB_curr[[#This Row],[Synt]],GL[[Account]:[Line]],3,FALSE))</f>
        <v>#VALUE!</v>
      </c>
      <c r="AG652" s="1063" t="e">
        <f>VLOOKUP(TB_curr[[#This Row],[Synt]],GL[[Account]:[B/P]],4,FALSE)</f>
        <v>#N/A</v>
      </c>
      <c r="AH652" s="1066" t="e">
        <v>#VALUE!</v>
      </c>
      <c r="AI652" s="1065" t="e">
        <f>TB_curr[[#This Row],[Synt]]&amp;TB_curr[[#This Row],[Line No. manual corr.]]</f>
        <v>#VALUE!</v>
      </c>
      <c r="AJ652" s="1064">
        <f t="shared" si="51"/>
        <v>0</v>
      </c>
      <c r="AK652" s="1064">
        <f t="shared" si="52"/>
        <v>0</v>
      </c>
      <c r="AL652" s="1064">
        <f t="shared" si="53"/>
        <v>0</v>
      </c>
      <c r="AM652" s="1064">
        <f t="shared" si="54"/>
        <v>0</v>
      </c>
      <c r="AN652" s="1064"/>
      <c r="AO652" s="1064">
        <f>TB_curr[[#This Row],[Closing balance]]+TB_curr[[#This Row],[Rounding]]</f>
        <v>0</v>
      </c>
    </row>
    <row r="653" spans="30:41" x14ac:dyDescent="0.25">
      <c r="AD653" s="1067" t="str">
        <f t="shared" si="50"/>
        <v/>
      </c>
      <c r="AE653" s="1063" t="str">
        <f>IF(ISNA(VLOOKUP(TB_curr[[#This Row],[Synt]],GL[[#Headers],[#Data],[subtotal label]],1,FALSE)),0,(VLOOKUP(TB_curr[[#This Row],[Synt]],GL[[#Headers],[#Data],[subtotal label]],1,FALSE)))</f>
        <v/>
      </c>
      <c r="AF653" s="1063" t="e">
        <f>IF((TB_curr[[#This Row],[Synt]]-TB_curr[[#This Row],[Subtotal Y/N]])=0,0,VLOOKUP(TB_curr[[#This Row],[Synt]],GL[[Account]:[Line]],3,FALSE))</f>
        <v>#VALUE!</v>
      </c>
      <c r="AG653" s="1063" t="e">
        <f>VLOOKUP(TB_curr[[#This Row],[Synt]],GL[[Account]:[B/P]],4,FALSE)</f>
        <v>#N/A</v>
      </c>
      <c r="AH653" s="1066" t="e">
        <v>#VALUE!</v>
      </c>
      <c r="AI653" s="1065" t="e">
        <f>TB_curr[[#This Row],[Synt]]&amp;TB_curr[[#This Row],[Line No. manual corr.]]</f>
        <v>#VALUE!</v>
      </c>
      <c r="AJ653" s="1064">
        <f t="shared" si="51"/>
        <v>0</v>
      </c>
      <c r="AK653" s="1064">
        <f t="shared" si="52"/>
        <v>0</v>
      </c>
      <c r="AL653" s="1064">
        <f t="shared" si="53"/>
        <v>0</v>
      </c>
      <c r="AM653" s="1064">
        <f t="shared" si="54"/>
        <v>0</v>
      </c>
      <c r="AN653" s="1064"/>
      <c r="AO653" s="1064">
        <f>TB_curr[[#This Row],[Closing balance]]+TB_curr[[#This Row],[Rounding]]</f>
        <v>0</v>
      </c>
    </row>
    <row r="654" spans="30:41" x14ac:dyDescent="0.25">
      <c r="AD654" s="1067" t="str">
        <f t="shared" si="50"/>
        <v/>
      </c>
      <c r="AE654" s="1063" t="str">
        <f>IF(ISNA(VLOOKUP(TB_curr[[#This Row],[Synt]],GL[[#Headers],[#Data],[subtotal label]],1,FALSE)),0,(VLOOKUP(TB_curr[[#This Row],[Synt]],GL[[#Headers],[#Data],[subtotal label]],1,FALSE)))</f>
        <v/>
      </c>
      <c r="AF654" s="1063" t="e">
        <f>IF((TB_curr[[#This Row],[Synt]]-TB_curr[[#This Row],[Subtotal Y/N]])=0,0,VLOOKUP(TB_curr[[#This Row],[Synt]],GL[[Account]:[Line]],3,FALSE))</f>
        <v>#VALUE!</v>
      </c>
      <c r="AG654" s="1063" t="e">
        <f>VLOOKUP(TB_curr[[#This Row],[Synt]],GL[[Account]:[B/P]],4,FALSE)</f>
        <v>#N/A</v>
      </c>
      <c r="AH654" s="1066" t="e">
        <v>#VALUE!</v>
      </c>
      <c r="AI654" s="1065" t="e">
        <f>TB_curr[[#This Row],[Synt]]&amp;TB_curr[[#This Row],[Line No. manual corr.]]</f>
        <v>#VALUE!</v>
      </c>
      <c r="AJ654" s="1064">
        <f t="shared" si="51"/>
        <v>0</v>
      </c>
      <c r="AK654" s="1064">
        <f t="shared" si="52"/>
        <v>0</v>
      </c>
      <c r="AL654" s="1064">
        <f t="shared" si="53"/>
        <v>0</v>
      </c>
      <c r="AM654" s="1064">
        <f t="shared" si="54"/>
        <v>0</v>
      </c>
      <c r="AN654" s="1064"/>
      <c r="AO654" s="1064">
        <f>TB_curr[[#This Row],[Closing balance]]+TB_curr[[#This Row],[Rounding]]</f>
        <v>0</v>
      </c>
    </row>
    <row r="655" spans="30:41" x14ac:dyDescent="0.25">
      <c r="AD655" s="1067" t="str">
        <f t="shared" si="50"/>
        <v/>
      </c>
      <c r="AE655" s="1063" t="str">
        <f>IF(ISNA(VLOOKUP(TB_curr[[#This Row],[Synt]],GL[[#Headers],[#Data],[subtotal label]],1,FALSE)),0,(VLOOKUP(TB_curr[[#This Row],[Synt]],GL[[#Headers],[#Data],[subtotal label]],1,FALSE)))</f>
        <v/>
      </c>
      <c r="AF655" s="1063" t="e">
        <f>IF((TB_curr[[#This Row],[Synt]]-TB_curr[[#This Row],[Subtotal Y/N]])=0,0,VLOOKUP(TB_curr[[#This Row],[Synt]],GL[[Account]:[Line]],3,FALSE))</f>
        <v>#VALUE!</v>
      </c>
      <c r="AG655" s="1063" t="e">
        <f>VLOOKUP(TB_curr[[#This Row],[Synt]],GL[[Account]:[B/P]],4,FALSE)</f>
        <v>#N/A</v>
      </c>
      <c r="AH655" s="1066" t="e">
        <v>#VALUE!</v>
      </c>
      <c r="AI655" s="1065" t="e">
        <f>TB_curr[[#This Row],[Synt]]&amp;TB_curr[[#This Row],[Line No. manual corr.]]</f>
        <v>#VALUE!</v>
      </c>
      <c r="AJ655" s="1064">
        <f t="shared" si="51"/>
        <v>0</v>
      </c>
      <c r="AK655" s="1064">
        <f t="shared" si="52"/>
        <v>0</v>
      </c>
      <c r="AL655" s="1064">
        <f t="shared" si="53"/>
        <v>0</v>
      </c>
      <c r="AM655" s="1064">
        <f t="shared" si="54"/>
        <v>0</v>
      </c>
      <c r="AN655" s="1064"/>
      <c r="AO655" s="1064">
        <f>TB_curr[[#This Row],[Closing balance]]+TB_curr[[#This Row],[Rounding]]</f>
        <v>0</v>
      </c>
    </row>
    <row r="656" spans="30:41" x14ac:dyDescent="0.25">
      <c r="AD656" s="1067" t="str">
        <f t="shared" si="50"/>
        <v/>
      </c>
      <c r="AE656" s="1063" t="str">
        <f>IF(ISNA(VLOOKUP(TB_curr[[#This Row],[Synt]],GL[[#Headers],[#Data],[subtotal label]],1,FALSE)),0,(VLOOKUP(TB_curr[[#This Row],[Synt]],GL[[#Headers],[#Data],[subtotal label]],1,FALSE)))</f>
        <v/>
      </c>
      <c r="AF656" s="1063" t="e">
        <f>IF((TB_curr[[#This Row],[Synt]]-TB_curr[[#This Row],[Subtotal Y/N]])=0,0,VLOOKUP(TB_curr[[#This Row],[Synt]],GL[[Account]:[Line]],3,FALSE))</f>
        <v>#VALUE!</v>
      </c>
      <c r="AG656" s="1063" t="e">
        <f>VLOOKUP(TB_curr[[#This Row],[Synt]],GL[[Account]:[B/P]],4,FALSE)</f>
        <v>#N/A</v>
      </c>
      <c r="AH656" s="1066" t="e">
        <v>#VALUE!</v>
      </c>
      <c r="AI656" s="1065" t="e">
        <f>TB_curr[[#This Row],[Synt]]&amp;TB_curr[[#This Row],[Line No. manual corr.]]</f>
        <v>#VALUE!</v>
      </c>
      <c r="AJ656" s="1064">
        <f t="shared" si="51"/>
        <v>0</v>
      </c>
      <c r="AK656" s="1064">
        <f t="shared" si="52"/>
        <v>0</v>
      </c>
      <c r="AL656" s="1064">
        <f t="shared" si="53"/>
        <v>0</v>
      </c>
      <c r="AM656" s="1064">
        <f t="shared" si="54"/>
        <v>0</v>
      </c>
      <c r="AN656" s="1064"/>
      <c r="AO656" s="1064">
        <f>TB_curr[[#This Row],[Closing balance]]+TB_curr[[#This Row],[Rounding]]</f>
        <v>0</v>
      </c>
    </row>
    <row r="657" spans="30:41" x14ac:dyDescent="0.25">
      <c r="AD657" s="1067" t="str">
        <f t="shared" si="50"/>
        <v/>
      </c>
      <c r="AE657" s="1063" t="str">
        <f>IF(ISNA(VLOOKUP(TB_curr[[#This Row],[Synt]],GL[[#Headers],[#Data],[subtotal label]],1,FALSE)),0,(VLOOKUP(TB_curr[[#This Row],[Synt]],GL[[#Headers],[#Data],[subtotal label]],1,FALSE)))</f>
        <v/>
      </c>
      <c r="AF657" s="1063" t="e">
        <f>IF((TB_curr[[#This Row],[Synt]]-TB_curr[[#This Row],[Subtotal Y/N]])=0,0,VLOOKUP(TB_curr[[#This Row],[Synt]],GL[[Account]:[Line]],3,FALSE))</f>
        <v>#VALUE!</v>
      </c>
      <c r="AG657" s="1063" t="e">
        <f>VLOOKUP(TB_curr[[#This Row],[Synt]],GL[[Account]:[B/P]],4,FALSE)</f>
        <v>#N/A</v>
      </c>
      <c r="AH657" s="1066" t="e">
        <v>#VALUE!</v>
      </c>
      <c r="AI657" s="1065" t="e">
        <f>TB_curr[[#This Row],[Synt]]&amp;TB_curr[[#This Row],[Line No. manual corr.]]</f>
        <v>#VALUE!</v>
      </c>
      <c r="AJ657" s="1064">
        <f t="shared" si="51"/>
        <v>0</v>
      </c>
      <c r="AK657" s="1064">
        <f t="shared" si="52"/>
        <v>0</v>
      </c>
      <c r="AL657" s="1064">
        <f t="shared" si="53"/>
        <v>0</v>
      </c>
      <c r="AM657" s="1064">
        <f t="shared" si="54"/>
        <v>0</v>
      </c>
      <c r="AN657" s="1064"/>
      <c r="AO657" s="1064">
        <f>TB_curr[[#This Row],[Closing balance]]+TB_curr[[#This Row],[Rounding]]</f>
        <v>0</v>
      </c>
    </row>
    <row r="658" spans="30:41" x14ac:dyDescent="0.25">
      <c r="AD658" s="1067" t="str">
        <f t="shared" si="50"/>
        <v/>
      </c>
      <c r="AE658" s="1063" t="str">
        <f>IF(ISNA(VLOOKUP(TB_curr[[#This Row],[Synt]],GL[[#Headers],[#Data],[subtotal label]],1,FALSE)),0,(VLOOKUP(TB_curr[[#This Row],[Synt]],GL[[#Headers],[#Data],[subtotal label]],1,FALSE)))</f>
        <v/>
      </c>
      <c r="AF658" s="1063" t="e">
        <f>IF((TB_curr[[#This Row],[Synt]]-TB_curr[[#This Row],[Subtotal Y/N]])=0,0,VLOOKUP(TB_curr[[#This Row],[Synt]],GL[[Account]:[Line]],3,FALSE))</f>
        <v>#VALUE!</v>
      </c>
      <c r="AG658" s="1063" t="e">
        <f>VLOOKUP(TB_curr[[#This Row],[Synt]],GL[[Account]:[B/P]],4,FALSE)</f>
        <v>#N/A</v>
      </c>
      <c r="AH658" s="1066" t="e">
        <v>#VALUE!</v>
      </c>
      <c r="AI658" s="1065" t="e">
        <f>TB_curr[[#This Row],[Synt]]&amp;TB_curr[[#This Row],[Line No. manual corr.]]</f>
        <v>#VALUE!</v>
      </c>
      <c r="AJ658" s="1064">
        <f t="shared" si="51"/>
        <v>0</v>
      </c>
      <c r="AK658" s="1064">
        <f t="shared" si="52"/>
        <v>0</v>
      </c>
      <c r="AL658" s="1064">
        <f t="shared" si="53"/>
        <v>0</v>
      </c>
      <c r="AM658" s="1064">
        <f t="shared" si="54"/>
        <v>0</v>
      </c>
      <c r="AN658" s="1064"/>
      <c r="AO658" s="1064">
        <f>TB_curr[[#This Row],[Closing balance]]+TB_curr[[#This Row],[Rounding]]</f>
        <v>0</v>
      </c>
    </row>
    <row r="659" spans="30:41" x14ac:dyDescent="0.25">
      <c r="AD659" s="1067" t="str">
        <f t="shared" si="50"/>
        <v/>
      </c>
      <c r="AE659" s="1063" t="str">
        <f>IF(ISNA(VLOOKUP(TB_curr[[#This Row],[Synt]],GL[[#Headers],[#Data],[subtotal label]],1,FALSE)),0,(VLOOKUP(TB_curr[[#This Row],[Synt]],GL[[#Headers],[#Data],[subtotal label]],1,FALSE)))</f>
        <v/>
      </c>
      <c r="AF659" s="1063" t="e">
        <f>IF((TB_curr[[#This Row],[Synt]]-TB_curr[[#This Row],[Subtotal Y/N]])=0,0,VLOOKUP(TB_curr[[#This Row],[Synt]],GL[[Account]:[Line]],3,FALSE))</f>
        <v>#VALUE!</v>
      </c>
      <c r="AG659" s="1063" t="e">
        <f>VLOOKUP(TB_curr[[#This Row],[Synt]],GL[[Account]:[B/P]],4,FALSE)</f>
        <v>#N/A</v>
      </c>
      <c r="AH659" s="1066" t="e">
        <v>#VALUE!</v>
      </c>
      <c r="AI659" s="1065" t="e">
        <f>TB_curr[[#This Row],[Synt]]&amp;TB_curr[[#This Row],[Line No. manual corr.]]</f>
        <v>#VALUE!</v>
      </c>
      <c r="AJ659" s="1064">
        <f t="shared" si="51"/>
        <v>0</v>
      </c>
      <c r="AK659" s="1064">
        <f t="shared" si="52"/>
        <v>0</v>
      </c>
      <c r="AL659" s="1064">
        <f t="shared" si="53"/>
        <v>0</v>
      </c>
      <c r="AM659" s="1064">
        <f t="shared" si="54"/>
        <v>0</v>
      </c>
      <c r="AN659" s="1064"/>
      <c r="AO659" s="1064">
        <f>TB_curr[[#This Row],[Closing balance]]+TB_curr[[#This Row],[Rounding]]</f>
        <v>0</v>
      </c>
    </row>
    <row r="660" spans="30:41" x14ac:dyDescent="0.25">
      <c r="AD660" s="1067" t="str">
        <f t="shared" si="50"/>
        <v/>
      </c>
      <c r="AE660" s="1063" t="str">
        <f>IF(ISNA(VLOOKUP(TB_curr[[#This Row],[Synt]],GL[[#Headers],[#Data],[subtotal label]],1,FALSE)),0,(VLOOKUP(TB_curr[[#This Row],[Synt]],GL[[#Headers],[#Data],[subtotal label]],1,FALSE)))</f>
        <v/>
      </c>
      <c r="AF660" s="1063" t="e">
        <f>IF((TB_curr[[#This Row],[Synt]]-TB_curr[[#This Row],[Subtotal Y/N]])=0,0,VLOOKUP(TB_curr[[#This Row],[Synt]],GL[[Account]:[Line]],3,FALSE))</f>
        <v>#VALUE!</v>
      </c>
      <c r="AG660" s="1063" t="e">
        <f>VLOOKUP(TB_curr[[#This Row],[Synt]],GL[[Account]:[B/P]],4,FALSE)</f>
        <v>#N/A</v>
      </c>
      <c r="AH660" s="1066" t="e">
        <v>#VALUE!</v>
      </c>
      <c r="AI660" s="1065" t="e">
        <f>TB_curr[[#This Row],[Synt]]&amp;TB_curr[[#This Row],[Line No. manual corr.]]</f>
        <v>#VALUE!</v>
      </c>
      <c r="AJ660" s="1064">
        <f t="shared" si="51"/>
        <v>0</v>
      </c>
      <c r="AK660" s="1064">
        <f t="shared" si="52"/>
        <v>0</v>
      </c>
      <c r="AL660" s="1064">
        <f t="shared" si="53"/>
        <v>0</v>
      </c>
      <c r="AM660" s="1064">
        <f t="shared" si="54"/>
        <v>0</v>
      </c>
      <c r="AN660" s="1064"/>
      <c r="AO660" s="1064">
        <f>TB_curr[[#This Row],[Closing balance]]+TB_curr[[#This Row],[Rounding]]</f>
        <v>0</v>
      </c>
    </row>
    <row r="661" spans="30:41" x14ac:dyDescent="0.25">
      <c r="AD661" s="1067" t="str">
        <f t="shared" si="50"/>
        <v/>
      </c>
      <c r="AE661" s="1063" t="str">
        <f>IF(ISNA(VLOOKUP(TB_curr[[#This Row],[Synt]],GL[[#Headers],[#Data],[subtotal label]],1,FALSE)),0,(VLOOKUP(TB_curr[[#This Row],[Synt]],GL[[#Headers],[#Data],[subtotal label]],1,FALSE)))</f>
        <v/>
      </c>
      <c r="AF661" s="1063" t="e">
        <f>IF((TB_curr[[#This Row],[Synt]]-TB_curr[[#This Row],[Subtotal Y/N]])=0,0,VLOOKUP(TB_curr[[#This Row],[Synt]],GL[[Account]:[Line]],3,FALSE))</f>
        <v>#VALUE!</v>
      </c>
      <c r="AG661" s="1063" t="e">
        <f>VLOOKUP(TB_curr[[#This Row],[Synt]],GL[[Account]:[B/P]],4,FALSE)</f>
        <v>#N/A</v>
      </c>
      <c r="AH661" s="1066" t="e">
        <v>#VALUE!</v>
      </c>
      <c r="AI661" s="1065" t="e">
        <f>TB_curr[[#This Row],[Synt]]&amp;TB_curr[[#This Row],[Line No. manual corr.]]</f>
        <v>#VALUE!</v>
      </c>
      <c r="AJ661" s="1064">
        <f t="shared" si="51"/>
        <v>0</v>
      </c>
      <c r="AK661" s="1064">
        <f t="shared" si="52"/>
        <v>0</v>
      </c>
      <c r="AL661" s="1064">
        <f t="shared" si="53"/>
        <v>0</v>
      </c>
      <c r="AM661" s="1064">
        <f t="shared" si="54"/>
        <v>0</v>
      </c>
      <c r="AN661" s="1064"/>
      <c r="AO661" s="1064">
        <f>TB_curr[[#This Row],[Closing balance]]+TB_curr[[#This Row],[Rounding]]</f>
        <v>0</v>
      </c>
    </row>
    <row r="662" spans="30:41" x14ac:dyDescent="0.25">
      <c r="AD662" s="1067" t="str">
        <f t="shared" si="50"/>
        <v/>
      </c>
      <c r="AE662" s="1063" t="str">
        <f>IF(ISNA(VLOOKUP(TB_curr[[#This Row],[Synt]],GL[[#Headers],[#Data],[subtotal label]],1,FALSE)),0,(VLOOKUP(TB_curr[[#This Row],[Synt]],GL[[#Headers],[#Data],[subtotal label]],1,FALSE)))</f>
        <v/>
      </c>
      <c r="AF662" s="1063" t="e">
        <f>IF((TB_curr[[#This Row],[Synt]]-TB_curr[[#This Row],[Subtotal Y/N]])=0,0,VLOOKUP(TB_curr[[#This Row],[Synt]],GL[[Account]:[Line]],3,FALSE))</f>
        <v>#VALUE!</v>
      </c>
      <c r="AG662" s="1063" t="e">
        <f>VLOOKUP(TB_curr[[#This Row],[Synt]],GL[[Account]:[B/P]],4,FALSE)</f>
        <v>#N/A</v>
      </c>
      <c r="AH662" s="1066" t="e">
        <v>#VALUE!</v>
      </c>
      <c r="AI662" s="1065" t="e">
        <f>TB_curr[[#This Row],[Synt]]&amp;TB_curr[[#This Row],[Line No. manual corr.]]</f>
        <v>#VALUE!</v>
      </c>
      <c r="AJ662" s="1064">
        <f t="shared" si="51"/>
        <v>0</v>
      </c>
      <c r="AK662" s="1064">
        <f t="shared" si="52"/>
        <v>0</v>
      </c>
      <c r="AL662" s="1064">
        <f t="shared" si="53"/>
        <v>0</v>
      </c>
      <c r="AM662" s="1064">
        <f t="shared" si="54"/>
        <v>0</v>
      </c>
      <c r="AN662" s="1064"/>
      <c r="AO662" s="1064">
        <f>TB_curr[[#This Row],[Closing balance]]+TB_curr[[#This Row],[Rounding]]</f>
        <v>0</v>
      </c>
    </row>
    <row r="663" spans="30:41" x14ac:dyDescent="0.25">
      <c r="AD663" s="1067" t="str">
        <f t="shared" si="50"/>
        <v/>
      </c>
      <c r="AE663" s="1063" t="str">
        <f>IF(ISNA(VLOOKUP(TB_curr[[#This Row],[Synt]],GL[[#Headers],[#Data],[subtotal label]],1,FALSE)),0,(VLOOKUP(TB_curr[[#This Row],[Synt]],GL[[#Headers],[#Data],[subtotal label]],1,FALSE)))</f>
        <v/>
      </c>
      <c r="AF663" s="1063" t="e">
        <f>IF((TB_curr[[#This Row],[Synt]]-TB_curr[[#This Row],[Subtotal Y/N]])=0,0,VLOOKUP(TB_curr[[#This Row],[Synt]],GL[[Account]:[Line]],3,FALSE))</f>
        <v>#VALUE!</v>
      </c>
      <c r="AG663" s="1063" t="e">
        <f>VLOOKUP(TB_curr[[#This Row],[Synt]],GL[[Account]:[B/P]],4,FALSE)</f>
        <v>#N/A</v>
      </c>
      <c r="AH663" s="1066" t="e">
        <v>#VALUE!</v>
      </c>
      <c r="AI663" s="1065" t="e">
        <f>TB_curr[[#This Row],[Synt]]&amp;TB_curr[[#This Row],[Line No. manual corr.]]</f>
        <v>#VALUE!</v>
      </c>
      <c r="AJ663" s="1064">
        <f t="shared" si="51"/>
        <v>0</v>
      </c>
      <c r="AK663" s="1064">
        <f t="shared" si="52"/>
        <v>0</v>
      </c>
      <c r="AL663" s="1064">
        <f t="shared" si="53"/>
        <v>0</v>
      </c>
      <c r="AM663" s="1064">
        <f t="shared" si="54"/>
        <v>0</v>
      </c>
      <c r="AN663" s="1064"/>
      <c r="AO663" s="1064">
        <f>TB_curr[[#This Row],[Closing balance]]+TB_curr[[#This Row],[Rounding]]</f>
        <v>0</v>
      </c>
    </row>
    <row r="664" spans="30:41" x14ac:dyDescent="0.25">
      <c r="AD664" s="1067" t="str">
        <f t="shared" si="50"/>
        <v/>
      </c>
      <c r="AE664" s="1063" t="str">
        <f>IF(ISNA(VLOOKUP(TB_curr[[#This Row],[Synt]],GL[[#Headers],[#Data],[subtotal label]],1,FALSE)),0,(VLOOKUP(TB_curr[[#This Row],[Synt]],GL[[#Headers],[#Data],[subtotal label]],1,FALSE)))</f>
        <v/>
      </c>
      <c r="AF664" s="1063" t="e">
        <f>IF((TB_curr[[#This Row],[Synt]]-TB_curr[[#This Row],[Subtotal Y/N]])=0,0,VLOOKUP(TB_curr[[#This Row],[Synt]],GL[[Account]:[Line]],3,FALSE))</f>
        <v>#VALUE!</v>
      </c>
      <c r="AG664" s="1063" t="e">
        <f>VLOOKUP(TB_curr[[#This Row],[Synt]],GL[[Account]:[B/P]],4,FALSE)</f>
        <v>#N/A</v>
      </c>
      <c r="AH664" s="1066" t="e">
        <v>#VALUE!</v>
      </c>
      <c r="AI664" s="1065" t="e">
        <f>TB_curr[[#This Row],[Synt]]&amp;TB_curr[[#This Row],[Line No. manual corr.]]</f>
        <v>#VALUE!</v>
      </c>
      <c r="AJ664" s="1064">
        <f t="shared" si="51"/>
        <v>0</v>
      </c>
      <c r="AK664" s="1064">
        <f t="shared" si="52"/>
        <v>0</v>
      </c>
      <c r="AL664" s="1064">
        <f t="shared" si="53"/>
        <v>0</v>
      </c>
      <c r="AM664" s="1064">
        <f t="shared" si="54"/>
        <v>0</v>
      </c>
      <c r="AN664" s="1064"/>
      <c r="AO664" s="1064">
        <f>TB_curr[[#This Row],[Closing balance]]+TB_curr[[#This Row],[Rounding]]</f>
        <v>0</v>
      </c>
    </row>
    <row r="665" spans="30:41" x14ac:dyDescent="0.25">
      <c r="AD665" s="1067" t="str">
        <f t="shared" si="50"/>
        <v/>
      </c>
      <c r="AE665" s="1063" t="str">
        <f>IF(ISNA(VLOOKUP(TB_curr[[#This Row],[Synt]],GL[[#Headers],[#Data],[subtotal label]],1,FALSE)),0,(VLOOKUP(TB_curr[[#This Row],[Synt]],GL[[#Headers],[#Data],[subtotal label]],1,FALSE)))</f>
        <v/>
      </c>
      <c r="AF665" s="1063" t="e">
        <f>IF((TB_curr[[#This Row],[Synt]]-TB_curr[[#This Row],[Subtotal Y/N]])=0,0,VLOOKUP(TB_curr[[#This Row],[Synt]],GL[[Account]:[Line]],3,FALSE))</f>
        <v>#VALUE!</v>
      </c>
      <c r="AG665" s="1063" t="e">
        <f>VLOOKUP(TB_curr[[#This Row],[Synt]],GL[[Account]:[B/P]],4,FALSE)</f>
        <v>#N/A</v>
      </c>
      <c r="AH665" s="1066" t="e">
        <v>#VALUE!</v>
      </c>
      <c r="AI665" s="1065" t="e">
        <f>TB_curr[[#This Row],[Synt]]&amp;TB_curr[[#This Row],[Line No. manual corr.]]</f>
        <v>#VALUE!</v>
      </c>
      <c r="AJ665" s="1064">
        <f t="shared" si="51"/>
        <v>0</v>
      </c>
      <c r="AK665" s="1064">
        <f t="shared" si="52"/>
        <v>0</v>
      </c>
      <c r="AL665" s="1064">
        <f t="shared" si="53"/>
        <v>0</v>
      </c>
      <c r="AM665" s="1064">
        <f t="shared" si="54"/>
        <v>0</v>
      </c>
      <c r="AN665" s="1064"/>
      <c r="AO665" s="1064">
        <f>TB_curr[[#This Row],[Closing balance]]+TB_curr[[#This Row],[Rounding]]</f>
        <v>0</v>
      </c>
    </row>
    <row r="666" spans="30:41" x14ac:dyDescent="0.25">
      <c r="AD666" s="1067" t="str">
        <f t="shared" si="50"/>
        <v/>
      </c>
      <c r="AE666" s="1063" t="str">
        <f>IF(ISNA(VLOOKUP(TB_curr[[#This Row],[Synt]],GL[[#Headers],[#Data],[subtotal label]],1,FALSE)),0,(VLOOKUP(TB_curr[[#This Row],[Synt]],GL[[#Headers],[#Data],[subtotal label]],1,FALSE)))</f>
        <v/>
      </c>
      <c r="AF666" s="1063" t="e">
        <f>IF((TB_curr[[#This Row],[Synt]]-TB_curr[[#This Row],[Subtotal Y/N]])=0,0,VLOOKUP(TB_curr[[#This Row],[Synt]],GL[[Account]:[Line]],3,FALSE))</f>
        <v>#VALUE!</v>
      </c>
      <c r="AG666" s="1063" t="e">
        <f>VLOOKUP(TB_curr[[#This Row],[Synt]],GL[[Account]:[B/P]],4,FALSE)</f>
        <v>#N/A</v>
      </c>
      <c r="AH666" s="1066" t="e">
        <v>#VALUE!</v>
      </c>
      <c r="AI666" s="1065" t="e">
        <f>TB_curr[[#This Row],[Synt]]&amp;TB_curr[[#This Row],[Line No. manual corr.]]</f>
        <v>#VALUE!</v>
      </c>
      <c r="AJ666" s="1064">
        <f t="shared" si="51"/>
        <v>0</v>
      </c>
      <c r="AK666" s="1064">
        <f t="shared" si="52"/>
        <v>0</v>
      </c>
      <c r="AL666" s="1064">
        <f t="shared" si="53"/>
        <v>0</v>
      </c>
      <c r="AM666" s="1064">
        <f t="shared" si="54"/>
        <v>0</v>
      </c>
      <c r="AN666" s="1064"/>
      <c r="AO666" s="1064">
        <f>TB_curr[[#This Row],[Closing balance]]+TB_curr[[#This Row],[Rounding]]</f>
        <v>0</v>
      </c>
    </row>
    <row r="667" spans="30:41" x14ac:dyDescent="0.25">
      <c r="AD667" s="1067" t="str">
        <f t="shared" si="50"/>
        <v/>
      </c>
      <c r="AE667" s="1063" t="str">
        <f>IF(ISNA(VLOOKUP(TB_curr[[#This Row],[Synt]],GL[[#Headers],[#Data],[subtotal label]],1,FALSE)),0,(VLOOKUP(TB_curr[[#This Row],[Synt]],GL[[#Headers],[#Data],[subtotal label]],1,FALSE)))</f>
        <v/>
      </c>
      <c r="AF667" s="1063" t="e">
        <f>IF((TB_curr[[#This Row],[Synt]]-TB_curr[[#This Row],[Subtotal Y/N]])=0,0,VLOOKUP(TB_curr[[#This Row],[Synt]],GL[[Account]:[Line]],3,FALSE))</f>
        <v>#VALUE!</v>
      </c>
      <c r="AG667" s="1063" t="e">
        <f>VLOOKUP(TB_curr[[#This Row],[Synt]],GL[[Account]:[B/P]],4,FALSE)</f>
        <v>#N/A</v>
      </c>
      <c r="AH667" s="1066" t="e">
        <v>#VALUE!</v>
      </c>
      <c r="AI667" s="1065" t="e">
        <f>TB_curr[[#This Row],[Synt]]&amp;TB_curr[[#This Row],[Line No. manual corr.]]</f>
        <v>#VALUE!</v>
      </c>
      <c r="AJ667" s="1064">
        <f t="shared" si="51"/>
        <v>0</v>
      </c>
      <c r="AK667" s="1064">
        <f t="shared" si="52"/>
        <v>0</v>
      </c>
      <c r="AL667" s="1064">
        <f t="shared" si="53"/>
        <v>0</v>
      </c>
      <c r="AM667" s="1064">
        <f t="shared" si="54"/>
        <v>0</v>
      </c>
      <c r="AN667" s="1064"/>
      <c r="AO667" s="1064">
        <f>TB_curr[[#This Row],[Closing balance]]+TB_curr[[#This Row],[Rounding]]</f>
        <v>0</v>
      </c>
    </row>
    <row r="668" spans="30:41" x14ac:dyDescent="0.25">
      <c r="AD668" s="1067" t="str">
        <f t="shared" si="50"/>
        <v/>
      </c>
      <c r="AE668" s="1063" t="str">
        <f>IF(ISNA(VLOOKUP(TB_curr[[#This Row],[Synt]],GL[[#Headers],[#Data],[subtotal label]],1,FALSE)),0,(VLOOKUP(TB_curr[[#This Row],[Synt]],GL[[#Headers],[#Data],[subtotal label]],1,FALSE)))</f>
        <v/>
      </c>
      <c r="AF668" s="1063" t="e">
        <f>IF((TB_curr[[#This Row],[Synt]]-TB_curr[[#This Row],[Subtotal Y/N]])=0,0,VLOOKUP(TB_curr[[#This Row],[Synt]],GL[[Account]:[Line]],3,FALSE))</f>
        <v>#VALUE!</v>
      </c>
      <c r="AG668" s="1063" t="e">
        <f>VLOOKUP(TB_curr[[#This Row],[Synt]],GL[[Account]:[B/P]],4,FALSE)</f>
        <v>#N/A</v>
      </c>
      <c r="AH668" s="1066" t="e">
        <v>#VALUE!</v>
      </c>
      <c r="AI668" s="1065" t="e">
        <f>TB_curr[[#This Row],[Synt]]&amp;TB_curr[[#This Row],[Line No. manual corr.]]</f>
        <v>#VALUE!</v>
      </c>
      <c r="AJ668" s="1064">
        <f t="shared" si="51"/>
        <v>0</v>
      </c>
      <c r="AK668" s="1064">
        <f t="shared" si="52"/>
        <v>0</v>
      </c>
      <c r="AL668" s="1064">
        <f t="shared" si="53"/>
        <v>0</v>
      </c>
      <c r="AM668" s="1064">
        <f t="shared" si="54"/>
        <v>0</v>
      </c>
      <c r="AN668" s="1064"/>
      <c r="AO668" s="1064">
        <f>TB_curr[[#This Row],[Closing balance]]+TB_curr[[#This Row],[Rounding]]</f>
        <v>0</v>
      </c>
    </row>
    <row r="669" spans="30:41" x14ac:dyDescent="0.25">
      <c r="AD669" s="1067" t="str">
        <f t="shared" si="50"/>
        <v/>
      </c>
      <c r="AE669" s="1063" t="str">
        <f>IF(ISNA(VLOOKUP(TB_curr[[#This Row],[Synt]],GL[[#Headers],[#Data],[subtotal label]],1,FALSE)),0,(VLOOKUP(TB_curr[[#This Row],[Synt]],GL[[#Headers],[#Data],[subtotal label]],1,FALSE)))</f>
        <v/>
      </c>
      <c r="AF669" s="1063" t="e">
        <f>IF((TB_curr[[#This Row],[Synt]]-TB_curr[[#This Row],[Subtotal Y/N]])=0,0,VLOOKUP(TB_curr[[#This Row],[Synt]],GL[[Account]:[Line]],3,FALSE))</f>
        <v>#VALUE!</v>
      </c>
      <c r="AG669" s="1063" t="e">
        <f>VLOOKUP(TB_curr[[#This Row],[Synt]],GL[[Account]:[B/P]],4,FALSE)</f>
        <v>#N/A</v>
      </c>
      <c r="AH669" s="1066" t="e">
        <v>#VALUE!</v>
      </c>
      <c r="AI669" s="1065" t="e">
        <f>TB_curr[[#This Row],[Synt]]&amp;TB_curr[[#This Row],[Line No. manual corr.]]</f>
        <v>#VALUE!</v>
      </c>
      <c r="AJ669" s="1064">
        <f t="shared" si="51"/>
        <v>0</v>
      </c>
      <c r="AK669" s="1064">
        <f t="shared" si="52"/>
        <v>0</v>
      </c>
      <c r="AL669" s="1064">
        <f t="shared" si="53"/>
        <v>0</v>
      </c>
      <c r="AM669" s="1064">
        <f t="shared" si="54"/>
        <v>0</v>
      </c>
      <c r="AN669" s="1064"/>
      <c r="AO669" s="1064">
        <f>TB_curr[[#This Row],[Closing balance]]+TB_curr[[#This Row],[Rounding]]</f>
        <v>0</v>
      </c>
    </row>
    <row r="670" spans="30:41" x14ac:dyDescent="0.25">
      <c r="AD670" s="1067" t="str">
        <f t="shared" si="50"/>
        <v/>
      </c>
      <c r="AE670" s="1063" t="str">
        <f>IF(ISNA(VLOOKUP(TB_curr[[#This Row],[Synt]],GL[[#Headers],[#Data],[subtotal label]],1,FALSE)),0,(VLOOKUP(TB_curr[[#This Row],[Synt]],GL[[#Headers],[#Data],[subtotal label]],1,FALSE)))</f>
        <v/>
      </c>
      <c r="AF670" s="1063" t="e">
        <f>IF((TB_curr[[#This Row],[Synt]]-TB_curr[[#This Row],[Subtotal Y/N]])=0,0,VLOOKUP(TB_curr[[#This Row],[Synt]],GL[[Account]:[Line]],3,FALSE))</f>
        <v>#VALUE!</v>
      </c>
      <c r="AG670" s="1063" t="e">
        <f>VLOOKUP(TB_curr[[#This Row],[Synt]],GL[[Account]:[B/P]],4,FALSE)</f>
        <v>#N/A</v>
      </c>
      <c r="AH670" s="1066" t="e">
        <v>#VALUE!</v>
      </c>
      <c r="AI670" s="1065" t="e">
        <f>TB_curr[[#This Row],[Synt]]&amp;TB_curr[[#This Row],[Line No. manual corr.]]</f>
        <v>#VALUE!</v>
      </c>
      <c r="AJ670" s="1064">
        <f t="shared" si="51"/>
        <v>0</v>
      </c>
      <c r="AK670" s="1064">
        <f t="shared" si="52"/>
        <v>0</v>
      </c>
      <c r="AL670" s="1064">
        <f t="shared" si="53"/>
        <v>0</v>
      </c>
      <c r="AM670" s="1064">
        <f t="shared" si="54"/>
        <v>0</v>
      </c>
      <c r="AN670" s="1064"/>
      <c r="AO670" s="1064">
        <f>TB_curr[[#This Row],[Closing balance]]+TB_curr[[#This Row],[Rounding]]</f>
        <v>0</v>
      </c>
    </row>
    <row r="671" spans="30:41" x14ac:dyDescent="0.25">
      <c r="AD671" s="1067" t="str">
        <f t="shared" si="50"/>
        <v/>
      </c>
      <c r="AE671" s="1063" t="str">
        <f>IF(ISNA(VLOOKUP(TB_curr[[#This Row],[Synt]],GL[[#Headers],[#Data],[subtotal label]],1,FALSE)),0,(VLOOKUP(TB_curr[[#This Row],[Synt]],GL[[#Headers],[#Data],[subtotal label]],1,FALSE)))</f>
        <v/>
      </c>
      <c r="AF671" s="1063" t="e">
        <f>IF((TB_curr[[#This Row],[Synt]]-TB_curr[[#This Row],[Subtotal Y/N]])=0,0,VLOOKUP(TB_curr[[#This Row],[Synt]],GL[[Account]:[Line]],3,FALSE))</f>
        <v>#VALUE!</v>
      </c>
      <c r="AG671" s="1063" t="e">
        <f>VLOOKUP(TB_curr[[#This Row],[Synt]],GL[[Account]:[B/P]],4,FALSE)</f>
        <v>#N/A</v>
      </c>
      <c r="AH671" s="1066" t="e">
        <v>#VALUE!</v>
      </c>
      <c r="AI671" s="1065" t="e">
        <f>TB_curr[[#This Row],[Synt]]&amp;TB_curr[[#This Row],[Line No. manual corr.]]</f>
        <v>#VALUE!</v>
      </c>
      <c r="AJ671" s="1064">
        <f t="shared" si="51"/>
        <v>0</v>
      </c>
      <c r="AK671" s="1064">
        <f t="shared" si="52"/>
        <v>0</v>
      </c>
      <c r="AL671" s="1064">
        <f t="shared" si="53"/>
        <v>0</v>
      </c>
      <c r="AM671" s="1064">
        <f t="shared" si="54"/>
        <v>0</v>
      </c>
      <c r="AN671" s="1064"/>
      <c r="AO671" s="1064">
        <f>TB_curr[[#This Row],[Closing balance]]+TB_curr[[#This Row],[Rounding]]</f>
        <v>0</v>
      </c>
    </row>
    <row r="672" spans="30:41" x14ac:dyDescent="0.25">
      <c r="AD672" s="1067" t="str">
        <f t="shared" si="50"/>
        <v/>
      </c>
      <c r="AE672" s="1063" t="str">
        <f>IF(ISNA(VLOOKUP(TB_curr[[#This Row],[Synt]],GL[[#Headers],[#Data],[subtotal label]],1,FALSE)),0,(VLOOKUP(TB_curr[[#This Row],[Synt]],GL[[#Headers],[#Data],[subtotal label]],1,FALSE)))</f>
        <v/>
      </c>
      <c r="AF672" s="1063" t="e">
        <f>IF((TB_curr[[#This Row],[Synt]]-TB_curr[[#This Row],[Subtotal Y/N]])=0,0,VLOOKUP(TB_curr[[#This Row],[Synt]],GL[[Account]:[Line]],3,FALSE))</f>
        <v>#VALUE!</v>
      </c>
      <c r="AG672" s="1063" t="e">
        <f>VLOOKUP(TB_curr[[#This Row],[Synt]],GL[[Account]:[B/P]],4,FALSE)</f>
        <v>#N/A</v>
      </c>
      <c r="AH672" s="1066" t="e">
        <v>#VALUE!</v>
      </c>
      <c r="AI672" s="1065" t="e">
        <f>TB_curr[[#This Row],[Synt]]&amp;TB_curr[[#This Row],[Line No. manual corr.]]</f>
        <v>#VALUE!</v>
      </c>
      <c r="AJ672" s="1064">
        <f t="shared" si="51"/>
        <v>0</v>
      </c>
      <c r="AK672" s="1064">
        <f t="shared" si="52"/>
        <v>0</v>
      </c>
      <c r="AL672" s="1064">
        <f t="shared" si="53"/>
        <v>0</v>
      </c>
      <c r="AM672" s="1064">
        <f t="shared" si="54"/>
        <v>0</v>
      </c>
      <c r="AN672" s="1064"/>
      <c r="AO672" s="1064">
        <f>TB_curr[[#This Row],[Closing balance]]+TB_curr[[#This Row],[Rounding]]</f>
        <v>0</v>
      </c>
    </row>
    <row r="673" spans="30:41" x14ac:dyDescent="0.25">
      <c r="AD673" s="1067" t="str">
        <f t="shared" si="50"/>
        <v/>
      </c>
      <c r="AE673" s="1063" t="str">
        <f>IF(ISNA(VLOOKUP(TB_curr[[#This Row],[Synt]],GL[[#Headers],[#Data],[subtotal label]],1,FALSE)),0,(VLOOKUP(TB_curr[[#This Row],[Synt]],GL[[#Headers],[#Data],[subtotal label]],1,FALSE)))</f>
        <v/>
      </c>
      <c r="AF673" s="1063" t="e">
        <f>IF((TB_curr[[#This Row],[Synt]]-TB_curr[[#This Row],[Subtotal Y/N]])=0,0,VLOOKUP(TB_curr[[#This Row],[Synt]],GL[[Account]:[Line]],3,FALSE))</f>
        <v>#VALUE!</v>
      </c>
      <c r="AG673" s="1063" t="e">
        <f>VLOOKUP(TB_curr[[#This Row],[Synt]],GL[[Account]:[B/P]],4,FALSE)</f>
        <v>#N/A</v>
      </c>
      <c r="AH673" s="1066" t="e">
        <v>#VALUE!</v>
      </c>
      <c r="AI673" s="1065" t="e">
        <f>TB_curr[[#This Row],[Synt]]&amp;TB_curr[[#This Row],[Line No. manual corr.]]</f>
        <v>#VALUE!</v>
      </c>
      <c r="AJ673" s="1064">
        <f t="shared" si="51"/>
        <v>0</v>
      </c>
      <c r="AK673" s="1064">
        <f t="shared" si="52"/>
        <v>0</v>
      </c>
      <c r="AL673" s="1064">
        <f t="shared" si="53"/>
        <v>0</v>
      </c>
      <c r="AM673" s="1064">
        <f t="shared" si="54"/>
        <v>0</v>
      </c>
      <c r="AN673" s="1064"/>
      <c r="AO673" s="1064">
        <f>TB_curr[[#This Row],[Closing balance]]+TB_curr[[#This Row],[Rounding]]</f>
        <v>0</v>
      </c>
    </row>
    <row r="674" spans="30:41" x14ac:dyDescent="0.25">
      <c r="AD674" s="1067" t="str">
        <f t="shared" si="50"/>
        <v/>
      </c>
      <c r="AE674" s="1063" t="str">
        <f>IF(ISNA(VLOOKUP(TB_curr[[#This Row],[Synt]],GL[[#Headers],[#Data],[subtotal label]],1,FALSE)),0,(VLOOKUP(TB_curr[[#This Row],[Synt]],GL[[#Headers],[#Data],[subtotal label]],1,FALSE)))</f>
        <v/>
      </c>
      <c r="AF674" s="1063" t="e">
        <f>IF((TB_curr[[#This Row],[Synt]]-TB_curr[[#This Row],[Subtotal Y/N]])=0,0,VLOOKUP(TB_curr[[#This Row],[Synt]],GL[[Account]:[Line]],3,FALSE))</f>
        <v>#VALUE!</v>
      </c>
      <c r="AG674" s="1063" t="e">
        <f>VLOOKUP(TB_curr[[#This Row],[Synt]],GL[[Account]:[B/P]],4,FALSE)</f>
        <v>#N/A</v>
      </c>
      <c r="AH674" s="1066" t="e">
        <v>#VALUE!</v>
      </c>
      <c r="AI674" s="1065" t="e">
        <f>TB_curr[[#This Row],[Synt]]&amp;TB_curr[[#This Row],[Line No. manual corr.]]</f>
        <v>#VALUE!</v>
      </c>
      <c r="AJ674" s="1064">
        <f t="shared" si="51"/>
        <v>0</v>
      </c>
      <c r="AK674" s="1064">
        <f t="shared" si="52"/>
        <v>0</v>
      </c>
      <c r="AL674" s="1064">
        <f t="shared" si="53"/>
        <v>0</v>
      </c>
      <c r="AM674" s="1064">
        <f t="shared" si="54"/>
        <v>0</v>
      </c>
      <c r="AN674" s="1064"/>
      <c r="AO674" s="1064">
        <f>TB_curr[[#This Row],[Closing balance]]+TB_curr[[#This Row],[Rounding]]</f>
        <v>0</v>
      </c>
    </row>
    <row r="675" spans="30:41" x14ac:dyDescent="0.25">
      <c r="AD675" s="1067" t="str">
        <f t="shared" si="50"/>
        <v/>
      </c>
      <c r="AE675" s="1063" t="str">
        <f>IF(ISNA(VLOOKUP(TB_curr[[#This Row],[Synt]],GL[[#Headers],[#Data],[subtotal label]],1,FALSE)),0,(VLOOKUP(TB_curr[[#This Row],[Synt]],GL[[#Headers],[#Data],[subtotal label]],1,FALSE)))</f>
        <v/>
      </c>
      <c r="AF675" s="1063" t="e">
        <f>IF((TB_curr[[#This Row],[Synt]]-TB_curr[[#This Row],[Subtotal Y/N]])=0,0,VLOOKUP(TB_curr[[#This Row],[Synt]],GL[[Account]:[Line]],3,FALSE))</f>
        <v>#VALUE!</v>
      </c>
      <c r="AG675" s="1063" t="e">
        <f>VLOOKUP(TB_curr[[#This Row],[Synt]],GL[[Account]:[B/P]],4,FALSE)</f>
        <v>#N/A</v>
      </c>
      <c r="AH675" s="1066" t="e">
        <v>#VALUE!</v>
      </c>
      <c r="AI675" s="1065" t="e">
        <f>TB_curr[[#This Row],[Synt]]&amp;TB_curr[[#This Row],[Line No. manual corr.]]</f>
        <v>#VALUE!</v>
      </c>
      <c r="AJ675" s="1064">
        <f t="shared" si="51"/>
        <v>0</v>
      </c>
      <c r="AK675" s="1064">
        <f t="shared" si="52"/>
        <v>0</v>
      </c>
      <c r="AL675" s="1064">
        <f t="shared" si="53"/>
        <v>0</v>
      </c>
      <c r="AM675" s="1064">
        <f t="shared" si="54"/>
        <v>0</v>
      </c>
      <c r="AN675" s="1064"/>
      <c r="AO675" s="1064">
        <f>TB_curr[[#This Row],[Closing balance]]+TB_curr[[#This Row],[Rounding]]</f>
        <v>0</v>
      </c>
    </row>
    <row r="676" spans="30:41" x14ac:dyDescent="0.25">
      <c r="AD676" s="1067" t="str">
        <f t="shared" si="50"/>
        <v/>
      </c>
      <c r="AE676" s="1063" t="str">
        <f>IF(ISNA(VLOOKUP(TB_curr[[#This Row],[Synt]],GL[[#Headers],[#Data],[subtotal label]],1,FALSE)),0,(VLOOKUP(TB_curr[[#This Row],[Synt]],GL[[#Headers],[#Data],[subtotal label]],1,FALSE)))</f>
        <v/>
      </c>
      <c r="AF676" s="1063" t="e">
        <f>IF((TB_curr[[#This Row],[Synt]]-TB_curr[[#This Row],[Subtotal Y/N]])=0,0,VLOOKUP(TB_curr[[#This Row],[Synt]],GL[[Account]:[Line]],3,FALSE))</f>
        <v>#VALUE!</v>
      </c>
      <c r="AG676" s="1063" t="e">
        <f>VLOOKUP(TB_curr[[#This Row],[Synt]],GL[[Account]:[B/P]],4,FALSE)</f>
        <v>#N/A</v>
      </c>
      <c r="AH676" s="1066" t="e">
        <v>#VALUE!</v>
      </c>
      <c r="AI676" s="1065" t="e">
        <f>TB_curr[[#This Row],[Synt]]&amp;TB_curr[[#This Row],[Line No. manual corr.]]</f>
        <v>#VALUE!</v>
      </c>
      <c r="AJ676" s="1064">
        <f t="shared" si="51"/>
        <v>0</v>
      </c>
      <c r="AK676" s="1064">
        <f t="shared" si="52"/>
        <v>0</v>
      </c>
      <c r="AL676" s="1064">
        <f t="shared" si="53"/>
        <v>0</v>
      </c>
      <c r="AM676" s="1064">
        <f t="shared" si="54"/>
        <v>0</v>
      </c>
      <c r="AN676" s="1064"/>
      <c r="AO676" s="1064">
        <f>TB_curr[[#This Row],[Closing balance]]+TB_curr[[#This Row],[Rounding]]</f>
        <v>0</v>
      </c>
    </row>
    <row r="677" spans="30:41" x14ac:dyDescent="0.25">
      <c r="AD677" s="1067" t="str">
        <f t="shared" si="50"/>
        <v/>
      </c>
      <c r="AE677" s="1063" t="str">
        <f>IF(ISNA(VLOOKUP(TB_curr[[#This Row],[Synt]],GL[[#Headers],[#Data],[subtotal label]],1,FALSE)),0,(VLOOKUP(TB_curr[[#This Row],[Synt]],GL[[#Headers],[#Data],[subtotal label]],1,FALSE)))</f>
        <v/>
      </c>
      <c r="AF677" s="1063" t="e">
        <f>IF((TB_curr[[#This Row],[Synt]]-TB_curr[[#This Row],[Subtotal Y/N]])=0,0,VLOOKUP(TB_curr[[#This Row],[Synt]],GL[[Account]:[Line]],3,FALSE))</f>
        <v>#VALUE!</v>
      </c>
      <c r="AG677" s="1063" t="e">
        <f>VLOOKUP(TB_curr[[#This Row],[Synt]],GL[[Account]:[B/P]],4,FALSE)</f>
        <v>#N/A</v>
      </c>
      <c r="AH677" s="1066" t="e">
        <v>#VALUE!</v>
      </c>
      <c r="AI677" s="1065" t="e">
        <f>TB_curr[[#This Row],[Synt]]&amp;TB_curr[[#This Row],[Line No. manual corr.]]</f>
        <v>#VALUE!</v>
      </c>
      <c r="AJ677" s="1064">
        <f t="shared" si="51"/>
        <v>0</v>
      </c>
      <c r="AK677" s="1064">
        <f t="shared" si="52"/>
        <v>0</v>
      </c>
      <c r="AL677" s="1064">
        <f t="shared" si="53"/>
        <v>0</v>
      </c>
      <c r="AM677" s="1064">
        <f t="shared" si="54"/>
        <v>0</v>
      </c>
      <c r="AN677" s="1064"/>
      <c r="AO677" s="1064">
        <f>TB_curr[[#This Row],[Closing balance]]+TB_curr[[#This Row],[Rounding]]</f>
        <v>0</v>
      </c>
    </row>
    <row r="678" spans="30:41" x14ac:dyDescent="0.25">
      <c r="AD678" s="1067" t="str">
        <f t="shared" si="50"/>
        <v/>
      </c>
      <c r="AE678" s="1063" t="str">
        <f>IF(ISNA(VLOOKUP(TB_curr[[#This Row],[Synt]],GL[[#Headers],[#Data],[subtotal label]],1,FALSE)),0,(VLOOKUP(TB_curr[[#This Row],[Synt]],GL[[#Headers],[#Data],[subtotal label]],1,FALSE)))</f>
        <v/>
      </c>
      <c r="AF678" s="1063" t="e">
        <f>IF((TB_curr[[#This Row],[Synt]]-TB_curr[[#This Row],[Subtotal Y/N]])=0,0,VLOOKUP(TB_curr[[#This Row],[Synt]],GL[[Account]:[Line]],3,FALSE))</f>
        <v>#VALUE!</v>
      </c>
      <c r="AG678" s="1063" t="e">
        <f>VLOOKUP(TB_curr[[#This Row],[Synt]],GL[[Account]:[B/P]],4,FALSE)</f>
        <v>#N/A</v>
      </c>
      <c r="AH678" s="1066" t="e">
        <v>#VALUE!</v>
      </c>
      <c r="AI678" s="1065" t="e">
        <f>TB_curr[[#This Row],[Synt]]&amp;TB_curr[[#This Row],[Line No. manual corr.]]</f>
        <v>#VALUE!</v>
      </c>
      <c r="AJ678" s="1064">
        <f t="shared" si="51"/>
        <v>0</v>
      </c>
      <c r="AK678" s="1064">
        <f t="shared" si="52"/>
        <v>0</v>
      </c>
      <c r="AL678" s="1064">
        <f t="shared" si="53"/>
        <v>0</v>
      </c>
      <c r="AM678" s="1064">
        <f t="shared" si="54"/>
        <v>0</v>
      </c>
      <c r="AN678" s="1064"/>
      <c r="AO678" s="1064">
        <f>TB_curr[[#This Row],[Closing balance]]+TB_curr[[#This Row],[Rounding]]</f>
        <v>0</v>
      </c>
    </row>
    <row r="679" spans="30:41" x14ac:dyDescent="0.25">
      <c r="AD679" s="1067" t="str">
        <f t="shared" si="50"/>
        <v/>
      </c>
      <c r="AE679" s="1063" t="str">
        <f>IF(ISNA(VLOOKUP(TB_curr[[#This Row],[Synt]],GL[[#Headers],[#Data],[subtotal label]],1,FALSE)),0,(VLOOKUP(TB_curr[[#This Row],[Synt]],GL[[#Headers],[#Data],[subtotal label]],1,FALSE)))</f>
        <v/>
      </c>
      <c r="AF679" s="1063" t="e">
        <f>IF((TB_curr[[#This Row],[Synt]]-TB_curr[[#This Row],[Subtotal Y/N]])=0,0,VLOOKUP(TB_curr[[#This Row],[Synt]],GL[[Account]:[Line]],3,FALSE))</f>
        <v>#VALUE!</v>
      </c>
      <c r="AG679" s="1063" t="e">
        <f>VLOOKUP(TB_curr[[#This Row],[Synt]],GL[[Account]:[B/P]],4,FALSE)</f>
        <v>#N/A</v>
      </c>
      <c r="AH679" s="1066" t="e">
        <v>#VALUE!</v>
      </c>
      <c r="AI679" s="1065" t="e">
        <f>TB_curr[[#This Row],[Synt]]&amp;TB_curr[[#This Row],[Line No. manual corr.]]</f>
        <v>#VALUE!</v>
      </c>
      <c r="AJ679" s="1064">
        <f t="shared" si="51"/>
        <v>0</v>
      </c>
      <c r="AK679" s="1064">
        <f t="shared" si="52"/>
        <v>0</v>
      </c>
      <c r="AL679" s="1064">
        <f t="shared" si="53"/>
        <v>0</v>
      </c>
      <c r="AM679" s="1064">
        <f t="shared" si="54"/>
        <v>0</v>
      </c>
      <c r="AN679" s="1064"/>
      <c r="AO679" s="1064">
        <f>TB_curr[[#This Row],[Closing balance]]+TB_curr[[#This Row],[Rounding]]</f>
        <v>0</v>
      </c>
    </row>
    <row r="680" spans="30:41" x14ac:dyDescent="0.25">
      <c r="AD680" s="1067" t="str">
        <f t="shared" si="50"/>
        <v/>
      </c>
      <c r="AE680" s="1063" t="str">
        <f>IF(ISNA(VLOOKUP(TB_curr[[#This Row],[Synt]],GL[[#Headers],[#Data],[subtotal label]],1,FALSE)),0,(VLOOKUP(TB_curr[[#This Row],[Synt]],GL[[#Headers],[#Data],[subtotal label]],1,FALSE)))</f>
        <v/>
      </c>
      <c r="AF680" s="1063" t="e">
        <f>IF((TB_curr[[#This Row],[Synt]]-TB_curr[[#This Row],[Subtotal Y/N]])=0,0,VLOOKUP(TB_curr[[#This Row],[Synt]],GL[[Account]:[Line]],3,FALSE))</f>
        <v>#VALUE!</v>
      </c>
      <c r="AG680" s="1063" t="e">
        <f>VLOOKUP(TB_curr[[#This Row],[Synt]],GL[[Account]:[B/P]],4,FALSE)</f>
        <v>#N/A</v>
      </c>
      <c r="AH680" s="1066" t="e">
        <v>#VALUE!</v>
      </c>
      <c r="AI680" s="1065" t="e">
        <f>TB_curr[[#This Row],[Synt]]&amp;TB_curr[[#This Row],[Line No. manual corr.]]</f>
        <v>#VALUE!</v>
      </c>
      <c r="AJ680" s="1064">
        <f t="shared" si="51"/>
        <v>0</v>
      </c>
      <c r="AK680" s="1064">
        <f t="shared" si="52"/>
        <v>0</v>
      </c>
      <c r="AL680" s="1064">
        <f t="shared" si="53"/>
        <v>0</v>
      </c>
      <c r="AM680" s="1064">
        <f t="shared" si="54"/>
        <v>0</v>
      </c>
      <c r="AN680" s="1064"/>
      <c r="AO680" s="1064">
        <f>TB_curr[[#This Row],[Closing balance]]+TB_curr[[#This Row],[Rounding]]</f>
        <v>0</v>
      </c>
    </row>
    <row r="681" spans="30:41" x14ac:dyDescent="0.25">
      <c r="AD681" s="1067" t="str">
        <f t="shared" si="50"/>
        <v/>
      </c>
      <c r="AE681" s="1063" t="str">
        <f>IF(ISNA(VLOOKUP(TB_curr[[#This Row],[Synt]],GL[[#Headers],[#Data],[subtotal label]],1,FALSE)),0,(VLOOKUP(TB_curr[[#This Row],[Synt]],GL[[#Headers],[#Data],[subtotal label]],1,FALSE)))</f>
        <v/>
      </c>
      <c r="AF681" s="1063" t="e">
        <f>IF((TB_curr[[#This Row],[Synt]]-TB_curr[[#This Row],[Subtotal Y/N]])=0,0,VLOOKUP(TB_curr[[#This Row],[Synt]],GL[[Account]:[Line]],3,FALSE))</f>
        <v>#VALUE!</v>
      </c>
      <c r="AG681" s="1063" t="e">
        <f>VLOOKUP(TB_curr[[#This Row],[Synt]],GL[[Account]:[B/P]],4,FALSE)</f>
        <v>#N/A</v>
      </c>
      <c r="AH681" s="1066" t="e">
        <v>#VALUE!</v>
      </c>
      <c r="AI681" s="1065" t="e">
        <f>TB_curr[[#This Row],[Synt]]&amp;TB_curr[[#This Row],[Line No. manual corr.]]</f>
        <v>#VALUE!</v>
      </c>
      <c r="AJ681" s="1064">
        <f t="shared" si="51"/>
        <v>0</v>
      </c>
      <c r="AK681" s="1064">
        <f t="shared" si="52"/>
        <v>0</v>
      </c>
      <c r="AL681" s="1064">
        <f t="shared" si="53"/>
        <v>0</v>
      </c>
      <c r="AM681" s="1064">
        <f t="shared" si="54"/>
        <v>0</v>
      </c>
      <c r="AN681" s="1064"/>
      <c r="AO681" s="1064">
        <f>TB_curr[[#This Row],[Closing balance]]+TB_curr[[#This Row],[Rounding]]</f>
        <v>0</v>
      </c>
    </row>
    <row r="682" spans="30:41" x14ac:dyDescent="0.25">
      <c r="AD682" s="1067" t="str">
        <f t="shared" si="50"/>
        <v/>
      </c>
      <c r="AE682" s="1063" t="str">
        <f>IF(ISNA(VLOOKUP(TB_curr[[#This Row],[Synt]],GL[[#Headers],[#Data],[subtotal label]],1,FALSE)),0,(VLOOKUP(TB_curr[[#This Row],[Synt]],GL[[#Headers],[#Data],[subtotal label]],1,FALSE)))</f>
        <v/>
      </c>
      <c r="AF682" s="1063" t="e">
        <f>IF((TB_curr[[#This Row],[Synt]]-TB_curr[[#This Row],[Subtotal Y/N]])=0,0,VLOOKUP(TB_curr[[#This Row],[Synt]],GL[[Account]:[Line]],3,FALSE))</f>
        <v>#VALUE!</v>
      </c>
      <c r="AG682" s="1063" t="e">
        <f>VLOOKUP(TB_curr[[#This Row],[Synt]],GL[[Account]:[B/P]],4,FALSE)</f>
        <v>#N/A</v>
      </c>
      <c r="AH682" s="1066" t="e">
        <v>#VALUE!</v>
      </c>
      <c r="AI682" s="1065" t="e">
        <f>TB_curr[[#This Row],[Synt]]&amp;TB_curr[[#This Row],[Line No. manual corr.]]</f>
        <v>#VALUE!</v>
      </c>
      <c r="AJ682" s="1064">
        <f t="shared" si="51"/>
        <v>0</v>
      </c>
      <c r="AK682" s="1064">
        <f t="shared" si="52"/>
        <v>0</v>
      </c>
      <c r="AL682" s="1064">
        <f t="shared" si="53"/>
        <v>0</v>
      </c>
      <c r="AM682" s="1064">
        <f t="shared" si="54"/>
        <v>0</v>
      </c>
      <c r="AN682" s="1064"/>
      <c r="AO682" s="1064">
        <f>TB_curr[[#This Row],[Closing balance]]+TB_curr[[#This Row],[Rounding]]</f>
        <v>0</v>
      </c>
    </row>
    <row r="683" spans="30:41" x14ac:dyDescent="0.25">
      <c r="AD683" s="1067" t="str">
        <f t="shared" si="50"/>
        <v/>
      </c>
      <c r="AE683" s="1063" t="str">
        <f>IF(ISNA(VLOOKUP(TB_curr[[#This Row],[Synt]],GL[[#Headers],[#Data],[subtotal label]],1,FALSE)),0,(VLOOKUP(TB_curr[[#This Row],[Synt]],GL[[#Headers],[#Data],[subtotal label]],1,FALSE)))</f>
        <v/>
      </c>
      <c r="AF683" s="1063" t="e">
        <f>IF((TB_curr[[#This Row],[Synt]]-TB_curr[[#This Row],[Subtotal Y/N]])=0,0,VLOOKUP(TB_curr[[#This Row],[Synt]],GL[[Account]:[Line]],3,FALSE))</f>
        <v>#VALUE!</v>
      </c>
      <c r="AG683" s="1063" t="e">
        <f>VLOOKUP(TB_curr[[#This Row],[Synt]],GL[[Account]:[B/P]],4,FALSE)</f>
        <v>#N/A</v>
      </c>
      <c r="AH683" s="1066" t="e">
        <v>#VALUE!</v>
      </c>
      <c r="AI683" s="1065" t="e">
        <f>TB_curr[[#This Row],[Synt]]&amp;TB_curr[[#This Row],[Line No. manual corr.]]</f>
        <v>#VALUE!</v>
      </c>
      <c r="AJ683" s="1064">
        <f t="shared" si="51"/>
        <v>0</v>
      </c>
      <c r="AK683" s="1064">
        <f t="shared" si="52"/>
        <v>0</v>
      </c>
      <c r="AL683" s="1064">
        <f t="shared" si="53"/>
        <v>0</v>
      </c>
      <c r="AM683" s="1064">
        <f t="shared" si="54"/>
        <v>0</v>
      </c>
      <c r="AN683" s="1064"/>
      <c r="AO683" s="1064">
        <f>TB_curr[[#This Row],[Closing balance]]+TB_curr[[#This Row],[Rounding]]</f>
        <v>0</v>
      </c>
    </row>
    <row r="684" spans="30:41" x14ac:dyDescent="0.25">
      <c r="AD684" s="1067" t="str">
        <f t="shared" si="50"/>
        <v/>
      </c>
      <c r="AE684" s="1063" t="str">
        <f>IF(ISNA(VLOOKUP(TB_curr[[#This Row],[Synt]],GL[[#Headers],[#Data],[subtotal label]],1,FALSE)),0,(VLOOKUP(TB_curr[[#This Row],[Synt]],GL[[#Headers],[#Data],[subtotal label]],1,FALSE)))</f>
        <v/>
      </c>
      <c r="AF684" s="1063" t="e">
        <f>IF((TB_curr[[#This Row],[Synt]]-TB_curr[[#This Row],[Subtotal Y/N]])=0,0,VLOOKUP(TB_curr[[#This Row],[Synt]],GL[[Account]:[Line]],3,FALSE))</f>
        <v>#VALUE!</v>
      </c>
      <c r="AG684" s="1063" t="e">
        <f>VLOOKUP(TB_curr[[#This Row],[Synt]],GL[[Account]:[B/P]],4,FALSE)</f>
        <v>#N/A</v>
      </c>
      <c r="AH684" s="1066" t="e">
        <v>#VALUE!</v>
      </c>
      <c r="AI684" s="1065" t="e">
        <f>TB_curr[[#This Row],[Synt]]&amp;TB_curr[[#This Row],[Line No. manual corr.]]</f>
        <v>#VALUE!</v>
      </c>
      <c r="AJ684" s="1064">
        <f t="shared" si="51"/>
        <v>0</v>
      </c>
      <c r="AK684" s="1064">
        <f t="shared" si="52"/>
        <v>0</v>
      </c>
      <c r="AL684" s="1064">
        <f t="shared" si="53"/>
        <v>0</v>
      </c>
      <c r="AM684" s="1064">
        <f t="shared" si="54"/>
        <v>0</v>
      </c>
      <c r="AN684" s="1064"/>
      <c r="AO684" s="1064">
        <f>TB_curr[[#This Row],[Closing balance]]+TB_curr[[#This Row],[Rounding]]</f>
        <v>0</v>
      </c>
    </row>
    <row r="685" spans="30:41" x14ac:dyDescent="0.25">
      <c r="AD685" s="1067" t="str">
        <f t="shared" si="50"/>
        <v/>
      </c>
      <c r="AE685" s="1063" t="str">
        <f>IF(ISNA(VLOOKUP(TB_curr[[#This Row],[Synt]],GL[[#Headers],[#Data],[subtotal label]],1,FALSE)),0,(VLOOKUP(TB_curr[[#This Row],[Synt]],GL[[#Headers],[#Data],[subtotal label]],1,FALSE)))</f>
        <v/>
      </c>
      <c r="AF685" s="1063" t="e">
        <f>IF((TB_curr[[#This Row],[Synt]]-TB_curr[[#This Row],[Subtotal Y/N]])=0,0,VLOOKUP(TB_curr[[#This Row],[Synt]],GL[[Account]:[Line]],3,FALSE))</f>
        <v>#VALUE!</v>
      </c>
      <c r="AG685" s="1063" t="e">
        <f>VLOOKUP(TB_curr[[#This Row],[Synt]],GL[[Account]:[B/P]],4,FALSE)</f>
        <v>#N/A</v>
      </c>
      <c r="AH685" s="1066" t="e">
        <v>#VALUE!</v>
      </c>
      <c r="AI685" s="1065" t="e">
        <f>TB_curr[[#This Row],[Synt]]&amp;TB_curr[[#This Row],[Line No. manual corr.]]</f>
        <v>#VALUE!</v>
      </c>
      <c r="AJ685" s="1064">
        <f t="shared" si="51"/>
        <v>0</v>
      </c>
      <c r="AK685" s="1064">
        <f t="shared" si="52"/>
        <v>0</v>
      </c>
      <c r="AL685" s="1064">
        <f t="shared" si="53"/>
        <v>0</v>
      </c>
      <c r="AM685" s="1064">
        <f t="shared" si="54"/>
        <v>0</v>
      </c>
      <c r="AN685" s="1064"/>
      <c r="AO685" s="1064">
        <f>TB_curr[[#This Row],[Closing balance]]+TB_curr[[#This Row],[Rounding]]</f>
        <v>0</v>
      </c>
    </row>
    <row r="686" spans="30:41" x14ac:dyDescent="0.25">
      <c r="AD686" s="1067" t="str">
        <f t="shared" si="50"/>
        <v/>
      </c>
      <c r="AE686" s="1063" t="str">
        <f>IF(ISNA(VLOOKUP(TB_curr[[#This Row],[Synt]],GL[[#Headers],[#Data],[subtotal label]],1,FALSE)),0,(VLOOKUP(TB_curr[[#This Row],[Synt]],GL[[#Headers],[#Data],[subtotal label]],1,FALSE)))</f>
        <v/>
      </c>
      <c r="AF686" s="1063" t="e">
        <f>IF((TB_curr[[#This Row],[Synt]]-TB_curr[[#This Row],[Subtotal Y/N]])=0,0,VLOOKUP(TB_curr[[#This Row],[Synt]],GL[[Account]:[Line]],3,FALSE))</f>
        <v>#VALUE!</v>
      </c>
      <c r="AG686" s="1063" t="e">
        <f>VLOOKUP(TB_curr[[#This Row],[Synt]],GL[[Account]:[B/P]],4,FALSE)</f>
        <v>#N/A</v>
      </c>
      <c r="AH686" s="1066" t="e">
        <v>#VALUE!</v>
      </c>
      <c r="AI686" s="1065" t="e">
        <f>TB_curr[[#This Row],[Synt]]&amp;TB_curr[[#This Row],[Line No. manual corr.]]</f>
        <v>#VALUE!</v>
      </c>
      <c r="AJ686" s="1064">
        <f t="shared" si="51"/>
        <v>0</v>
      </c>
      <c r="AK686" s="1064">
        <f t="shared" si="52"/>
        <v>0</v>
      </c>
      <c r="AL686" s="1064">
        <f t="shared" si="53"/>
        <v>0</v>
      </c>
      <c r="AM686" s="1064">
        <f t="shared" si="54"/>
        <v>0</v>
      </c>
      <c r="AN686" s="1064"/>
      <c r="AO686" s="1064">
        <f>TB_curr[[#This Row],[Closing balance]]+TB_curr[[#This Row],[Rounding]]</f>
        <v>0</v>
      </c>
    </row>
    <row r="687" spans="30:41" x14ac:dyDescent="0.25">
      <c r="AD687" s="1067" t="str">
        <f t="shared" si="50"/>
        <v/>
      </c>
      <c r="AE687" s="1063" t="str">
        <f>IF(ISNA(VLOOKUP(TB_curr[[#This Row],[Synt]],GL[[#Headers],[#Data],[subtotal label]],1,FALSE)),0,(VLOOKUP(TB_curr[[#This Row],[Synt]],GL[[#Headers],[#Data],[subtotal label]],1,FALSE)))</f>
        <v/>
      </c>
      <c r="AF687" s="1063" t="e">
        <f>IF((TB_curr[[#This Row],[Synt]]-TB_curr[[#This Row],[Subtotal Y/N]])=0,0,VLOOKUP(TB_curr[[#This Row],[Synt]],GL[[Account]:[Line]],3,FALSE))</f>
        <v>#VALUE!</v>
      </c>
      <c r="AG687" s="1063" t="e">
        <f>VLOOKUP(TB_curr[[#This Row],[Synt]],GL[[Account]:[B/P]],4,FALSE)</f>
        <v>#N/A</v>
      </c>
      <c r="AH687" s="1066" t="e">
        <v>#VALUE!</v>
      </c>
      <c r="AI687" s="1065" t="e">
        <f>TB_curr[[#This Row],[Synt]]&amp;TB_curr[[#This Row],[Line No. manual corr.]]</f>
        <v>#VALUE!</v>
      </c>
      <c r="AJ687" s="1064">
        <f t="shared" si="51"/>
        <v>0</v>
      </c>
      <c r="AK687" s="1064">
        <f t="shared" si="52"/>
        <v>0</v>
      </c>
      <c r="AL687" s="1064">
        <f t="shared" si="53"/>
        <v>0</v>
      </c>
      <c r="AM687" s="1064">
        <f t="shared" si="54"/>
        <v>0</v>
      </c>
      <c r="AN687" s="1064"/>
      <c r="AO687" s="1064">
        <f>TB_curr[[#This Row],[Closing balance]]+TB_curr[[#This Row],[Rounding]]</f>
        <v>0</v>
      </c>
    </row>
    <row r="688" spans="30:41" x14ac:dyDescent="0.25">
      <c r="AD688" s="1067" t="str">
        <f t="shared" si="50"/>
        <v/>
      </c>
      <c r="AE688" s="1063" t="str">
        <f>IF(ISNA(VLOOKUP(TB_curr[[#This Row],[Synt]],GL[[#Headers],[#Data],[subtotal label]],1,FALSE)),0,(VLOOKUP(TB_curr[[#This Row],[Synt]],GL[[#Headers],[#Data],[subtotal label]],1,FALSE)))</f>
        <v/>
      </c>
      <c r="AF688" s="1063" t="e">
        <f>IF((TB_curr[[#This Row],[Synt]]-TB_curr[[#This Row],[Subtotal Y/N]])=0,0,VLOOKUP(TB_curr[[#This Row],[Synt]],GL[[Account]:[Line]],3,FALSE))</f>
        <v>#VALUE!</v>
      </c>
      <c r="AG688" s="1063" t="e">
        <f>VLOOKUP(TB_curr[[#This Row],[Synt]],GL[[Account]:[B/P]],4,FALSE)</f>
        <v>#N/A</v>
      </c>
      <c r="AH688" s="1066" t="e">
        <v>#VALUE!</v>
      </c>
      <c r="AI688" s="1065" t="e">
        <f>TB_curr[[#This Row],[Synt]]&amp;TB_curr[[#This Row],[Line No. manual corr.]]</f>
        <v>#VALUE!</v>
      </c>
      <c r="AJ688" s="1064">
        <f t="shared" si="51"/>
        <v>0</v>
      </c>
      <c r="AK688" s="1064">
        <f t="shared" si="52"/>
        <v>0</v>
      </c>
      <c r="AL688" s="1064">
        <f t="shared" si="53"/>
        <v>0</v>
      </c>
      <c r="AM688" s="1064">
        <f t="shared" si="54"/>
        <v>0</v>
      </c>
      <c r="AN688" s="1064"/>
      <c r="AO688" s="1064">
        <f>TB_curr[[#This Row],[Closing balance]]+TB_curr[[#This Row],[Rounding]]</f>
        <v>0</v>
      </c>
    </row>
    <row r="689" spans="30:41" x14ac:dyDescent="0.25">
      <c r="AD689" s="1067" t="str">
        <f t="shared" si="50"/>
        <v/>
      </c>
      <c r="AE689" s="1063" t="str">
        <f>IF(ISNA(VLOOKUP(TB_curr[[#This Row],[Synt]],GL[[#Headers],[#Data],[subtotal label]],1,FALSE)),0,(VLOOKUP(TB_curr[[#This Row],[Synt]],GL[[#Headers],[#Data],[subtotal label]],1,FALSE)))</f>
        <v/>
      </c>
      <c r="AF689" s="1063" t="e">
        <f>IF((TB_curr[[#This Row],[Synt]]-TB_curr[[#This Row],[Subtotal Y/N]])=0,0,VLOOKUP(TB_curr[[#This Row],[Synt]],GL[[Account]:[Line]],3,FALSE))</f>
        <v>#VALUE!</v>
      </c>
      <c r="AG689" s="1063" t="e">
        <f>VLOOKUP(TB_curr[[#This Row],[Synt]],GL[[Account]:[B/P]],4,FALSE)</f>
        <v>#N/A</v>
      </c>
      <c r="AH689" s="1066" t="e">
        <v>#VALUE!</v>
      </c>
      <c r="AI689" s="1065" t="e">
        <f>TB_curr[[#This Row],[Synt]]&amp;TB_curr[[#This Row],[Line No. manual corr.]]</f>
        <v>#VALUE!</v>
      </c>
      <c r="AJ689" s="1064">
        <f t="shared" si="51"/>
        <v>0</v>
      </c>
      <c r="AK689" s="1064">
        <f t="shared" si="52"/>
        <v>0</v>
      </c>
      <c r="AL689" s="1064">
        <f t="shared" si="53"/>
        <v>0</v>
      </c>
      <c r="AM689" s="1064">
        <f t="shared" si="54"/>
        <v>0</v>
      </c>
      <c r="AN689" s="1064"/>
      <c r="AO689" s="1064">
        <f>TB_curr[[#This Row],[Closing balance]]+TB_curr[[#This Row],[Rounding]]</f>
        <v>0</v>
      </c>
    </row>
    <row r="690" spans="30:41" x14ac:dyDescent="0.25">
      <c r="AD690" s="1067" t="str">
        <f t="shared" si="50"/>
        <v/>
      </c>
      <c r="AE690" s="1063" t="str">
        <f>IF(ISNA(VLOOKUP(TB_curr[[#This Row],[Synt]],GL[[#Headers],[#Data],[subtotal label]],1,FALSE)),0,(VLOOKUP(TB_curr[[#This Row],[Synt]],GL[[#Headers],[#Data],[subtotal label]],1,FALSE)))</f>
        <v/>
      </c>
      <c r="AF690" s="1063" t="e">
        <f>IF((TB_curr[[#This Row],[Synt]]-TB_curr[[#This Row],[Subtotal Y/N]])=0,0,VLOOKUP(TB_curr[[#This Row],[Synt]],GL[[Account]:[Line]],3,FALSE))</f>
        <v>#VALUE!</v>
      </c>
      <c r="AG690" s="1063" t="e">
        <f>VLOOKUP(TB_curr[[#This Row],[Synt]],GL[[Account]:[B/P]],4,FALSE)</f>
        <v>#N/A</v>
      </c>
      <c r="AH690" s="1066" t="e">
        <v>#VALUE!</v>
      </c>
      <c r="AI690" s="1065" t="e">
        <f>TB_curr[[#This Row],[Synt]]&amp;TB_curr[[#This Row],[Line No. manual corr.]]</f>
        <v>#VALUE!</v>
      </c>
      <c r="AJ690" s="1064">
        <f t="shared" si="51"/>
        <v>0</v>
      </c>
      <c r="AK690" s="1064">
        <f t="shared" si="52"/>
        <v>0</v>
      </c>
      <c r="AL690" s="1064">
        <f t="shared" si="53"/>
        <v>0</v>
      </c>
      <c r="AM690" s="1064">
        <f t="shared" si="54"/>
        <v>0</v>
      </c>
      <c r="AN690" s="1064"/>
      <c r="AO690" s="1064">
        <f>TB_curr[[#This Row],[Closing balance]]+TB_curr[[#This Row],[Rounding]]</f>
        <v>0</v>
      </c>
    </row>
    <row r="691" spans="30:41" x14ac:dyDescent="0.25">
      <c r="AD691" s="1067" t="str">
        <f t="shared" si="50"/>
        <v/>
      </c>
      <c r="AE691" s="1063" t="str">
        <f>IF(ISNA(VLOOKUP(TB_curr[[#This Row],[Synt]],GL[[#Headers],[#Data],[subtotal label]],1,FALSE)),0,(VLOOKUP(TB_curr[[#This Row],[Synt]],GL[[#Headers],[#Data],[subtotal label]],1,FALSE)))</f>
        <v/>
      </c>
      <c r="AF691" s="1063" t="e">
        <f>IF((TB_curr[[#This Row],[Synt]]-TB_curr[[#This Row],[Subtotal Y/N]])=0,0,VLOOKUP(TB_curr[[#This Row],[Synt]],GL[[Account]:[Line]],3,FALSE))</f>
        <v>#VALUE!</v>
      </c>
      <c r="AG691" s="1063" t="e">
        <f>VLOOKUP(TB_curr[[#This Row],[Synt]],GL[[Account]:[B/P]],4,FALSE)</f>
        <v>#N/A</v>
      </c>
      <c r="AH691" s="1066" t="e">
        <v>#VALUE!</v>
      </c>
      <c r="AI691" s="1065" t="e">
        <f>TB_curr[[#This Row],[Synt]]&amp;TB_curr[[#This Row],[Line No. manual corr.]]</f>
        <v>#VALUE!</v>
      </c>
      <c r="AJ691" s="1064">
        <f t="shared" si="51"/>
        <v>0</v>
      </c>
      <c r="AK691" s="1064">
        <f t="shared" si="52"/>
        <v>0</v>
      </c>
      <c r="AL691" s="1064">
        <f t="shared" si="53"/>
        <v>0</v>
      </c>
      <c r="AM691" s="1064">
        <f t="shared" si="54"/>
        <v>0</v>
      </c>
      <c r="AN691" s="1064"/>
      <c r="AO691" s="1064">
        <f>TB_curr[[#This Row],[Closing balance]]+TB_curr[[#This Row],[Rounding]]</f>
        <v>0</v>
      </c>
    </row>
    <row r="692" spans="30:41" x14ac:dyDescent="0.25">
      <c r="AD692" s="1067" t="str">
        <f t="shared" si="50"/>
        <v/>
      </c>
      <c r="AE692" s="1063" t="str">
        <f>IF(ISNA(VLOOKUP(TB_curr[[#This Row],[Synt]],GL[[#Headers],[#Data],[subtotal label]],1,FALSE)),0,(VLOOKUP(TB_curr[[#This Row],[Synt]],GL[[#Headers],[#Data],[subtotal label]],1,FALSE)))</f>
        <v/>
      </c>
      <c r="AF692" s="1063" t="e">
        <f>IF((TB_curr[[#This Row],[Synt]]-TB_curr[[#This Row],[Subtotal Y/N]])=0,0,VLOOKUP(TB_curr[[#This Row],[Synt]],GL[[Account]:[Line]],3,FALSE))</f>
        <v>#VALUE!</v>
      </c>
      <c r="AG692" s="1063" t="e">
        <f>VLOOKUP(TB_curr[[#This Row],[Synt]],GL[[Account]:[B/P]],4,FALSE)</f>
        <v>#N/A</v>
      </c>
      <c r="AH692" s="1066" t="e">
        <v>#VALUE!</v>
      </c>
      <c r="AI692" s="1065" t="e">
        <f>TB_curr[[#This Row],[Synt]]&amp;TB_curr[[#This Row],[Line No. manual corr.]]</f>
        <v>#VALUE!</v>
      </c>
      <c r="AJ692" s="1064">
        <f t="shared" si="51"/>
        <v>0</v>
      </c>
      <c r="AK692" s="1064">
        <f t="shared" si="52"/>
        <v>0</v>
      </c>
      <c r="AL692" s="1064">
        <f t="shared" si="53"/>
        <v>0</v>
      </c>
      <c r="AM692" s="1064">
        <f t="shared" si="54"/>
        <v>0</v>
      </c>
      <c r="AN692" s="1064"/>
      <c r="AO692" s="1064">
        <f>TB_curr[[#This Row],[Closing balance]]+TB_curr[[#This Row],[Rounding]]</f>
        <v>0</v>
      </c>
    </row>
    <row r="693" spans="30:41" x14ac:dyDescent="0.25">
      <c r="AD693" s="1067" t="str">
        <f t="shared" si="50"/>
        <v/>
      </c>
      <c r="AE693" s="1063" t="str">
        <f>IF(ISNA(VLOOKUP(TB_curr[[#This Row],[Synt]],GL[[#Headers],[#Data],[subtotal label]],1,FALSE)),0,(VLOOKUP(TB_curr[[#This Row],[Synt]],GL[[#Headers],[#Data],[subtotal label]],1,FALSE)))</f>
        <v/>
      </c>
      <c r="AF693" s="1063" t="e">
        <f>IF((TB_curr[[#This Row],[Synt]]-TB_curr[[#This Row],[Subtotal Y/N]])=0,0,VLOOKUP(TB_curr[[#This Row],[Synt]],GL[[Account]:[Line]],3,FALSE))</f>
        <v>#VALUE!</v>
      </c>
      <c r="AG693" s="1063" t="e">
        <f>VLOOKUP(TB_curr[[#This Row],[Synt]],GL[[Account]:[B/P]],4,FALSE)</f>
        <v>#N/A</v>
      </c>
      <c r="AH693" s="1066" t="e">
        <v>#VALUE!</v>
      </c>
      <c r="AI693" s="1065" t="e">
        <f>TB_curr[[#This Row],[Synt]]&amp;TB_curr[[#This Row],[Line No. manual corr.]]</f>
        <v>#VALUE!</v>
      </c>
      <c r="AJ693" s="1064">
        <f t="shared" si="51"/>
        <v>0</v>
      </c>
      <c r="AK693" s="1064">
        <f t="shared" si="52"/>
        <v>0</v>
      </c>
      <c r="AL693" s="1064">
        <f t="shared" si="53"/>
        <v>0</v>
      </c>
      <c r="AM693" s="1064">
        <f t="shared" si="54"/>
        <v>0</v>
      </c>
      <c r="AN693" s="1064"/>
      <c r="AO693" s="1064">
        <f>TB_curr[[#This Row],[Closing balance]]+TB_curr[[#This Row],[Rounding]]</f>
        <v>0</v>
      </c>
    </row>
    <row r="694" spans="30:41" x14ac:dyDescent="0.25">
      <c r="AD694" s="1067" t="str">
        <f t="shared" si="50"/>
        <v/>
      </c>
      <c r="AE694" s="1063" t="str">
        <f>IF(ISNA(VLOOKUP(TB_curr[[#This Row],[Synt]],GL[[#Headers],[#Data],[subtotal label]],1,FALSE)),0,(VLOOKUP(TB_curr[[#This Row],[Synt]],GL[[#Headers],[#Data],[subtotal label]],1,FALSE)))</f>
        <v/>
      </c>
      <c r="AF694" s="1063" t="e">
        <f>IF((TB_curr[[#This Row],[Synt]]-TB_curr[[#This Row],[Subtotal Y/N]])=0,0,VLOOKUP(TB_curr[[#This Row],[Synt]],GL[[Account]:[Line]],3,FALSE))</f>
        <v>#VALUE!</v>
      </c>
      <c r="AG694" s="1063" t="e">
        <f>VLOOKUP(TB_curr[[#This Row],[Synt]],GL[[Account]:[B/P]],4,FALSE)</f>
        <v>#N/A</v>
      </c>
      <c r="AH694" s="1066" t="e">
        <v>#VALUE!</v>
      </c>
      <c r="AI694" s="1065" t="e">
        <f>TB_curr[[#This Row],[Synt]]&amp;TB_curr[[#This Row],[Line No. manual corr.]]</f>
        <v>#VALUE!</v>
      </c>
      <c r="AJ694" s="1064">
        <f t="shared" si="51"/>
        <v>0</v>
      </c>
      <c r="AK694" s="1064">
        <f t="shared" si="52"/>
        <v>0</v>
      </c>
      <c r="AL694" s="1064">
        <f t="shared" si="53"/>
        <v>0</v>
      </c>
      <c r="AM694" s="1064">
        <f t="shared" si="54"/>
        <v>0</v>
      </c>
      <c r="AN694" s="1064"/>
      <c r="AO694" s="1064">
        <f>TB_curr[[#This Row],[Closing balance]]+TB_curr[[#This Row],[Rounding]]</f>
        <v>0</v>
      </c>
    </row>
    <row r="695" spans="30:41" x14ac:dyDescent="0.25">
      <c r="AD695" s="1067" t="str">
        <f t="shared" si="50"/>
        <v/>
      </c>
      <c r="AE695" s="1063" t="str">
        <f>IF(ISNA(VLOOKUP(TB_curr[[#This Row],[Synt]],GL[[#Headers],[#Data],[subtotal label]],1,FALSE)),0,(VLOOKUP(TB_curr[[#This Row],[Synt]],GL[[#Headers],[#Data],[subtotal label]],1,FALSE)))</f>
        <v/>
      </c>
      <c r="AF695" s="1063" t="e">
        <f>IF((TB_curr[[#This Row],[Synt]]-TB_curr[[#This Row],[Subtotal Y/N]])=0,0,VLOOKUP(TB_curr[[#This Row],[Synt]],GL[[Account]:[Line]],3,FALSE))</f>
        <v>#VALUE!</v>
      </c>
      <c r="AG695" s="1063" t="e">
        <f>VLOOKUP(TB_curr[[#This Row],[Synt]],GL[[Account]:[B/P]],4,FALSE)</f>
        <v>#N/A</v>
      </c>
      <c r="AH695" s="1066" t="e">
        <v>#VALUE!</v>
      </c>
      <c r="AI695" s="1065" t="e">
        <f>TB_curr[[#This Row],[Synt]]&amp;TB_curr[[#This Row],[Line No. manual corr.]]</f>
        <v>#VALUE!</v>
      </c>
      <c r="AJ695" s="1064">
        <f t="shared" si="51"/>
        <v>0</v>
      </c>
      <c r="AK695" s="1064">
        <f t="shared" si="52"/>
        <v>0</v>
      </c>
      <c r="AL695" s="1064">
        <f t="shared" si="53"/>
        <v>0</v>
      </c>
      <c r="AM695" s="1064">
        <f t="shared" si="54"/>
        <v>0</v>
      </c>
      <c r="AN695" s="1064"/>
      <c r="AO695" s="1064">
        <f>TB_curr[[#This Row],[Closing balance]]+TB_curr[[#This Row],[Rounding]]</f>
        <v>0</v>
      </c>
    </row>
    <row r="696" spans="30:41" x14ac:dyDescent="0.25">
      <c r="AD696" s="1067" t="str">
        <f t="shared" si="50"/>
        <v/>
      </c>
      <c r="AE696" s="1063" t="str">
        <f>IF(ISNA(VLOOKUP(TB_curr[[#This Row],[Synt]],GL[[#Headers],[#Data],[subtotal label]],1,FALSE)),0,(VLOOKUP(TB_curr[[#This Row],[Synt]],GL[[#Headers],[#Data],[subtotal label]],1,FALSE)))</f>
        <v/>
      </c>
      <c r="AF696" s="1063" t="e">
        <f>IF((TB_curr[[#This Row],[Synt]]-TB_curr[[#This Row],[Subtotal Y/N]])=0,0,VLOOKUP(TB_curr[[#This Row],[Synt]],GL[[Account]:[Line]],3,FALSE))</f>
        <v>#VALUE!</v>
      </c>
      <c r="AG696" s="1063" t="e">
        <f>VLOOKUP(TB_curr[[#This Row],[Synt]],GL[[Account]:[B/P]],4,FALSE)</f>
        <v>#N/A</v>
      </c>
      <c r="AH696" s="1066" t="e">
        <v>#VALUE!</v>
      </c>
      <c r="AI696" s="1065" t="e">
        <f>TB_curr[[#This Row],[Synt]]&amp;TB_curr[[#This Row],[Line No. manual corr.]]</f>
        <v>#VALUE!</v>
      </c>
      <c r="AJ696" s="1064">
        <f t="shared" si="51"/>
        <v>0</v>
      </c>
      <c r="AK696" s="1064">
        <f t="shared" si="52"/>
        <v>0</v>
      </c>
      <c r="AL696" s="1064">
        <f t="shared" si="53"/>
        <v>0</v>
      </c>
      <c r="AM696" s="1064">
        <f t="shared" si="54"/>
        <v>0</v>
      </c>
      <c r="AN696" s="1064"/>
      <c r="AO696" s="1064">
        <f>TB_curr[[#This Row],[Closing balance]]+TB_curr[[#This Row],[Rounding]]</f>
        <v>0</v>
      </c>
    </row>
    <row r="697" spans="30:41" x14ac:dyDescent="0.25">
      <c r="AD697" s="1067" t="str">
        <f t="shared" si="50"/>
        <v/>
      </c>
      <c r="AE697" s="1063" t="str">
        <f>IF(ISNA(VLOOKUP(TB_curr[[#This Row],[Synt]],GL[[#Headers],[#Data],[subtotal label]],1,FALSE)),0,(VLOOKUP(TB_curr[[#This Row],[Synt]],GL[[#Headers],[#Data],[subtotal label]],1,FALSE)))</f>
        <v/>
      </c>
      <c r="AF697" s="1063" t="e">
        <f>IF((TB_curr[[#This Row],[Synt]]-TB_curr[[#This Row],[Subtotal Y/N]])=0,0,VLOOKUP(TB_curr[[#This Row],[Synt]],GL[[Account]:[Line]],3,FALSE))</f>
        <v>#VALUE!</v>
      </c>
      <c r="AG697" s="1063" t="e">
        <f>VLOOKUP(TB_curr[[#This Row],[Synt]],GL[[Account]:[B/P]],4,FALSE)</f>
        <v>#N/A</v>
      </c>
      <c r="AH697" s="1066" t="e">
        <v>#VALUE!</v>
      </c>
      <c r="AI697" s="1065" t="e">
        <f>TB_curr[[#This Row],[Synt]]&amp;TB_curr[[#This Row],[Line No. manual corr.]]</f>
        <v>#VALUE!</v>
      </c>
      <c r="AJ697" s="1064">
        <f t="shared" si="51"/>
        <v>0</v>
      </c>
      <c r="AK697" s="1064">
        <f t="shared" si="52"/>
        <v>0</v>
      </c>
      <c r="AL697" s="1064">
        <f t="shared" si="53"/>
        <v>0</v>
      </c>
      <c r="AM697" s="1064">
        <f t="shared" si="54"/>
        <v>0</v>
      </c>
      <c r="AN697" s="1064"/>
      <c r="AO697" s="1064">
        <f>TB_curr[[#This Row],[Closing balance]]+TB_curr[[#This Row],[Rounding]]</f>
        <v>0</v>
      </c>
    </row>
    <row r="698" spans="30:41" x14ac:dyDescent="0.25">
      <c r="AD698" s="1067" t="str">
        <f t="shared" si="50"/>
        <v/>
      </c>
      <c r="AE698" s="1063" t="str">
        <f>IF(ISNA(VLOOKUP(TB_curr[[#This Row],[Synt]],GL[[#Headers],[#Data],[subtotal label]],1,FALSE)),0,(VLOOKUP(TB_curr[[#This Row],[Synt]],GL[[#Headers],[#Data],[subtotal label]],1,FALSE)))</f>
        <v/>
      </c>
      <c r="AF698" s="1063" t="e">
        <f>IF((TB_curr[[#This Row],[Synt]]-TB_curr[[#This Row],[Subtotal Y/N]])=0,0,VLOOKUP(TB_curr[[#This Row],[Synt]],GL[[Account]:[Line]],3,FALSE))</f>
        <v>#VALUE!</v>
      </c>
      <c r="AG698" s="1063" t="e">
        <f>VLOOKUP(TB_curr[[#This Row],[Synt]],GL[[Account]:[B/P]],4,FALSE)</f>
        <v>#N/A</v>
      </c>
      <c r="AH698" s="1066" t="e">
        <v>#VALUE!</v>
      </c>
      <c r="AI698" s="1065" t="e">
        <f>TB_curr[[#This Row],[Synt]]&amp;TB_curr[[#This Row],[Line No. manual corr.]]</f>
        <v>#VALUE!</v>
      </c>
      <c r="AJ698" s="1064">
        <f t="shared" si="51"/>
        <v>0</v>
      </c>
      <c r="AK698" s="1064">
        <f t="shared" si="52"/>
        <v>0</v>
      </c>
      <c r="AL698" s="1064">
        <f t="shared" si="53"/>
        <v>0</v>
      </c>
      <c r="AM698" s="1064">
        <f t="shared" si="54"/>
        <v>0</v>
      </c>
      <c r="AN698" s="1064"/>
      <c r="AO698" s="1064">
        <f>TB_curr[[#This Row],[Closing balance]]+TB_curr[[#This Row],[Rounding]]</f>
        <v>0</v>
      </c>
    </row>
    <row r="699" spans="30:41" x14ac:dyDescent="0.25">
      <c r="AD699" s="1067" t="str">
        <f t="shared" si="50"/>
        <v/>
      </c>
      <c r="AE699" s="1063" t="str">
        <f>IF(ISNA(VLOOKUP(TB_curr[[#This Row],[Synt]],GL[[#Headers],[#Data],[subtotal label]],1,FALSE)),0,(VLOOKUP(TB_curr[[#This Row],[Synt]],GL[[#Headers],[#Data],[subtotal label]],1,FALSE)))</f>
        <v/>
      </c>
      <c r="AF699" s="1063" t="e">
        <f>IF((TB_curr[[#This Row],[Synt]]-TB_curr[[#This Row],[Subtotal Y/N]])=0,0,VLOOKUP(TB_curr[[#This Row],[Synt]],GL[[Account]:[Line]],3,FALSE))</f>
        <v>#VALUE!</v>
      </c>
      <c r="AG699" s="1063" t="e">
        <f>VLOOKUP(TB_curr[[#This Row],[Synt]],GL[[Account]:[B/P]],4,FALSE)</f>
        <v>#N/A</v>
      </c>
      <c r="AH699" s="1066" t="e">
        <v>#VALUE!</v>
      </c>
      <c r="AI699" s="1065" t="e">
        <f>TB_curr[[#This Row],[Synt]]&amp;TB_curr[[#This Row],[Line No. manual corr.]]</f>
        <v>#VALUE!</v>
      </c>
      <c r="AJ699" s="1064">
        <f t="shared" si="51"/>
        <v>0</v>
      </c>
      <c r="AK699" s="1064">
        <f t="shared" si="52"/>
        <v>0</v>
      </c>
      <c r="AL699" s="1064">
        <f t="shared" si="53"/>
        <v>0</v>
      </c>
      <c r="AM699" s="1064">
        <f t="shared" si="54"/>
        <v>0</v>
      </c>
      <c r="AN699" s="1064"/>
      <c r="AO699" s="1064">
        <f>TB_curr[[#This Row],[Closing balance]]+TB_curr[[#This Row],[Rounding]]</f>
        <v>0</v>
      </c>
    </row>
    <row r="700" spans="30:41" x14ac:dyDescent="0.25">
      <c r="AD700" s="1067" t="str">
        <f t="shared" si="50"/>
        <v/>
      </c>
      <c r="AE700" s="1063" t="str">
        <f>IF(ISNA(VLOOKUP(TB_curr[[#This Row],[Synt]],GL[[#Headers],[#Data],[subtotal label]],1,FALSE)),0,(VLOOKUP(TB_curr[[#This Row],[Synt]],GL[[#Headers],[#Data],[subtotal label]],1,FALSE)))</f>
        <v/>
      </c>
      <c r="AF700" s="1063" t="e">
        <f>IF((TB_curr[[#This Row],[Synt]]-TB_curr[[#This Row],[Subtotal Y/N]])=0,0,VLOOKUP(TB_curr[[#This Row],[Synt]],GL[[Account]:[Line]],3,FALSE))</f>
        <v>#VALUE!</v>
      </c>
      <c r="AG700" s="1063" t="e">
        <f>VLOOKUP(TB_curr[[#This Row],[Synt]],GL[[Account]:[B/P]],4,FALSE)</f>
        <v>#N/A</v>
      </c>
      <c r="AH700" s="1066" t="e">
        <v>#VALUE!</v>
      </c>
      <c r="AI700" s="1065" t="e">
        <f>TB_curr[[#This Row],[Synt]]&amp;TB_curr[[#This Row],[Line No. manual corr.]]</f>
        <v>#VALUE!</v>
      </c>
      <c r="AJ700" s="1064">
        <f t="shared" si="51"/>
        <v>0</v>
      </c>
      <c r="AK700" s="1064">
        <f t="shared" si="52"/>
        <v>0</v>
      </c>
      <c r="AL700" s="1064">
        <f t="shared" si="53"/>
        <v>0</v>
      </c>
      <c r="AM700" s="1064">
        <f t="shared" si="54"/>
        <v>0</v>
      </c>
      <c r="AN700" s="1064"/>
      <c r="AO700" s="1064">
        <f>TB_curr[[#This Row],[Closing balance]]+TB_curr[[#This Row],[Rounding]]</f>
        <v>0</v>
      </c>
    </row>
    <row r="701" spans="30:41" x14ac:dyDescent="0.25">
      <c r="AD701" s="1067" t="str">
        <f t="shared" si="50"/>
        <v/>
      </c>
      <c r="AE701" s="1063" t="str">
        <f>IF(ISNA(VLOOKUP(TB_curr[[#This Row],[Synt]],GL[[#Headers],[#Data],[subtotal label]],1,FALSE)),0,(VLOOKUP(TB_curr[[#This Row],[Synt]],GL[[#Headers],[#Data],[subtotal label]],1,FALSE)))</f>
        <v/>
      </c>
      <c r="AF701" s="1063" t="e">
        <f>IF((TB_curr[[#This Row],[Synt]]-TB_curr[[#This Row],[Subtotal Y/N]])=0,0,VLOOKUP(TB_curr[[#This Row],[Synt]],GL[[Account]:[Line]],3,FALSE))</f>
        <v>#VALUE!</v>
      </c>
      <c r="AG701" s="1063" t="e">
        <f>VLOOKUP(TB_curr[[#This Row],[Synt]],GL[[Account]:[B/P]],4,FALSE)</f>
        <v>#N/A</v>
      </c>
      <c r="AH701" s="1066" t="e">
        <v>#VALUE!</v>
      </c>
      <c r="AI701" s="1065" t="e">
        <f>TB_curr[[#This Row],[Synt]]&amp;TB_curr[[#This Row],[Line No. manual corr.]]</f>
        <v>#VALUE!</v>
      </c>
      <c r="AJ701" s="1064">
        <f t="shared" si="51"/>
        <v>0</v>
      </c>
      <c r="AK701" s="1064">
        <f t="shared" si="52"/>
        <v>0</v>
      </c>
      <c r="AL701" s="1064">
        <f t="shared" si="53"/>
        <v>0</v>
      </c>
      <c r="AM701" s="1064">
        <f t="shared" si="54"/>
        <v>0</v>
      </c>
      <c r="AN701" s="1064"/>
      <c r="AO701" s="1064">
        <f>TB_curr[[#This Row],[Closing balance]]+TB_curr[[#This Row],[Rounding]]</f>
        <v>0</v>
      </c>
    </row>
    <row r="702" spans="30:41" x14ac:dyDescent="0.25">
      <c r="AD702" s="1067" t="str">
        <f t="shared" si="50"/>
        <v/>
      </c>
      <c r="AE702" s="1063" t="str">
        <f>IF(ISNA(VLOOKUP(TB_curr[[#This Row],[Synt]],GL[[#Headers],[#Data],[subtotal label]],1,FALSE)),0,(VLOOKUP(TB_curr[[#This Row],[Synt]],GL[[#Headers],[#Data],[subtotal label]],1,FALSE)))</f>
        <v/>
      </c>
      <c r="AF702" s="1063" t="e">
        <f>IF((TB_curr[[#This Row],[Synt]]-TB_curr[[#This Row],[Subtotal Y/N]])=0,0,VLOOKUP(TB_curr[[#This Row],[Synt]],GL[[Account]:[Line]],3,FALSE))</f>
        <v>#VALUE!</v>
      </c>
      <c r="AG702" s="1063" t="e">
        <f>VLOOKUP(TB_curr[[#This Row],[Synt]],GL[[Account]:[B/P]],4,FALSE)</f>
        <v>#N/A</v>
      </c>
      <c r="AH702" s="1066" t="e">
        <v>#VALUE!</v>
      </c>
      <c r="AI702" s="1065" t="e">
        <f>TB_curr[[#This Row],[Synt]]&amp;TB_curr[[#This Row],[Line No. manual corr.]]</f>
        <v>#VALUE!</v>
      </c>
      <c r="AJ702" s="1064">
        <f t="shared" si="51"/>
        <v>0</v>
      </c>
      <c r="AK702" s="1064">
        <f t="shared" si="52"/>
        <v>0</v>
      </c>
      <c r="AL702" s="1064">
        <f t="shared" si="53"/>
        <v>0</v>
      </c>
      <c r="AM702" s="1064">
        <f t="shared" si="54"/>
        <v>0</v>
      </c>
      <c r="AN702" s="1064"/>
      <c r="AO702" s="1064">
        <f>TB_curr[[#This Row],[Closing balance]]+TB_curr[[#This Row],[Rounding]]</f>
        <v>0</v>
      </c>
    </row>
    <row r="703" spans="30:41" x14ac:dyDescent="0.25">
      <c r="AD703" s="1067" t="str">
        <f t="shared" si="50"/>
        <v/>
      </c>
      <c r="AE703" s="1063" t="str">
        <f>IF(ISNA(VLOOKUP(TB_curr[[#This Row],[Synt]],GL[[#Headers],[#Data],[subtotal label]],1,FALSE)),0,(VLOOKUP(TB_curr[[#This Row],[Synt]],GL[[#Headers],[#Data],[subtotal label]],1,FALSE)))</f>
        <v/>
      </c>
      <c r="AF703" s="1063" t="e">
        <f>IF((TB_curr[[#This Row],[Synt]]-TB_curr[[#This Row],[Subtotal Y/N]])=0,0,VLOOKUP(TB_curr[[#This Row],[Synt]],GL[[Account]:[Line]],3,FALSE))</f>
        <v>#VALUE!</v>
      </c>
      <c r="AG703" s="1063" t="e">
        <f>VLOOKUP(TB_curr[[#This Row],[Synt]],GL[[Account]:[B/P]],4,FALSE)</f>
        <v>#N/A</v>
      </c>
      <c r="AH703" s="1066" t="e">
        <v>#VALUE!</v>
      </c>
      <c r="AI703" s="1065" t="e">
        <f>TB_curr[[#This Row],[Synt]]&amp;TB_curr[[#This Row],[Line No. manual corr.]]</f>
        <v>#VALUE!</v>
      </c>
      <c r="AJ703" s="1064">
        <f t="shared" si="51"/>
        <v>0</v>
      </c>
      <c r="AK703" s="1064">
        <f t="shared" si="52"/>
        <v>0</v>
      </c>
      <c r="AL703" s="1064">
        <f t="shared" si="53"/>
        <v>0</v>
      </c>
      <c r="AM703" s="1064">
        <f t="shared" si="54"/>
        <v>0</v>
      </c>
      <c r="AN703" s="1064"/>
      <c r="AO703" s="1064">
        <f>TB_curr[[#This Row],[Closing balance]]+TB_curr[[#This Row],[Rounding]]</f>
        <v>0</v>
      </c>
    </row>
    <row r="704" spans="30:41" x14ac:dyDescent="0.25">
      <c r="AD704" s="1067" t="str">
        <f t="shared" si="50"/>
        <v/>
      </c>
      <c r="AE704" s="1063" t="str">
        <f>IF(ISNA(VLOOKUP(TB_curr[[#This Row],[Synt]],GL[[#Headers],[#Data],[subtotal label]],1,FALSE)),0,(VLOOKUP(TB_curr[[#This Row],[Synt]],GL[[#Headers],[#Data],[subtotal label]],1,FALSE)))</f>
        <v/>
      </c>
      <c r="AF704" s="1063" t="e">
        <f>IF((TB_curr[[#This Row],[Synt]]-TB_curr[[#This Row],[Subtotal Y/N]])=0,0,VLOOKUP(TB_curr[[#This Row],[Synt]],GL[[Account]:[Line]],3,FALSE))</f>
        <v>#VALUE!</v>
      </c>
      <c r="AG704" s="1063" t="e">
        <f>VLOOKUP(TB_curr[[#This Row],[Synt]],GL[[Account]:[B/P]],4,FALSE)</f>
        <v>#N/A</v>
      </c>
      <c r="AH704" s="1066" t="e">
        <v>#VALUE!</v>
      </c>
      <c r="AI704" s="1065" t="e">
        <f>TB_curr[[#This Row],[Synt]]&amp;TB_curr[[#This Row],[Line No. manual corr.]]</f>
        <v>#VALUE!</v>
      </c>
      <c r="AJ704" s="1064">
        <f t="shared" si="51"/>
        <v>0</v>
      </c>
      <c r="AK704" s="1064">
        <f t="shared" si="52"/>
        <v>0</v>
      </c>
      <c r="AL704" s="1064">
        <f t="shared" si="53"/>
        <v>0</v>
      </c>
      <c r="AM704" s="1064">
        <f t="shared" si="54"/>
        <v>0</v>
      </c>
      <c r="AN704" s="1064"/>
      <c r="AO704" s="1064">
        <f>TB_curr[[#This Row],[Closing balance]]+TB_curr[[#This Row],[Rounding]]</f>
        <v>0</v>
      </c>
    </row>
    <row r="705" spans="30:41" x14ac:dyDescent="0.25">
      <c r="AD705" s="1067" t="str">
        <f t="shared" si="50"/>
        <v/>
      </c>
      <c r="AE705" s="1063" t="str">
        <f>IF(ISNA(VLOOKUP(TB_curr[[#This Row],[Synt]],GL[[#Headers],[#Data],[subtotal label]],1,FALSE)),0,(VLOOKUP(TB_curr[[#This Row],[Synt]],GL[[#Headers],[#Data],[subtotal label]],1,FALSE)))</f>
        <v/>
      </c>
      <c r="AF705" s="1063" t="e">
        <f>IF((TB_curr[[#This Row],[Synt]]-TB_curr[[#This Row],[Subtotal Y/N]])=0,0,VLOOKUP(TB_curr[[#This Row],[Synt]],GL[[Account]:[Line]],3,FALSE))</f>
        <v>#VALUE!</v>
      </c>
      <c r="AG705" s="1063" t="e">
        <f>VLOOKUP(TB_curr[[#This Row],[Synt]],GL[[Account]:[B/P]],4,FALSE)</f>
        <v>#N/A</v>
      </c>
      <c r="AH705" s="1066" t="e">
        <v>#VALUE!</v>
      </c>
      <c r="AI705" s="1065" t="e">
        <f>TB_curr[[#This Row],[Synt]]&amp;TB_curr[[#This Row],[Line No. manual corr.]]</f>
        <v>#VALUE!</v>
      </c>
      <c r="AJ705" s="1064">
        <f t="shared" si="51"/>
        <v>0</v>
      </c>
      <c r="AK705" s="1064">
        <f t="shared" si="52"/>
        <v>0</v>
      </c>
      <c r="AL705" s="1064">
        <f t="shared" si="53"/>
        <v>0</v>
      </c>
      <c r="AM705" s="1064">
        <f t="shared" si="54"/>
        <v>0</v>
      </c>
      <c r="AN705" s="1064"/>
      <c r="AO705" s="1064">
        <f>TB_curr[[#This Row],[Closing balance]]+TB_curr[[#This Row],[Rounding]]</f>
        <v>0</v>
      </c>
    </row>
    <row r="706" spans="30:41" x14ac:dyDescent="0.25">
      <c r="AD706" s="1067" t="str">
        <f t="shared" si="50"/>
        <v/>
      </c>
      <c r="AE706" s="1063" t="str">
        <f>IF(ISNA(VLOOKUP(TB_curr[[#This Row],[Synt]],GL[[#Headers],[#Data],[subtotal label]],1,FALSE)),0,(VLOOKUP(TB_curr[[#This Row],[Synt]],GL[[#Headers],[#Data],[subtotal label]],1,FALSE)))</f>
        <v/>
      </c>
      <c r="AF706" s="1063" t="e">
        <f>IF((TB_curr[[#This Row],[Synt]]-TB_curr[[#This Row],[Subtotal Y/N]])=0,0,VLOOKUP(TB_curr[[#This Row],[Synt]],GL[[Account]:[Line]],3,FALSE))</f>
        <v>#VALUE!</v>
      </c>
      <c r="AG706" s="1063" t="e">
        <f>VLOOKUP(TB_curr[[#This Row],[Synt]],GL[[Account]:[B/P]],4,FALSE)</f>
        <v>#N/A</v>
      </c>
      <c r="AH706" s="1066" t="e">
        <v>#VALUE!</v>
      </c>
      <c r="AI706" s="1065" t="e">
        <f>TB_curr[[#This Row],[Synt]]&amp;TB_curr[[#This Row],[Line No. manual corr.]]</f>
        <v>#VALUE!</v>
      </c>
      <c r="AJ706" s="1064">
        <f t="shared" si="51"/>
        <v>0</v>
      </c>
      <c r="AK706" s="1064">
        <f t="shared" si="52"/>
        <v>0</v>
      </c>
      <c r="AL706" s="1064">
        <f t="shared" si="53"/>
        <v>0</v>
      </c>
      <c r="AM706" s="1064">
        <f t="shared" si="54"/>
        <v>0</v>
      </c>
      <c r="AN706" s="1064"/>
      <c r="AO706" s="1064">
        <f>TB_curr[[#This Row],[Closing balance]]+TB_curr[[#This Row],[Rounding]]</f>
        <v>0</v>
      </c>
    </row>
    <row r="707" spans="30:41" x14ac:dyDescent="0.25">
      <c r="AD707" s="1067" t="str">
        <f t="shared" si="50"/>
        <v/>
      </c>
      <c r="AE707" s="1063" t="str">
        <f>IF(ISNA(VLOOKUP(TB_curr[[#This Row],[Synt]],GL[[#Headers],[#Data],[subtotal label]],1,FALSE)),0,(VLOOKUP(TB_curr[[#This Row],[Synt]],GL[[#Headers],[#Data],[subtotal label]],1,FALSE)))</f>
        <v/>
      </c>
      <c r="AF707" s="1063" t="e">
        <f>IF((TB_curr[[#This Row],[Synt]]-TB_curr[[#This Row],[Subtotal Y/N]])=0,0,VLOOKUP(TB_curr[[#This Row],[Synt]],GL[[Account]:[Line]],3,FALSE))</f>
        <v>#VALUE!</v>
      </c>
      <c r="AG707" s="1063" t="e">
        <f>VLOOKUP(TB_curr[[#This Row],[Synt]],GL[[Account]:[B/P]],4,FALSE)</f>
        <v>#N/A</v>
      </c>
      <c r="AH707" s="1066" t="e">
        <v>#VALUE!</v>
      </c>
      <c r="AI707" s="1065" t="e">
        <f>TB_curr[[#This Row],[Synt]]&amp;TB_curr[[#This Row],[Line No. manual corr.]]</f>
        <v>#VALUE!</v>
      </c>
      <c r="AJ707" s="1064">
        <f t="shared" si="51"/>
        <v>0</v>
      </c>
      <c r="AK707" s="1064">
        <f t="shared" si="52"/>
        <v>0</v>
      </c>
      <c r="AL707" s="1064">
        <f t="shared" si="53"/>
        <v>0</v>
      </c>
      <c r="AM707" s="1064">
        <f t="shared" si="54"/>
        <v>0</v>
      </c>
      <c r="AN707" s="1064"/>
      <c r="AO707" s="1064">
        <f>TB_curr[[#This Row],[Closing balance]]+TB_curr[[#This Row],[Rounding]]</f>
        <v>0</v>
      </c>
    </row>
    <row r="708" spans="30:41" x14ac:dyDescent="0.25">
      <c r="AD708" s="1067" t="str">
        <f t="shared" si="50"/>
        <v/>
      </c>
      <c r="AE708" s="1063" t="str">
        <f>IF(ISNA(VLOOKUP(TB_curr[[#This Row],[Synt]],GL[[#Headers],[#Data],[subtotal label]],1,FALSE)),0,(VLOOKUP(TB_curr[[#This Row],[Synt]],GL[[#Headers],[#Data],[subtotal label]],1,FALSE)))</f>
        <v/>
      </c>
      <c r="AF708" s="1063" t="e">
        <f>IF((TB_curr[[#This Row],[Synt]]-TB_curr[[#This Row],[Subtotal Y/N]])=0,0,VLOOKUP(TB_curr[[#This Row],[Synt]],GL[[Account]:[Line]],3,FALSE))</f>
        <v>#VALUE!</v>
      </c>
      <c r="AG708" s="1063" t="e">
        <f>VLOOKUP(TB_curr[[#This Row],[Synt]],GL[[Account]:[B/P]],4,FALSE)</f>
        <v>#N/A</v>
      </c>
      <c r="AH708" s="1066" t="e">
        <v>#VALUE!</v>
      </c>
      <c r="AI708" s="1065" t="e">
        <f>TB_curr[[#This Row],[Synt]]&amp;TB_curr[[#This Row],[Line No. manual corr.]]</f>
        <v>#VALUE!</v>
      </c>
      <c r="AJ708" s="1064">
        <f t="shared" si="51"/>
        <v>0</v>
      </c>
      <c r="AK708" s="1064">
        <f t="shared" si="52"/>
        <v>0</v>
      </c>
      <c r="AL708" s="1064">
        <f t="shared" si="53"/>
        <v>0</v>
      </c>
      <c r="AM708" s="1064">
        <f t="shared" si="54"/>
        <v>0</v>
      </c>
      <c r="AN708" s="1064"/>
      <c r="AO708" s="1064">
        <f>TB_curr[[#This Row],[Closing balance]]+TB_curr[[#This Row],[Rounding]]</f>
        <v>0</v>
      </c>
    </row>
    <row r="709" spans="30:41" x14ac:dyDescent="0.25">
      <c r="AD709" s="1067" t="str">
        <f t="shared" si="50"/>
        <v/>
      </c>
      <c r="AE709" s="1063" t="str">
        <f>IF(ISNA(VLOOKUP(TB_curr[[#This Row],[Synt]],GL[[#Headers],[#Data],[subtotal label]],1,FALSE)),0,(VLOOKUP(TB_curr[[#This Row],[Synt]],GL[[#Headers],[#Data],[subtotal label]],1,FALSE)))</f>
        <v/>
      </c>
      <c r="AF709" s="1063" t="e">
        <f>IF((TB_curr[[#This Row],[Synt]]-TB_curr[[#This Row],[Subtotal Y/N]])=0,0,VLOOKUP(TB_curr[[#This Row],[Synt]],GL[[Account]:[Line]],3,FALSE))</f>
        <v>#VALUE!</v>
      </c>
      <c r="AG709" s="1063" t="e">
        <f>VLOOKUP(TB_curr[[#This Row],[Synt]],GL[[Account]:[B/P]],4,FALSE)</f>
        <v>#N/A</v>
      </c>
      <c r="AH709" s="1066" t="e">
        <v>#VALUE!</v>
      </c>
      <c r="AI709" s="1065" t="e">
        <f>TB_curr[[#This Row],[Synt]]&amp;TB_curr[[#This Row],[Line No. manual corr.]]</f>
        <v>#VALUE!</v>
      </c>
      <c r="AJ709" s="1064">
        <f t="shared" si="51"/>
        <v>0</v>
      </c>
      <c r="AK709" s="1064">
        <f t="shared" si="52"/>
        <v>0</v>
      </c>
      <c r="AL709" s="1064">
        <f t="shared" si="53"/>
        <v>0</v>
      </c>
      <c r="AM709" s="1064">
        <f t="shared" si="54"/>
        <v>0</v>
      </c>
      <c r="AN709" s="1064"/>
      <c r="AO709" s="1064">
        <f>TB_curr[[#This Row],[Closing balance]]+TB_curr[[#This Row],[Rounding]]</f>
        <v>0</v>
      </c>
    </row>
    <row r="710" spans="30:41" x14ac:dyDescent="0.25">
      <c r="AD710" s="1067" t="str">
        <f t="shared" si="50"/>
        <v/>
      </c>
      <c r="AE710" s="1063" t="str">
        <f>IF(ISNA(VLOOKUP(TB_curr[[#This Row],[Synt]],GL[[#Headers],[#Data],[subtotal label]],1,FALSE)),0,(VLOOKUP(TB_curr[[#This Row],[Synt]],GL[[#Headers],[#Data],[subtotal label]],1,FALSE)))</f>
        <v/>
      </c>
      <c r="AF710" s="1063" t="e">
        <f>IF((TB_curr[[#This Row],[Synt]]-TB_curr[[#This Row],[Subtotal Y/N]])=0,0,VLOOKUP(TB_curr[[#This Row],[Synt]],GL[[Account]:[Line]],3,FALSE))</f>
        <v>#VALUE!</v>
      </c>
      <c r="AG710" s="1063" t="e">
        <f>VLOOKUP(TB_curr[[#This Row],[Synt]],GL[[Account]:[B/P]],4,FALSE)</f>
        <v>#N/A</v>
      </c>
      <c r="AH710" s="1066" t="e">
        <v>#VALUE!</v>
      </c>
      <c r="AI710" s="1065" t="e">
        <f>TB_curr[[#This Row],[Synt]]&amp;TB_curr[[#This Row],[Line No. manual corr.]]</f>
        <v>#VALUE!</v>
      </c>
      <c r="AJ710" s="1064">
        <f t="shared" si="51"/>
        <v>0</v>
      </c>
      <c r="AK710" s="1064">
        <f t="shared" si="52"/>
        <v>0</v>
      </c>
      <c r="AL710" s="1064">
        <f t="shared" si="53"/>
        <v>0</v>
      </c>
      <c r="AM710" s="1064">
        <f t="shared" si="54"/>
        <v>0</v>
      </c>
      <c r="AN710" s="1064"/>
      <c r="AO710" s="1064">
        <f>TB_curr[[#This Row],[Closing balance]]+TB_curr[[#This Row],[Rounding]]</f>
        <v>0</v>
      </c>
    </row>
    <row r="711" spans="30:41" x14ac:dyDescent="0.25">
      <c r="AD711" s="1067" t="str">
        <f t="shared" si="50"/>
        <v/>
      </c>
      <c r="AE711" s="1063" t="str">
        <f>IF(ISNA(VLOOKUP(TB_curr[[#This Row],[Synt]],GL[[#Headers],[#Data],[subtotal label]],1,FALSE)),0,(VLOOKUP(TB_curr[[#This Row],[Synt]],GL[[#Headers],[#Data],[subtotal label]],1,FALSE)))</f>
        <v/>
      </c>
      <c r="AF711" s="1063" t="e">
        <f>IF((TB_curr[[#This Row],[Synt]]-TB_curr[[#This Row],[Subtotal Y/N]])=0,0,VLOOKUP(TB_curr[[#This Row],[Synt]],GL[[Account]:[Line]],3,FALSE))</f>
        <v>#VALUE!</v>
      </c>
      <c r="AG711" s="1063" t="e">
        <f>VLOOKUP(TB_curr[[#This Row],[Synt]],GL[[Account]:[B/P]],4,FALSE)</f>
        <v>#N/A</v>
      </c>
      <c r="AH711" s="1066" t="e">
        <v>#VALUE!</v>
      </c>
      <c r="AI711" s="1065" t="e">
        <f>TB_curr[[#This Row],[Synt]]&amp;TB_curr[[#This Row],[Line No. manual corr.]]</f>
        <v>#VALUE!</v>
      </c>
      <c r="AJ711" s="1064">
        <f t="shared" si="51"/>
        <v>0</v>
      </c>
      <c r="AK711" s="1064">
        <f t="shared" si="52"/>
        <v>0</v>
      </c>
      <c r="AL711" s="1064">
        <f t="shared" si="53"/>
        <v>0</v>
      </c>
      <c r="AM711" s="1064">
        <f t="shared" si="54"/>
        <v>0</v>
      </c>
      <c r="AN711" s="1064"/>
      <c r="AO711" s="1064">
        <f>TB_curr[[#This Row],[Closing balance]]+TB_curr[[#This Row],[Rounding]]</f>
        <v>0</v>
      </c>
    </row>
    <row r="712" spans="30:41" x14ac:dyDescent="0.25">
      <c r="AD712" s="1067" t="str">
        <f t="shared" ref="AD712:AD775" si="55">LEFT(B712,3)</f>
        <v/>
      </c>
      <c r="AE712" s="1063" t="str">
        <f>IF(ISNA(VLOOKUP(TB_curr[[#This Row],[Synt]],GL[[#Headers],[#Data],[subtotal label]],1,FALSE)),0,(VLOOKUP(TB_curr[[#This Row],[Synt]],GL[[#Headers],[#Data],[subtotal label]],1,FALSE)))</f>
        <v/>
      </c>
      <c r="AF712" s="1063" t="e">
        <f>IF((TB_curr[[#This Row],[Synt]]-TB_curr[[#This Row],[Subtotal Y/N]])=0,0,VLOOKUP(TB_curr[[#This Row],[Synt]],GL[[Account]:[Line]],3,FALSE))</f>
        <v>#VALUE!</v>
      </c>
      <c r="AG712" s="1063" t="e">
        <f>VLOOKUP(TB_curr[[#This Row],[Synt]],GL[[Account]:[B/P]],4,FALSE)</f>
        <v>#N/A</v>
      </c>
      <c r="AH712" s="1066" t="e">
        <v>#VALUE!</v>
      </c>
      <c r="AI712" s="1065" t="e">
        <f>TB_curr[[#This Row],[Synt]]&amp;TB_curr[[#This Row],[Line No. manual corr.]]</f>
        <v>#VALUE!</v>
      </c>
      <c r="AJ712" s="1064">
        <f t="shared" ref="AJ712:AJ775" si="56">K712-N712</f>
        <v>0</v>
      </c>
      <c r="AK712" s="1064">
        <f t="shared" ref="AK712:AK775" si="57">Q712</f>
        <v>0</v>
      </c>
      <c r="AL712" s="1064">
        <f t="shared" ref="AL712:AL775" si="58">U712</f>
        <v>0</v>
      </c>
      <c r="AM712" s="1064">
        <f t="shared" ref="AM712:AM775" si="59">X712-AB712</f>
        <v>0</v>
      </c>
      <c r="AN712" s="1064"/>
      <c r="AO712" s="1064">
        <f>TB_curr[[#This Row],[Closing balance]]+TB_curr[[#This Row],[Rounding]]</f>
        <v>0</v>
      </c>
    </row>
    <row r="713" spans="30:41" x14ac:dyDescent="0.25">
      <c r="AD713" s="1067" t="str">
        <f t="shared" si="55"/>
        <v/>
      </c>
      <c r="AE713" s="1063" t="str">
        <f>IF(ISNA(VLOOKUP(TB_curr[[#This Row],[Synt]],GL[[#Headers],[#Data],[subtotal label]],1,FALSE)),0,(VLOOKUP(TB_curr[[#This Row],[Synt]],GL[[#Headers],[#Data],[subtotal label]],1,FALSE)))</f>
        <v/>
      </c>
      <c r="AF713" s="1063" t="e">
        <f>IF((TB_curr[[#This Row],[Synt]]-TB_curr[[#This Row],[Subtotal Y/N]])=0,0,VLOOKUP(TB_curr[[#This Row],[Synt]],GL[[Account]:[Line]],3,FALSE))</f>
        <v>#VALUE!</v>
      </c>
      <c r="AG713" s="1063" t="e">
        <f>VLOOKUP(TB_curr[[#This Row],[Synt]],GL[[Account]:[B/P]],4,FALSE)</f>
        <v>#N/A</v>
      </c>
      <c r="AH713" s="1066" t="e">
        <v>#VALUE!</v>
      </c>
      <c r="AI713" s="1065" t="e">
        <f>TB_curr[[#This Row],[Synt]]&amp;TB_curr[[#This Row],[Line No. manual corr.]]</f>
        <v>#VALUE!</v>
      </c>
      <c r="AJ713" s="1064">
        <f t="shared" si="56"/>
        <v>0</v>
      </c>
      <c r="AK713" s="1064">
        <f t="shared" si="57"/>
        <v>0</v>
      </c>
      <c r="AL713" s="1064">
        <f t="shared" si="58"/>
        <v>0</v>
      </c>
      <c r="AM713" s="1064">
        <f t="shared" si="59"/>
        <v>0</v>
      </c>
      <c r="AN713" s="1064"/>
      <c r="AO713" s="1064">
        <f>TB_curr[[#This Row],[Closing balance]]+TB_curr[[#This Row],[Rounding]]</f>
        <v>0</v>
      </c>
    </row>
    <row r="714" spans="30:41" x14ac:dyDescent="0.25">
      <c r="AD714" s="1067" t="str">
        <f t="shared" si="55"/>
        <v/>
      </c>
      <c r="AE714" s="1063" t="str">
        <f>IF(ISNA(VLOOKUP(TB_curr[[#This Row],[Synt]],GL[[#Headers],[#Data],[subtotal label]],1,FALSE)),0,(VLOOKUP(TB_curr[[#This Row],[Synt]],GL[[#Headers],[#Data],[subtotal label]],1,FALSE)))</f>
        <v/>
      </c>
      <c r="AF714" s="1063" t="e">
        <f>IF((TB_curr[[#This Row],[Synt]]-TB_curr[[#This Row],[Subtotal Y/N]])=0,0,VLOOKUP(TB_curr[[#This Row],[Synt]],GL[[Account]:[Line]],3,FALSE))</f>
        <v>#VALUE!</v>
      </c>
      <c r="AG714" s="1063" t="e">
        <f>VLOOKUP(TB_curr[[#This Row],[Synt]],GL[[Account]:[B/P]],4,FALSE)</f>
        <v>#N/A</v>
      </c>
      <c r="AH714" s="1066" t="e">
        <v>#VALUE!</v>
      </c>
      <c r="AI714" s="1065" t="e">
        <f>TB_curr[[#This Row],[Synt]]&amp;TB_curr[[#This Row],[Line No. manual corr.]]</f>
        <v>#VALUE!</v>
      </c>
      <c r="AJ714" s="1064">
        <f t="shared" si="56"/>
        <v>0</v>
      </c>
      <c r="AK714" s="1064">
        <f t="shared" si="57"/>
        <v>0</v>
      </c>
      <c r="AL714" s="1064">
        <f t="shared" si="58"/>
        <v>0</v>
      </c>
      <c r="AM714" s="1064">
        <f t="shared" si="59"/>
        <v>0</v>
      </c>
      <c r="AN714" s="1064"/>
      <c r="AO714" s="1064">
        <f>TB_curr[[#This Row],[Closing balance]]+TB_curr[[#This Row],[Rounding]]</f>
        <v>0</v>
      </c>
    </row>
    <row r="715" spans="30:41" x14ac:dyDescent="0.25">
      <c r="AD715" s="1067" t="str">
        <f t="shared" si="55"/>
        <v/>
      </c>
      <c r="AE715" s="1063" t="str">
        <f>IF(ISNA(VLOOKUP(TB_curr[[#This Row],[Synt]],GL[[#Headers],[#Data],[subtotal label]],1,FALSE)),0,(VLOOKUP(TB_curr[[#This Row],[Synt]],GL[[#Headers],[#Data],[subtotal label]],1,FALSE)))</f>
        <v/>
      </c>
      <c r="AF715" s="1063" t="e">
        <f>IF((TB_curr[[#This Row],[Synt]]-TB_curr[[#This Row],[Subtotal Y/N]])=0,0,VLOOKUP(TB_curr[[#This Row],[Synt]],GL[[Account]:[Line]],3,FALSE))</f>
        <v>#VALUE!</v>
      </c>
      <c r="AG715" s="1063" t="e">
        <f>VLOOKUP(TB_curr[[#This Row],[Synt]],GL[[Account]:[B/P]],4,FALSE)</f>
        <v>#N/A</v>
      </c>
      <c r="AH715" s="1066" t="e">
        <v>#VALUE!</v>
      </c>
      <c r="AI715" s="1065" t="e">
        <f>TB_curr[[#This Row],[Synt]]&amp;TB_curr[[#This Row],[Line No. manual corr.]]</f>
        <v>#VALUE!</v>
      </c>
      <c r="AJ715" s="1064">
        <f t="shared" si="56"/>
        <v>0</v>
      </c>
      <c r="AK715" s="1064">
        <f t="shared" si="57"/>
        <v>0</v>
      </c>
      <c r="AL715" s="1064">
        <f t="shared" si="58"/>
        <v>0</v>
      </c>
      <c r="AM715" s="1064">
        <f t="shared" si="59"/>
        <v>0</v>
      </c>
      <c r="AN715" s="1064"/>
      <c r="AO715" s="1064">
        <f>TB_curr[[#This Row],[Closing balance]]+TB_curr[[#This Row],[Rounding]]</f>
        <v>0</v>
      </c>
    </row>
    <row r="716" spans="30:41" x14ac:dyDescent="0.25">
      <c r="AD716" s="1067" t="str">
        <f t="shared" si="55"/>
        <v/>
      </c>
      <c r="AE716" s="1063" t="str">
        <f>IF(ISNA(VLOOKUP(TB_curr[[#This Row],[Synt]],GL[[#Headers],[#Data],[subtotal label]],1,FALSE)),0,(VLOOKUP(TB_curr[[#This Row],[Synt]],GL[[#Headers],[#Data],[subtotal label]],1,FALSE)))</f>
        <v/>
      </c>
      <c r="AF716" s="1063" t="e">
        <f>IF((TB_curr[[#This Row],[Synt]]-TB_curr[[#This Row],[Subtotal Y/N]])=0,0,VLOOKUP(TB_curr[[#This Row],[Synt]],GL[[Account]:[Line]],3,FALSE))</f>
        <v>#VALUE!</v>
      </c>
      <c r="AG716" s="1063" t="e">
        <f>VLOOKUP(TB_curr[[#This Row],[Synt]],GL[[Account]:[B/P]],4,FALSE)</f>
        <v>#N/A</v>
      </c>
      <c r="AH716" s="1066" t="e">
        <v>#VALUE!</v>
      </c>
      <c r="AI716" s="1065" t="e">
        <f>TB_curr[[#This Row],[Synt]]&amp;TB_curr[[#This Row],[Line No. manual corr.]]</f>
        <v>#VALUE!</v>
      </c>
      <c r="AJ716" s="1064">
        <f t="shared" si="56"/>
        <v>0</v>
      </c>
      <c r="AK716" s="1064">
        <f t="shared" si="57"/>
        <v>0</v>
      </c>
      <c r="AL716" s="1064">
        <f t="shared" si="58"/>
        <v>0</v>
      </c>
      <c r="AM716" s="1064">
        <f t="shared" si="59"/>
        <v>0</v>
      </c>
      <c r="AN716" s="1064"/>
      <c r="AO716" s="1064">
        <f>TB_curr[[#This Row],[Closing balance]]+TB_curr[[#This Row],[Rounding]]</f>
        <v>0</v>
      </c>
    </row>
    <row r="717" spans="30:41" x14ac:dyDescent="0.25">
      <c r="AD717" s="1067" t="str">
        <f t="shared" si="55"/>
        <v/>
      </c>
      <c r="AE717" s="1063" t="str">
        <f>IF(ISNA(VLOOKUP(TB_curr[[#This Row],[Synt]],GL[[#Headers],[#Data],[subtotal label]],1,FALSE)),0,(VLOOKUP(TB_curr[[#This Row],[Synt]],GL[[#Headers],[#Data],[subtotal label]],1,FALSE)))</f>
        <v/>
      </c>
      <c r="AF717" s="1063" t="e">
        <f>IF((TB_curr[[#This Row],[Synt]]-TB_curr[[#This Row],[Subtotal Y/N]])=0,0,VLOOKUP(TB_curr[[#This Row],[Synt]],GL[[Account]:[Line]],3,FALSE))</f>
        <v>#VALUE!</v>
      </c>
      <c r="AG717" s="1063" t="e">
        <f>VLOOKUP(TB_curr[[#This Row],[Synt]],GL[[Account]:[B/P]],4,FALSE)</f>
        <v>#N/A</v>
      </c>
      <c r="AH717" s="1066" t="e">
        <v>#VALUE!</v>
      </c>
      <c r="AI717" s="1065" t="e">
        <f>TB_curr[[#This Row],[Synt]]&amp;TB_curr[[#This Row],[Line No. manual corr.]]</f>
        <v>#VALUE!</v>
      </c>
      <c r="AJ717" s="1064">
        <f t="shared" si="56"/>
        <v>0</v>
      </c>
      <c r="AK717" s="1064">
        <f t="shared" si="57"/>
        <v>0</v>
      </c>
      <c r="AL717" s="1064">
        <f t="shared" si="58"/>
        <v>0</v>
      </c>
      <c r="AM717" s="1064">
        <f t="shared" si="59"/>
        <v>0</v>
      </c>
      <c r="AN717" s="1064"/>
      <c r="AO717" s="1064">
        <f>TB_curr[[#This Row],[Closing balance]]+TB_curr[[#This Row],[Rounding]]</f>
        <v>0</v>
      </c>
    </row>
    <row r="718" spans="30:41" x14ac:dyDescent="0.25">
      <c r="AD718" s="1067" t="str">
        <f t="shared" si="55"/>
        <v/>
      </c>
      <c r="AE718" s="1063" t="str">
        <f>IF(ISNA(VLOOKUP(TB_curr[[#This Row],[Synt]],GL[[#Headers],[#Data],[subtotal label]],1,FALSE)),0,(VLOOKUP(TB_curr[[#This Row],[Synt]],GL[[#Headers],[#Data],[subtotal label]],1,FALSE)))</f>
        <v/>
      </c>
      <c r="AF718" s="1063" t="e">
        <f>IF((TB_curr[[#This Row],[Synt]]-TB_curr[[#This Row],[Subtotal Y/N]])=0,0,VLOOKUP(TB_curr[[#This Row],[Synt]],GL[[Account]:[Line]],3,FALSE))</f>
        <v>#VALUE!</v>
      </c>
      <c r="AG718" s="1063" t="e">
        <f>VLOOKUP(TB_curr[[#This Row],[Synt]],GL[[Account]:[B/P]],4,FALSE)</f>
        <v>#N/A</v>
      </c>
      <c r="AH718" s="1066" t="e">
        <v>#VALUE!</v>
      </c>
      <c r="AI718" s="1065" t="e">
        <f>TB_curr[[#This Row],[Synt]]&amp;TB_curr[[#This Row],[Line No. manual corr.]]</f>
        <v>#VALUE!</v>
      </c>
      <c r="AJ718" s="1064">
        <f t="shared" si="56"/>
        <v>0</v>
      </c>
      <c r="AK718" s="1064">
        <f t="shared" si="57"/>
        <v>0</v>
      </c>
      <c r="AL718" s="1064">
        <f t="shared" si="58"/>
        <v>0</v>
      </c>
      <c r="AM718" s="1064">
        <f t="shared" si="59"/>
        <v>0</v>
      </c>
      <c r="AN718" s="1064"/>
      <c r="AO718" s="1064">
        <f>TB_curr[[#This Row],[Closing balance]]+TB_curr[[#This Row],[Rounding]]</f>
        <v>0</v>
      </c>
    </row>
    <row r="719" spans="30:41" x14ac:dyDescent="0.25">
      <c r="AD719" s="1067" t="str">
        <f t="shared" si="55"/>
        <v/>
      </c>
      <c r="AE719" s="1063" t="str">
        <f>IF(ISNA(VLOOKUP(TB_curr[[#This Row],[Synt]],GL[[#Headers],[#Data],[subtotal label]],1,FALSE)),0,(VLOOKUP(TB_curr[[#This Row],[Synt]],GL[[#Headers],[#Data],[subtotal label]],1,FALSE)))</f>
        <v/>
      </c>
      <c r="AF719" s="1063" t="e">
        <f>IF((TB_curr[[#This Row],[Synt]]-TB_curr[[#This Row],[Subtotal Y/N]])=0,0,VLOOKUP(TB_curr[[#This Row],[Synt]],GL[[Account]:[Line]],3,FALSE))</f>
        <v>#VALUE!</v>
      </c>
      <c r="AG719" s="1063" t="e">
        <f>VLOOKUP(TB_curr[[#This Row],[Synt]],GL[[Account]:[B/P]],4,FALSE)</f>
        <v>#N/A</v>
      </c>
      <c r="AH719" s="1066" t="e">
        <v>#VALUE!</v>
      </c>
      <c r="AI719" s="1065" t="e">
        <f>TB_curr[[#This Row],[Synt]]&amp;TB_curr[[#This Row],[Line No. manual corr.]]</f>
        <v>#VALUE!</v>
      </c>
      <c r="AJ719" s="1064">
        <f t="shared" si="56"/>
        <v>0</v>
      </c>
      <c r="AK719" s="1064">
        <f t="shared" si="57"/>
        <v>0</v>
      </c>
      <c r="AL719" s="1064">
        <f t="shared" si="58"/>
        <v>0</v>
      </c>
      <c r="AM719" s="1064">
        <f t="shared" si="59"/>
        <v>0</v>
      </c>
      <c r="AN719" s="1064"/>
      <c r="AO719" s="1064">
        <f>TB_curr[[#This Row],[Closing balance]]+TB_curr[[#This Row],[Rounding]]</f>
        <v>0</v>
      </c>
    </row>
    <row r="720" spans="30:41" x14ac:dyDescent="0.25">
      <c r="AD720" s="1067" t="str">
        <f t="shared" si="55"/>
        <v/>
      </c>
      <c r="AE720" s="1063" t="str">
        <f>IF(ISNA(VLOOKUP(TB_curr[[#This Row],[Synt]],GL[[#Headers],[#Data],[subtotal label]],1,FALSE)),0,(VLOOKUP(TB_curr[[#This Row],[Synt]],GL[[#Headers],[#Data],[subtotal label]],1,FALSE)))</f>
        <v/>
      </c>
      <c r="AF720" s="1063" t="e">
        <f>IF((TB_curr[[#This Row],[Synt]]-TB_curr[[#This Row],[Subtotal Y/N]])=0,0,VLOOKUP(TB_curr[[#This Row],[Synt]],GL[[Account]:[Line]],3,FALSE))</f>
        <v>#VALUE!</v>
      </c>
      <c r="AG720" s="1063" t="e">
        <f>VLOOKUP(TB_curr[[#This Row],[Synt]],GL[[Account]:[B/P]],4,FALSE)</f>
        <v>#N/A</v>
      </c>
      <c r="AH720" s="1066" t="e">
        <v>#VALUE!</v>
      </c>
      <c r="AI720" s="1065" t="e">
        <f>TB_curr[[#This Row],[Synt]]&amp;TB_curr[[#This Row],[Line No. manual corr.]]</f>
        <v>#VALUE!</v>
      </c>
      <c r="AJ720" s="1064">
        <f t="shared" si="56"/>
        <v>0</v>
      </c>
      <c r="AK720" s="1064">
        <f t="shared" si="57"/>
        <v>0</v>
      </c>
      <c r="AL720" s="1064">
        <f t="shared" si="58"/>
        <v>0</v>
      </c>
      <c r="AM720" s="1064">
        <f t="shared" si="59"/>
        <v>0</v>
      </c>
      <c r="AN720" s="1064"/>
      <c r="AO720" s="1064">
        <f>TB_curr[[#This Row],[Closing balance]]+TB_curr[[#This Row],[Rounding]]</f>
        <v>0</v>
      </c>
    </row>
    <row r="721" spans="30:41" x14ac:dyDescent="0.25">
      <c r="AD721" s="1067" t="str">
        <f t="shared" si="55"/>
        <v/>
      </c>
      <c r="AE721" s="1063" t="str">
        <f>IF(ISNA(VLOOKUP(TB_curr[[#This Row],[Synt]],GL[[#Headers],[#Data],[subtotal label]],1,FALSE)),0,(VLOOKUP(TB_curr[[#This Row],[Synt]],GL[[#Headers],[#Data],[subtotal label]],1,FALSE)))</f>
        <v/>
      </c>
      <c r="AF721" s="1063" t="e">
        <f>IF((TB_curr[[#This Row],[Synt]]-TB_curr[[#This Row],[Subtotal Y/N]])=0,0,VLOOKUP(TB_curr[[#This Row],[Synt]],GL[[Account]:[Line]],3,FALSE))</f>
        <v>#VALUE!</v>
      </c>
      <c r="AG721" s="1063" t="e">
        <f>VLOOKUP(TB_curr[[#This Row],[Synt]],GL[[Account]:[B/P]],4,FALSE)</f>
        <v>#N/A</v>
      </c>
      <c r="AH721" s="1066" t="e">
        <v>#VALUE!</v>
      </c>
      <c r="AI721" s="1065" t="e">
        <f>TB_curr[[#This Row],[Synt]]&amp;TB_curr[[#This Row],[Line No. manual corr.]]</f>
        <v>#VALUE!</v>
      </c>
      <c r="AJ721" s="1064">
        <f t="shared" si="56"/>
        <v>0</v>
      </c>
      <c r="AK721" s="1064">
        <f t="shared" si="57"/>
        <v>0</v>
      </c>
      <c r="AL721" s="1064">
        <f t="shared" si="58"/>
        <v>0</v>
      </c>
      <c r="AM721" s="1064">
        <f t="shared" si="59"/>
        <v>0</v>
      </c>
      <c r="AN721" s="1064"/>
      <c r="AO721" s="1064">
        <f>TB_curr[[#This Row],[Closing balance]]+TB_curr[[#This Row],[Rounding]]</f>
        <v>0</v>
      </c>
    </row>
    <row r="722" spans="30:41" x14ac:dyDescent="0.25">
      <c r="AD722" s="1067" t="str">
        <f t="shared" si="55"/>
        <v/>
      </c>
      <c r="AE722" s="1063" t="str">
        <f>IF(ISNA(VLOOKUP(TB_curr[[#This Row],[Synt]],GL[[#Headers],[#Data],[subtotal label]],1,FALSE)),0,(VLOOKUP(TB_curr[[#This Row],[Synt]],GL[[#Headers],[#Data],[subtotal label]],1,FALSE)))</f>
        <v/>
      </c>
      <c r="AF722" s="1063" t="e">
        <f>IF((TB_curr[[#This Row],[Synt]]-TB_curr[[#This Row],[Subtotal Y/N]])=0,0,VLOOKUP(TB_curr[[#This Row],[Synt]],GL[[Account]:[Line]],3,FALSE))</f>
        <v>#VALUE!</v>
      </c>
      <c r="AG722" s="1063" t="e">
        <f>VLOOKUP(TB_curr[[#This Row],[Synt]],GL[[Account]:[B/P]],4,FALSE)</f>
        <v>#N/A</v>
      </c>
      <c r="AH722" s="1066" t="e">
        <v>#VALUE!</v>
      </c>
      <c r="AI722" s="1065" t="e">
        <f>TB_curr[[#This Row],[Synt]]&amp;TB_curr[[#This Row],[Line No. manual corr.]]</f>
        <v>#VALUE!</v>
      </c>
      <c r="AJ722" s="1064">
        <f t="shared" si="56"/>
        <v>0</v>
      </c>
      <c r="AK722" s="1064">
        <f t="shared" si="57"/>
        <v>0</v>
      </c>
      <c r="AL722" s="1064">
        <f t="shared" si="58"/>
        <v>0</v>
      </c>
      <c r="AM722" s="1064">
        <f t="shared" si="59"/>
        <v>0</v>
      </c>
      <c r="AN722" s="1064"/>
      <c r="AO722" s="1064">
        <f>TB_curr[[#This Row],[Closing balance]]+TB_curr[[#This Row],[Rounding]]</f>
        <v>0</v>
      </c>
    </row>
    <row r="723" spans="30:41" x14ac:dyDescent="0.25">
      <c r="AD723" s="1067" t="str">
        <f t="shared" si="55"/>
        <v/>
      </c>
      <c r="AE723" s="1063" t="str">
        <f>IF(ISNA(VLOOKUP(TB_curr[[#This Row],[Synt]],GL[[#Headers],[#Data],[subtotal label]],1,FALSE)),0,(VLOOKUP(TB_curr[[#This Row],[Synt]],GL[[#Headers],[#Data],[subtotal label]],1,FALSE)))</f>
        <v/>
      </c>
      <c r="AF723" s="1063" t="e">
        <f>IF((TB_curr[[#This Row],[Synt]]-TB_curr[[#This Row],[Subtotal Y/N]])=0,0,VLOOKUP(TB_curr[[#This Row],[Synt]],GL[[Account]:[Line]],3,FALSE))</f>
        <v>#VALUE!</v>
      </c>
      <c r="AG723" s="1063" t="e">
        <f>VLOOKUP(TB_curr[[#This Row],[Synt]],GL[[Account]:[B/P]],4,FALSE)</f>
        <v>#N/A</v>
      </c>
      <c r="AH723" s="1066" t="e">
        <v>#VALUE!</v>
      </c>
      <c r="AI723" s="1065" t="e">
        <f>TB_curr[[#This Row],[Synt]]&amp;TB_curr[[#This Row],[Line No. manual corr.]]</f>
        <v>#VALUE!</v>
      </c>
      <c r="AJ723" s="1064">
        <f t="shared" si="56"/>
        <v>0</v>
      </c>
      <c r="AK723" s="1064">
        <f t="shared" si="57"/>
        <v>0</v>
      </c>
      <c r="AL723" s="1064">
        <f t="shared" si="58"/>
        <v>0</v>
      </c>
      <c r="AM723" s="1064">
        <f t="shared" si="59"/>
        <v>0</v>
      </c>
      <c r="AN723" s="1064"/>
      <c r="AO723" s="1064">
        <f>TB_curr[[#This Row],[Closing balance]]+TB_curr[[#This Row],[Rounding]]</f>
        <v>0</v>
      </c>
    </row>
    <row r="724" spans="30:41" x14ac:dyDescent="0.25">
      <c r="AD724" s="1067" t="str">
        <f t="shared" si="55"/>
        <v/>
      </c>
      <c r="AE724" s="1063" t="str">
        <f>IF(ISNA(VLOOKUP(TB_curr[[#This Row],[Synt]],GL[[#Headers],[#Data],[subtotal label]],1,FALSE)),0,(VLOOKUP(TB_curr[[#This Row],[Synt]],GL[[#Headers],[#Data],[subtotal label]],1,FALSE)))</f>
        <v/>
      </c>
      <c r="AF724" s="1063" t="e">
        <f>IF((TB_curr[[#This Row],[Synt]]-TB_curr[[#This Row],[Subtotal Y/N]])=0,0,VLOOKUP(TB_curr[[#This Row],[Synt]],GL[[Account]:[Line]],3,FALSE))</f>
        <v>#VALUE!</v>
      </c>
      <c r="AG724" s="1063" t="e">
        <f>VLOOKUP(TB_curr[[#This Row],[Synt]],GL[[Account]:[B/P]],4,FALSE)</f>
        <v>#N/A</v>
      </c>
      <c r="AH724" s="1066" t="e">
        <v>#VALUE!</v>
      </c>
      <c r="AI724" s="1065" t="e">
        <f>TB_curr[[#This Row],[Synt]]&amp;TB_curr[[#This Row],[Line No. manual corr.]]</f>
        <v>#VALUE!</v>
      </c>
      <c r="AJ724" s="1064">
        <f t="shared" si="56"/>
        <v>0</v>
      </c>
      <c r="AK724" s="1064">
        <f t="shared" si="57"/>
        <v>0</v>
      </c>
      <c r="AL724" s="1064">
        <f t="shared" si="58"/>
        <v>0</v>
      </c>
      <c r="AM724" s="1064">
        <f t="shared" si="59"/>
        <v>0</v>
      </c>
      <c r="AN724" s="1064"/>
      <c r="AO724" s="1064">
        <f>TB_curr[[#This Row],[Closing balance]]+TB_curr[[#This Row],[Rounding]]</f>
        <v>0</v>
      </c>
    </row>
    <row r="725" spans="30:41" x14ac:dyDescent="0.25">
      <c r="AD725" s="1067" t="str">
        <f t="shared" si="55"/>
        <v/>
      </c>
      <c r="AE725" s="1063" t="str">
        <f>IF(ISNA(VLOOKUP(TB_curr[[#This Row],[Synt]],GL[[#Headers],[#Data],[subtotal label]],1,FALSE)),0,(VLOOKUP(TB_curr[[#This Row],[Synt]],GL[[#Headers],[#Data],[subtotal label]],1,FALSE)))</f>
        <v/>
      </c>
      <c r="AF725" s="1063" t="e">
        <f>IF((TB_curr[[#This Row],[Synt]]-TB_curr[[#This Row],[Subtotal Y/N]])=0,0,VLOOKUP(TB_curr[[#This Row],[Synt]],GL[[Account]:[Line]],3,FALSE))</f>
        <v>#VALUE!</v>
      </c>
      <c r="AG725" s="1063" t="e">
        <f>VLOOKUP(TB_curr[[#This Row],[Synt]],GL[[Account]:[B/P]],4,FALSE)</f>
        <v>#N/A</v>
      </c>
      <c r="AH725" s="1066" t="e">
        <v>#VALUE!</v>
      </c>
      <c r="AI725" s="1065" t="e">
        <f>TB_curr[[#This Row],[Synt]]&amp;TB_curr[[#This Row],[Line No. manual corr.]]</f>
        <v>#VALUE!</v>
      </c>
      <c r="AJ725" s="1064">
        <f t="shared" si="56"/>
        <v>0</v>
      </c>
      <c r="AK725" s="1064">
        <f t="shared" si="57"/>
        <v>0</v>
      </c>
      <c r="AL725" s="1064">
        <f t="shared" si="58"/>
        <v>0</v>
      </c>
      <c r="AM725" s="1064">
        <f t="shared" si="59"/>
        <v>0</v>
      </c>
      <c r="AN725" s="1064"/>
      <c r="AO725" s="1064">
        <f>TB_curr[[#This Row],[Closing balance]]+TB_curr[[#This Row],[Rounding]]</f>
        <v>0</v>
      </c>
    </row>
    <row r="726" spans="30:41" x14ac:dyDescent="0.25">
      <c r="AD726" s="1067" t="str">
        <f t="shared" si="55"/>
        <v/>
      </c>
      <c r="AE726" s="1063" t="str">
        <f>IF(ISNA(VLOOKUP(TB_curr[[#This Row],[Synt]],GL[[#Headers],[#Data],[subtotal label]],1,FALSE)),0,(VLOOKUP(TB_curr[[#This Row],[Synt]],GL[[#Headers],[#Data],[subtotal label]],1,FALSE)))</f>
        <v/>
      </c>
      <c r="AF726" s="1063" t="e">
        <f>IF((TB_curr[[#This Row],[Synt]]-TB_curr[[#This Row],[Subtotal Y/N]])=0,0,VLOOKUP(TB_curr[[#This Row],[Synt]],GL[[Account]:[Line]],3,FALSE))</f>
        <v>#VALUE!</v>
      </c>
      <c r="AG726" s="1063" t="e">
        <f>VLOOKUP(TB_curr[[#This Row],[Synt]],GL[[Account]:[B/P]],4,FALSE)</f>
        <v>#N/A</v>
      </c>
      <c r="AH726" s="1066" t="e">
        <v>#VALUE!</v>
      </c>
      <c r="AI726" s="1065" t="e">
        <f>TB_curr[[#This Row],[Synt]]&amp;TB_curr[[#This Row],[Line No. manual corr.]]</f>
        <v>#VALUE!</v>
      </c>
      <c r="AJ726" s="1064">
        <f t="shared" si="56"/>
        <v>0</v>
      </c>
      <c r="AK726" s="1064">
        <f t="shared" si="57"/>
        <v>0</v>
      </c>
      <c r="AL726" s="1064">
        <f t="shared" si="58"/>
        <v>0</v>
      </c>
      <c r="AM726" s="1064">
        <f t="shared" si="59"/>
        <v>0</v>
      </c>
      <c r="AN726" s="1064"/>
      <c r="AO726" s="1064">
        <f>TB_curr[[#This Row],[Closing balance]]+TB_curr[[#This Row],[Rounding]]</f>
        <v>0</v>
      </c>
    </row>
    <row r="727" spans="30:41" x14ac:dyDescent="0.25">
      <c r="AD727" s="1067" t="str">
        <f t="shared" si="55"/>
        <v/>
      </c>
      <c r="AE727" s="1063" t="str">
        <f>IF(ISNA(VLOOKUP(TB_curr[[#This Row],[Synt]],GL[[#Headers],[#Data],[subtotal label]],1,FALSE)),0,(VLOOKUP(TB_curr[[#This Row],[Synt]],GL[[#Headers],[#Data],[subtotal label]],1,FALSE)))</f>
        <v/>
      </c>
      <c r="AF727" s="1063" t="e">
        <f>IF((TB_curr[[#This Row],[Synt]]-TB_curr[[#This Row],[Subtotal Y/N]])=0,0,VLOOKUP(TB_curr[[#This Row],[Synt]],GL[[Account]:[Line]],3,FALSE))</f>
        <v>#VALUE!</v>
      </c>
      <c r="AG727" s="1063" t="e">
        <f>VLOOKUP(TB_curr[[#This Row],[Synt]],GL[[Account]:[B/P]],4,FALSE)</f>
        <v>#N/A</v>
      </c>
      <c r="AH727" s="1066" t="e">
        <v>#VALUE!</v>
      </c>
      <c r="AI727" s="1065" t="e">
        <f>TB_curr[[#This Row],[Synt]]&amp;TB_curr[[#This Row],[Line No. manual corr.]]</f>
        <v>#VALUE!</v>
      </c>
      <c r="AJ727" s="1064">
        <f t="shared" si="56"/>
        <v>0</v>
      </c>
      <c r="AK727" s="1064">
        <f t="shared" si="57"/>
        <v>0</v>
      </c>
      <c r="AL727" s="1064">
        <f t="shared" si="58"/>
        <v>0</v>
      </c>
      <c r="AM727" s="1064">
        <f t="shared" si="59"/>
        <v>0</v>
      </c>
      <c r="AN727" s="1064"/>
      <c r="AO727" s="1064">
        <f>TB_curr[[#This Row],[Closing balance]]+TB_curr[[#This Row],[Rounding]]</f>
        <v>0</v>
      </c>
    </row>
    <row r="728" spans="30:41" x14ac:dyDescent="0.25">
      <c r="AD728" s="1067" t="str">
        <f t="shared" si="55"/>
        <v/>
      </c>
      <c r="AE728" s="1063" t="str">
        <f>IF(ISNA(VLOOKUP(TB_curr[[#This Row],[Synt]],GL[[#Headers],[#Data],[subtotal label]],1,FALSE)),0,(VLOOKUP(TB_curr[[#This Row],[Synt]],GL[[#Headers],[#Data],[subtotal label]],1,FALSE)))</f>
        <v/>
      </c>
      <c r="AF728" s="1063" t="e">
        <f>IF((TB_curr[[#This Row],[Synt]]-TB_curr[[#This Row],[Subtotal Y/N]])=0,0,VLOOKUP(TB_curr[[#This Row],[Synt]],GL[[Account]:[Line]],3,FALSE))</f>
        <v>#VALUE!</v>
      </c>
      <c r="AG728" s="1063" t="e">
        <f>VLOOKUP(TB_curr[[#This Row],[Synt]],GL[[Account]:[B/P]],4,FALSE)</f>
        <v>#N/A</v>
      </c>
      <c r="AH728" s="1066" t="e">
        <v>#VALUE!</v>
      </c>
      <c r="AI728" s="1065" t="e">
        <f>TB_curr[[#This Row],[Synt]]&amp;TB_curr[[#This Row],[Line No. manual corr.]]</f>
        <v>#VALUE!</v>
      </c>
      <c r="AJ728" s="1064">
        <f t="shared" si="56"/>
        <v>0</v>
      </c>
      <c r="AK728" s="1064">
        <f t="shared" si="57"/>
        <v>0</v>
      </c>
      <c r="AL728" s="1064">
        <f t="shared" si="58"/>
        <v>0</v>
      </c>
      <c r="AM728" s="1064">
        <f t="shared" si="59"/>
        <v>0</v>
      </c>
      <c r="AN728" s="1064"/>
      <c r="AO728" s="1064">
        <f>TB_curr[[#This Row],[Closing balance]]+TB_curr[[#This Row],[Rounding]]</f>
        <v>0</v>
      </c>
    </row>
    <row r="729" spans="30:41" x14ac:dyDescent="0.25">
      <c r="AD729" s="1067" t="str">
        <f t="shared" si="55"/>
        <v/>
      </c>
      <c r="AE729" s="1063" t="str">
        <f>IF(ISNA(VLOOKUP(TB_curr[[#This Row],[Synt]],GL[[#Headers],[#Data],[subtotal label]],1,FALSE)),0,(VLOOKUP(TB_curr[[#This Row],[Synt]],GL[[#Headers],[#Data],[subtotal label]],1,FALSE)))</f>
        <v/>
      </c>
      <c r="AF729" s="1063" t="e">
        <f>IF((TB_curr[[#This Row],[Synt]]-TB_curr[[#This Row],[Subtotal Y/N]])=0,0,VLOOKUP(TB_curr[[#This Row],[Synt]],GL[[Account]:[Line]],3,FALSE))</f>
        <v>#VALUE!</v>
      </c>
      <c r="AG729" s="1063" t="e">
        <f>VLOOKUP(TB_curr[[#This Row],[Synt]],GL[[Account]:[B/P]],4,FALSE)</f>
        <v>#N/A</v>
      </c>
      <c r="AH729" s="1066" t="e">
        <v>#VALUE!</v>
      </c>
      <c r="AI729" s="1065" t="e">
        <f>TB_curr[[#This Row],[Synt]]&amp;TB_curr[[#This Row],[Line No. manual corr.]]</f>
        <v>#VALUE!</v>
      </c>
      <c r="AJ729" s="1064">
        <f t="shared" si="56"/>
        <v>0</v>
      </c>
      <c r="AK729" s="1064">
        <f t="shared" si="57"/>
        <v>0</v>
      </c>
      <c r="AL729" s="1064">
        <f t="shared" si="58"/>
        <v>0</v>
      </c>
      <c r="AM729" s="1064">
        <f t="shared" si="59"/>
        <v>0</v>
      </c>
      <c r="AN729" s="1064"/>
      <c r="AO729" s="1064">
        <f>TB_curr[[#This Row],[Closing balance]]+TB_curr[[#This Row],[Rounding]]</f>
        <v>0</v>
      </c>
    </row>
    <row r="730" spans="30:41" x14ac:dyDescent="0.25">
      <c r="AD730" s="1067" t="str">
        <f t="shared" si="55"/>
        <v/>
      </c>
      <c r="AE730" s="1063" t="str">
        <f>IF(ISNA(VLOOKUP(TB_curr[[#This Row],[Synt]],GL[[#Headers],[#Data],[subtotal label]],1,FALSE)),0,(VLOOKUP(TB_curr[[#This Row],[Synt]],GL[[#Headers],[#Data],[subtotal label]],1,FALSE)))</f>
        <v/>
      </c>
      <c r="AF730" s="1063" t="e">
        <f>IF((TB_curr[[#This Row],[Synt]]-TB_curr[[#This Row],[Subtotal Y/N]])=0,0,VLOOKUP(TB_curr[[#This Row],[Synt]],GL[[Account]:[Line]],3,FALSE))</f>
        <v>#VALUE!</v>
      </c>
      <c r="AG730" s="1063" t="e">
        <f>VLOOKUP(TB_curr[[#This Row],[Synt]],GL[[Account]:[B/P]],4,FALSE)</f>
        <v>#N/A</v>
      </c>
      <c r="AH730" s="1066" t="e">
        <v>#VALUE!</v>
      </c>
      <c r="AI730" s="1065" t="e">
        <f>TB_curr[[#This Row],[Synt]]&amp;TB_curr[[#This Row],[Line No. manual corr.]]</f>
        <v>#VALUE!</v>
      </c>
      <c r="AJ730" s="1064">
        <f t="shared" si="56"/>
        <v>0</v>
      </c>
      <c r="AK730" s="1064">
        <f t="shared" si="57"/>
        <v>0</v>
      </c>
      <c r="AL730" s="1064">
        <f t="shared" si="58"/>
        <v>0</v>
      </c>
      <c r="AM730" s="1064">
        <f t="shared" si="59"/>
        <v>0</v>
      </c>
      <c r="AN730" s="1064"/>
      <c r="AO730" s="1064">
        <f>TB_curr[[#This Row],[Closing balance]]+TB_curr[[#This Row],[Rounding]]</f>
        <v>0</v>
      </c>
    </row>
    <row r="731" spans="30:41" x14ac:dyDescent="0.25">
      <c r="AD731" s="1067" t="str">
        <f t="shared" si="55"/>
        <v/>
      </c>
      <c r="AE731" s="1063" t="str">
        <f>IF(ISNA(VLOOKUP(TB_curr[[#This Row],[Synt]],GL[[#Headers],[#Data],[subtotal label]],1,FALSE)),0,(VLOOKUP(TB_curr[[#This Row],[Synt]],GL[[#Headers],[#Data],[subtotal label]],1,FALSE)))</f>
        <v/>
      </c>
      <c r="AF731" s="1063" t="e">
        <f>IF((TB_curr[[#This Row],[Synt]]-TB_curr[[#This Row],[Subtotal Y/N]])=0,0,VLOOKUP(TB_curr[[#This Row],[Synt]],GL[[Account]:[Line]],3,FALSE))</f>
        <v>#VALUE!</v>
      </c>
      <c r="AG731" s="1063" t="e">
        <f>VLOOKUP(TB_curr[[#This Row],[Synt]],GL[[Account]:[B/P]],4,FALSE)</f>
        <v>#N/A</v>
      </c>
      <c r="AH731" s="1066" t="e">
        <v>#VALUE!</v>
      </c>
      <c r="AI731" s="1065" t="e">
        <f>TB_curr[[#This Row],[Synt]]&amp;TB_curr[[#This Row],[Line No. manual corr.]]</f>
        <v>#VALUE!</v>
      </c>
      <c r="AJ731" s="1064">
        <f t="shared" si="56"/>
        <v>0</v>
      </c>
      <c r="AK731" s="1064">
        <f t="shared" si="57"/>
        <v>0</v>
      </c>
      <c r="AL731" s="1064">
        <f t="shared" si="58"/>
        <v>0</v>
      </c>
      <c r="AM731" s="1064">
        <f t="shared" si="59"/>
        <v>0</v>
      </c>
      <c r="AN731" s="1064"/>
      <c r="AO731" s="1064">
        <f>TB_curr[[#This Row],[Closing balance]]+TB_curr[[#This Row],[Rounding]]</f>
        <v>0</v>
      </c>
    </row>
    <row r="732" spans="30:41" x14ac:dyDescent="0.25">
      <c r="AD732" s="1067" t="str">
        <f t="shared" si="55"/>
        <v/>
      </c>
      <c r="AE732" s="1063" t="str">
        <f>IF(ISNA(VLOOKUP(TB_curr[[#This Row],[Synt]],GL[[#Headers],[#Data],[subtotal label]],1,FALSE)),0,(VLOOKUP(TB_curr[[#This Row],[Synt]],GL[[#Headers],[#Data],[subtotal label]],1,FALSE)))</f>
        <v/>
      </c>
      <c r="AF732" s="1063" t="e">
        <f>IF((TB_curr[[#This Row],[Synt]]-TB_curr[[#This Row],[Subtotal Y/N]])=0,0,VLOOKUP(TB_curr[[#This Row],[Synt]],GL[[Account]:[Line]],3,FALSE))</f>
        <v>#VALUE!</v>
      </c>
      <c r="AG732" s="1063" t="e">
        <f>VLOOKUP(TB_curr[[#This Row],[Synt]],GL[[Account]:[B/P]],4,FALSE)</f>
        <v>#N/A</v>
      </c>
      <c r="AH732" s="1066" t="e">
        <v>#VALUE!</v>
      </c>
      <c r="AI732" s="1065" t="e">
        <f>TB_curr[[#This Row],[Synt]]&amp;TB_curr[[#This Row],[Line No. manual corr.]]</f>
        <v>#VALUE!</v>
      </c>
      <c r="AJ732" s="1064">
        <f t="shared" si="56"/>
        <v>0</v>
      </c>
      <c r="AK732" s="1064">
        <f t="shared" si="57"/>
        <v>0</v>
      </c>
      <c r="AL732" s="1064">
        <f t="shared" si="58"/>
        <v>0</v>
      </c>
      <c r="AM732" s="1064">
        <f t="shared" si="59"/>
        <v>0</v>
      </c>
      <c r="AN732" s="1064"/>
      <c r="AO732" s="1064">
        <f>TB_curr[[#This Row],[Closing balance]]+TB_curr[[#This Row],[Rounding]]</f>
        <v>0</v>
      </c>
    </row>
    <row r="733" spans="30:41" x14ac:dyDescent="0.25">
      <c r="AD733" s="1067" t="str">
        <f t="shared" si="55"/>
        <v/>
      </c>
      <c r="AE733" s="1063" t="str">
        <f>IF(ISNA(VLOOKUP(TB_curr[[#This Row],[Synt]],GL[[#Headers],[#Data],[subtotal label]],1,FALSE)),0,(VLOOKUP(TB_curr[[#This Row],[Synt]],GL[[#Headers],[#Data],[subtotal label]],1,FALSE)))</f>
        <v/>
      </c>
      <c r="AF733" s="1063" t="e">
        <f>IF((TB_curr[[#This Row],[Synt]]-TB_curr[[#This Row],[Subtotal Y/N]])=0,0,VLOOKUP(TB_curr[[#This Row],[Synt]],GL[[Account]:[Line]],3,FALSE))</f>
        <v>#VALUE!</v>
      </c>
      <c r="AG733" s="1063" t="e">
        <f>VLOOKUP(TB_curr[[#This Row],[Synt]],GL[[Account]:[B/P]],4,FALSE)</f>
        <v>#N/A</v>
      </c>
      <c r="AH733" s="1066" t="e">
        <v>#VALUE!</v>
      </c>
      <c r="AI733" s="1065" t="e">
        <f>TB_curr[[#This Row],[Synt]]&amp;TB_curr[[#This Row],[Line No. manual corr.]]</f>
        <v>#VALUE!</v>
      </c>
      <c r="AJ733" s="1064">
        <f t="shared" si="56"/>
        <v>0</v>
      </c>
      <c r="AK733" s="1064">
        <f t="shared" si="57"/>
        <v>0</v>
      </c>
      <c r="AL733" s="1064">
        <f t="shared" si="58"/>
        <v>0</v>
      </c>
      <c r="AM733" s="1064">
        <f t="shared" si="59"/>
        <v>0</v>
      </c>
      <c r="AN733" s="1064"/>
      <c r="AO733" s="1064">
        <f>TB_curr[[#This Row],[Closing balance]]+TB_curr[[#This Row],[Rounding]]</f>
        <v>0</v>
      </c>
    </row>
    <row r="734" spans="30:41" x14ac:dyDescent="0.25">
      <c r="AD734" s="1067" t="str">
        <f t="shared" si="55"/>
        <v/>
      </c>
      <c r="AE734" s="1063" t="str">
        <f>IF(ISNA(VLOOKUP(TB_curr[[#This Row],[Synt]],GL[[#Headers],[#Data],[subtotal label]],1,FALSE)),0,(VLOOKUP(TB_curr[[#This Row],[Synt]],GL[[#Headers],[#Data],[subtotal label]],1,FALSE)))</f>
        <v/>
      </c>
      <c r="AF734" s="1063" t="e">
        <f>IF((TB_curr[[#This Row],[Synt]]-TB_curr[[#This Row],[Subtotal Y/N]])=0,0,VLOOKUP(TB_curr[[#This Row],[Synt]],GL[[Account]:[Line]],3,FALSE))</f>
        <v>#VALUE!</v>
      </c>
      <c r="AG734" s="1063" t="e">
        <f>VLOOKUP(TB_curr[[#This Row],[Synt]],GL[[Account]:[B/P]],4,FALSE)</f>
        <v>#N/A</v>
      </c>
      <c r="AH734" s="1066" t="e">
        <v>#VALUE!</v>
      </c>
      <c r="AI734" s="1065" t="e">
        <f>TB_curr[[#This Row],[Synt]]&amp;TB_curr[[#This Row],[Line No. manual corr.]]</f>
        <v>#VALUE!</v>
      </c>
      <c r="AJ734" s="1064">
        <f t="shared" si="56"/>
        <v>0</v>
      </c>
      <c r="AK734" s="1064">
        <f t="shared" si="57"/>
        <v>0</v>
      </c>
      <c r="AL734" s="1064">
        <f t="shared" si="58"/>
        <v>0</v>
      </c>
      <c r="AM734" s="1064">
        <f t="shared" si="59"/>
        <v>0</v>
      </c>
      <c r="AN734" s="1064"/>
      <c r="AO734" s="1064">
        <f>TB_curr[[#This Row],[Closing balance]]+TB_curr[[#This Row],[Rounding]]</f>
        <v>0</v>
      </c>
    </row>
    <row r="735" spans="30:41" x14ac:dyDescent="0.25">
      <c r="AD735" s="1067" t="str">
        <f t="shared" si="55"/>
        <v/>
      </c>
      <c r="AE735" s="1063" t="str">
        <f>IF(ISNA(VLOOKUP(TB_curr[[#This Row],[Synt]],GL[[#Headers],[#Data],[subtotal label]],1,FALSE)),0,(VLOOKUP(TB_curr[[#This Row],[Synt]],GL[[#Headers],[#Data],[subtotal label]],1,FALSE)))</f>
        <v/>
      </c>
      <c r="AF735" s="1063" t="e">
        <f>IF((TB_curr[[#This Row],[Synt]]-TB_curr[[#This Row],[Subtotal Y/N]])=0,0,VLOOKUP(TB_curr[[#This Row],[Synt]],GL[[Account]:[Line]],3,FALSE))</f>
        <v>#VALUE!</v>
      </c>
      <c r="AG735" s="1063" t="e">
        <f>VLOOKUP(TB_curr[[#This Row],[Synt]],GL[[Account]:[B/P]],4,FALSE)</f>
        <v>#N/A</v>
      </c>
      <c r="AH735" s="1066" t="e">
        <v>#VALUE!</v>
      </c>
      <c r="AI735" s="1065" t="e">
        <f>TB_curr[[#This Row],[Synt]]&amp;TB_curr[[#This Row],[Line No. manual corr.]]</f>
        <v>#VALUE!</v>
      </c>
      <c r="AJ735" s="1064">
        <f t="shared" si="56"/>
        <v>0</v>
      </c>
      <c r="AK735" s="1064">
        <f t="shared" si="57"/>
        <v>0</v>
      </c>
      <c r="AL735" s="1064">
        <f t="shared" si="58"/>
        <v>0</v>
      </c>
      <c r="AM735" s="1064">
        <f t="shared" si="59"/>
        <v>0</v>
      </c>
      <c r="AN735" s="1064"/>
      <c r="AO735" s="1064">
        <f>TB_curr[[#This Row],[Closing balance]]+TB_curr[[#This Row],[Rounding]]</f>
        <v>0</v>
      </c>
    </row>
    <row r="736" spans="30:41" x14ac:dyDescent="0.25">
      <c r="AD736" s="1067" t="str">
        <f t="shared" si="55"/>
        <v/>
      </c>
      <c r="AE736" s="1063" t="str">
        <f>IF(ISNA(VLOOKUP(TB_curr[[#This Row],[Synt]],GL[[#Headers],[#Data],[subtotal label]],1,FALSE)),0,(VLOOKUP(TB_curr[[#This Row],[Synt]],GL[[#Headers],[#Data],[subtotal label]],1,FALSE)))</f>
        <v/>
      </c>
      <c r="AF736" s="1063" t="e">
        <f>IF((TB_curr[[#This Row],[Synt]]-TB_curr[[#This Row],[Subtotal Y/N]])=0,0,VLOOKUP(TB_curr[[#This Row],[Synt]],GL[[Account]:[Line]],3,FALSE))</f>
        <v>#VALUE!</v>
      </c>
      <c r="AG736" s="1063" t="e">
        <f>VLOOKUP(TB_curr[[#This Row],[Synt]],GL[[Account]:[B/P]],4,FALSE)</f>
        <v>#N/A</v>
      </c>
      <c r="AH736" s="1066" t="e">
        <v>#VALUE!</v>
      </c>
      <c r="AI736" s="1065" t="e">
        <f>TB_curr[[#This Row],[Synt]]&amp;TB_curr[[#This Row],[Line No. manual corr.]]</f>
        <v>#VALUE!</v>
      </c>
      <c r="AJ736" s="1064">
        <f t="shared" si="56"/>
        <v>0</v>
      </c>
      <c r="AK736" s="1064">
        <f t="shared" si="57"/>
        <v>0</v>
      </c>
      <c r="AL736" s="1064">
        <f t="shared" si="58"/>
        <v>0</v>
      </c>
      <c r="AM736" s="1064">
        <f t="shared" si="59"/>
        <v>0</v>
      </c>
      <c r="AN736" s="1064"/>
      <c r="AO736" s="1064">
        <f>TB_curr[[#This Row],[Closing balance]]+TB_curr[[#This Row],[Rounding]]</f>
        <v>0</v>
      </c>
    </row>
    <row r="737" spans="30:41" x14ac:dyDescent="0.25">
      <c r="AD737" s="1067" t="str">
        <f t="shared" si="55"/>
        <v/>
      </c>
      <c r="AE737" s="1063" t="str">
        <f>IF(ISNA(VLOOKUP(TB_curr[[#This Row],[Synt]],GL[[#Headers],[#Data],[subtotal label]],1,FALSE)),0,(VLOOKUP(TB_curr[[#This Row],[Synt]],GL[[#Headers],[#Data],[subtotal label]],1,FALSE)))</f>
        <v/>
      </c>
      <c r="AF737" s="1063" t="e">
        <f>IF((TB_curr[[#This Row],[Synt]]-TB_curr[[#This Row],[Subtotal Y/N]])=0,0,VLOOKUP(TB_curr[[#This Row],[Synt]],GL[[Account]:[Line]],3,FALSE))</f>
        <v>#VALUE!</v>
      </c>
      <c r="AG737" s="1063" t="e">
        <f>VLOOKUP(TB_curr[[#This Row],[Synt]],GL[[Account]:[B/P]],4,FALSE)</f>
        <v>#N/A</v>
      </c>
      <c r="AH737" s="1066" t="e">
        <v>#VALUE!</v>
      </c>
      <c r="AI737" s="1065" t="e">
        <f>TB_curr[[#This Row],[Synt]]&amp;TB_curr[[#This Row],[Line No. manual corr.]]</f>
        <v>#VALUE!</v>
      </c>
      <c r="AJ737" s="1064">
        <f t="shared" si="56"/>
        <v>0</v>
      </c>
      <c r="AK737" s="1064">
        <f t="shared" si="57"/>
        <v>0</v>
      </c>
      <c r="AL737" s="1064">
        <f t="shared" si="58"/>
        <v>0</v>
      </c>
      <c r="AM737" s="1064">
        <f t="shared" si="59"/>
        <v>0</v>
      </c>
      <c r="AN737" s="1064"/>
      <c r="AO737" s="1064">
        <f>TB_curr[[#This Row],[Closing balance]]+TB_curr[[#This Row],[Rounding]]</f>
        <v>0</v>
      </c>
    </row>
    <row r="738" spans="30:41" x14ac:dyDescent="0.25">
      <c r="AD738" s="1067" t="str">
        <f t="shared" si="55"/>
        <v/>
      </c>
      <c r="AE738" s="1063" t="str">
        <f>IF(ISNA(VLOOKUP(TB_curr[[#This Row],[Synt]],GL[[#Headers],[#Data],[subtotal label]],1,FALSE)),0,(VLOOKUP(TB_curr[[#This Row],[Synt]],GL[[#Headers],[#Data],[subtotal label]],1,FALSE)))</f>
        <v/>
      </c>
      <c r="AF738" s="1063" t="e">
        <f>IF((TB_curr[[#This Row],[Synt]]-TB_curr[[#This Row],[Subtotal Y/N]])=0,0,VLOOKUP(TB_curr[[#This Row],[Synt]],GL[[Account]:[Line]],3,FALSE))</f>
        <v>#VALUE!</v>
      </c>
      <c r="AG738" s="1063" t="e">
        <f>VLOOKUP(TB_curr[[#This Row],[Synt]],GL[[Account]:[B/P]],4,FALSE)</f>
        <v>#N/A</v>
      </c>
      <c r="AH738" s="1066" t="e">
        <v>#VALUE!</v>
      </c>
      <c r="AI738" s="1065" t="e">
        <f>TB_curr[[#This Row],[Synt]]&amp;TB_curr[[#This Row],[Line No. manual corr.]]</f>
        <v>#VALUE!</v>
      </c>
      <c r="AJ738" s="1064">
        <f t="shared" si="56"/>
        <v>0</v>
      </c>
      <c r="AK738" s="1064">
        <f t="shared" si="57"/>
        <v>0</v>
      </c>
      <c r="AL738" s="1064">
        <f t="shared" si="58"/>
        <v>0</v>
      </c>
      <c r="AM738" s="1064">
        <f t="shared" si="59"/>
        <v>0</v>
      </c>
      <c r="AN738" s="1064"/>
      <c r="AO738" s="1064">
        <f>TB_curr[[#This Row],[Closing balance]]+TB_curr[[#This Row],[Rounding]]</f>
        <v>0</v>
      </c>
    </row>
    <row r="739" spans="30:41" x14ac:dyDescent="0.25">
      <c r="AD739" s="1067" t="str">
        <f t="shared" si="55"/>
        <v/>
      </c>
      <c r="AE739" s="1063" t="str">
        <f>IF(ISNA(VLOOKUP(TB_curr[[#This Row],[Synt]],GL[[#Headers],[#Data],[subtotal label]],1,FALSE)),0,(VLOOKUP(TB_curr[[#This Row],[Synt]],GL[[#Headers],[#Data],[subtotal label]],1,FALSE)))</f>
        <v/>
      </c>
      <c r="AF739" s="1063" t="e">
        <f>IF((TB_curr[[#This Row],[Synt]]-TB_curr[[#This Row],[Subtotal Y/N]])=0,0,VLOOKUP(TB_curr[[#This Row],[Synt]],GL[[Account]:[Line]],3,FALSE))</f>
        <v>#VALUE!</v>
      </c>
      <c r="AG739" s="1063" t="e">
        <f>VLOOKUP(TB_curr[[#This Row],[Synt]],GL[[Account]:[B/P]],4,FALSE)</f>
        <v>#N/A</v>
      </c>
      <c r="AH739" s="1066" t="e">
        <v>#VALUE!</v>
      </c>
      <c r="AI739" s="1065" t="e">
        <f>TB_curr[[#This Row],[Synt]]&amp;TB_curr[[#This Row],[Line No. manual corr.]]</f>
        <v>#VALUE!</v>
      </c>
      <c r="AJ739" s="1064">
        <f t="shared" si="56"/>
        <v>0</v>
      </c>
      <c r="AK739" s="1064">
        <f t="shared" si="57"/>
        <v>0</v>
      </c>
      <c r="AL739" s="1064">
        <f t="shared" si="58"/>
        <v>0</v>
      </c>
      <c r="AM739" s="1064">
        <f t="shared" si="59"/>
        <v>0</v>
      </c>
      <c r="AN739" s="1064"/>
      <c r="AO739" s="1064">
        <f>TB_curr[[#This Row],[Closing balance]]+TB_curr[[#This Row],[Rounding]]</f>
        <v>0</v>
      </c>
    </row>
    <row r="740" spans="30:41" x14ac:dyDescent="0.25">
      <c r="AD740" s="1067" t="str">
        <f t="shared" si="55"/>
        <v/>
      </c>
      <c r="AE740" s="1063" t="str">
        <f>IF(ISNA(VLOOKUP(TB_curr[[#This Row],[Synt]],GL[[#Headers],[#Data],[subtotal label]],1,FALSE)),0,(VLOOKUP(TB_curr[[#This Row],[Synt]],GL[[#Headers],[#Data],[subtotal label]],1,FALSE)))</f>
        <v/>
      </c>
      <c r="AF740" s="1063" t="e">
        <f>IF((TB_curr[[#This Row],[Synt]]-TB_curr[[#This Row],[Subtotal Y/N]])=0,0,VLOOKUP(TB_curr[[#This Row],[Synt]],GL[[Account]:[Line]],3,FALSE))</f>
        <v>#VALUE!</v>
      </c>
      <c r="AG740" s="1063" t="e">
        <f>VLOOKUP(TB_curr[[#This Row],[Synt]],GL[[Account]:[B/P]],4,FALSE)</f>
        <v>#N/A</v>
      </c>
      <c r="AH740" s="1066" t="e">
        <v>#VALUE!</v>
      </c>
      <c r="AI740" s="1065" t="e">
        <f>TB_curr[[#This Row],[Synt]]&amp;TB_curr[[#This Row],[Line No. manual corr.]]</f>
        <v>#VALUE!</v>
      </c>
      <c r="AJ740" s="1064">
        <f t="shared" si="56"/>
        <v>0</v>
      </c>
      <c r="AK740" s="1064">
        <f t="shared" si="57"/>
        <v>0</v>
      </c>
      <c r="AL740" s="1064">
        <f t="shared" si="58"/>
        <v>0</v>
      </c>
      <c r="AM740" s="1064">
        <f t="shared" si="59"/>
        <v>0</v>
      </c>
      <c r="AN740" s="1064"/>
      <c r="AO740" s="1064">
        <f>TB_curr[[#This Row],[Closing balance]]+TB_curr[[#This Row],[Rounding]]</f>
        <v>0</v>
      </c>
    </row>
    <row r="741" spans="30:41" x14ac:dyDescent="0.25">
      <c r="AD741" s="1067" t="str">
        <f t="shared" si="55"/>
        <v/>
      </c>
      <c r="AE741" s="1063" t="str">
        <f>IF(ISNA(VLOOKUP(TB_curr[[#This Row],[Synt]],GL[[#Headers],[#Data],[subtotal label]],1,FALSE)),0,(VLOOKUP(TB_curr[[#This Row],[Synt]],GL[[#Headers],[#Data],[subtotal label]],1,FALSE)))</f>
        <v/>
      </c>
      <c r="AF741" s="1063" t="e">
        <f>IF((TB_curr[[#This Row],[Synt]]-TB_curr[[#This Row],[Subtotal Y/N]])=0,0,VLOOKUP(TB_curr[[#This Row],[Synt]],GL[[Account]:[Line]],3,FALSE))</f>
        <v>#VALUE!</v>
      </c>
      <c r="AG741" s="1063" t="e">
        <f>VLOOKUP(TB_curr[[#This Row],[Synt]],GL[[Account]:[B/P]],4,FALSE)</f>
        <v>#N/A</v>
      </c>
      <c r="AH741" s="1066" t="e">
        <v>#VALUE!</v>
      </c>
      <c r="AI741" s="1065" t="e">
        <f>TB_curr[[#This Row],[Synt]]&amp;TB_curr[[#This Row],[Line No. manual corr.]]</f>
        <v>#VALUE!</v>
      </c>
      <c r="AJ741" s="1064">
        <f t="shared" si="56"/>
        <v>0</v>
      </c>
      <c r="AK741" s="1064">
        <f t="shared" si="57"/>
        <v>0</v>
      </c>
      <c r="AL741" s="1064">
        <f t="shared" si="58"/>
        <v>0</v>
      </c>
      <c r="AM741" s="1064">
        <f t="shared" si="59"/>
        <v>0</v>
      </c>
      <c r="AN741" s="1064"/>
      <c r="AO741" s="1064">
        <f>TB_curr[[#This Row],[Closing balance]]+TB_curr[[#This Row],[Rounding]]</f>
        <v>0</v>
      </c>
    </row>
    <row r="742" spans="30:41" x14ac:dyDescent="0.25">
      <c r="AD742" s="1067" t="str">
        <f t="shared" si="55"/>
        <v/>
      </c>
      <c r="AE742" s="1063" t="str">
        <f>IF(ISNA(VLOOKUP(TB_curr[[#This Row],[Synt]],GL[[#Headers],[#Data],[subtotal label]],1,FALSE)),0,(VLOOKUP(TB_curr[[#This Row],[Synt]],GL[[#Headers],[#Data],[subtotal label]],1,FALSE)))</f>
        <v/>
      </c>
      <c r="AF742" s="1063" t="e">
        <f>IF((TB_curr[[#This Row],[Synt]]-TB_curr[[#This Row],[Subtotal Y/N]])=0,0,VLOOKUP(TB_curr[[#This Row],[Synt]],GL[[Account]:[Line]],3,FALSE))</f>
        <v>#VALUE!</v>
      </c>
      <c r="AG742" s="1063" t="e">
        <f>VLOOKUP(TB_curr[[#This Row],[Synt]],GL[[Account]:[B/P]],4,FALSE)</f>
        <v>#N/A</v>
      </c>
      <c r="AH742" s="1066" t="e">
        <v>#VALUE!</v>
      </c>
      <c r="AI742" s="1065" t="e">
        <f>TB_curr[[#This Row],[Synt]]&amp;TB_curr[[#This Row],[Line No. manual corr.]]</f>
        <v>#VALUE!</v>
      </c>
      <c r="AJ742" s="1064">
        <f t="shared" si="56"/>
        <v>0</v>
      </c>
      <c r="AK742" s="1064">
        <f t="shared" si="57"/>
        <v>0</v>
      </c>
      <c r="AL742" s="1064">
        <f t="shared" si="58"/>
        <v>0</v>
      </c>
      <c r="AM742" s="1064">
        <f t="shared" si="59"/>
        <v>0</v>
      </c>
      <c r="AN742" s="1064"/>
      <c r="AO742" s="1064">
        <f>TB_curr[[#This Row],[Closing balance]]+TB_curr[[#This Row],[Rounding]]</f>
        <v>0</v>
      </c>
    </row>
    <row r="743" spans="30:41" x14ac:dyDescent="0.25">
      <c r="AD743" s="1067" t="str">
        <f t="shared" si="55"/>
        <v/>
      </c>
      <c r="AE743" s="1063" t="str">
        <f>IF(ISNA(VLOOKUP(TB_curr[[#This Row],[Synt]],GL[[#Headers],[#Data],[subtotal label]],1,FALSE)),0,(VLOOKUP(TB_curr[[#This Row],[Synt]],GL[[#Headers],[#Data],[subtotal label]],1,FALSE)))</f>
        <v/>
      </c>
      <c r="AF743" s="1063" t="e">
        <f>IF((TB_curr[[#This Row],[Synt]]-TB_curr[[#This Row],[Subtotal Y/N]])=0,0,VLOOKUP(TB_curr[[#This Row],[Synt]],GL[[Account]:[Line]],3,FALSE))</f>
        <v>#VALUE!</v>
      </c>
      <c r="AG743" s="1063" t="e">
        <f>VLOOKUP(TB_curr[[#This Row],[Synt]],GL[[Account]:[B/P]],4,FALSE)</f>
        <v>#N/A</v>
      </c>
      <c r="AH743" s="1066" t="e">
        <v>#VALUE!</v>
      </c>
      <c r="AI743" s="1065" t="e">
        <f>TB_curr[[#This Row],[Synt]]&amp;TB_curr[[#This Row],[Line No. manual corr.]]</f>
        <v>#VALUE!</v>
      </c>
      <c r="AJ743" s="1064">
        <f t="shared" si="56"/>
        <v>0</v>
      </c>
      <c r="AK743" s="1064">
        <f t="shared" si="57"/>
        <v>0</v>
      </c>
      <c r="AL743" s="1064">
        <f t="shared" si="58"/>
        <v>0</v>
      </c>
      <c r="AM743" s="1064">
        <f t="shared" si="59"/>
        <v>0</v>
      </c>
      <c r="AN743" s="1064"/>
      <c r="AO743" s="1064">
        <f>TB_curr[[#This Row],[Closing balance]]+TB_curr[[#This Row],[Rounding]]</f>
        <v>0</v>
      </c>
    </row>
    <row r="744" spans="30:41" x14ac:dyDescent="0.25">
      <c r="AD744" s="1067" t="str">
        <f t="shared" si="55"/>
        <v/>
      </c>
      <c r="AE744" s="1063" t="str">
        <f>IF(ISNA(VLOOKUP(TB_curr[[#This Row],[Synt]],GL[[#Headers],[#Data],[subtotal label]],1,FALSE)),0,(VLOOKUP(TB_curr[[#This Row],[Synt]],GL[[#Headers],[#Data],[subtotal label]],1,FALSE)))</f>
        <v/>
      </c>
      <c r="AF744" s="1063" t="e">
        <f>IF((TB_curr[[#This Row],[Synt]]-TB_curr[[#This Row],[Subtotal Y/N]])=0,0,VLOOKUP(TB_curr[[#This Row],[Synt]],GL[[Account]:[Line]],3,FALSE))</f>
        <v>#VALUE!</v>
      </c>
      <c r="AG744" s="1063" t="e">
        <f>VLOOKUP(TB_curr[[#This Row],[Synt]],GL[[Account]:[B/P]],4,FALSE)</f>
        <v>#N/A</v>
      </c>
      <c r="AH744" s="1066" t="e">
        <v>#VALUE!</v>
      </c>
      <c r="AI744" s="1065" t="e">
        <f>TB_curr[[#This Row],[Synt]]&amp;TB_curr[[#This Row],[Line No. manual corr.]]</f>
        <v>#VALUE!</v>
      </c>
      <c r="AJ744" s="1064">
        <f t="shared" si="56"/>
        <v>0</v>
      </c>
      <c r="AK744" s="1064">
        <f t="shared" si="57"/>
        <v>0</v>
      </c>
      <c r="AL744" s="1064">
        <f t="shared" si="58"/>
        <v>0</v>
      </c>
      <c r="AM744" s="1064">
        <f t="shared" si="59"/>
        <v>0</v>
      </c>
      <c r="AN744" s="1064"/>
      <c r="AO744" s="1064">
        <f>TB_curr[[#This Row],[Closing balance]]+TB_curr[[#This Row],[Rounding]]</f>
        <v>0</v>
      </c>
    </row>
    <row r="745" spans="30:41" x14ac:dyDescent="0.25">
      <c r="AD745" s="1067" t="str">
        <f t="shared" si="55"/>
        <v/>
      </c>
      <c r="AE745" s="1063" t="str">
        <f>IF(ISNA(VLOOKUP(TB_curr[[#This Row],[Synt]],GL[[#Headers],[#Data],[subtotal label]],1,FALSE)),0,(VLOOKUP(TB_curr[[#This Row],[Synt]],GL[[#Headers],[#Data],[subtotal label]],1,FALSE)))</f>
        <v/>
      </c>
      <c r="AF745" s="1063" t="e">
        <f>IF((TB_curr[[#This Row],[Synt]]-TB_curr[[#This Row],[Subtotal Y/N]])=0,0,VLOOKUP(TB_curr[[#This Row],[Synt]],GL[[Account]:[Line]],3,FALSE))</f>
        <v>#VALUE!</v>
      </c>
      <c r="AG745" s="1063" t="e">
        <f>VLOOKUP(TB_curr[[#This Row],[Synt]],GL[[Account]:[B/P]],4,FALSE)</f>
        <v>#N/A</v>
      </c>
      <c r="AH745" s="1066" t="e">
        <v>#VALUE!</v>
      </c>
      <c r="AI745" s="1065" t="e">
        <f>TB_curr[[#This Row],[Synt]]&amp;TB_curr[[#This Row],[Line No. manual corr.]]</f>
        <v>#VALUE!</v>
      </c>
      <c r="AJ745" s="1064">
        <f t="shared" si="56"/>
        <v>0</v>
      </c>
      <c r="AK745" s="1064">
        <f t="shared" si="57"/>
        <v>0</v>
      </c>
      <c r="AL745" s="1064">
        <f t="shared" si="58"/>
        <v>0</v>
      </c>
      <c r="AM745" s="1064">
        <f t="shared" si="59"/>
        <v>0</v>
      </c>
      <c r="AN745" s="1064"/>
      <c r="AO745" s="1064">
        <f>TB_curr[[#This Row],[Closing balance]]+TB_curr[[#This Row],[Rounding]]</f>
        <v>0</v>
      </c>
    </row>
    <row r="746" spans="30:41" x14ac:dyDescent="0.25">
      <c r="AD746" s="1067" t="str">
        <f t="shared" si="55"/>
        <v/>
      </c>
      <c r="AE746" s="1063" t="str">
        <f>IF(ISNA(VLOOKUP(TB_curr[[#This Row],[Synt]],GL[[#Headers],[#Data],[subtotal label]],1,FALSE)),0,(VLOOKUP(TB_curr[[#This Row],[Synt]],GL[[#Headers],[#Data],[subtotal label]],1,FALSE)))</f>
        <v/>
      </c>
      <c r="AF746" s="1063" t="e">
        <f>IF((TB_curr[[#This Row],[Synt]]-TB_curr[[#This Row],[Subtotal Y/N]])=0,0,VLOOKUP(TB_curr[[#This Row],[Synt]],GL[[Account]:[Line]],3,FALSE))</f>
        <v>#VALUE!</v>
      </c>
      <c r="AG746" s="1063" t="e">
        <f>VLOOKUP(TB_curr[[#This Row],[Synt]],GL[[Account]:[B/P]],4,FALSE)</f>
        <v>#N/A</v>
      </c>
      <c r="AH746" s="1066" t="e">
        <v>#VALUE!</v>
      </c>
      <c r="AI746" s="1065" t="e">
        <f>TB_curr[[#This Row],[Synt]]&amp;TB_curr[[#This Row],[Line No. manual corr.]]</f>
        <v>#VALUE!</v>
      </c>
      <c r="AJ746" s="1064">
        <f t="shared" si="56"/>
        <v>0</v>
      </c>
      <c r="AK746" s="1064">
        <f t="shared" si="57"/>
        <v>0</v>
      </c>
      <c r="AL746" s="1064">
        <f t="shared" si="58"/>
        <v>0</v>
      </c>
      <c r="AM746" s="1064">
        <f t="shared" si="59"/>
        <v>0</v>
      </c>
      <c r="AN746" s="1064"/>
      <c r="AO746" s="1064">
        <f>TB_curr[[#This Row],[Closing balance]]+TB_curr[[#This Row],[Rounding]]</f>
        <v>0</v>
      </c>
    </row>
    <row r="747" spans="30:41" x14ac:dyDescent="0.25">
      <c r="AD747" s="1067" t="str">
        <f t="shared" si="55"/>
        <v/>
      </c>
      <c r="AE747" s="1063" t="str">
        <f>IF(ISNA(VLOOKUP(TB_curr[[#This Row],[Synt]],GL[[#Headers],[#Data],[subtotal label]],1,FALSE)),0,(VLOOKUP(TB_curr[[#This Row],[Synt]],GL[[#Headers],[#Data],[subtotal label]],1,FALSE)))</f>
        <v/>
      </c>
      <c r="AF747" s="1063" t="e">
        <f>IF((TB_curr[[#This Row],[Synt]]-TB_curr[[#This Row],[Subtotal Y/N]])=0,0,VLOOKUP(TB_curr[[#This Row],[Synt]],GL[[Account]:[Line]],3,FALSE))</f>
        <v>#VALUE!</v>
      </c>
      <c r="AG747" s="1063" t="e">
        <f>VLOOKUP(TB_curr[[#This Row],[Synt]],GL[[Account]:[B/P]],4,FALSE)</f>
        <v>#N/A</v>
      </c>
      <c r="AH747" s="1066" t="e">
        <v>#VALUE!</v>
      </c>
      <c r="AI747" s="1065" t="e">
        <f>TB_curr[[#This Row],[Synt]]&amp;TB_curr[[#This Row],[Line No. manual corr.]]</f>
        <v>#VALUE!</v>
      </c>
      <c r="AJ747" s="1064">
        <f t="shared" si="56"/>
        <v>0</v>
      </c>
      <c r="AK747" s="1064">
        <f t="shared" si="57"/>
        <v>0</v>
      </c>
      <c r="AL747" s="1064">
        <f t="shared" si="58"/>
        <v>0</v>
      </c>
      <c r="AM747" s="1064">
        <f t="shared" si="59"/>
        <v>0</v>
      </c>
      <c r="AN747" s="1064"/>
      <c r="AO747" s="1064">
        <f>TB_curr[[#This Row],[Closing balance]]+TB_curr[[#This Row],[Rounding]]</f>
        <v>0</v>
      </c>
    </row>
    <row r="748" spans="30:41" x14ac:dyDescent="0.25">
      <c r="AD748" s="1067" t="str">
        <f t="shared" si="55"/>
        <v/>
      </c>
      <c r="AE748" s="1063" t="str">
        <f>IF(ISNA(VLOOKUP(TB_curr[[#This Row],[Synt]],GL[[#Headers],[#Data],[subtotal label]],1,FALSE)),0,(VLOOKUP(TB_curr[[#This Row],[Synt]],GL[[#Headers],[#Data],[subtotal label]],1,FALSE)))</f>
        <v/>
      </c>
      <c r="AF748" s="1063" t="e">
        <f>IF((TB_curr[[#This Row],[Synt]]-TB_curr[[#This Row],[Subtotal Y/N]])=0,0,VLOOKUP(TB_curr[[#This Row],[Synt]],GL[[Account]:[Line]],3,FALSE))</f>
        <v>#VALUE!</v>
      </c>
      <c r="AG748" s="1063" t="e">
        <f>VLOOKUP(TB_curr[[#This Row],[Synt]],GL[[Account]:[B/P]],4,FALSE)</f>
        <v>#N/A</v>
      </c>
      <c r="AH748" s="1066" t="e">
        <v>#VALUE!</v>
      </c>
      <c r="AI748" s="1065" t="e">
        <f>TB_curr[[#This Row],[Synt]]&amp;TB_curr[[#This Row],[Line No. manual corr.]]</f>
        <v>#VALUE!</v>
      </c>
      <c r="AJ748" s="1064">
        <f t="shared" si="56"/>
        <v>0</v>
      </c>
      <c r="AK748" s="1064">
        <f t="shared" si="57"/>
        <v>0</v>
      </c>
      <c r="AL748" s="1064">
        <f t="shared" si="58"/>
        <v>0</v>
      </c>
      <c r="AM748" s="1064">
        <f t="shared" si="59"/>
        <v>0</v>
      </c>
      <c r="AN748" s="1064"/>
      <c r="AO748" s="1064">
        <f>TB_curr[[#This Row],[Closing balance]]+TB_curr[[#This Row],[Rounding]]</f>
        <v>0</v>
      </c>
    </row>
    <row r="749" spans="30:41" x14ac:dyDescent="0.25">
      <c r="AD749" s="1067" t="str">
        <f t="shared" si="55"/>
        <v/>
      </c>
      <c r="AE749" s="1063" t="str">
        <f>IF(ISNA(VLOOKUP(TB_curr[[#This Row],[Synt]],GL[[#Headers],[#Data],[subtotal label]],1,FALSE)),0,(VLOOKUP(TB_curr[[#This Row],[Synt]],GL[[#Headers],[#Data],[subtotal label]],1,FALSE)))</f>
        <v/>
      </c>
      <c r="AF749" s="1063" t="e">
        <f>IF((TB_curr[[#This Row],[Synt]]-TB_curr[[#This Row],[Subtotal Y/N]])=0,0,VLOOKUP(TB_curr[[#This Row],[Synt]],GL[[Account]:[Line]],3,FALSE))</f>
        <v>#VALUE!</v>
      </c>
      <c r="AG749" s="1063" t="e">
        <f>VLOOKUP(TB_curr[[#This Row],[Synt]],GL[[Account]:[B/P]],4,FALSE)</f>
        <v>#N/A</v>
      </c>
      <c r="AH749" s="1066" t="e">
        <v>#VALUE!</v>
      </c>
      <c r="AI749" s="1065" t="e">
        <f>TB_curr[[#This Row],[Synt]]&amp;TB_curr[[#This Row],[Line No. manual corr.]]</f>
        <v>#VALUE!</v>
      </c>
      <c r="AJ749" s="1064">
        <f t="shared" si="56"/>
        <v>0</v>
      </c>
      <c r="AK749" s="1064">
        <f t="shared" si="57"/>
        <v>0</v>
      </c>
      <c r="AL749" s="1064">
        <f t="shared" si="58"/>
        <v>0</v>
      </c>
      <c r="AM749" s="1064">
        <f t="shared" si="59"/>
        <v>0</v>
      </c>
      <c r="AN749" s="1064"/>
      <c r="AO749" s="1064">
        <f>TB_curr[[#This Row],[Closing balance]]+TB_curr[[#This Row],[Rounding]]</f>
        <v>0</v>
      </c>
    </row>
    <row r="750" spans="30:41" x14ac:dyDescent="0.25">
      <c r="AD750" s="1067" t="str">
        <f t="shared" si="55"/>
        <v/>
      </c>
      <c r="AE750" s="1063" t="str">
        <f>IF(ISNA(VLOOKUP(TB_curr[[#This Row],[Synt]],GL[[#Headers],[#Data],[subtotal label]],1,FALSE)),0,(VLOOKUP(TB_curr[[#This Row],[Synt]],GL[[#Headers],[#Data],[subtotal label]],1,FALSE)))</f>
        <v/>
      </c>
      <c r="AF750" s="1063" t="e">
        <f>IF((TB_curr[[#This Row],[Synt]]-TB_curr[[#This Row],[Subtotal Y/N]])=0,0,VLOOKUP(TB_curr[[#This Row],[Synt]],GL[[Account]:[Line]],3,FALSE))</f>
        <v>#VALUE!</v>
      </c>
      <c r="AG750" s="1063" t="e">
        <f>VLOOKUP(TB_curr[[#This Row],[Synt]],GL[[Account]:[B/P]],4,FALSE)</f>
        <v>#N/A</v>
      </c>
      <c r="AH750" s="1066" t="e">
        <v>#VALUE!</v>
      </c>
      <c r="AI750" s="1065" t="e">
        <f>TB_curr[[#This Row],[Synt]]&amp;TB_curr[[#This Row],[Line No. manual corr.]]</f>
        <v>#VALUE!</v>
      </c>
      <c r="AJ750" s="1064">
        <f t="shared" si="56"/>
        <v>0</v>
      </c>
      <c r="AK750" s="1064">
        <f t="shared" si="57"/>
        <v>0</v>
      </c>
      <c r="AL750" s="1064">
        <f t="shared" si="58"/>
        <v>0</v>
      </c>
      <c r="AM750" s="1064">
        <f t="shared" si="59"/>
        <v>0</v>
      </c>
      <c r="AN750" s="1064"/>
      <c r="AO750" s="1064">
        <f>TB_curr[[#This Row],[Closing balance]]+TB_curr[[#This Row],[Rounding]]</f>
        <v>0</v>
      </c>
    </row>
    <row r="751" spans="30:41" x14ac:dyDescent="0.25">
      <c r="AD751" s="1067" t="str">
        <f t="shared" si="55"/>
        <v/>
      </c>
      <c r="AE751" s="1063" t="str">
        <f>IF(ISNA(VLOOKUP(TB_curr[[#This Row],[Synt]],GL[[#Headers],[#Data],[subtotal label]],1,FALSE)),0,(VLOOKUP(TB_curr[[#This Row],[Synt]],GL[[#Headers],[#Data],[subtotal label]],1,FALSE)))</f>
        <v/>
      </c>
      <c r="AF751" s="1063" t="e">
        <f>IF((TB_curr[[#This Row],[Synt]]-TB_curr[[#This Row],[Subtotal Y/N]])=0,0,VLOOKUP(TB_curr[[#This Row],[Synt]],GL[[Account]:[Line]],3,FALSE))</f>
        <v>#VALUE!</v>
      </c>
      <c r="AG751" s="1063" t="e">
        <f>VLOOKUP(TB_curr[[#This Row],[Synt]],GL[[Account]:[B/P]],4,FALSE)</f>
        <v>#N/A</v>
      </c>
      <c r="AH751" s="1066" t="e">
        <v>#VALUE!</v>
      </c>
      <c r="AI751" s="1065" t="e">
        <f>TB_curr[[#This Row],[Synt]]&amp;TB_curr[[#This Row],[Line No. manual corr.]]</f>
        <v>#VALUE!</v>
      </c>
      <c r="AJ751" s="1064">
        <f t="shared" si="56"/>
        <v>0</v>
      </c>
      <c r="AK751" s="1064">
        <f t="shared" si="57"/>
        <v>0</v>
      </c>
      <c r="AL751" s="1064">
        <f t="shared" si="58"/>
        <v>0</v>
      </c>
      <c r="AM751" s="1064">
        <f t="shared" si="59"/>
        <v>0</v>
      </c>
      <c r="AN751" s="1064"/>
      <c r="AO751" s="1064">
        <f>TB_curr[[#This Row],[Closing balance]]+TB_curr[[#This Row],[Rounding]]</f>
        <v>0</v>
      </c>
    </row>
    <row r="752" spans="30:41" x14ac:dyDescent="0.25">
      <c r="AD752" s="1067" t="str">
        <f t="shared" si="55"/>
        <v/>
      </c>
      <c r="AE752" s="1063" t="str">
        <f>IF(ISNA(VLOOKUP(TB_curr[[#This Row],[Synt]],GL[[#Headers],[#Data],[subtotal label]],1,FALSE)),0,(VLOOKUP(TB_curr[[#This Row],[Synt]],GL[[#Headers],[#Data],[subtotal label]],1,FALSE)))</f>
        <v/>
      </c>
      <c r="AF752" s="1063" t="e">
        <f>IF((TB_curr[[#This Row],[Synt]]-TB_curr[[#This Row],[Subtotal Y/N]])=0,0,VLOOKUP(TB_curr[[#This Row],[Synt]],GL[[Account]:[Line]],3,FALSE))</f>
        <v>#VALUE!</v>
      </c>
      <c r="AG752" s="1063" t="e">
        <f>VLOOKUP(TB_curr[[#This Row],[Synt]],GL[[Account]:[B/P]],4,FALSE)</f>
        <v>#N/A</v>
      </c>
      <c r="AH752" s="1066" t="e">
        <v>#VALUE!</v>
      </c>
      <c r="AI752" s="1065" t="e">
        <f>TB_curr[[#This Row],[Synt]]&amp;TB_curr[[#This Row],[Line No. manual corr.]]</f>
        <v>#VALUE!</v>
      </c>
      <c r="AJ752" s="1064">
        <f t="shared" si="56"/>
        <v>0</v>
      </c>
      <c r="AK752" s="1064">
        <f t="shared" si="57"/>
        <v>0</v>
      </c>
      <c r="AL752" s="1064">
        <f t="shared" si="58"/>
        <v>0</v>
      </c>
      <c r="AM752" s="1064">
        <f t="shared" si="59"/>
        <v>0</v>
      </c>
      <c r="AN752" s="1064"/>
      <c r="AO752" s="1064">
        <f>TB_curr[[#This Row],[Closing balance]]+TB_curr[[#This Row],[Rounding]]</f>
        <v>0</v>
      </c>
    </row>
    <row r="753" spans="30:41" x14ac:dyDescent="0.25">
      <c r="AD753" s="1067" t="str">
        <f t="shared" si="55"/>
        <v/>
      </c>
      <c r="AE753" s="1063" t="str">
        <f>IF(ISNA(VLOOKUP(TB_curr[[#This Row],[Synt]],GL[[#Headers],[#Data],[subtotal label]],1,FALSE)),0,(VLOOKUP(TB_curr[[#This Row],[Synt]],GL[[#Headers],[#Data],[subtotal label]],1,FALSE)))</f>
        <v/>
      </c>
      <c r="AF753" s="1063" t="e">
        <f>IF((TB_curr[[#This Row],[Synt]]-TB_curr[[#This Row],[Subtotal Y/N]])=0,0,VLOOKUP(TB_curr[[#This Row],[Synt]],GL[[Account]:[Line]],3,FALSE))</f>
        <v>#VALUE!</v>
      </c>
      <c r="AG753" s="1063" t="e">
        <f>VLOOKUP(TB_curr[[#This Row],[Synt]],GL[[Account]:[B/P]],4,FALSE)</f>
        <v>#N/A</v>
      </c>
      <c r="AH753" s="1066" t="e">
        <v>#VALUE!</v>
      </c>
      <c r="AI753" s="1065" t="e">
        <f>TB_curr[[#This Row],[Synt]]&amp;TB_curr[[#This Row],[Line No. manual corr.]]</f>
        <v>#VALUE!</v>
      </c>
      <c r="AJ753" s="1064">
        <f t="shared" si="56"/>
        <v>0</v>
      </c>
      <c r="AK753" s="1064">
        <f t="shared" si="57"/>
        <v>0</v>
      </c>
      <c r="AL753" s="1064">
        <f t="shared" si="58"/>
        <v>0</v>
      </c>
      <c r="AM753" s="1064">
        <f t="shared" si="59"/>
        <v>0</v>
      </c>
      <c r="AN753" s="1064"/>
      <c r="AO753" s="1064">
        <f>TB_curr[[#This Row],[Closing balance]]+TB_curr[[#This Row],[Rounding]]</f>
        <v>0</v>
      </c>
    </row>
    <row r="754" spans="30:41" x14ac:dyDescent="0.25">
      <c r="AD754" s="1067" t="str">
        <f t="shared" si="55"/>
        <v/>
      </c>
      <c r="AE754" s="1063" t="str">
        <f>IF(ISNA(VLOOKUP(TB_curr[[#This Row],[Synt]],GL[[#Headers],[#Data],[subtotal label]],1,FALSE)),0,(VLOOKUP(TB_curr[[#This Row],[Synt]],GL[[#Headers],[#Data],[subtotal label]],1,FALSE)))</f>
        <v/>
      </c>
      <c r="AF754" s="1063" t="e">
        <f>IF((TB_curr[[#This Row],[Synt]]-TB_curr[[#This Row],[Subtotal Y/N]])=0,0,VLOOKUP(TB_curr[[#This Row],[Synt]],GL[[Account]:[Line]],3,FALSE))</f>
        <v>#VALUE!</v>
      </c>
      <c r="AG754" s="1063" t="e">
        <f>VLOOKUP(TB_curr[[#This Row],[Synt]],GL[[Account]:[B/P]],4,FALSE)</f>
        <v>#N/A</v>
      </c>
      <c r="AH754" s="1066" t="e">
        <v>#VALUE!</v>
      </c>
      <c r="AI754" s="1065" t="e">
        <f>TB_curr[[#This Row],[Synt]]&amp;TB_curr[[#This Row],[Line No. manual corr.]]</f>
        <v>#VALUE!</v>
      </c>
      <c r="AJ754" s="1064">
        <f t="shared" si="56"/>
        <v>0</v>
      </c>
      <c r="AK754" s="1064">
        <f t="shared" si="57"/>
        <v>0</v>
      </c>
      <c r="AL754" s="1064">
        <f t="shared" si="58"/>
        <v>0</v>
      </c>
      <c r="AM754" s="1064">
        <f t="shared" si="59"/>
        <v>0</v>
      </c>
      <c r="AN754" s="1064"/>
      <c r="AO754" s="1064">
        <f>TB_curr[[#This Row],[Closing balance]]+TB_curr[[#This Row],[Rounding]]</f>
        <v>0</v>
      </c>
    </row>
    <row r="755" spans="30:41" x14ac:dyDescent="0.25">
      <c r="AD755" s="1067" t="str">
        <f t="shared" si="55"/>
        <v/>
      </c>
      <c r="AE755" s="1063" t="str">
        <f>IF(ISNA(VLOOKUP(TB_curr[[#This Row],[Synt]],GL[[#Headers],[#Data],[subtotal label]],1,FALSE)),0,(VLOOKUP(TB_curr[[#This Row],[Synt]],GL[[#Headers],[#Data],[subtotal label]],1,FALSE)))</f>
        <v/>
      </c>
      <c r="AF755" s="1063" t="e">
        <f>IF((TB_curr[[#This Row],[Synt]]-TB_curr[[#This Row],[Subtotal Y/N]])=0,0,VLOOKUP(TB_curr[[#This Row],[Synt]],GL[[Account]:[Line]],3,FALSE))</f>
        <v>#VALUE!</v>
      </c>
      <c r="AG755" s="1063" t="e">
        <f>VLOOKUP(TB_curr[[#This Row],[Synt]],GL[[Account]:[B/P]],4,FALSE)</f>
        <v>#N/A</v>
      </c>
      <c r="AH755" s="1066" t="e">
        <v>#VALUE!</v>
      </c>
      <c r="AI755" s="1065" t="e">
        <f>TB_curr[[#This Row],[Synt]]&amp;TB_curr[[#This Row],[Line No. manual corr.]]</f>
        <v>#VALUE!</v>
      </c>
      <c r="AJ755" s="1064">
        <f t="shared" si="56"/>
        <v>0</v>
      </c>
      <c r="AK755" s="1064">
        <f t="shared" si="57"/>
        <v>0</v>
      </c>
      <c r="AL755" s="1064">
        <f t="shared" si="58"/>
        <v>0</v>
      </c>
      <c r="AM755" s="1064">
        <f t="shared" si="59"/>
        <v>0</v>
      </c>
      <c r="AN755" s="1064"/>
      <c r="AO755" s="1064">
        <f>TB_curr[[#This Row],[Closing balance]]+TB_curr[[#This Row],[Rounding]]</f>
        <v>0</v>
      </c>
    </row>
    <row r="756" spans="30:41" x14ac:dyDescent="0.25">
      <c r="AD756" s="1067" t="str">
        <f t="shared" si="55"/>
        <v/>
      </c>
      <c r="AE756" s="1063" t="str">
        <f>IF(ISNA(VLOOKUP(TB_curr[[#This Row],[Synt]],GL[[#Headers],[#Data],[subtotal label]],1,FALSE)),0,(VLOOKUP(TB_curr[[#This Row],[Synt]],GL[[#Headers],[#Data],[subtotal label]],1,FALSE)))</f>
        <v/>
      </c>
      <c r="AF756" s="1063" t="e">
        <f>IF((TB_curr[[#This Row],[Synt]]-TB_curr[[#This Row],[Subtotal Y/N]])=0,0,VLOOKUP(TB_curr[[#This Row],[Synt]],GL[[Account]:[Line]],3,FALSE))</f>
        <v>#VALUE!</v>
      </c>
      <c r="AG756" s="1063" t="e">
        <f>VLOOKUP(TB_curr[[#This Row],[Synt]],GL[[Account]:[B/P]],4,FALSE)</f>
        <v>#N/A</v>
      </c>
      <c r="AH756" s="1066" t="e">
        <v>#VALUE!</v>
      </c>
      <c r="AI756" s="1065" t="e">
        <f>TB_curr[[#This Row],[Synt]]&amp;TB_curr[[#This Row],[Line No. manual corr.]]</f>
        <v>#VALUE!</v>
      </c>
      <c r="AJ756" s="1064">
        <f t="shared" si="56"/>
        <v>0</v>
      </c>
      <c r="AK756" s="1064">
        <f t="shared" si="57"/>
        <v>0</v>
      </c>
      <c r="AL756" s="1064">
        <f t="shared" si="58"/>
        <v>0</v>
      </c>
      <c r="AM756" s="1064">
        <f t="shared" si="59"/>
        <v>0</v>
      </c>
      <c r="AN756" s="1064"/>
      <c r="AO756" s="1064">
        <f>TB_curr[[#This Row],[Closing balance]]+TB_curr[[#This Row],[Rounding]]</f>
        <v>0</v>
      </c>
    </row>
    <row r="757" spans="30:41" x14ac:dyDescent="0.25">
      <c r="AD757" s="1067" t="str">
        <f t="shared" si="55"/>
        <v/>
      </c>
      <c r="AE757" s="1063" t="str">
        <f>IF(ISNA(VLOOKUP(TB_curr[[#This Row],[Synt]],GL[[#Headers],[#Data],[subtotal label]],1,FALSE)),0,(VLOOKUP(TB_curr[[#This Row],[Synt]],GL[[#Headers],[#Data],[subtotal label]],1,FALSE)))</f>
        <v/>
      </c>
      <c r="AF757" s="1063" t="e">
        <f>IF((TB_curr[[#This Row],[Synt]]-TB_curr[[#This Row],[Subtotal Y/N]])=0,0,VLOOKUP(TB_curr[[#This Row],[Synt]],GL[[Account]:[Line]],3,FALSE))</f>
        <v>#VALUE!</v>
      </c>
      <c r="AG757" s="1063" t="e">
        <f>VLOOKUP(TB_curr[[#This Row],[Synt]],GL[[Account]:[B/P]],4,FALSE)</f>
        <v>#N/A</v>
      </c>
      <c r="AH757" s="1066" t="e">
        <v>#VALUE!</v>
      </c>
      <c r="AI757" s="1065" t="e">
        <f>TB_curr[[#This Row],[Synt]]&amp;TB_curr[[#This Row],[Line No. manual corr.]]</f>
        <v>#VALUE!</v>
      </c>
      <c r="AJ757" s="1064">
        <f t="shared" si="56"/>
        <v>0</v>
      </c>
      <c r="AK757" s="1064">
        <f t="shared" si="57"/>
        <v>0</v>
      </c>
      <c r="AL757" s="1064">
        <f t="shared" si="58"/>
        <v>0</v>
      </c>
      <c r="AM757" s="1064">
        <f t="shared" si="59"/>
        <v>0</v>
      </c>
      <c r="AN757" s="1064"/>
      <c r="AO757" s="1064">
        <f>TB_curr[[#This Row],[Closing balance]]+TB_curr[[#This Row],[Rounding]]</f>
        <v>0</v>
      </c>
    </row>
    <row r="758" spans="30:41" x14ac:dyDescent="0.25">
      <c r="AD758" s="1067" t="str">
        <f t="shared" si="55"/>
        <v/>
      </c>
      <c r="AE758" s="1063" t="str">
        <f>IF(ISNA(VLOOKUP(TB_curr[[#This Row],[Synt]],GL[[#Headers],[#Data],[subtotal label]],1,FALSE)),0,(VLOOKUP(TB_curr[[#This Row],[Synt]],GL[[#Headers],[#Data],[subtotal label]],1,FALSE)))</f>
        <v/>
      </c>
      <c r="AF758" s="1063" t="e">
        <f>IF((TB_curr[[#This Row],[Synt]]-TB_curr[[#This Row],[Subtotal Y/N]])=0,0,VLOOKUP(TB_curr[[#This Row],[Synt]],GL[[Account]:[Line]],3,FALSE))</f>
        <v>#VALUE!</v>
      </c>
      <c r="AG758" s="1063" t="e">
        <f>VLOOKUP(TB_curr[[#This Row],[Synt]],GL[[Account]:[B/P]],4,FALSE)</f>
        <v>#N/A</v>
      </c>
      <c r="AH758" s="1066" t="e">
        <v>#VALUE!</v>
      </c>
      <c r="AI758" s="1065" t="e">
        <f>TB_curr[[#This Row],[Synt]]&amp;TB_curr[[#This Row],[Line No. manual corr.]]</f>
        <v>#VALUE!</v>
      </c>
      <c r="AJ758" s="1064">
        <f t="shared" si="56"/>
        <v>0</v>
      </c>
      <c r="AK758" s="1064">
        <f t="shared" si="57"/>
        <v>0</v>
      </c>
      <c r="AL758" s="1064">
        <f t="shared" si="58"/>
        <v>0</v>
      </c>
      <c r="AM758" s="1064">
        <f t="shared" si="59"/>
        <v>0</v>
      </c>
      <c r="AN758" s="1064"/>
      <c r="AO758" s="1064">
        <f>TB_curr[[#This Row],[Closing balance]]+TB_curr[[#This Row],[Rounding]]</f>
        <v>0</v>
      </c>
    </row>
    <row r="759" spans="30:41" x14ac:dyDescent="0.25">
      <c r="AD759" s="1067" t="str">
        <f t="shared" si="55"/>
        <v/>
      </c>
      <c r="AE759" s="1063" t="str">
        <f>IF(ISNA(VLOOKUP(TB_curr[[#This Row],[Synt]],GL[[#Headers],[#Data],[subtotal label]],1,FALSE)),0,(VLOOKUP(TB_curr[[#This Row],[Synt]],GL[[#Headers],[#Data],[subtotal label]],1,FALSE)))</f>
        <v/>
      </c>
      <c r="AF759" s="1063" t="e">
        <f>IF((TB_curr[[#This Row],[Synt]]-TB_curr[[#This Row],[Subtotal Y/N]])=0,0,VLOOKUP(TB_curr[[#This Row],[Synt]],GL[[Account]:[Line]],3,FALSE))</f>
        <v>#VALUE!</v>
      </c>
      <c r="AG759" s="1063" t="e">
        <f>VLOOKUP(TB_curr[[#This Row],[Synt]],GL[[Account]:[B/P]],4,FALSE)</f>
        <v>#N/A</v>
      </c>
      <c r="AH759" s="1066" t="e">
        <v>#VALUE!</v>
      </c>
      <c r="AI759" s="1065" t="e">
        <f>TB_curr[[#This Row],[Synt]]&amp;TB_curr[[#This Row],[Line No. manual corr.]]</f>
        <v>#VALUE!</v>
      </c>
      <c r="AJ759" s="1064">
        <f t="shared" si="56"/>
        <v>0</v>
      </c>
      <c r="AK759" s="1064">
        <f t="shared" si="57"/>
        <v>0</v>
      </c>
      <c r="AL759" s="1064">
        <f t="shared" si="58"/>
        <v>0</v>
      </c>
      <c r="AM759" s="1064">
        <f t="shared" si="59"/>
        <v>0</v>
      </c>
      <c r="AN759" s="1064"/>
      <c r="AO759" s="1064">
        <f>TB_curr[[#This Row],[Closing balance]]+TB_curr[[#This Row],[Rounding]]</f>
        <v>0</v>
      </c>
    </row>
    <row r="760" spans="30:41" x14ac:dyDescent="0.25">
      <c r="AD760" s="1067" t="str">
        <f t="shared" si="55"/>
        <v/>
      </c>
      <c r="AE760" s="1063" t="str">
        <f>IF(ISNA(VLOOKUP(TB_curr[[#This Row],[Synt]],GL[[#Headers],[#Data],[subtotal label]],1,FALSE)),0,(VLOOKUP(TB_curr[[#This Row],[Synt]],GL[[#Headers],[#Data],[subtotal label]],1,FALSE)))</f>
        <v/>
      </c>
      <c r="AF760" s="1063" t="e">
        <f>IF((TB_curr[[#This Row],[Synt]]-TB_curr[[#This Row],[Subtotal Y/N]])=0,0,VLOOKUP(TB_curr[[#This Row],[Synt]],GL[[Account]:[Line]],3,FALSE))</f>
        <v>#VALUE!</v>
      </c>
      <c r="AG760" s="1063" t="e">
        <f>VLOOKUP(TB_curr[[#This Row],[Synt]],GL[[Account]:[B/P]],4,FALSE)</f>
        <v>#N/A</v>
      </c>
      <c r="AH760" s="1066" t="e">
        <v>#VALUE!</v>
      </c>
      <c r="AI760" s="1065" t="e">
        <f>TB_curr[[#This Row],[Synt]]&amp;TB_curr[[#This Row],[Line No. manual corr.]]</f>
        <v>#VALUE!</v>
      </c>
      <c r="AJ760" s="1064">
        <f t="shared" si="56"/>
        <v>0</v>
      </c>
      <c r="AK760" s="1064">
        <f t="shared" si="57"/>
        <v>0</v>
      </c>
      <c r="AL760" s="1064">
        <f t="shared" si="58"/>
        <v>0</v>
      </c>
      <c r="AM760" s="1064">
        <f t="shared" si="59"/>
        <v>0</v>
      </c>
      <c r="AN760" s="1064"/>
      <c r="AO760" s="1064">
        <f>TB_curr[[#This Row],[Closing balance]]+TB_curr[[#This Row],[Rounding]]</f>
        <v>0</v>
      </c>
    </row>
    <row r="761" spans="30:41" x14ac:dyDescent="0.25">
      <c r="AD761" s="1067" t="str">
        <f t="shared" si="55"/>
        <v/>
      </c>
      <c r="AE761" s="1063" t="str">
        <f>IF(ISNA(VLOOKUP(TB_curr[[#This Row],[Synt]],GL[[#Headers],[#Data],[subtotal label]],1,FALSE)),0,(VLOOKUP(TB_curr[[#This Row],[Synt]],GL[[#Headers],[#Data],[subtotal label]],1,FALSE)))</f>
        <v/>
      </c>
      <c r="AF761" s="1063" t="e">
        <f>IF((TB_curr[[#This Row],[Synt]]-TB_curr[[#This Row],[Subtotal Y/N]])=0,0,VLOOKUP(TB_curr[[#This Row],[Synt]],GL[[Account]:[Line]],3,FALSE))</f>
        <v>#VALUE!</v>
      </c>
      <c r="AG761" s="1063" t="e">
        <f>VLOOKUP(TB_curr[[#This Row],[Synt]],GL[[Account]:[B/P]],4,FALSE)</f>
        <v>#N/A</v>
      </c>
      <c r="AH761" s="1066" t="e">
        <v>#VALUE!</v>
      </c>
      <c r="AI761" s="1065" t="e">
        <f>TB_curr[[#This Row],[Synt]]&amp;TB_curr[[#This Row],[Line No. manual corr.]]</f>
        <v>#VALUE!</v>
      </c>
      <c r="AJ761" s="1064">
        <f t="shared" si="56"/>
        <v>0</v>
      </c>
      <c r="AK761" s="1064">
        <f t="shared" si="57"/>
        <v>0</v>
      </c>
      <c r="AL761" s="1064">
        <f t="shared" si="58"/>
        <v>0</v>
      </c>
      <c r="AM761" s="1064">
        <f t="shared" si="59"/>
        <v>0</v>
      </c>
      <c r="AN761" s="1064"/>
      <c r="AO761" s="1064">
        <f>TB_curr[[#This Row],[Closing balance]]+TB_curr[[#This Row],[Rounding]]</f>
        <v>0</v>
      </c>
    </row>
    <row r="762" spans="30:41" x14ac:dyDescent="0.25">
      <c r="AD762" s="1067" t="str">
        <f t="shared" si="55"/>
        <v/>
      </c>
      <c r="AE762" s="1063" t="str">
        <f>IF(ISNA(VLOOKUP(TB_curr[[#This Row],[Synt]],GL[[#Headers],[#Data],[subtotal label]],1,FALSE)),0,(VLOOKUP(TB_curr[[#This Row],[Synt]],GL[[#Headers],[#Data],[subtotal label]],1,FALSE)))</f>
        <v/>
      </c>
      <c r="AF762" s="1063" t="e">
        <f>IF((TB_curr[[#This Row],[Synt]]-TB_curr[[#This Row],[Subtotal Y/N]])=0,0,VLOOKUP(TB_curr[[#This Row],[Synt]],GL[[Account]:[Line]],3,FALSE))</f>
        <v>#VALUE!</v>
      </c>
      <c r="AG762" s="1063" t="e">
        <f>VLOOKUP(TB_curr[[#This Row],[Synt]],GL[[Account]:[B/P]],4,FALSE)</f>
        <v>#N/A</v>
      </c>
      <c r="AH762" s="1066" t="e">
        <v>#VALUE!</v>
      </c>
      <c r="AI762" s="1065" t="e">
        <f>TB_curr[[#This Row],[Synt]]&amp;TB_curr[[#This Row],[Line No. manual corr.]]</f>
        <v>#VALUE!</v>
      </c>
      <c r="AJ762" s="1064">
        <f t="shared" si="56"/>
        <v>0</v>
      </c>
      <c r="AK762" s="1064">
        <f t="shared" si="57"/>
        <v>0</v>
      </c>
      <c r="AL762" s="1064">
        <f t="shared" si="58"/>
        <v>0</v>
      </c>
      <c r="AM762" s="1064">
        <f t="shared" si="59"/>
        <v>0</v>
      </c>
      <c r="AN762" s="1064"/>
      <c r="AO762" s="1064">
        <f>TB_curr[[#This Row],[Closing balance]]+TB_curr[[#This Row],[Rounding]]</f>
        <v>0</v>
      </c>
    </row>
    <row r="763" spans="30:41" x14ac:dyDescent="0.25">
      <c r="AD763" s="1067" t="str">
        <f t="shared" si="55"/>
        <v/>
      </c>
      <c r="AE763" s="1063" t="str">
        <f>IF(ISNA(VLOOKUP(TB_curr[[#This Row],[Synt]],GL[[#Headers],[#Data],[subtotal label]],1,FALSE)),0,(VLOOKUP(TB_curr[[#This Row],[Synt]],GL[[#Headers],[#Data],[subtotal label]],1,FALSE)))</f>
        <v/>
      </c>
      <c r="AF763" s="1063" t="e">
        <f>IF((TB_curr[[#This Row],[Synt]]-TB_curr[[#This Row],[Subtotal Y/N]])=0,0,VLOOKUP(TB_curr[[#This Row],[Synt]],GL[[Account]:[Line]],3,FALSE))</f>
        <v>#VALUE!</v>
      </c>
      <c r="AG763" s="1063" t="e">
        <f>VLOOKUP(TB_curr[[#This Row],[Synt]],GL[[Account]:[B/P]],4,FALSE)</f>
        <v>#N/A</v>
      </c>
      <c r="AH763" s="1066" t="e">
        <v>#VALUE!</v>
      </c>
      <c r="AI763" s="1065" t="e">
        <f>TB_curr[[#This Row],[Synt]]&amp;TB_curr[[#This Row],[Line No. manual corr.]]</f>
        <v>#VALUE!</v>
      </c>
      <c r="AJ763" s="1064">
        <f t="shared" si="56"/>
        <v>0</v>
      </c>
      <c r="AK763" s="1064">
        <f t="shared" si="57"/>
        <v>0</v>
      </c>
      <c r="AL763" s="1064">
        <f t="shared" si="58"/>
        <v>0</v>
      </c>
      <c r="AM763" s="1064">
        <f t="shared" si="59"/>
        <v>0</v>
      </c>
      <c r="AN763" s="1064"/>
      <c r="AO763" s="1064">
        <f>TB_curr[[#This Row],[Closing balance]]+TB_curr[[#This Row],[Rounding]]</f>
        <v>0</v>
      </c>
    </row>
    <row r="764" spans="30:41" x14ac:dyDescent="0.25">
      <c r="AD764" s="1067" t="str">
        <f t="shared" si="55"/>
        <v/>
      </c>
      <c r="AE764" s="1063" t="str">
        <f>IF(ISNA(VLOOKUP(TB_curr[[#This Row],[Synt]],GL[[#Headers],[#Data],[subtotal label]],1,FALSE)),0,(VLOOKUP(TB_curr[[#This Row],[Synt]],GL[[#Headers],[#Data],[subtotal label]],1,FALSE)))</f>
        <v/>
      </c>
      <c r="AF764" s="1063" t="e">
        <f>IF((TB_curr[[#This Row],[Synt]]-TB_curr[[#This Row],[Subtotal Y/N]])=0,0,VLOOKUP(TB_curr[[#This Row],[Synt]],GL[[Account]:[Line]],3,FALSE))</f>
        <v>#VALUE!</v>
      </c>
      <c r="AG764" s="1063" t="e">
        <f>VLOOKUP(TB_curr[[#This Row],[Synt]],GL[[Account]:[B/P]],4,FALSE)</f>
        <v>#N/A</v>
      </c>
      <c r="AH764" s="1066" t="e">
        <v>#VALUE!</v>
      </c>
      <c r="AI764" s="1065" t="e">
        <f>TB_curr[[#This Row],[Synt]]&amp;TB_curr[[#This Row],[Line No. manual corr.]]</f>
        <v>#VALUE!</v>
      </c>
      <c r="AJ764" s="1064">
        <f t="shared" si="56"/>
        <v>0</v>
      </c>
      <c r="AK764" s="1064">
        <f t="shared" si="57"/>
        <v>0</v>
      </c>
      <c r="AL764" s="1064">
        <f t="shared" si="58"/>
        <v>0</v>
      </c>
      <c r="AM764" s="1064">
        <f t="shared" si="59"/>
        <v>0</v>
      </c>
      <c r="AN764" s="1064"/>
      <c r="AO764" s="1064">
        <f>TB_curr[[#This Row],[Closing balance]]+TB_curr[[#This Row],[Rounding]]</f>
        <v>0</v>
      </c>
    </row>
    <row r="765" spans="30:41" x14ac:dyDescent="0.25">
      <c r="AD765" s="1067" t="str">
        <f t="shared" si="55"/>
        <v/>
      </c>
      <c r="AE765" s="1063" t="str">
        <f>IF(ISNA(VLOOKUP(TB_curr[[#This Row],[Synt]],GL[[#Headers],[#Data],[subtotal label]],1,FALSE)),0,(VLOOKUP(TB_curr[[#This Row],[Synt]],GL[[#Headers],[#Data],[subtotal label]],1,FALSE)))</f>
        <v/>
      </c>
      <c r="AF765" s="1063" t="e">
        <f>IF((TB_curr[[#This Row],[Synt]]-TB_curr[[#This Row],[Subtotal Y/N]])=0,0,VLOOKUP(TB_curr[[#This Row],[Synt]],GL[[Account]:[Line]],3,FALSE))</f>
        <v>#VALUE!</v>
      </c>
      <c r="AG765" s="1063" t="e">
        <f>VLOOKUP(TB_curr[[#This Row],[Synt]],GL[[Account]:[B/P]],4,FALSE)</f>
        <v>#N/A</v>
      </c>
      <c r="AH765" s="1066" t="e">
        <v>#VALUE!</v>
      </c>
      <c r="AI765" s="1065" t="e">
        <f>TB_curr[[#This Row],[Synt]]&amp;TB_curr[[#This Row],[Line No. manual corr.]]</f>
        <v>#VALUE!</v>
      </c>
      <c r="AJ765" s="1064">
        <f t="shared" si="56"/>
        <v>0</v>
      </c>
      <c r="AK765" s="1064">
        <f t="shared" si="57"/>
        <v>0</v>
      </c>
      <c r="AL765" s="1064">
        <f t="shared" si="58"/>
        <v>0</v>
      </c>
      <c r="AM765" s="1064">
        <f t="shared" si="59"/>
        <v>0</v>
      </c>
      <c r="AN765" s="1064"/>
      <c r="AO765" s="1064">
        <f>TB_curr[[#This Row],[Closing balance]]+TB_curr[[#This Row],[Rounding]]</f>
        <v>0</v>
      </c>
    </row>
    <row r="766" spans="30:41" x14ac:dyDescent="0.25">
      <c r="AD766" s="1067" t="str">
        <f t="shared" si="55"/>
        <v/>
      </c>
      <c r="AE766" s="1063" t="str">
        <f>IF(ISNA(VLOOKUP(TB_curr[[#This Row],[Synt]],GL[[#Headers],[#Data],[subtotal label]],1,FALSE)),0,(VLOOKUP(TB_curr[[#This Row],[Synt]],GL[[#Headers],[#Data],[subtotal label]],1,FALSE)))</f>
        <v/>
      </c>
      <c r="AF766" s="1063" t="e">
        <f>IF((TB_curr[[#This Row],[Synt]]-TB_curr[[#This Row],[Subtotal Y/N]])=0,0,VLOOKUP(TB_curr[[#This Row],[Synt]],GL[[Account]:[Line]],3,FALSE))</f>
        <v>#VALUE!</v>
      </c>
      <c r="AG766" s="1063" t="e">
        <f>VLOOKUP(TB_curr[[#This Row],[Synt]],GL[[Account]:[B/P]],4,FALSE)</f>
        <v>#N/A</v>
      </c>
      <c r="AH766" s="1066" t="e">
        <v>#VALUE!</v>
      </c>
      <c r="AI766" s="1065" t="e">
        <f>TB_curr[[#This Row],[Synt]]&amp;TB_curr[[#This Row],[Line No. manual corr.]]</f>
        <v>#VALUE!</v>
      </c>
      <c r="AJ766" s="1064">
        <f t="shared" si="56"/>
        <v>0</v>
      </c>
      <c r="AK766" s="1064">
        <f t="shared" si="57"/>
        <v>0</v>
      </c>
      <c r="AL766" s="1064">
        <f t="shared" si="58"/>
        <v>0</v>
      </c>
      <c r="AM766" s="1064">
        <f t="shared" si="59"/>
        <v>0</v>
      </c>
      <c r="AN766" s="1064"/>
      <c r="AO766" s="1064">
        <f>TB_curr[[#This Row],[Closing balance]]+TB_curr[[#This Row],[Rounding]]</f>
        <v>0</v>
      </c>
    </row>
    <row r="767" spans="30:41" x14ac:dyDescent="0.25">
      <c r="AD767" s="1067" t="str">
        <f t="shared" si="55"/>
        <v/>
      </c>
      <c r="AE767" s="1063" t="str">
        <f>IF(ISNA(VLOOKUP(TB_curr[[#This Row],[Synt]],GL[[#Headers],[#Data],[subtotal label]],1,FALSE)),0,(VLOOKUP(TB_curr[[#This Row],[Synt]],GL[[#Headers],[#Data],[subtotal label]],1,FALSE)))</f>
        <v/>
      </c>
      <c r="AF767" s="1063" t="e">
        <f>IF((TB_curr[[#This Row],[Synt]]-TB_curr[[#This Row],[Subtotal Y/N]])=0,0,VLOOKUP(TB_curr[[#This Row],[Synt]],GL[[Account]:[Line]],3,FALSE))</f>
        <v>#VALUE!</v>
      </c>
      <c r="AG767" s="1063" t="e">
        <f>VLOOKUP(TB_curr[[#This Row],[Synt]],GL[[Account]:[B/P]],4,FALSE)</f>
        <v>#N/A</v>
      </c>
      <c r="AH767" s="1066" t="e">
        <v>#VALUE!</v>
      </c>
      <c r="AI767" s="1065" t="e">
        <f>TB_curr[[#This Row],[Synt]]&amp;TB_curr[[#This Row],[Line No. manual corr.]]</f>
        <v>#VALUE!</v>
      </c>
      <c r="AJ767" s="1064">
        <f t="shared" si="56"/>
        <v>0</v>
      </c>
      <c r="AK767" s="1064">
        <f t="shared" si="57"/>
        <v>0</v>
      </c>
      <c r="AL767" s="1064">
        <f t="shared" si="58"/>
        <v>0</v>
      </c>
      <c r="AM767" s="1064">
        <f t="shared" si="59"/>
        <v>0</v>
      </c>
      <c r="AN767" s="1064"/>
      <c r="AO767" s="1064">
        <f>TB_curr[[#This Row],[Closing balance]]+TB_curr[[#This Row],[Rounding]]</f>
        <v>0</v>
      </c>
    </row>
    <row r="768" spans="30:41" x14ac:dyDescent="0.25">
      <c r="AD768" s="1067" t="str">
        <f t="shared" si="55"/>
        <v/>
      </c>
      <c r="AE768" s="1063" t="str">
        <f>IF(ISNA(VLOOKUP(TB_curr[[#This Row],[Synt]],GL[[#Headers],[#Data],[subtotal label]],1,FALSE)),0,(VLOOKUP(TB_curr[[#This Row],[Synt]],GL[[#Headers],[#Data],[subtotal label]],1,FALSE)))</f>
        <v/>
      </c>
      <c r="AF768" s="1063" t="e">
        <f>IF((TB_curr[[#This Row],[Synt]]-TB_curr[[#This Row],[Subtotal Y/N]])=0,0,VLOOKUP(TB_curr[[#This Row],[Synt]],GL[[Account]:[Line]],3,FALSE))</f>
        <v>#VALUE!</v>
      </c>
      <c r="AG768" s="1063" t="e">
        <f>VLOOKUP(TB_curr[[#This Row],[Synt]],GL[[Account]:[B/P]],4,FALSE)</f>
        <v>#N/A</v>
      </c>
      <c r="AH768" s="1066" t="e">
        <v>#VALUE!</v>
      </c>
      <c r="AI768" s="1065" t="e">
        <f>TB_curr[[#This Row],[Synt]]&amp;TB_curr[[#This Row],[Line No. manual corr.]]</f>
        <v>#VALUE!</v>
      </c>
      <c r="AJ768" s="1064">
        <f t="shared" si="56"/>
        <v>0</v>
      </c>
      <c r="AK768" s="1064">
        <f t="shared" si="57"/>
        <v>0</v>
      </c>
      <c r="AL768" s="1064">
        <f t="shared" si="58"/>
        <v>0</v>
      </c>
      <c r="AM768" s="1064">
        <f t="shared" si="59"/>
        <v>0</v>
      </c>
      <c r="AN768" s="1064"/>
      <c r="AO768" s="1064">
        <f>TB_curr[[#This Row],[Closing balance]]+TB_curr[[#This Row],[Rounding]]</f>
        <v>0</v>
      </c>
    </row>
    <row r="769" spans="30:41" x14ac:dyDescent="0.25">
      <c r="AD769" s="1067" t="str">
        <f t="shared" si="55"/>
        <v/>
      </c>
      <c r="AE769" s="1063" t="str">
        <f>IF(ISNA(VLOOKUP(TB_curr[[#This Row],[Synt]],GL[[#Headers],[#Data],[subtotal label]],1,FALSE)),0,(VLOOKUP(TB_curr[[#This Row],[Synt]],GL[[#Headers],[#Data],[subtotal label]],1,FALSE)))</f>
        <v/>
      </c>
      <c r="AF769" s="1063" t="e">
        <f>IF((TB_curr[[#This Row],[Synt]]-TB_curr[[#This Row],[Subtotal Y/N]])=0,0,VLOOKUP(TB_curr[[#This Row],[Synt]],GL[[Account]:[Line]],3,FALSE))</f>
        <v>#VALUE!</v>
      </c>
      <c r="AG769" s="1063" t="e">
        <f>VLOOKUP(TB_curr[[#This Row],[Synt]],GL[[Account]:[B/P]],4,FALSE)</f>
        <v>#N/A</v>
      </c>
      <c r="AH769" s="1066" t="e">
        <v>#VALUE!</v>
      </c>
      <c r="AI769" s="1065" t="e">
        <f>TB_curr[[#This Row],[Synt]]&amp;TB_curr[[#This Row],[Line No. manual corr.]]</f>
        <v>#VALUE!</v>
      </c>
      <c r="AJ769" s="1064">
        <f t="shared" si="56"/>
        <v>0</v>
      </c>
      <c r="AK769" s="1064">
        <f t="shared" si="57"/>
        <v>0</v>
      </c>
      <c r="AL769" s="1064">
        <f t="shared" si="58"/>
        <v>0</v>
      </c>
      <c r="AM769" s="1064">
        <f t="shared" si="59"/>
        <v>0</v>
      </c>
      <c r="AN769" s="1064"/>
      <c r="AO769" s="1064">
        <f>TB_curr[[#This Row],[Closing balance]]+TB_curr[[#This Row],[Rounding]]</f>
        <v>0</v>
      </c>
    </row>
    <row r="770" spans="30:41" x14ac:dyDescent="0.25">
      <c r="AD770" s="1067" t="str">
        <f t="shared" si="55"/>
        <v/>
      </c>
      <c r="AE770" s="1063" t="str">
        <f>IF(ISNA(VLOOKUP(TB_curr[[#This Row],[Synt]],GL[[#Headers],[#Data],[subtotal label]],1,FALSE)),0,(VLOOKUP(TB_curr[[#This Row],[Synt]],GL[[#Headers],[#Data],[subtotal label]],1,FALSE)))</f>
        <v/>
      </c>
      <c r="AF770" s="1063" t="e">
        <f>IF((TB_curr[[#This Row],[Synt]]-TB_curr[[#This Row],[Subtotal Y/N]])=0,0,VLOOKUP(TB_curr[[#This Row],[Synt]],GL[[Account]:[Line]],3,FALSE))</f>
        <v>#VALUE!</v>
      </c>
      <c r="AG770" s="1063" t="e">
        <f>VLOOKUP(TB_curr[[#This Row],[Synt]],GL[[Account]:[B/P]],4,FALSE)</f>
        <v>#N/A</v>
      </c>
      <c r="AH770" s="1066" t="e">
        <v>#VALUE!</v>
      </c>
      <c r="AI770" s="1065" t="e">
        <f>TB_curr[[#This Row],[Synt]]&amp;TB_curr[[#This Row],[Line No. manual corr.]]</f>
        <v>#VALUE!</v>
      </c>
      <c r="AJ770" s="1064">
        <f t="shared" si="56"/>
        <v>0</v>
      </c>
      <c r="AK770" s="1064">
        <f t="shared" si="57"/>
        <v>0</v>
      </c>
      <c r="AL770" s="1064">
        <f t="shared" si="58"/>
        <v>0</v>
      </c>
      <c r="AM770" s="1064">
        <f t="shared" si="59"/>
        <v>0</v>
      </c>
      <c r="AN770" s="1064"/>
      <c r="AO770" s="1064">
        <f>TB_curr[[#This Row],[Closing balance]]+TB_curr[[#This Row],[Rounding]]</f>
        <v>0</v>
      </c>
    </row>
    <row r="771" spans="30:41" x14ac:dyDescent="0.25">
      <c r="AD771" s="1067" t="str">
        <f t="shared" si="55"/>
        <v/>
      </c>
      <c r="AE771" s="1063" t="str">
        <f>IF(ISNA(VLOOKUP(TB_curr[[#This Row],[Synt]],GL[[#Headers],[#Data],[subtotal label]],1,FALSE)),0,(VLOOKUP(TB_curr[[#This Row],[Synt]],GL[[#Headers],[#Data],[subtotal label]],1,FALSE)))</f>
        <v/>
      </c>
      <c r="AF771" s="1063" t="e">
        <f>IF((TB_curr[[#This Row],[Synt]]-TB_curr[[#This Row],[Subtotal Y/N]])=0,0,VLOOKUP(TB_curr[[#This Row],[Synt]],GL[[Account]:[Line]],3,FALSE))</f>
        <v>#VALUE!</v>
      </c>
      <c r="AG771" s="1063" t="e">
        <f>VLOOKUP(TB_curr[[#This Row],[Synt]],GL[[Account]:[B/P]],4,FALSE)</f>
        <v>#N/A</v>
      </c>
      <c r="AH771" s="1066" t="e">
        <v>#VALUE!</v>
      </c>
      <c r="AI771" s="1065" t="e">
        <f>TB_curr[[#This Row],[Synt]]&amp;TB_curr[[#This Row],[Line No. manual corr.]]</f>
        <v>#VALUE!</v>
      </c>
      <c r="AJ771" s="1064">
        <f t="shared" si="56"/>
        <v>0</v>
      </c>
      <c r="AK771" s="1064">
        <f t="shared" si="57"/>
        <v>0</v>
      </c>
      <c r="AL771" s="1064">
        <f t="shared" si="58"/>
        <v>0</v>
      </c>
      <c r="AM771" s="1064">
        <f t="shared" si="59"/>
        <v>0</v>
      </c>
      <c r="AN771" s="1064"/>
      <c r="AO771" s="1064">
        <f>TB_curr[[#This Row],[Closing balance]]+TB_curr[[#This Row],[Rounding]]</f>
        <v>0</v>
      </c>
    </row>
    <row r="772" spans="30:41" x14ac:dyDescent="0.25">
      <c r="AD772" s="1067" t="str">
        <f t="shared" si="55"/>
        <v/>
      </c>
      <c r="AE772" s="1063" t="str">
        <f>IF(ISNA(VLOOKUP(TB_curr[[#This Row],[Synt]],GL[[#Headers],[#Data],[subtotal label]],1,FALSE)),0,(VLOOKUP(TB_curr[[#This Row],[Synt]],GL[[#Headers],[#Data],[subtotal label]],1,FALSE)))</f>
        <v/>
      </c>
      <c r="AF772" s="1063" t="e">
        <f>IF((TB_curr[[#This Row],[Synt]]-TB_curr[[#This Row],[Subtotal Y/N]])=0,0,VLOOKUP(TB_curr[[#This Row],[Synt]],GL[[Account]:[Line]],3,FALSE))</f>
        <v>#VALUE!</v>
      </c>
      <c r="AG772" s="1063" t="e">
        <f>VLOOKUP(TB_curr[[#This Row],[Synt]],GL[[Account]:[B/P]],4,FALSE)</f>
        <v>#N/A</v>
      </c>
      <c r="AH772" s="1066" t="e">
        <v>#VALUE!</v>
      </c>
      <c r="AI772" s="1065" t="e">
        <f>TB_curr[[#This Row],[Synt]]&amp;TB_curr[[#This Row],[Line No. manual corr.]]</f>
        <v>#VALUE!</v>
      </c>
      <c r="AJ772" s="1064">
        <f t="shared" si="56"/>
        <v>0</v>
      </c>
      <c r="AK772" s="1064">
        <f t="shared" si="57"/>
        <v>0</v>
      </c>
      <c r="AL772" s="1064">
        <f t="shared" si="58"/>
        <v>0</v>
      </c>
      <c r="AM772" s="1064">
        <f t="shared" si="59"/>
        <v>0</v>
      </c>
      <c r="AN772" s="1064"/>
      <c r="AO772" s="1064">
        <f>TB_curr[[#This Row],[Closing balance]]+TB_curr[[#This Row],[Rounding]]</f>
        <v>0</v>
      </c>
    </row>
    <row r="773" spans="30:41" x14ac:dyDescent="0.25">
      <c r="AD773" s="1067" t="str">
        <f t="shared" si="55"/>
        <v/>
      </c>
      <c r="AE773" s="1063" t="str">
        <f>IF(ISNA(VLOOKUP(TB_curr[[#This Row],[Synt]],GL[[#Headers],[#Data],[subtotal label]],1,FALSE)),0,(VLOOKUP(TB_curr[[#This Row],[Synt]],GL[[#Headers],[#Data],[subtotal label]],1,FALSE)))</f>
        <v/>
      </c>
      <c r="AF773" s="1063" t="e">
        <f>IF((TB_curr[[#This Row],[Synt]]-TB_curr[[#This Row],[Subtotal Y/N]])=0,0,VLOOKUP(TB_curr[[#This Row],[Synt]],GL[[Account]:[Line]],3,FALSE))</f>
        <v>#VALUE!</v>
      </c>
      <c r="AG773" s="1063" t="e">
        <f>VLOOKUP(TB_curr[[#This Row],[Synt]],GL[[Account]:[B/P]],4,FALSE)</f>
        <v>#N/A</v>
      </c>
      <c r="AH773" s="1066" t="e">
        <v>#VALUE!</v>
      </c>
      <c r="AI773" s="1065" t="e">
        <f>TB_curr[[#This Row],[Synt]]&amp;TB_curr[[#This Row],[Line No. manual corr.]]</f>
        <v>#VALUE!</v>
      </c>
      <c r="AJ773" s="1064">
        <f t="shared" si="56"/>
        <v>0</v>
      </c>
      <c r="AK773" s="1064">
        <f t="shared" si="57"/>
        <v>0</v>
      </c>
      <c r="AL773" s="1064">
        <f t="shared" si="58"/>
        <v>0</v>
      </c>
      <c r="AM773" s="1064">
        <f t="shared" si="59"/>
        <v>0</v>
      </c>
      <c r="AN773" s="1064"/>
      <c r="AO773" s="1064">
        <f>TB_curr[[#This Row],[Closing balance]]+TB_curr[[#This Row],[Rounding]]</f>
        <v>0</v>
      </c>
    </row>
    <row r="774" spans="30:41" x14ac:dyDescent="0.25">
      <c r="AD774" s="1067" t="str">
        <f t="shared" si="55"/>
        <v/>
      </c>
      <c r="AE774" s="1063" t="str">
        <f>IF(ISNA(VLOOKUP(TB_curr[[#This Row],[Synt]],GL[[#Headers],[#Data],[subtotal label]],1,FALSE)),0,(VLOOKUP(TB_curr[[#This Row],[Synt]],GL[[#Headers],[#Data],[subtotal label]],1,FALSE)))</f>
        <v/>
      </c>
      <c r="AF774" s="1063" t="e">
        <f>IF((TB_curr[[#This Row],[Synt]]-TB_curr[[#This Row],[Subtotal Y/N]])=0,0,VLOOKUP(TB_curr[[#This Row],[Synt]],GL[[Account]:[Line]],3,FALSE))</f>
        <v>#VALUE!</v>
      </c>
      <c r="AG774" s="1063" t="e">
        <f>VLOOKUP(TB_curr[[#This Row],[Synt]],GL[[Account]:[B/P]],4,FALSE)</f>
        <v>#N/A</v>
      </c>
      <c r="AH774" s="1066" t="e">
        <v>#VALUE!</v>
      </c>
      <c r="AI774" s="1065" t="e">
        <f>TB_curr[[#This Row],[Synt]]&amp;TB_curr[[#This Row],[Line No. manual corr.]]</f>
        <v>#VALUE!</v>
      </c>
      <c r="AJ774" s="1064">
        <f t="shared" si="56"/>
        <v>0</v>
      </c>
      <c r="AK774" s="1064">
        <f t="shared" si="57"/>
        <v>0</v>
      </c>
      <c r="AL774" s="1064">
        <f t="shared" si="58"/>
        <v>0</v>
      </c>
      <c r="AM774" s="1064">
        <f t="shared" si="59"/>
        <v>0</v>
      </c>
      <c r="AN774" s="1064"/>
      <c r="AO774" s="1064">
        <f>TB_curr[[#This Row],[Closing balance]]+TB_curr[[#This Row],[Rounding]]</f>
        <v>0</v>
      </c>
    </row>
    <row r="775" spans="30:41" x14ac:dyDescent="0.25">
      <c r="AD775" s="1067" t="str">
        <f t="shared" si="55"/>
        <v/>
      </c>
      <c r="AE775" s="1063" t="str">
        <f>IF(ISNA(VLOOKUP(TB_curr[[#This Row],[Synt]],GL[[#Headers],[#Data],[subtotal label]],1,FALSE)),0,(VLOOKUP(TB_curr[[#This Row],[Synt]],GL[[#Headers],[#Data],[subtotal label]],1,FALSE)))</f>
        <v/>
      </c>
      <c r="AF775" s="1063" t="e">
        <f>IF((TB_curr[[#This Row],[Synt]]-TB_curr[[#This Row],[Subtotal Y/N]])=0,0,VLOOKUP(TB_curr[[#This Row],[Synt]],GL[[Account]:[Line]],3,FALSE))</f>
        <v>#VALUE!</v>
      </c>
      <c r="AG775" s="1063" t="e">
        <f>VLOOKUP(TB_curr[[#This Row],[Synt]],GL[[Account]:[B/P]],4,FALSE)</f>
        <v>#N/A</v>
      </c>
      <c r="AH775" s="1066" t="e">
        <v>#VALUE!</v>
      </c>
      <c r="AI775" s="1065" t="e">
        <f>TB_curr[[#This Row],[Synt]]&amp;TB_curr[[#This Row],[Line No. manual corr.]]</f>
        <v>#VALUE!</v>
      </c>
      <c r="AJ775" s="1064">
        <f t="shared" si="56"/>
        <v>0</v>
      </c>
      <c r="AK775" s="1064">
        <f t="shared" si="57"/>
        <v>0</v>
      </c>
      <c r="AL775" s="1064">
        <f t="shared" si="58"/>
        <v>0</v>
      </c>
      <c r="AM775" s="1064">
        <f t="shared" si="59"/>
        <v>0</v>
      </c>
      <c r="AN775" s="1064"/>
      <c r="AO775" s="1064">
        <f>TB_curr[[#This Row],[Closing balance]]+TB_curr[[#This Row],[Rounding]]</f>
        <v>0</v>
      </c>
    </row>
    <row r="776" spans="30:41" x14ac:dyDescent="0.25">
      <c r="AD776" s="1067" t="str">
        <f t="shared" ref="AD776:AD839" si="60">LEFT(B776,3)</f>
        <v/>
      </c>
      <c r="AE776" s="1063" t="str">
        <f>IF(ISNA(VLOOKUP(TB_curr[[#This Row],[Synt]],GL[[#Headers],[#Data],[subtotal label]],1,FALSE)),0,(VLOOKUP(TB_curr[[#This Row],[Synt]],GL[[#Headers],[#Data],[subtotal label]],1,FALSE)))</f>
        <v/>
      </c>
      <c r="AF776" s="1063" t="e">
        <f>IF((TB_curr[[#This Row],[Synt]]-TB_curr[[#This Row],[Subtotal Y/N]])=0,0,VLOOKUP(TB_curr[[#This Row],[Synt]],GL[[Account]:[Line]],3,FALSE))</f>
        <v>#VALUE!</v>
      </c>
      <c r="AG776" s="1063" t="e">
        <f>VLOOKUP(TB_curr[[#This Row],[Synt]],GL[[Account]:[B/P]],4,FALSE)</f>
        <v>#N/A</v>
      </c>
      <c r="AH776" s="1066" t="e">
        <v>#VALUE!</v>
      </c>
      <c r="AI776" s="1065" t="e">
        <f>TB_curr[[#This Row],[Synt]]&amp;TB_curr[[#This Row],[Line No. manual corr.]]</f>
        <v>#VALUE!</v>
      </c>
      <c r="AJ776" s="1064">
        <f t="shared" ref="AJ776:AJ839" si="61">K776-N776</f>
        <v>0</v>
      </c>
      <c r="AK776" s="1064">
        <f t="shared" ref="AK776:AK839" si="62">Q776</f>
        <v>0</v>
      </c>
      <c r="AL776" s="1064">
        <f t="shared" ref="AL776:AL839" si="63">U776</f>
        <v>0</v>
      </c>
      <c r="AM776" s="1064">
        <f t="shared" ref="AM776:AM839" si="64">X776-AB776</f>
        <v>0</v>
      </c>
      <c r="AN776" s="1064"/>
      <c r="AO776" s="1064">
        <f>TB_curr[[#This Row],[Closing balance]]+TB_curr[[#This Row],[Rounding]]</f>
        <v>0</v>
      </c>
    </row>
    <row r="777" spans="30:41" x14ac:dyDescent="0.25">
      <c r="AD777" s="1067" t="str">
        <f t="shared" si="60"/>
        <v/>
      </c>
      <c r="AE777" s="1063" t="str">
        <f>IF(ISNA(VLOOKUP(TB_curr[[#This Row],[Synt]],GL[[#Headers],[#Data],[subtotal label]],1,FALSE)),0,(VLOOKUP(TB_curr[[#This Row],[Synt]],GL[[#Headers],[#Data],[subtotal label]],1,FALSE)))</f>
        <v/>
      </c>
      <c r="AF777" s="1063" t="e">
        <f>IF((TB_curr[[#This Row],[Synt]]-TB_curr[[#This Row],[Subtotal Y/N]])=0,0,VLOOKUP(TB_curr[[#This Row],[Synt]],GL[[Account]:[Line]],3,FALSE))</f>
        <v>#VALUE!</v>
      </c>
      <c r="AG777" s="1063" t="e">
        <f>VLOOKUP(TB_curr[[#This Row],[Synt]],GL[[Account]:[B/P]],4,FALSE)</f>
        <v>#N/A</v>
      </c>
      <c r="AH777" s="1066" t="e">
        <v>#VALUE!</v>
      </c>
      <c r="AI777" s="1065" t="e">
        <f>TB_curr[[#This Row],[Synt]]&amp;TB_curr[[#This Row],[Line No. manual corr.]]</f>
        <v>#VALUE!</v>
      </c>
      <c r="AJ777" s="1064">
        <f t="shared" si="61"/>
        <v>0</v>
      </c>
      <c r="AK777" s="1064">
        <f t="shared" si="62"/>
        <v>0</v>
      </c>
      <c r="AL777" s="1064">
        <f t="shared" si="63"/>
        <v>0</v>
      </c>
      <c r="AM777" s="1064">
        <f t="shared" si="64"/>
        <v>0</v>
      </c>
      <c r="AN777" s="1064"/>
      <c r="AO777" s="1064">
        <f>TB_curr[[#This Row],[Closing balance]]+TB_curr[[#This Row],[Rounding]]</f>
        <v>0</v>
      </c>
    </row>
    <row r="778" spans="30:41" x14ac:dyDescent="0.25">
      <c r="AD778" s="1067" t="str">
        <f t="shared" si="60"/>
        <v/>
      </c>
      <c r="AE778" s="1063" t="str">
        <f>IF(ISNA(VLOOKUP(TB_curr[[#This Row],[Synt]],GL[[#Headers],[#Data],[subtotal label]],1,FALSE)),0,(VLOOKUP(TB_curr[[#This Row],[Synt]],GL[[#Headers],[#Data],[subtotal label]],1,FALSE)))</f>
        <v/>
      </c>
      <c r="AF778" s="1063" t="e">
        <f>IF((TB_curr[[#This Row],[Synt]]-TB_curr[[#This Row],[Subtotal Y/N]])=0,0,VLOOKUP(TB_curr[[#This Row],[Synt]],GL[[Account]:[Line]],3,FALSE))</f>
        <v>#VALUE!</v>
      </c>
      <c r="AG778" s="1063" t="e">
        <f>VLOOKUP(TB_curr[[#This Row],[Synt]],GL[[Account]:[B/P]],4,FALSE)</f>
        <v>#N/A</v>
      </c>
      <c r="AH778" s="1066" t="e">
        <v>#VALUE!</v>
      </c>
      <c r="AI778" s="1065" t="e">
        <f>TB_curr[[#This Row],[Synt]]&amp;TB_curr[[#This Row],[Line No. manual corr.]]</f>
        <v>#VALUE!</v>
      </c>
      <c r="AJ778" s="1064">
        <f t="shared" si="61"/>
        <v>0</v>
      </c>
      <c r="AK778" s="1064">
        <f t="shared" si="62"/>
        <v>0</v>
      </c>
      <c r="AL778" s="1064">
        <f t="shared" si="63"/>
        <v>0</v>
      </c>
      <c r="AM778" s="1064">
        <f t="shared" si="64"/>
        <v>0</v>
      </c>
      <c r="AN778" s="1064"/>
      <c r="AO778" s="1064">
        <f>TB_curr[[#This Row],[Closing balance]]+TB_curr[[#This Row],[Rounding]]</f>
        <v>0</v>
      </c>
    </row>
    <row r="779" spans="30:41" x14ac:dyDescent="0.25">
      <c r="AD779" s="1067" t="str">
        <f t="shared" si="60"/>
        <v/>
      </c>
      <c r="AE779" s="1063" t="str">
        <f>IF(ISNA(VLOOKUP(TB_curr[[#This Row],[Synt]],GL[[#Headers],[#Data],[subtotal label]],1,FALSE)),0,(VLOOKUP(TB_curr[[#This Row],[Synt]],GL[[#Headers],[#Data],[subtotal label]],1,FALSE)))</f>
        <v/>
      </c>
      <c r="AF779" s="1063" t="e">
        <f>IF((TB_curr[[#This Row],[Synt]]-TB_curr[[#This Row],[Subtotal Y/N]])=0,0,VLOOKUP(TB_curr[[#This Row],[Synt]],GL[[Account]:[Line]],3,FALSE))</f>
        <v>#VALUE!</v>
      </c>
      <c r="AG779" s="1063" t="e">
        <f>VLOOKUP(TB_curr[[#This Row],[Synt]],GL[[Account]:[B/P]],4,FALSE)</f>
        <v>#N/A</v>
      </c>
      <c r="AH779" s="1066" t="e">
        <v>#VALUE!</v>
      </c>
      <c r="AI779" s="1065" t="e">
        <f>TB_curr[[#This Row],[Synt]]&amp;TB_curr[[#This Row],[Line No. manual corr.]]</f>
        <v>#VALUE!</v>
      </c>
      <c r="AJ779" s="1064">
        <f t="shared" si="61"/>
        <v>0</v>
      </c>
      <c r="AK779" s="1064">
        <f t="shared" si="62"/>
        <v>0</v>
      </c>
      <c r="AL779" s="1064">
        <f t="shared" si="63"/>
        <v>0</v>
      </c>
      <c r="AM779" s="1064">
        <f t="shared" si="64"/>
        <v>0</v>
      </c>
      <c r="AN779" s="1064"/>
      <c r="AO779" s="1064">
        <f>TB_curr[[#This Row],[Closing balance]]+TB_curr[[#This Row],[Rounding]]</f>
        <v>0</v>
      </c>
    </row>
    <row r="780" spans="30:41" x14ac:dyDescent="0.25">
      <c r="AD780" s="1067" t="str">
        <f t="shared" si="60"/>
        <v/>
      </c>
      <c r="AE780" s="1063" t="str">
        <f>IF(ISNA(VLOOKUP(TB_curr[[#This Row],[Synt]],GL[[#Headers],[#Data],[subtotal label]],1,FALSE)),0,(VLOOKUP(TB_curr[[#This Row],[Synt]],GL[[#Headers],[#Data],[subtotal label]],1,FALSE)))</f>
        <v/>
      </c>
      <c r="AF780" s="1063" t="e">
        <f>IF((TB_curr[[#This Row],[Synt]]-TB_curr[[#This Row],[Subtotal Y/N]])=0,0,VLOOKUP(TB_curr[[#This Row],[Synt]],GL[[Account]:[Line]],3,FALSE))</f>
        <v>#VALUE!</v>
      </c>
      <c r="AG780" s="1063" t="e">
        <f>VLOOKUP(TB_curr[[#This Row],[Synt]],GL[[Account]:[B/P]],4,FALSE)</f>
        <v>#N/A</v>
      </c>
      <c r="AH780" s="1066" t="e">
        <v>#VALUE!</v>
      </c>
      <c r="AI780" s="1065" t="e">
        <f>TB_curr[[#This Row],[Synt]]&amp;TB_curr[[#This Row],[Line No. manual corr.]]</f>
        <v>#VALUE!</v>
      </c>
      <c r="AJ780" s="1064">
        <f t="shared" si="61"/>
        <v>0</v>
      </c>
      <c r="AK780" s="1064">
        <f t="shared" si="62"/>
        <v>0</v>
      </c>
      <c r="AL780" s="1064">
        <f t="shared" si="63"/>
        <v>0</v>
      </c>
      <c r="AM780" s="1064">
        <f t="shared" si="64"/>
        <v>0</v>
      </c>
      <c r="AN780" s="1064"/>
      <c r="AO780" s="1064">
        <f>TB_curr[[#This Row],[Closing balance]]+TB_curr[[#This Row],[Rounding]]</f>
        <v>0</v>
      </c>
    </row>
    <row r="781" spans="30:41" x14ac:dyDescent="0.25">
      <c r="AD781" s="1067" t="str">
        <f t="shared" si="60"/>
        <v/>
      </c>
      <c r="AE781" s="1063" t="str">
        <f>IF(ISNA(VLOOKUP(TB_curr[[#This Row],[Synt]],GL[[#Headers],[#Data],[subtotal label]],1,FALSE)),0,(VLOOKUP(TB_curr[[#This Row],[Synt]],GL[[#Headers],[#Data],[subtotal label]],1,FALSE)))</f>
        <v/>
      </c>
      <c r="AF781" s="1063" t="e">
        <f>IF((TB_curr[[#This Row],[Synt]]-TB_curr[[#This Row],[Subtotal Y/N]])=0,0,VLOOKUP(TB_curr[[#This Row],[Synt]],GL[[Account]:[Line]],3,FALSE))</f>
        <v>#VALUE!</v>
      </c>
      <c r="AG781" s="1063" t="e">
        <f>VLOOKUP(TB_curr[[#This Row],[Synt]],GL[[Account]:[B/P]],4,FALSE)</f>
        <v>#N/A</v>
      </c>
      <c r="AH781" s="1066" t="e">
        <v>#VALUE!</v>
      </c>
      <c r="AI781" s="1065" t="e">
        <f>TB_curr[[#This Row],[Synt]]&amp;TB_curr[[#This Row],[Line No. manual corr.]]</f>
        <v>#VALUE!</v>
      </c>
      <c r="AJ781" s="1064">
        <f t="shared" si="61"/>
        <v>0</v>
      </c>
      <c r="AK781" s="1064">
        <f t="shared" si="62"/>
        <v>0</v>
      </c>
      <c r="AL781" s="1064">
        <f t="shared" si="63"/>
        <v>0</v>
      </c>
      <c r="AM781" s="1064">
        <f t="shared" si="64"/>
        <v>0</v>
      </c>
      <c r="AN781" s="1064"/>
      <c r="AO781" s="1064">
        <f>TB_curr[[#This Row],[Closing balance]]+TB_curr[[#This Row],[Rounding]]</f>
        <v>0</v>
      </c>
    </row>
    <row r="782" spans="30:41" x14ac:dyDescent="0.25">
      <c r="AD782" s="1067" t="str">
        <f t="shared" si="60"/>
        <v/>
      </c>
      <c r="AE782" s="1063" t="str">
        <f>IF(ISNA(VLOOKUP(TB_curr[[#This Row],[Synt]],GL[[#Headers],[#Data],[subtotal label]],1,FALSE)),0,(VLOOKUP(TB_curr[[#This Row],[Synt]],GL[[#Headers],[#Data],[subtotal label]],1,FALSE)))</f>
        <v/>
      </c>
      <c r="AF782" s="1063" t="e">
        <f>IF((TB_curr[[#This Row],[Synt]]-TB_curr[[#This Row],[Subtotal Y/N]])=0,0,VLOOKUP(TB_curr[[#This Row],[Synt]],GL[[Account]:[Line]],3,FALSE))</f>
        <v>#VALUE!</v>
      </c>
      <c r="AG782" s="1063" t="e">
        <f>VLOOKUP(TB_curr[[#This Row],[Synt]],GL[[Account]:[B/P]],4,FALSE)</f>
        <v>#N/A</v>
      </c>
      <c r="AH782" s="1066" t="e">
        <v>#VALUE!</v>
      </c>
      <c r="AI782" s="1065" t="e">
        <f>TB_curr[[#This Row],[Synt]]&amp;TB_curr[[#This Row],[Line No. manual corr.]]</f>
        <v>#VALUE!</v>
      </c>
      <c r="AJ782" s="1064">
        <f t="shared" si="61"/>
        <v>0</v>
      </c>
      <c r="AK782" s="1064">
        <f t="shared" si="62"/>
        <v>0</v>
      </c>
      <c r="AL782" s="1064">
        <f t="shared" si="63"/>
        <v>0</v>
      </c>
      <c r="AM782" s="1064">
        <f t="shared" si="64"/>
        <v>0</v>
      </c>
      <c r="AN782" s="1064"/>
      <c r="AO782" s="1064">
        <f>TB_curr[[#This Row],[Closing balance]]+TB_curr[[#This Row],[Rounding]]</f>
        <v>0</v>
      </c>
    </row>
    <row r="783" spans="30:41" x14ac:dyDescent="0.25">
      <c r="AD783" s="1067" t="str">
        <f t="shared" si="60"/>
        <v/>
      </c>
      <c r="AE783" s="1063" t="str">
        <f>IF(ISNA(VLOOKUP(TB_curr[[#This Row],[Synt]],GL[[#Headers],[#Data],[subtotal label]],1,FALSE)),0,(VLOOKUP(TB_curr[[#This Row],[Synt]],GL[[#Headers],[#Data],[subtotal label]],1,FALSE)))</f>
        <v/>
      </c>
      <c r="AF783" s="1063" t="e">
        <f>IF((TB_curr[[#This Row],[Synt]]-TB_curr[[#This Row],[Subtotal Y/N]])=0,0,VLOOKUP(TB_curr[[#This Row],[Synt]],GL[[Account]:[Line]],3,FALSE))</f>
        <v>#VALUE!</v>
      </c>
      <c r="AG783" s="1063" t="e">
        <f>VLOOKUP(TB_curr[[#This Row],[Synt]],GL[[Account]:[B/P]],4,FALSE)</f>
        <v>#N/A</v>
      </c>
      <c r="AH783" s="1066" t="e">
        <v>#VALUE!</v>
      </c>
      <c r="AI783" s="1065" t="e">
        <f>TB_curr[[#This Row],[Synt]]&amp;TB_curr[[#This Row],[Line No. manual corr.]]</f>
        <v>#VALUE!</v>
      </c>
      <c r="AJ783" s="1064">
        <f t="shared" si="61"/>
        <v>0</v>
      </c>
      <c r="AK783" s="1064">
        <f t="shared" si="62"/>
        <v>0</v>
      </c>
      <c r="AL783" s="1064">
        <f t="shared" si="63"/>
        <v>0</v>
      </c>
      <c r="AM783" s="1064">
        <f t="shared" si="64"/>
        <v>0</v>
      </c>
      <c r="AN783" s="1064"/>
      <c r="AO783" s="1064">
        <f>TB_curr[[#This Row],[Closing balance]]+TB_curr[[#This Row],[Rounding]]</f>
        <v>0</v>
      </c>
    </row>
    <row r="784" spans="30:41" x14ac:dyDescent="0.25">
      <c r="AD784" s="1067" t="str">
        <f t="shared" si="60"/>
        <v/>
      </c>
      <c r="AE784" s="1063" t="str">
        <f>IF(ISNA(VLOOKUP(TB_curr[[#This Row],[Synt]],GL[[#Headers],[#Data],[subtotal label]],1,FALSE)),0,(VLOOKUP(TB_curr[[#This Row],[Synt]],GL[[#Headers],[#Data],[subtotal label]],1,FALSE)))</f>
        <v/>
      </c>
      <c r="AF784" s="1063" t="e">
        <f>IF((TB_curr[[#This Row],[Synt]]-TB_curr[[#This Row],[Subtotal Y/N]])=0,0,VLOOKUP(TB_curr[[#This Row],[Synt]],GL[[Account]:[Line]],3,FALSE))</f>
        <v>#VALUE!</v>
      </c>
      <c r="AG784" s="1063" t="e">
        <f>VLOOKUP(TB_curr[[#This Row],[Synt]],GL[[Account]:[B/P]],4,FALSE)</f>
        <v>#N/A</v>
      </c>
      <c r="AH784" s="1066" t="e">
        <v>#VALUE!</v>
      </c>
      <c r="AI784" s="1065" t="e">
        <f>TB_curr[[#This Row],[Synt]]&amp;TB_curr[[#This Row],[Line No. manual corr.]]</f>
        <v>#VALUE!</v>
      </c>
      <c r="AJ784" s="1064">
        <f t="shared" si="61"/>
        <v>0</v>
      </c>
      <c r="AK784" s="1064">
        <f t="shared" si="62"/>
        <v>0</v>
      </c>
      <c r="AL784" s="1064">
        <f t="shared" si="63"/>
        <v>0</v>
      </c>
      <c r="AM784" s="1064">
        <f t="shared" si="64"/>
        <v>0</v>
      </c>
      <c r="AN784" s="1064"/>
      <c r="AO784" s="1064">
        <f>TB_curr[[#This Row],[Closing balance]]+TB_curr[[#This Row],[Rounding]]</f>
        <v>0</v>
      </c>
    </row>
    <row r="785" spans="30:41" x14ac:dyDescent="0.25">
      <c r="AD785" s="1067" t="str">
        <f t="shared" si="60"/>
        <v/>
      </c>
      <c r="AE785" s="1063" t="str">
        <f>IF(ISNA(VLOOKUP(TB_curr[[#This Row],[Synt]],GL[[#Headers],[#Data],[subtotal label]],1,FALSE)),0,(VLOOKUP(TB_curr[[#This Row],[Synt]],GL[[#Headers],[#Data],[subtotal label]],1,FALSE)))</f>
        <v/>
      </c>
      <c r="AF785" s="1063" t="e">
        <f>IF((TB_curr[[#This Row],[Synt]]-TB_curr[[#This Row],[Subtotal Y/N]])=0,0,VLOOKUP(TB_curr[[#This Row],[Synt]],GL[[Account]:[Line]],3,FALSE))</f>
        <v>#VALUE!</v>
      </c>
      <c r="AG785" s="1063" t="e">
        <f>VLOOKUP(TB_curr[[#This Row],[Synt]],GL[[Account]:[B/P]],4,FALSE)</f>
        <v>#N/A</v>
      </c>
      <c r="AH785" s="1066" t="e">
        <v>#VALUE!</v>
      </c>
      <c r="AI785" s="1065" t="e">
        <f>TB_curr[[#This Row],[Synt]]&amp;TB_curr[[#This Row],[Line No. manual corr.]]</f>
        <v>#VALUE!</v>
      </c>
      <c r="AJ785" s="1064">
        <f t="shared" si="61"/>
        <v>0</v>
      </c>
      <c r="AK785" s="1064">
        <f t="shared" si="62"/>
        <v>0</v>
      </c>
      <c r="AL785" s="1064">
        <f t="shared" si="63"/>
        <v>0</v>
      </c>
      <c r="AM785" s="1064">
        <f t="shared" si="64"/>
        <v>0</v>
      </c>
      <c r="AN785" s="1064"/>
      <c r="AO785" s="1064">
        <f>TB_curr[[#This Row],[Closing balance]]+TB_curr[[#This Row],[Rounding]]</f>
        <v>0</v>
      </c>
    </row>
    <row r="786" spans="30:41" x14ac:dyDescent="0.25">
      <c r="AD786" s="1067" t="str">
        <f t="shared" si="60"/>
        <v/>
      </c>
      <c r="AE786" s="1063" t="str">
        <f>IF(ISNA(VLOOKUP(TB_curr[[#This Row],[Synt]],GL[[#Headers],[#Data],[subtotal label]],1,FALSE)),0,(VLOOKUP(TB_curr[[#This Row],[Synt]],GL[[#Headers],[#Data],[subtotal label]],1,FALSE)))</f>
        <v/>
      </c>
      <c r="AF786" s="1063" t="e">
        <f>IF((TB_curr[[#This Row],[Synt]]-TB_curr[[#This Row],[Subtotal Y/N]])=0,0,VLOOKUP(TB_curr[[#This Row],[Synt]],GL[[Account]:[Line]],3,FALSE))</f>
        <v>#VALUE!</v>
      </c>
      <c r="AG786" s="1063" t="e">
        <f>VLOOKUP(TB_curr[[#This Row],[Synt]],GL[[Account]:[B/P]],4,FALSE)</f>
        <v>#N/A</v>
      </c>
      <c r="AH786" s="1066" t="e">
        <v>#VALUE!</v>
      </c>
      <c r="AI786" s="1065" t="e">
        <f>TB_curr[[#This Row],[Synt]]&amp;TB_curr[[#This Row],[Line No. manual corr.]]</f>
        <v>#VALUE!</v>
      </c>
      <c r="AJ786" s="1064">
        <f t="shared" si="61"/>
        <v>0</v>
      </c>
      <c r="AK786" s="1064">
        <f t="shared" si="62"/>
        <v>0</v>
      </c>
      <c r="AL786" s="1064">
        <f t="shared" si="63"/>
        <v>0</v>
      </c>
      <c r="AM786" s="1064">
        <f t="shared" si="64"/>
        <v>0</v>
      </c>
      <c r="AN786" s="1064"/>
      <c r="AO786" s="1064">
        <f>TB_curr[[#This Row],[Closing balance]]+TB_curr[[#This Row],[Rounding]]</f>
        <v>0</v>
      </c>
    </row>
    <row r="787" spans="30:41" x14ac:dyDescent="0.25">
      <c r="AD787" s="1067" t="str">
        <f t="shared" si="60"/>
        <v/>
      </c>
      <c r="AE787" s="1063" t="str">
        <f>IF(ISNA(VLOOKUP(TB_curr[[#This Row],[Synt]],GL[[#Headers],[#Data],[subtotal label]],1,FALSE)),0,(VLOOKUP(TB_curr[[#This Row],[Synt]],GL[[#Headers],[#Data],[subtotal label]],1,FALSE)))</f>
        <v/>
      </c>
      <c r="AF787" s="1063" t="e">
        <f>IF((TB_curr[[#This Row],[Synt]]-TB_curr[[#This Row],[Subtotal Y/N]])=0,0,VLOOKUP(TB_curr[[#This Row],[Synt]],GL[[Account]:[Line]],3,FALSE))</f>
        <v>#VALUE!</v>
      </c>
      <c r="AG787" s="1063" t="e">
        <f>VLOOKUP(TB_curr[[#This Row],[Synt]],GL[[Account]:[B/P]],4,FALSE)</f>
        <v>#N/A</v>
      </c>
      <c r="AH787" s="1066" t="e">
        <v>#VALUE!</v>
      </c>
      <c r="AI787" s="1065" t="e">
        <f>TB_curr[[#This Row],[Synt]]&amp;TB_curr[[#This Row],[Line No. manual corr.]]</f>
        <v>#VALUE!</v>
      </c>
      <c r="AJ787" s="1064">
        <f t="shared" si="61"/>
        <v>0</v>
      </c>
      <c r="AK787" s="1064">
        <f t="shared" si="62"/>
        <v>0</v>
      </c>
      <c r="AL787" s="1064">
        <f t="shared" si="63"/>
        <v>0</v>
      </c>
      <c r="AM787" s="1064">
        <f t="shared" si="64"/>
        <v>0</v>
      </c>
      <c r="AN787" s="1064"/>
      <c r="AO787" s="1064">
        <f>TB_curr[[#This Row],[Closing balance]]+TB_curr[[#This Row],[Rounding]]</f>
        <v>0</v>
      </c>
    </row>
    <row r="788" spans="30:41" x14ac:dyDescent="0.25">
      <c r="AD788" s="1067" t="str">
        <f t="shared" si="60"/>
        <v/>
      </c>
      <c r="AE788" s="1063" t="str">
        <f>IF(ISNA(VLOOKUP(TB_curr[[#This Row],[Synt]],GL[[#Headers],[#Data],[subtotal label]],1,FALSE)),0,(VLOOKUP(TB_curr[[#This Row],[Synt]],GL[[#Headers],[#Data],[subtotal label]],1,FALSE)))</f>
        <v/>
      </c>
      <c r="AF788" s="1063" t="e">
        <f>IF((TB_curr[[#This Row],[Synt]]-TB_curr[[#This Row],[Subtotal Y/N]])=0,0,VLOOKUP(TB_curr[[#This Row],[Synt]],GL[[Account]:[Line]],3,FALSE))</f>
        <v>#VALUE!</v>
      </c>
      <c r="AG788" s="1063" t="e">
        <f>VLOOKUP(TB_curr[[#This Row],[Synt]],GL[[Account]:[B/P]],4,FALSE)</f>
        <v>#N/A</v>
      </c>
      <c r="AH788" s="1066" t="e">
        <v>#VALUE!</v>
      </c>
      <c r="AI788" s="1065" t="e">
        <f>TB_curr[[#This Row],[Synt]]&amp;TB_curr[[#This Row],[Line No. manual corr.]]</f>
        <v>#VALUE!</v>
      </c>
      <c r="AJ788" s="1064">
        <f t="shared" si="61"/>
        <v>0</v>
      </c>
      <c r="AK788" s="1064">
        <f t="shared" si="62"/>
        <v>0</v>
      </c>
      <c r="AL788" s="1064">
        <f t="shared" si="63"/>
        <v>0</v>
      </c>
      <c r="AM788" s="1064">
        <f t="shared" si="64"/>
        <v>0</v>
      </c>
      <c r="AN788" s="1064"/>
      <c r="AO788" s="1064">
        <f>TB_curr[[#This Row],[Closing balance]]+TB_curr[[#This Row],[Rounding]]</f>
        <v>0</v>
      </c>
    </row>
    <row r="789" spans="30:41" x14ac:dyDescent="0.25">
      <c r="AD789" s="1067" t="str">
        <f t="shared" si="60"/>
        <v/>
      </c>
      <c r="AE789" s="1063" t="str">
        <f>IF(ISNA(VLOOKUP(TB_curr[[#This Row],[Synt]],GL[[#Headers],[#Data],[subtotal label]],1,FALSE)),0,(VLOOKUP(TB_curr[[#This Row],[Synt]],GL[[#Headers],[#Data],[subtotal label]],1,FALSE)))</f>
        <v/>
      </c>
      <c r="AF789" s="1063" t="e">
        <f>IF((TB_curr[[#This Row],[Synt]]-TB_curr[[#This Row],[Subtotal Y/N]])=0,0,VLOOKUP(TB_curr[[#This Row],[Synt]],GL[[Account]:[Line]],3,FALSE))</f>
        <v>#VALUE!</v>
      </c>
      <c r="AG789" s="1063" t="e">
        <f>VLOOKUP(TB_curr[[#This Row],[Synt]],GL[[Account]:[B/P]],4,FALSE)</f>
        <v>#N/A</v>
      </c>
      <c r="AH789" s="1066" t="e">
        <v>#VALUE!</v>
      </c>
      <c r="AI789" s="1065" t="e">
        <f>TB_curr[[#This Row],[Synt]]&amp;TB_curr[[#This Row],[Line No. manual corr.]]</f>
        <v>#VALUE!</v>
      </c>
      <c r="AJ789" s="1064">
        <f t="shared" si="61"/>
        <v>0</v>
      </c>
      <c r="AK789" s="1064">
        <f t="shared" si="62"/>
        <v>0</v>
      </c>
      <c r="AL789" s="1064">
        <f t="shared" si="63"/>
        <v>0</v>
      </c>
      <c r="AM789" s="1064">
        <f t="shared" si="64"/>
        <v>0</v>
      </c>
      <c r="AN789" s="1064"/>
      <c r="AO789" s="1064">
        <f>TB_curr[[#This Row],[Closing balance]]+TB_curr[[#This Row],[Rounding]]</f>
        <v>0</v>
      </c>
    </row>
    <row r="790" spans="30:41" x14ac:dyDescent="0.25">
      <c r="AD790" s="1067" t="str">
        <f t="shared" si="60"/>
        <v/>
      </c>
      <c r="AE790" s="1063" t="str">
        <f>IF(ISNA(VLOOKUP(TB_curr[[#This Row],[Synt]],GL[[#Headers],[#Data],[subtotal label]],1,FALSE)),0,(VLOOKUP(TB_curr[[#This Row],[Synt]],GL[[#Headers],[#Data],[subtotal label]],1,FALSE)))</f>
        <v/>
      </c>
      <c r="AF790" s="1063" t="e">
        <f>IF((TB_curr[[#This Row],[Synt]]-TB_curr[[#This Row],[Subtotal Y/N]])=0,0,VLOOKUP(TB_curr[[#This Row],[Synt]],GL[[Account]:[Line]],3,FALSE))</f>
        <v>#VALUE!</v>
      </c>
      <c r="AG790" s="1063" t="e">
        <f>VLOOKUP(TB_curr[[#This Row],[Synt]],GL[[Account]:[B/P]],4,FALSE)</f>
        <v>#N/A</v>
      </c>
      <c r="AH790" s="1066" t="e">
        <v>#VALUE!</v>
      </c>
      <c r="AI790" s="1065" t="e">
        <f>TB_curr[[#This Row],[Synt]]&amp;TB_curr[[#This Row],[Line No. manual corr.]]</f>
        <v>#VALUE!</v>
      </c>
      <c r="AJ790" s="1064">
        <f t="shared" si="61"/>
        <v>0</v>
      </c>
      <c r="AK790" s="1064">
        <f t="shared" si="62"/>
        <v>0</v>
      </c>
      <c r="AL790" s="1064">
        <f t="shared" si="63"/>
        <v>0</v>
      </c>
      <c r="AM790" s="1064">
        <f t="shared" si="64"/>
        <v>0</v>
      </c>
      <c r="AN790" s="1064"/>
      <c r="AO790" s="1064">
        <f>TB_curr[[#This Row],[Closing balance]]+TB_curr[[#This Row],[Rounding]]</f>
        <v>0</v>
      </c>
    </row>
    <row r="791" spans="30:41" x14ac:dyDescent="0.25">
      <c r="AD791" s="1067" t="str">
        <f t="shared" si="60"/>
        <v/>
      </c>
      <c r="AE791" s="1063" t="str">
        <f>IF(ISNA(VLOOKUP(TB_curr[[#This Row],[Synt]],GL[[#Headers],[#Data],[subtotal label]],1,FALSE)),0,(VLOOKUP(TB_curr[[#This Row],[Synt]],GL[[#Headers],[#Data],[subtotal label]],1,FALSE)))</f>
        <v/>
      </c>
      <c r="AF791" s="1063" t="e">
        <f>IF((TB_curr[[#This Row],[Synt]]-TB_curr[[#This Row],[Subtotal Y/N]])=0,0,VLOOKUP(TB_curr[[#This Row],[Synt]],GL[[Account]:[Line]],3,FALSE))</f>
        <v>#VALUE!</v>
      </c>
      <c r="AG791" s="1063" t="e">
        <f>VLOOKUP(TB_curr[[#This Row],[Synt]],GL[[Account]:[B/P]],4,FALSE)</f>
        <v>#N/A</v>
      </c>
      <c r="AH791" s="1066" t="e">
        <v>#VALUE!</v>
      </c>
      <c r="AI791" s="1065" t="e">
        <f>TB_curr[[#This Row],[Synt]]&amp;TB_curr[[#This Row],[Line No. manual corr.]]</f>
        <v>#VALUE!</v>
      </c>
      <c r="AJ791" s="1064">
        <f t="shared" si="61"/>
        <v>0</v>
      </c>
      <c r="AK791" s="1064">
        <f t="shared" si="62"/>
        <v>0</v>
      </c>
      <c r="AL791" s="1064">
        <f t="shared" si="63"/>
        <v>0</v>
      </c>
      <c r="AM791" s="1064">
        <f t="shared" si="64"/>
        <v>0</v>
      </c>
      <c r="AN791" s="1064"/>
      <c r="AO791" s="1064">
        <f>TB_curr[[#This Row],[Closing balance]]+TB_curr[[#This Row],[Rounding]]</f>
        <v>0</v>
      </c>
    </row>
    <row r="792" spans="30:41" x14ac:dyDescent="0.25">
      <c r="AD792" s="1067" t="str">
        <f t="shared" si="60"/>
        <v/>
      </c>
      <c r="AE792" s="1063" t="str">
        <f>IF(ISNA(VLOOKUP(TB_curr[[#This Row],[Synt]],GL[[#Headers],[#Data],[subtotal label]],1,FALSE)),0,(VLOOKUP(TB_curr[[#This Row],[Synt]],GL[[#Headers],[#Data],[subtotal label]],1,FALSE)))</f>
        <v/>
      </c>
      <c r="AF792" s="1063" t="e">
        <f>IF((TB_curr[[#This Row],[Synt]]-TB_curr[[#This Row],[Subtotal Y/N]])=0,0,VLOOKUP(TB_curr[[#This Row],[Synt]],GL[[Account]:[Line]],3,FALSE))</f>
        <v>#VALUE!</v>
      </c>
      <c r="AG792" s="1063" t="e">
        <f>VLOOKUP(TB_curr[[#This Row],[Synt]],GL[[Account]:[B/P]],4,FALSE)</f>
        <v>#N/A</v>
      </c>
      <c r="AH792" s="1066" t="e">
        <v>#VALUE!</v>
      </c>
      <c r="AI792" s="1065" t="e">
        <f>TB_curr[[#This Row],[Synt]]&amp;TB_curr[[#This Row],[Line No. manual corr.]]</f>
        <v>#VALUE!</v>
      </c>
      <c r="AJ792" s="1064">
        <f t="shared" si="61"/>
        <v>0</v>
      </c>
      <c r="AK792" s="1064">
        <f t="shared" si="62"/>
        <v>0</v>
      </c>
      <c r="AL792" s="1064">
        <f t="shared" si="63"/>
        <v>0</v>
      </c>
      <c r="AM792" s="1064">
        <f t="shared" si="64"/>
        <v>0</v>
      </c>
      <c r="AN792" s="1064"/>
      <c r="AO792" s="1064">
        <f>TB_curr[[#This Row],[Closing balance]]+TB_curr[[#This Row],[Rounding]]</f>
        <v>0</v>
      </c>
    </row>
    <row r="793" spans="30:41" x14ac:dyDescent="0.25">
      <c r="AD793" s="1067" t="str">
        <f t="shared" si="60"/>
        <v/>
      </c>
      <c r="AE793" s="1063" t="str">
        <f>IF(ISNA(VLOOKUP(TB_curr[[#This Row],[Synt]],GL[[#Headers],[#Data],[subtotal label]],1,FALSE)),0,(VLOOKUP(TB_curr[[#This Row],[Synt]],GL[[#Headers],[#Data],[subtotal label]],1,FALSE)))</f>
        <v/>
      </c>
      <c r="AF793" s="1063" t="e">
        <f>IF((TB_curr[[#This Row],[Synt]]-TB_curr[[#This Row],[Subtotal Y/N]])=0,0,VLOOKUP(TB_curr[[#This Row],[Synt]],GL[[Account]:[Line]],3,FALSE))</f>
        <v>#VALUE!</v>
      </c>
      <c r="AG793" s="1063" t="e">
        <f>VLOOKUP(TB_curr[[#This Row],[Synt]],GL[[Account]:[B/P]],4,FALSE)</f>
        <v>#N/A</v>
      </c>
      <c r="AH793" s="1066" t="e">
        <v>#VALUE!</v>
      </c>
      <c r="AI793" s="1065" t="e">
        <f>TB_curr[[#This Row],[Synt]]&amp;TB_curr[[#This Row],[Line No. manual corr.]]</f>
        <v>#VALUE!</v>
      </c>
      <c r="AJ793" s="1064">
        <f t="shared" si="61"/>
        <v>0</v>
      </c>
      <c r="AK793" s="1064">
        <f t="shared" si="62"/>
        <v>0</v>
      </c>
      <c r="AL793" s="1064">
        <f t="shared" si="63"/>
        <v>0</v>
      </c>
      <c r="AM793" s="1064">
        <f t="shared" si="64"/>
        <v>0</v>
      </c>
      <c r="AN793" s="1064"/>
      <c r="AO793" s="1064">
        <f>TB_curr[[#This Row],[Closing balance]]+TB_curr[[#This Row],[Rounding]]</f>
        <v>0</v>
      </c>
    </row>
    <row r="794" spans="30:41" x14ac:dyDescent="0.25">
      <c r="AD794" s="1067" t="str">
        <f t="shared" si="60"/>
        <v/>
      </c>
      <c r="AE794" s="1063" t="str">
        <f>IF(ISNA(VLOOKUP(TB_curr[[#This Row],[Synt]],GL[[#Headers],[#Data],[subtotal label]],1,FALSE)),0,(VLOOKUP(TB_curr[[#This Row],[Synt]],GL[[#Headers],[#Data],[subtotal label]],1,FALSE)))</f>
        <v/>
      </c>
      <c r="AF794" s="1063" t="e">
        <f>IF((TB_curr[[#This Row],[Synt]]-TB_curr[[#This Row],[Subtotal Y/N]])=0,0,VLOOKUP(TB_curr[[#This Row],[Synt]],GL[[Account]:[Line]],3,FALSE))</f>
        <v>#VALUE!</v>
      </c>
      <c r="AG794" s="1063" t="e">
        <f>VLOOKUP(TB_curr[[#This Row],[Synt]],GL[[Account]:[B/P]],4,FALSE)</f>
        <v>#N/A</v>
      </c>
      <c r="AH794" s="1066" t="e">
        <v>#VALUE!</v>
      </c>
      <c r="AI794" s="1065" t="e">
        <f>TB_curr[[#This Row],[Synt]]&amp;TB_curr[[#This Row],[Line No. manual corr.]]</f>
        <v>#VALUE!</v>
      </c>
      <c r="AJ794" s="1064">
        <f t="shared" si="61"/>
        <v>0</v>
      </c>
      <c r="AK794" s="1064">
        <f t="shared" si="62"/>
        <v>0</v>
      </c>
      <c r="AL794" s="1064">
        <f t="shared" si="63"/>
        <v>0</v>
      </c>
      <c r="AM794" s="1064">
        <f t="shared" si="64"/>
        <v>0</v>
      </c>
      <c r="AN794" s="1064"/>
      <c r="AO794" s="1064">
        <f>TB_curr[[#This Row],[Closing balance]]+TB_curr[[#This Row],[Rounding]]</f>
        <v>0</v>
      </c>
    </row>
    <row r="795" spans="30:41" x14ac:dyDescent="0.25">
      <c r="AD795" s="1067" t="str">
        <f t="shared" si="60"/>
        <v/>
      </c>
      <c r="AE795" s="1063" t="str">
        <f>IF(ISNA(VLOOKUP(TB_curr[[#This Row],[Synt]],GL[[#Headers],[#Data],[subtotal label]],1,FALSE)),0,(VLOOKUP(TB_curr[[#This Row],[Synt]],GL[[#Headers],[#Data],[subtotal label]],1,FALSE)))</f>
        <v/>
      </c>
      <c r="AF795" s="1063" t="e">
        <f>IF((TB_curr[[#This Row],[Synt]]-TB_curr[[#This Row],[Subtotal Y/N]])=0,0,VLOOKUP(TB_curr[[#This Row],[Synt]],GL[[Account]:[Line]],3,FALSE))</f>
        <v>#VALUE!</v>
      </c>
      <c r="AG795" s="1063" t="e">
        <f>VLOOKUP(TB_curr[[#This Row],[Synt]],GL[[Account]:[B/P]],4,FALSE)</f>
        <v>#N/A</v>
      </c>
      <c r="AH795" s="1066" t="e">
        <v>#VALUE!</v>
      </c>
      <c r="AI795" s="1065" t="e">
        <f>TB_curr[[#This Row],[Synt]]&amp;TB_curr[[#This Row],[Line No. manual corr.]]</f>
        <v>#VALUE!</v>
      </c>
      <c r="AJ795" s="1064">
        <f t="shared" si="61"/>
        <v>0</v>
      </c>
      <c r="AK795" s="1064">
        <f t="shared" si="62"/>
        <v>0</v>
      </c>
      <c r="AL795" s="1064">
        <f t="shared" si="63"/>
        <v>0</v>
      </c>
      <c r="AM795" s="1064">
        <f t="shared" si="64"/>
        <v>0</v>
      </c>
      <c r="AN795" s="1064"/>
      <c r="AO795" s="1064">
        <f>TB_curr[[#This Row],[Closing balance]]+TB_curr[[#This Row],[Rounding]]</f>
        <v>0</v>
      </c>
    </row>
    <row r="796" spans="30:41" x14ac:dyDescent="0.25">
      <c r="AD796" s="1067" t="str">
        <f t="shared" si="60"/>
        <v/>
      </c>
      <c r="AE796" s="1063" t="str">
        <f>IF(ISNA(VLOOKUP(TB_curr[[#This Row],[Synt]],GL[[#Headers],[#Data],[subtotal label]],1,FALSE)),0,(VLOOKUP(TB_curr[[#This Row],[Synt]],GL[[#Headers],[#Data],[subtotal label]],1,FALSE)))</f>
        <v/>
      </c>
      <c r="AF796" s="1063" t="e">
        <f>IF((TB_curr[[#This Row],[Synt]]-TB_curr[[#This Row],[Subtotal Y/N]])=0,0,VLOOKUP(TB_curr[[#This Row],[Synt]],GL[[Account]:[Line]],3,FALSE))</f>
        <v>#VALUE!</v>
      </c>
      <c r="AG796" s="1063" t="e">
        <f>VLOOKUP(TB_curr[[#This Row],[Synt]],GL[[Account]:[B/P]],4,FALSE)</f>
        <v>#N/A</v>
      </c>
      <c r="AH796" s="1066" t="e">
        <v>#VALUE!</v>
      </c>
      <c r="AI796" s="1065" t="e">
        <f>TB_curr[[#This Row],[Synt]]&amp;TB_curr[[#This Row],[Line No. manual corr.]]</f>
        <v>#VALUE!</v>
      </c>
      <c r="AJ796" s="1064">
        <f t="shared" si="61"/>
        <v>0</v>
      </c>
      <c r="AK796" s="1064">
        <f t="shared" si="62"/>
        <v>0</v>
      </c>
      <c r="AL796" s="1064">
        <f t="shared" si="63"/>
        <v>0</v>
      </c>
      <c r="AM796" s="1064">
        <f t="shared" si="64"/>
        <v>0</v>
      </c>
      <c r="AN796" s="1064"/>
      <c r="AO796" s="1064">
        <f>TB_curr[[#This Row],[Closing balance]]+TB_curr[[#This Row],[Rounding]]</f>
        <v>0</v>
      </c>
    </row>
    <row r="797" spans="30:41" x14ac:dyDescent="0.25">
      <c r="AD797" s="1067" t="str">
        <f t="shared" si="60"/>
        <v/>
      </c>
      <c r="AE797" s="1063" t="str">
        <f>IF(ISNA(VLOOKUP(TB_curr[[#This Row],[Synt]],GL[[#Headers],[#Data],[subtotal label]],1,FALSE)),0,(VLOOKUP(TB_curr[[#This Row],[Synt]],GL[[#Headers],[#Data],[subtotal label]],1,FALSE)))</f>
        <v/>
      </c>
      <c r="AF797" s="1063" t="e">
        <f>IF((TB_curr[[#This Row],[Synt]]-TB_curr[[#This Row],[Subtotal Y/N]])=0,0,VLOOKUP(TB_curr[[#This Row],[Synt]],GL[[Account]:[Line]],3,FALSE))</f>
        <v>#VALUE!</v>
      </c>
      <c r="AG797" s="1063" t="e">
        <f>VLOOKUP(TB_curr[[#This Row],[Synt]],GL[[Account]:[B/P]],4,FALSE)</f>
        <v>#N/A</v>
      </c>
      <c r="AH797" s="1066" t="e">
        <v>#VALUE!</v>
      </c>
      <c r="AI797" s="1065" t="e">
        <f>TB_curr[[#This Row],[Synt]]&amp;TB_curr[[#This Row],[Line No. manual corr.]]</f>
        <v>#VALUE!</v>
      </c>
      <c r="AJ797" s="1064">
        <f t="shared" si="61"/>
        <v>0</v>
      </c>
      <c r="AK797" s="1064">
        <f t="shared" si="62"/>
        <v>0</v>
      </c>
      <c r="AL797" s="1064">
        <f t="shared" si="63"/>
        <v>0</v>
      </c>
      <c r="AM797" s="1064">
        <f t="shared" si="64"/>
        <v>0</v>
      </c>
      <c r="AN797" s="1064"/>
      <c r="AO797" s="1064">
        <f>TB_curr[[#This Row],[Closing balance]]+TB_curr[[#This Row],[Rounding]]</f>
        <v>0</v>
      </c>
    </row>
    <row r="798" spans="30:41" x14ac:dyDescent="0.25">
      <c r="AD798" s="1067" t="str">
        <f t="shared" si="60"/>
        <v/>
      </c>
      <c r="AE798" s="1063" t="str">
        <f>IF(ISNA(VLOOKUP(TB_curr[[#This Row],[Synt]],GL[[#Headers],[#Data],[subtotal label]],1,FALSE)),0,(VLOOKUP(TB_curr[[#This Row],[Synt]],GL[[#Headers],[#Data],[subtotal label]],1,FALSE)))</f>
        <v/>
      </c>
      <c r="AF798" s="1063" t="e">
        <f>IF((TB_curr[[#This Row],[Synt]]-TB_curr[[#This Row],[Subtotal Y/N]])=0,0,VLOOKUP(TB_curr[[#This Row],[Synt]],GL[[Account]:[Line]],3,FALSE))</f>
        <v>#VALUE!</v>
      </c>
      <c r="AG798" s="1063" t="e">
        <f>VLOOKUP(TB_curr[[#This Row],[Synt]],GL[[Account]:[B/P]],4,FALSE)</f>
        <v>#N/A</v>
      </c>
      <c r="AH798" s="1066" t="e">
        <v>#VALUE!</v>
      </c>
      <c r="AI798" s="1065" t="e">
        <f>TB_curr[[#This Row],[Synt]]&amp;TB_curr[[#This Row],[Line No. manual corr.]]</f>
        <v>#VALUE!</v>
      </c>
      <c r="AJ798" s="1064">
        <f t="shared" si="61"/>
        <v>0</v>
      </c>
      <c r="AK798" s="1064">
        <f t="shared" si="62"/>
        <v>0</v>
      </c>
      <c r="AL798" s="1064">
        <f t="shared" si="63"/>
        <v>0</v>
      </c>
      <c r="AM798" s="1064">
        <f t="shared" si="64"/>
        <v>0</v>
      </c>
      <c r="AN798" s="1064"/>
      <c r="AO798" s="1064">
        <f>TB_curr[[#This Row],[Closing balance]]+TB_curr[[#This Row],[Rounding]]</f>
        <v>0</v>
      </c>
    </row>
    <row r="799" spans="30:41" x14ac:dyDescent="0.25">
      <c r="AD799" s="1067" t="str">
        <f t="shared" si="60"/>
        <v/>
      </c>
      <c r="AE799" s="1063" t="str">
        <f>IF(ISNA(VLOOKUP(TB_curr[[#This Row],[Synt]],GL[[#Headers],[#Data],[subtotal label]],1,FALSE)),0,(VLOOKUP(TB_curr[[#This Row],[Synt]],GL[[#Headers],[#Data],[subtotal label]],1,FALSE)))</f>
        <v/>
      </c>
      <c r="AF799" s="1063" t="e">
        <f>IF((TB_curr[[#This Row],[Synt]]-TB_curr[[#This Row],[Subtotal Y/N]])=0,0,VLOOKUP(TB_curr[[#This Row],[Synt]],GL[[Account]:[Line]],3,FALSE))</f>
        <v>#VALUE!</v>
      </c>
      <c r="AG799" s="1063" t="e">
        <f>VLOOKUP(TB_curr[[#This Row],[Synt]],GL[[Account]:[B/P]],4,FALSE)</f>
        <v>#N/A</v>
      </c>
      <c r="AH799" s="1066" t="e">
        <v>#VALUE!</v>
      </c>
      <c r="AI799" s="1065" t="e">
        <f>TB_curr[[#This Row],[Synt]]&amp;TB_curr[[#This Row],[Line No. manual corr.]]</f>
        <v>#VALUE!</v>
      </c>
      <c r="AJ799" s="1064">
        <f t="shared" si="61"/>
        <v>0</v>
      </c>
      <c r="AK799" s="1064">
        <f t="shared" si="62"/>
        <v>0</v>
      </c>
      <c r="AL799" s="1064">
        <f t="shared" si="63"/>
        <v>0</v>
      </c>
      <c r="AM799" s="1064">
        <f t="shared" si="64"/>
        <v>0</v>
      </c>
      <c r="AN799" s="1064"/>
      <c r="AO799" s="1064">
        <f>TB_curr[[#This Row],[Closing balance]]+TB_curr[[#This Row],[Rounding]]</f>
        <v>0</v>
      </c>
    </row>
    <row r="800" spans="30:41" x14ac:dyDescent="0.25">
      <c r="AD800" s="1067" t="str">
        <f t="shared" si="60"/>
        <v/>
      </c>
      <c r="AE800" s="1063" t="str">
        <f>IF(ISNA(VLOOKUP(TB_curr[[#This Row],[Synt]],GL[[#Headers],[#Data],[subtotal label]],1,FALSE)),0,(VLOOKUP(TB_curr[[#This Row],[Synt]],GL[[#Headers],[#Data],[subtotal label]],1,FALSE)))</f>
        <v/>
      </c>
      <c r="AF800" s="1063" t="e">
        <f>IF((TB_curr[[#This Row],[Synt]]-TB_curr[[#This Row],[Subtotal Y/N]])=0,0,VLOOKUP(TB_curr[[#This Row],[Synt]],GL[[Account]:[Line]],3,FALSE))</f>
        <v>#VALUE!</v>
      </c>
      <c r="AG800" s="1063" t="e">
        <f>VLOOKUP(TB_curr[[#This Row],[Synt]],GL[[Account]:[B/P]],4,FALSE)</f>
        <v>#N/A</v>
      </c>
      <c r="AH800" s="1066" t="e">
        <v>#VALUE!</v>
      </c>
      <c r="AI800" s="1065" t="e">
        <f>TB_curr[[#This Row],[Synt]]&amp;TB_curr[[#This Row],[Line No. manual corr.]]</f>
        <v>#VALUE!</v>
      </c>
      <c r="AJ800" s="1064">
        <f t="shared" si="61"/>
        <v>0</v>
      </c>
      <c r="AK800" s="1064">
        <f t="shared" si="62"/>
        <v>0</v>
      </c>
      <c r="AL800" s="1064">
        <f t="shared" si="63"/>
        <v>0</v>
      </c>
      <c r="AM800" s="1064">
        <f t="shared" si="64"/>
        <v>0</v>
      </c>
      <c r="AN800" s="1064"/>
      <c r="AO800" s="1064">
        <f>TB_curr[[#This Row],[Closing balance]]+TB_curr[[#This Row],[Rounding]]</f>
        <v>0</v>
      </c>
    </row>
    <row r="801" spans="30:41" x14ac:dyDescent="0.25">
      <c r="AD801" s="1067" t="str">
        <f t="shared" si="60"/>
        <v/>
      </c>
      <c r="AE801" s="1063" t="str">
        <f>IF(ISNA(VLOOKUP(TB_curr[[#This Row],[Synt]],GL[[#Headers],[#Data],[subtotal label]],1,FALSE)),0,(VLOOKUP(TB_curr[[#This Row],[Synt]],GL[[#Headers],[#Data],[subtotal label]],1,FALSE)))</f>
        <v/>
      </c>
      <c r="AF801" s="1063" t="e">
        <f>IF((TB_curr[[#This Row],[Synt]]-TB_curr[[#This Row],[Subtotal Y/N]])=0,0,VLOOKUP(TB_curr[[#This Row],[Synt]],GL[[Account]:[Line]],3,FALSE))</f>
        <v>#VALUE!</v>
      </c>
      <c r="AG801" s="1063" t="e">
        <f>VLOOKUP(TB_curr[[#This Row],[Synt]],GL[[Account]:[B/P]],4,FALSE)</f>
        <v>#N/A</v>
      </c>
      <c r="AH801" s="1066" t="e">
        <v>#VALUE!</v>
      </c>
      <c r="AI801" s="1065" t="e">
        <f>TB_curr[[#This Row],[Synt]]&amp;TB_curr[[#This Row],[Line No. manual corr.]]</f>
        <v>#VALUE!</v>
      </c>
      <c r="AJ801" s="1064">
        <f t="shared" si="61"/>
        <v>0</v>
      </c>
      <c r="AK801" s="1064">
        <f t="shared" si="62"/>
        <v>0</v>
      </c>
      <c r="AL801" s="1064">
        <f t="shared" si="63"/>
        <v>0</v>
      </c>
      <c r="AM801" s="1064">
        <f t="shared" si="64"/>
        <v>0</v>
      </c>
      <c r="AN801" s="1064"/>
      <c r="AO801" s="1064">
        <f>TB_curr[[#This Row],[Closing balance]]+TB_curr[[#This Row],[Rounding]]</f>
        <v>0</v>
      </c>
    </row>
    <row r="802" spans="30:41" x14ac:dyDescent="0.25">
      <c r="AD802" s="1067" t="str">
        <f t="shared" si="60"/>
        <v/>
      </c>
      <c r="AE802" s="1063" t="str">
        <f>IF(ISNA(VLOOKUP(TB_curr[[#This Row],[Synt]],GL[[#Headers],[#Data],[subtotal label]],1,FALSE)),0,(VLOOKUP(TB_curr[[#This Row],[Synt]],GL[[#Headers],[#Data],[subtotal label]],1,FALSE)))</f>
        <v/>
      </c>
      <c r="AF802" s="1063" t="e">
        <f>IF((TB_curr[[#This Row],[Synt]]-TB_curr[[#This Row],[Subtotal Y/N]])=0,0,VLOOKUP(TB_curr[[#This Row],[Synt]],GL[[Account]:[Line]],3,FALSE))</f>
        <v>#VALUE!</v>
      </c>
      <c r="AG802" s="1063" t="e">
        <f>VLOOKUP(TB_curr[[#This Row],[Synt]],GL[[Account]:[B/P]],4,FALSE)</f>
        <v>#N/A</v>
      </c>
      <c r="AH802" s="1066" t="e">
        <v>#VALUE!</v>
      </c>
      <c r="AI802" s="1065" t="e">
        <f>TB_curr[[#This Row],[Synt]]&amp;TB_curr[[#This Row],[Line No. manual corr.]]</f>
        <v>#VALUE!</v>
      </c>
      <c r="AJ802" s="1064">
        <f t="shared" si="61"/>
        <v>0</v>
      </c>
      <c r="AK802" s="1064">
        <f t="shared" si="62"/>
        <v>0</v>
      </c>
      <c r="AL802" s="1064">
        <f t="shared" si="63"/>
        <v>0</v>
      </c>
      <c r="AM802" s="1064">
        <f t="shared" si="64"/>
        <v>0</v>
      </c>
      <c r="AN802" s="1064"/>
      <c r="AO802" s="1064">
        <f>TB_curr[[#This Row],[Closing balance]]+TB_curr[[#This Row],[Rounding]]</f>
        <v>0</v>
      </c>
    </row>
    <row r="803" spans="30:41" x14ac:dyDescent="0.25">
      <c r="AD803" s="1067" t="str">
        <f t="shared" si="60"/>
        <v/>
      </c>
      <c r="AE803" s="1063" t="str">
        <f>IF(ISNA(VLOOKUP(TB_curr[[#This Row],[Synt]],GL[[#Headers],[#Data],[subtotal label]],1,FALSE)),0,(VLOOKUP(TB_curr[[#This Row],[Synt]],GL[[#Headers],[#Data],[subtotal label]],1,FALSE)))</f>
        <v/>
      </c>
      <c r="AF803" s="1063" t="e">
        <f>IF((TB_curr[[#This Row],[Synt]]-TB_curr[[#This Row],[Subtotal Y/N]])=0,0,VLOOKUP(TB_curr[[#This Row],[Synt]],GL[[Account]:[Line]],3,FALSE))</f>
        <v>#VALUE!</v>
      </c>
      <c r="AG803" s="1063" t="e">
        <f>VLOOKUP(TB_curr[[#This Row],[Synt]],GL[[Account]:[B/P]],4,FALSE)</f>
        <v>#N/A</v>
      </c>
      <c r="AH803" s="1066" t="e">
        <v>#VALUE!</v>
      </c>
      <c r="AI803" s="1065" t="e">
        <f>TB_curr[[#This Row],[Synt]]&amp;TB_curr[[#This Row],[Line No. manual corr.]]</f>
        <v>#VALUE!</v>
      </c>
      <c r="AJ803" s="1064">
        <f t="shared" si="61"/>
        <v>0</v>
      </c>
      <c r="AK803" s="1064">
        <f t="shared" si="62"/>
        <v>0</v>
      </c>
      <c r="AL803" s="1064">
        <f t="shared" si="63"/>
        <v>0</v>
      </c>
      <c r="AM803" s="1064">
        <f t="shared" si="64"/>
        <v>0</v>
      </c>
      <c r="AN803" s="1064"/>
      <c r="AO803" s="1064">
        <f>TB_curr[[#This Row],[Closing balance]]+TB_curr[[#This Row],[Rounding]]</f>
        <v>0</v>
      </c>
    </row>
    <row r="804" spans="30:41" x14ac:dyDescent="0.25">
      <c r="AD804" s="1067" t="str">
        <f t="shared" si="60"/>
        <v/>
      </c>
      <c r="AE804" s="1063" t="str">
        <f>IF(ISNA(VLOOKUP(TB_curr[[#This Row],[Synt]],GL[[#Headers],[#Data],[subtotal label]],1,FALSE)),0,(VLOOKUP(TB_curr[[#This Row],[Synt]],GL[[#Headers],[#Data],[subtotal label]],1,FALSE)))</f>
        <v/>
      </c>
      <c r="AF804" s="1063" t="e">
        <f>IF((TB_curr[[#This Row],[Synt]]-TB_curr[[#This Row],[Subtotal Y/N]])=0,0,VLOOKUP(TB_curr[[#This Row],[Synt]],GL[[Account]:[Line]],3,FALSE))</f>
        <v>#VALUE!</v>
      </c>
      <c r="AG804" s="1063" t="e">
        <f>VLOOKUP(TB_curr[[#This Row],[Synt]],GL[[Account]:[B/P]],4,FALSE)</f>
        <v>#N/A</v>
      </c>
      <c r="AH804" s="1066" t="e">
        <v>#VALUE!</v>
      </c>
      <c r="AI804" s="1065" t="e">
        <f>TB_curr[[#This Row],[Synt]]&amp;TB_curr[[#This Row],[Line No. manual corr.]]</f>
        <v>#VALUE!</v>
      </c>
      <c r="AJ804" s="1064">
        <f t="shared" si="61"/>
        <v>0</v>
      </c>
      <c r="AK804" s="1064">
        <f t="shared" si="62"/>
        <v>0</v>
      </c>
      <c r="AL804" s="1064">
        <f t="shared" si="63"/>
        <v>0</v>
      </c>
      <c r="AM804" s="1064">
        <f t="shared" si="64"/>
        <v>0</v>
      </c>
      <c r="AN804" s="1064"/>
      <c r="AO804" s="1064">
        <f>TB_curr[[#This Row],[Closing balance]]+TB_curr[[#This Row],[Rounding]]</f>
        <v>0</v>
      </c>
    </row>
    <row r="805" spans="30:41" x14ac:dyDescent="0.25">
      <c r="AD805" s="1067" t="str">
        <f t="shared" si="60"/>
        <v/>
      </c>
      <c r="AE805" s="1063" t="str">
        <f>IF(ISNA(VLOOKUP(TB_curr[[#This Row],[Synt]],GL[[#Headers],[#Data],[subtotal label]],1,FALSE)),0,(VLOOKUP(TB_curr[[#This Row],[Synt]],GL[[#Headers],[#Data],[subtotal label]],1,FALSE)))</f>
        <v/>
      </c>
      <c r="AF805" s="1063" t="e">
        <f>IF((TB_curr[[#This Row],[Synt]]-TB_curr[[#This Row],[Subtotal Y/N]])=0,0,VLOOKUP(TB_curr[[#This Row],[Synt]],GL[[Account]:[Line]],3,FALSE))</f>
        <v>#VALUE!</v>
      </c>
      <c r="AG805" s="1063" t="e">
        <f>VLOOKUP(TB_curr[[#This Row],[Synt]],GL[[Account]:[B/P]],4,FALSE)</f>
        <v>#N/A</v>
      </c>
      <c r="AH805" s="1066" t="e">
        <v>#VALUE!</v>
      </c>
      <c r="AI805" s="1065" t="e">
        <f>TB_curr[[#This Row],[Synt]]&amp;TB_curr[[#This Row],[Line No. manual corr.]]</f>
        <v>#VALUE!</v>
      </c>
      <c r="AJ805" s="1064">
        <f t="shared" si="61"/>
        <v>0</v>
      </c>
      <c r="AK805" s="1064">
        <f t="shared" si="62"/>
        <v>0</v>
      </c>
      <c r="AL805" s="1064">
        <f t="shared" si="63"/>
        <v>0</v>
      </c>
      <c r="AM805" s="1064">
        <f t="shared" si="64"/>
        <v>0</v>
      </c>
      <c r="AN805" s="1064"/>
      <c r="AO805" s="1064">
        <f>TB_curr[[#This Row],[Closing balance]]+TB_curr[[#This Row],[Rounding]]</f>
        <v>0</v>
      </c>
    </row>
    <row r="806" spans="30:41" x14ac:dyDescent="0.25">
      <c r="AD806" s="1067" t="str">
        <f t="shared" si="60"/>
        <v/>
      </c>
      <c r="AE806" s="1063" t="str">
        <f>IF(ISNA(VLOOKUP(TB_curr[[#This Row],[Synt]],GL[[#Headers],[#Data],[subtotal label]],1,FALSE)),0,(VLOOKUP(TB_curr[[#This Row],[Synt]],GL[[#Headers],[#Data],[subtotal label]],1,FALSE)))</f>
        <v/>
      </c>
      <c r="AF806" s="1063" t="e">
        <f>IF((TB_curr[[#This Row],[Synt]]-TB_curr[[#This Row],[Subtotal Y/N]])=0,0,VLOOKUP(TB_curr[[#This Row],[Synt]],GL[[Account]:[Line]],3,FALSE))</f>
        <v>#VALUE!</v>
      </c>
      <c r="AG806" s="1063" t="e">
        <f>VLOOKUP(TB_curr[[#This Row],[Synt]],GL[[Account]:[B/P]],4,FALSE)</f>
        <v>#N/A</v>
      </c>
      <c r="AH806" s="1066" t="e">
        <v>#VALUE!</v>
      </c>
      <c r="AI806" s="1065" t="e">
        <f>TB_curr[[#This Row],[Synt]]&amp;TB_curr[[#This Row],[Line No. manual corr.]]</f>
        <v>#VALUE!</v>
      </c>
      <c r="AJ806" s="1064">
        <f t="shared" si="61"/>
        <v>0</v>
      </c>
      <c r="AK806" s="1064">
        <f t="shared" si="62"/>
        <v>0</v>
      </c>
      <c r="AL806" s="1064">
        <f t="shared" si="63"/>
        <v>0</v>
      </c>
      <c r="AM806" s="1064">
        <f t="shared" si="64"/>
        <v>0</v>
      </c>
      <c r="AN806" s="1064"/>
      <c r="AO806" s="1064">
        <f>TB_curr[[#This Row],[Closing balance]]+TB_curr[[#This Row],[Rounding]]</f>
        <v>0</v>
      </c>
    </row>
    <row r="807" spans="30:41" x14ac:dyDescent="0.25">
      <c r="AD807" s="1067" t="str">
        <f t="shared" si="60"/>
        <v/>
      </c>
      <c r="AE807" s="1063" t="str">
        <f>IF(ISNA(VLOOKUP(TB_curr[[#This Row],[Synt]],GL[[#Headers],[#Data],[subtotal label]],1,FALSE)),0,(VLOOKUP(TB_curr[[#This Row],[Synt]],GL[[#Headers],[#Data],[subtotal label]],1,FALSE)))</f>
        <v/>
      </c>
      <c r="AF807" s="1063" t="e">
        <f>IF((TB_curr[[#This Row],[Synt]]-TB_curr[[#This Row],[Subtotal Y/N]])=0,0,VLOOKUP(TB_curr[[#This Row],[Synt]],GL[[Account]:[Line]],3,FALSE))</f>
        <v>#VALUE!</v>
      </c>
      <c r="AG807" s="1063" t="e">
        <f>VLOOKUP(TB_curr[[#This Row],[Synt]],GL[[Account]:[B/P]],4,FALSE)</f>
        <v>#N/A</v>
      </c>
      <c r="AH807" s="1066" t="e">
        <v>#VALUE!</v>
      </c>
      <c r="AI807" s="1065" t="e">
        <f>TB_curr[[#This Row],[Synt]]&amp;TB_curr[[#This Row],[Line No. manual corr.]]</f>
        <v>#VALUE!</v>
      </c>
      <c r="AJ807" s="1064">
        <f t="shared" si="61"/>
        <v>0</v>
      </c>
      <c r="AK807" s="1064">
        <f t="shared" si="62"/>
        <v>0</v>
      </c>
      <c r="AL807" s="1064">
        <f t="shared" si="63"/>
        <v>0</v>
      </c>
      <c r="AM807" s="1064">
        <f t="shared" si="64"/>
        <v>0</v>
      </c>
      <c r="AN807" s="1064"/>
      <c r="AO807" s="1064">
        <f>TB_curr[[#This Row],[Closing balance]]+TB_curr[[#This Row],[Rounding]]</f>
        <v>0</v>
      </c>
    </row>
    <row r="808" spans="30:41" x14ac:dyDescent="0.25">
      <c r="AD808" s="1067" t="str">
        <f t="shared" si="60"/>
        <v/>
      </c>
      <c r="AE808" s="1063" t="str">
        <f>IF(ISNA(VLOOKUP(TB_curr[[#This Row],[Synt]],GL[[#Headers],[#Data],[subtotal label]],1,FALSE)),0,(VLOOKUP(TB_curr[[#This Row],[Synt]],GL[[#Headers],[#Data],[subtotal label]],1,FALSE)))</f>
        <v/>
      </c>
      <c r="AF808" s="1063" t="e">
        <f>IF((TB_curr[[#This Row],[Synt]]-TB_curr[[#This Row],[Subtotal Y/N]])=0,0,VLOOKUP(TB_curr[[#This Row],[Synt]],GL[[Account]:[Line]],3,FALSE))</f>
        <v>#VALUE!</v>
      </c>
      <c r="AG808" s="1063" t="e">
        <f>VLOOKUP(TB_curr[[#This Row],[Synt]],GL[[Account]:[B/P]],4,FALSE)</f>
        <v>#N/A</v>
      </c>
      <c r="AH808" s="1066" t="e">
        <v>#VALUE!</v>
      </c>
      <c r="AI808" s="1065" t="e">
        <f>TB_curr[[#This Row],[Synt]]&amp;TB_curr[[#This Row],[Line No. manual corr.]]</f>
        <v>#VALUE!</v>
      </c>
      <c r="AJ808" s="1064">
        <f t="shared" si="61"/>
        <v>0</v>
      </c>
      <c r="AK808" s="1064">
        <f t="shared" si="62"/>
        <v>0</v>
      </c>
      <c r="AL808" s="1064">
        <f t="shared" si="63"/>
        <v>0</v>
      </c>
      <c r="AM808" s="1064">
        <f t="shared" si="64"/>
        <v>0</v>
      </c>
      <c r="AN808" s="1064"/>
      <c r="AO808" s="1064">
        <f>TB_curr[[#This Row],[Closing balance]]+TB_curr[[#This Row],[Rounding]]</f>
        <v>0</v>
      </c>
    </row>
    <row r="809" spans="30:41" x14ac:dyDescent="0.25">
      <c r="AD809" s="1067" t="str">
        <f t="shared" si="60"/>
        <v/>
      </c>
      <c r="AE809" s="1063" t="str">
        <f>IF(ISNA(VLOOKUP(TB_curr[[#This Row],[Synt]],GL[[#Headers],[#Data],[subtotal label]],1,FALSE)),0,(VLOOKUP(TB_curr[[#This Row],[Synt]],GL[[#Headers],[#Data],[subtotal label]],1,FALSE)))</f>
        <v/>
      </c>
      <c r="AF809" s="1063" t="e">
        <f>IF((TB_curr[[#This Row],[Synt]]-TB_curr[[#This Row],[Subtotal Y/N]])=0,0,VLOOKUP(TB_curr[[#This Row],[Synt]],GL[[Account]:[Line]],3,FALSE))</f>
        <v>#VALUE!</v>
      </c>
      <c r="AG809" s="1063" t="e">
        <f>VLOOKUP(TB_curr[[#This Row],[Synt]],GL[[Account]:[B/P]],4,FALSE)</f>
        <v>#N/A</v>
      </c>
      <c r="AH809" s="1066" t="e">
        <v>#VALUE!</v>
      </c>
      <c r="AI809" s="1065" t="e">
        <f>TB_curr[[#This Row],[Synt]]&amp;TB_curr[[#This Row],[Line No. manual corr.]]</f>
        <v>#VALUE!</v>
      </c>
      <c r="AJ809" s="1064">
        <f t="shared" si="61"/>
        <v>0</v>
      </c>
      <c r="AK809" s="1064">
        <f t="shared" si="62"/>
        <v>0</v>
      </c>
      <c r="AL809" s="1064">
        <f t="shared" si="63"/>
        <v>0</v>
      </c>
      <c r="AM809" s="1064">
        <f t="shared" si="64"/>
        <v>0</v>
      </c>
      <c r="AN809" s="1064"/>
      <c r="AO809" s="1064">
        <f>TB_curr[[#This Row],[Closing balance]]+TB_curr[[#This Row],[Rounding]]</f>
        <v>0</v>
      </c>
    </row>
    <row r="810" spans="30:41" x14ac:dyDescent="0.25">
      <c r="AD810" s="1067" t="str">
        <f t="shared" si="60"/>
        <v/>
      </c>
      <c r="AE810" s="1063" t="str">
        <f>IF(ISNA(VLOOKUP(TB_curr[[#This Row],[Synt]],GL[[#Headers],[#Data],[subtotal label]],1,FALSE)),0,(VLOOKUP(TB_curr[[#This Row],[Synt]],GL[[#Headers],[#Data],[subtotal label]],1,FALSE)))</f>
        <v/>
      </c>
      <c r="AF810" s="1063" t="e">
        <f>IF((TB_curr[[#This Row],[Synt]]-TB_curr[[#This Row],[Subtotal Y/N]])=0,0,VLOOKUP(TB_curr[[#This Row],[Synt]],GL[[Account]:[Line]],3,FALSE))</f>
        <v>#VALUE!</v>
      </c>
      <c r="AG810" s="1063" t="e">
        <f>VLOOKUP(TB_curr[[#This Row],[Synt]],GL[[Account]:[B/P]],4,FALSE)</f>
        <v>#N/A</v>
      </c>
      <c r="AH810" s="1066" t="e">
        <v>#VALUE!</v>
      </c>
      <c r="AI810" s="1065" t="e">
        <f>TB_curr[[#This Row],[Synt]]&amp;TB_curr[[#This Row],[Line No. manual corr.]]</f>
        <v>#VALUE!</v>
      </c>
      <c r="AJ810" s="1064">
        <f t="shared" si="61"/>
        <v>0</v>
      </c>
      <c r="AK810" s="1064">
        <f t="shared" si="62"/>
        <v>0</v>
      </c>
      <c r="AL810" s="1064">
        <f t="shared" si="63"/>
        <v>0</v>
      </c>
      <c r="AM810" s="1064">
        <f t="shared" si="64"/>
        <v>0</v>
      </c>
      <c r="AN810" s="1064"/>
      <c r="AO810" s="1064">
        <f>TB_curr[[#This Row],[Closing balance]]+TB_curr[[#This Row],[Rounding]]</f>
        <v>0</v>
      </c>
    </row>
    <row r="811" spans="30:41" x14ac:dyDescent="0.25">
      <c r="AD811" s="1067" t="str">
        <f t="shared" si="60"/>
        <v/>
      </c>
      <c r="AE811" s="1063" t="str">
        <f>IF(ISNA(VLOOKUP(TB_curr[[#This Row],[Synt]],GL[[#Headers],[#Data],[subtotal label]],1,FALSE)),0,(VLOOKUP(TB_curr[[#This Row],[Synt]],GL[[#Headers],[#Data],[subtotal label]],1,FALSE)))</f>
        <v/>
      </c>
      <c r="AF811" s="1063" t="e">
        <f>IF((TB_curr[[#This Row],[Synt]]-TB_curr[[#This Row],[Subtotal Y/N]])=0,0,VLOOKUP(TB_curr[[#This Row],[Synt]],GL[[Account]:[Line]],3,FALSE))</f>
        <v>#VALUE!</v>
      </c>
      <c r="AG811" s="1063" t="e">
        <f>VLOOKUP(TB_curr[[#This Row],[Synt]],GL[[Account]:[B/P]],4,FALSE)</f>
        <v>#N/A</v>
      </c>
      <c r="AH811" s="1066" t="e">
        <v>#VALUE!</v>
      </c>
      <c r="AI811" s="1065" t="e">
        <f>TB_curr[[#This Row],[Synt]]&amp;TB_curr[[#This Row],[Line No. manual corr.]]</f>
        <v>#VALUE!</v>
      </c>
      <c r="AJ811" s="1064">
        <f t="shared" si="61"/>
        <v>0</v>
      </c>
      <c r="AK811" s="1064">
        <f t="shared" si="62"/>
        <v>0</v>
      </c>
      <c r="AL811" s="1064">
        <f t="shared" si="63"/>
        <v>0</v>
      </c>
      <c r="AM811" s="1064">
        <f t="shared" si="64"/>
        <v>0</v>
      </c>
      <c r="AN811" s="1064"/>
      <c r="AO811" s="1064">
        <f>TB_curr[[#This Row],[Closing balance]]+TB_curr[[#This Row],[Rounding]]</f>
        <v>0</v>
      </c>
    </row>
    <row r="812" spans="30:41" x14ac:dyDescent="0.25">
      <c r="AD812" s="1067" t="str">
        <f t="shared" si="60"/>
        <v/>
      </c>
      <c r="AE812" s="1063" t="str">
        <f>IF(ISNA(VLOOKUP(TB_curr[[#This Row],[Synt]],GL[[#Headers],[#Data],[subtotal label]],1,FALSE)),0,(VLOOKUP(TB_curr[[#This Row],[Synt]],GL[[#Headers],[#Data],[subtotal label]],1,FALSE)))</f>
        <v/>
      </c>
      <c r="AF812" s="1063" t="e">
        <f>IF((TB_curr[[#This Row],[Synt]]-TB_curr[[#This Row],[Subtotal Y/N]])=0,0,VLOOKUP(TB_curr[[#This Row],[Synt]],GL[[Account]:[Line]],3,FALSE))</f>
        <v>#VALUE!</v>
      </c>
      <c r="AG812" s="1063" t="e">
        <f>VLOOKUP(TB_curr[[#This Row],[Synt]],GL[[Account]:[B/P]],4,FALSE)</f>
        <v>#N/A</v>
      </c>
      <c r="AH812" s="1066" t="e">
        <v>#VALUE!</v>
      </c>
      <c r="AI812" s="1065" t="e">
        <f>TB_curr[[#This Row],[Synt]]&amp;TB_curr[[#This Row],[Line No. manual corr.]]</f>
        <v>#VALUE!</v>
      </c>
      <c r="AJ812" s="1064">
        <f t="shared" si="61"/>
        <v>0</v>
      </c>
      <c r="AK812" s="1064">
        <f t="shared" si="62"/>
        <v>0</v>
      </c>
      <c r="AL812" s="1064">
        <f t="shared" si="63"/>
        <v>0</v>
      </c>
      <c r="AM812" s="1064">
        <f t="shared" si="64"/>
        <v>0</v>
      </c>
      <c r="AN812" s="1064"/>
      <c r="AO812" s="1064">
        <f>TB_curr[[#This Row],[Closing balance]]+TB_curr[[#This Row],[Rounding]]</f>
        <v>0</v>
      </c>
    </row>
    <row r="813" spans="30:41" x14ac:dyDescent="0.25">
      <c r="AD813" s="1067" t="str">
        <f t="shared" si="60"/>
        <v/>
      </c>
      <c r="AE813" s="1063" t="str">
        <f>IF(ISNA(VLOOKUP(TB_curr[[#This Row],[Synt]],GL[[#Headers],[#Data],[subtotal label]],1,FALSE)),0,(VLOOKUP(TB_curr[[#This Row],[Synt]],GL[[#Headers],[#Data],[subtotal label]],1,FALSE)))</f>
        <v/>
      </c>
      <c r="AF813" s="1063" t="e">
        <f>IF((TB_curr[[#This Row],[Synt]]-TB_curr[[#This Row],[Subtotal Y/N]])=0,0,VLOOKUP(TB_curr[[#This Row],[Synt]],GL[[Account]:[Line]],3,FALSE))</f>
        <v>#VALUE!</v>
      </c>
      <c r="AG813" s="1063" t="e">
        <f>VLOOKUP(TB_curr[[#This Row],[Synt]],GL[[Account]:[B/P]],4,FALSE)</f>
        <v>#N/A</v>
      </c>
      <c r="AH813" s="1066" t="e">
        <v>#VALUE!</v>
      </c>
      <c r="AI813" s="1065" t="e">
        <f>TB_curr[[#This Row],[Synt]]&amp;TB_curr[[#This Row],[Line No. manual corr.]]</f>
        <v>#VALUE!</v>
      </c>
      <c r="AJ813" s="1064">
        <f t="shared" si="61"/>
        <v>0</v>
      </c>
      <c r="AK813" s="1064">
        <f t="shared" si="62"/>
        <v>0</v>
      </c>
      <c r="AL813" s="1064">
        <f t="shared" si="63"/>
        <v>0</v>
      </c>
      <c r="AM813" s="1064">
        <f t="shared" si="64"/>
        <v>0</v>
      </c>
      <c r="AN813" s="1064"/>
      <c r="AO813" s="1064">
        <f>TB_curr[[#This Row],[Closing balance]]+TB_curr[[#This Row],[Rounding]]</f>
        <v>0</v>
      </c>
    </row>
    <row r="814" spans="30:41" x14ac:dyDescent="0.25">
      <c r="AD814" s="1067" t="str">
        <f t="shared" si="60"/>
        <v/>
      </c>
      <c r="AE814" s="1063" t="str">
        <f>IF(ISNA(VLOOKUP(TB_curr[[#This Row],[Synt]],GL[[#Headers],[#Data],[subtotal label]],1,FALSE)),0,(VLOOKUP(TB_curr[[#This Row],[Synt]],GL[[#Headers],[#Data],[subtotal label]],1,FALSE)))</f>
        <v/>
      </c>
      <c r="AF814" s="1063" t="e">
        <f>IF((TB_curr[[#This Row],[Synt]]-TB_curr[[#This Row],[Subtotal Y/N]])=0,0,VLOOKUP(TB_curr[[#This Row],[Synt]],GL[[Account]:[Line]],3,FALSE))</f>
        <v>#VALUE!</v>
      </c>
      <c r="AG814" s="1063" t="e">
        <f>VLOOKUP(TB_curr[[#This Row],[Synt]],GL[[Account]:[B/P]],4,FALSE)</f>
        <v>#N/A</v>
      </c>
      <c r="AH814" s="1066" t="e">
        <v>#VALUE!</v>
      </c>
      <c r="AI814" s="1065" t="e">
        <f>TB_curr[[#This Row],[Synt]]&amp;TB_curr[[#This Row],[Line No. manual corr.]]</f>
        <v>#VALUE!</v>
      </c>
      <c r="AJ814" s="1064">
        <f t="shared" si="61"/>
        <v>0</v>
      </c>
      <c r="AK814" s="1064">
        <f t="shared" si="62"/>
        <v>0</v>
      </c>
      <c r="AL814" s="1064">
        <f t="shared" si="63"/>
        <v>0</v>
      </c>
      <c r="AM814" s="1064">
        <f t="shared" si="64"/>
        <v>0</v>
      </c>
      <c r="AN814" s="1064"/>
      <c r="AO814" s="1064">
        <f>TB_curr[[#This Row],[Closing balance]]+TB_curr[[#This Row],[Rounding]]</f>
        <v>0</v>
      </c>
    </row>
    <row r="815" spans="30:41" x14ac:dyDescent="0.25">
      <c r="AD815" s="1067" t="str">
        <f t="shared" si="60"/>
        <v/>
      </c>
      <c r="AE815" s="1063" t="str">
        <f>IF(ISNA(VLOOKUP(TB_curr[[#This Row],[Synt]],GL[[#Headers],[#Data],[subtotal label]],1,FALSE)),0,(VLOOKUP(TB_curr[[#This Row],[Synt]],GL[[#Headers],[#Data],[subtotal label]],1,FALSE)))</f>
        <v/>
      </c>
      <c r="AF815" s="1063" t="e">
        <f>IF((TB_curr[[#This Row],[Synt]]-TB_curr[[#This Row],[Subtotal Y/N]])=0,0,VLOOKUP(TB_curr[[#This Row],[Synt]],GL[[Account]:[Line]],3,FALSE))</f>
        <v>#VALUE!</v>
      </c>
      <c r="AG815" s="1063" t="e">
        <f>VLOOKUP(TB_curr[[#This Row],[Synt]],GL[[Account]:[B/P]],4,FALSE)</f>
        <v>#N/A</v>
      </c>
      <c r="AH815" s="1066" t="e">
        <v>#VALUE!</v>
      </c>
      <c r="AI815" s="1065" t="e">
        <f>TB_curr[[#This Row],[Synt]]&amp;TB_curr[[#This Row],[Line No. manual corr.]]</f>
        <v>#VALUE!</v>
      </c>
      <c r="AJ815" s="1064">
        <f t="shared" si="61"/>
        <v>0</v>
      </c>
      <c r="AK815" s="1064">
        <f t="shared" si="62"/>
        <v>0</v>
      </c>
      <c r="AL815" s="1064">
        <f t="shared" si="63"/>
        <v>0</v>
      </c>
      <c r="AM815" s="1064">
        <f t="shared" si="64"/>
        <v>0</v>
      </c>
      <c r="AN815" s="1064"/>
      <c r="AO815" s="1064">
        <f>TB_curr[[#This Row],[Closing balance]]+TB_curr[[#This Row],[Rounding]]</f>
        <v>0</v>
      </c>
    </row>
    <row r="816" spans="30:41" x14ac:dyDescent="0.25">
      <c r="AD816" s="1067" t="str">
        <f t="shared" si="60"/>
        <v/>
      </c>
      <c r="AE816" s="1063" t="str">
        <f>IF(ISNA(VLOOKUP(TB_curr[[#This Row],[Synt]],GL[[#Headers],[#Data],[subtotal label]],1,FALSE)),0,(VLOOKUP(TB_curr[[#This Row],[Synt]],GL[[#Headers],[#Data],[subtotal label]],1,FALSE)))</f>
        <v/>
      </c>
      <c r="AF816" s="1063" t="e">
        <f>IF((TB_curr[[#This Row],[Synt]]-TB_curr[[#This Row],[Subtotal Y/N]])=0,0,VLOOKUP(TB_curr[[#This Row],[Synt]],GL[[Account]:[Line]],3,FALSE))</f>
        <v>#VALUE!</v>
      </c>
      <c r="AG816" s="1063" t="e">
        <f>VLOOKUP(TB_curr[[#This Row],[Synt]],GL[[Account]:[B/P]],4,FALSE)</f>
        <v>#N/A</v>
      </c>
      <c r="AH816" s="1066" t="e">
        <v>#VALUE!</v>
      </c>
      <c r="AI816" s="1065" t="e">
        <f>TB_curr[[#This Row],[Synt]]&amp;TB_curr[[#This Row],[Line No. manual corr.]]</f>
        <v>#VALUE!</v>
      </c>
      <c r="AJ816" s="1064">
        <f t="shared" si="61"/>
        <v>0</v>
      </c>
      <c r="AK816" s="1064">
        <f t="shared" si="62"/>
        <v>0</v>
      </c>
      <c r="AL816" s="1064">
        <f t="shared" si="63"/>
        <v>0</v>
      </c>
      <c r="AM816" s="1064">
        <f t="shared" si="64"/>
        <v>0</v>
      </c>
      <c r="AN816" s="1064"/>
      <c r="AO816" s="1064">
        <f>TB_curr[[#This Row],[Closing balance]]+TB_curr[[#This Row],[Rounding]]</f>
        <v>0</v>
      </c>
    </row>
    <row r="817" spans="30:41" x14ac:dyDescent="0.25">
      <c r="AD817" s="1067" t="str">
        <f t="shared" si="60"/>
        <v/>
      </c>
      <c r="AE817" s="1063" t="str">
        <f>IF(ISNA(VLOOKUP(TB_curr[[#This Row],[Synt]],GL[[#Headers],[#Data],[subtotal label]],1,FALSE)),0,(VLOOKUP(TB_curr[[#This Row],[Synt]],GL[[#Headers],[#Data],[subtotal label]],1,FALSE)))</f>
        <v/>
      </c>
      <c r="AF817" s="1063" t="e">
        <f>IF((TB_curr[[#This Row],[Synt]]-TB_curr[[#This Row],[Subtotal Y/N]])=0,0,VLOOKUP(TB_curr[[#This Row],[Synt]],GL[[Account]:[Line]],3,FALSE))</f>
        <v>#VALUE!</v>
      </c>
      <c r="AG817" s="1063" t="e">
        <f>VLOOKUP(TB_curr[[#This Row],[Synt]],GL[[Account]:[B/P]],4,FALSE)</f>
        <v>#N/A</v>
      </c>
      <c r="AH817" s="1066" t="e">
        <v>#VALUE!</v>
      </c>
      <c r="AI817" s="1065" t="e">
        <f>TB_curr[[#This Row],[Synt]]&amp;TB_curr[[#This Row],[Line No. manual corr.]]</f>
        <v>#VALUE!</v>
      </c>
      <c r="AJ817" s="1064">
        <f t="shared" si="61"/>
        <v>0</v>
      </c>
      <c r="AK817" s="1064">
        <f t="shared" si="62"/>
        <v>0</v>
      </c>
      <c r="AL817" s="1064">
        <f t="shared" si="63"/>
        <v>0</v>
      </c>
      <c r="AM817" s="1064">
        <f t="shared" si="64"/>
        <v>0</v>
      </c>
      <c r="AN817" s="1064"/>
      <c r="AO817" s="1064">
        <f>TB_curr[[#This Row],[Closing balance]]+TB_curr[[#This Row],[Rounding]]</f>
        <v>0</v>
      </c>
    </row>
    <row r="818" spans="30:41" x14ac:dyDescent="0.25">
      <c r="AD818" s="1067" t="str">
        <f t="shared" si="60"/>
        <v/>
      </c>
      <c r="AE818" s="1063" t="str">
        <f>IF(ISNA(VLOOKUP(TB_curr[[#This Row],[Synt]],GL[[#Headers],[#Data],[subtotal label]],1,FALSE)),0,(VLOOKUP(TB_curr[[#This Row],[Synt]],GL[[#Headers],[#Data],[subtotal label]],1,FALSE)))</f>
        <v/>
      </c>
      <c r="AF818" s="1063" t="e">
        <f>IF((TB_curr[[#This Row],[Synt]]-TB_curr[[#This Row],[Subtotal Y/N]])=0,0,VLOOKUP(TB_curr[[#This Row],[Synt]],GL[[Account]:[Line]],3,FALSE))</f>
        <v>#VALUE!</v>
      </c>
      <c r="AG818" s="1063" t="e">
        <f>VLOOKUP(TB_curr[[#This Row],[Synt]],GL[[Account]:[B/P]],4,FALSE)</f>
        <v>#N/A</v>
      </c>
      <c r="AH818" s="1066" t="e">
        <v>#VALUE!</v>
      </c>
      <c r="AI818" s="1065" t="e">
        <f>TB_curr[[#This Row],[Synt]]&amp;TB_curr[[#This Row],[Line No. manual corr.]]</f>
        <v>#VALUE!</v>
      </c>
      <c r="AJ818" s="1064">
        <f t="shared" si="61"/>
        <v>0</v>
      </c>
      <c r="AK818" s="1064">
        <f t="shared" si="62"/>
        <v>0</v>
      </c>
      <c r="AL818" s="1064">
        <f t="shared" si="63"/>
        <v>0</v>
      </c>
      <c r="AM818" s="1064">
        <f t="shared" si="64"/>
        <v>0</v>
      </c>
      <c r="AN818" s="1064"/>
      <c r="AO818" s="1064">
        <f>TB_curr[[#This Row],[Closing balance]]+TB_curr[[#This Row],[Rounding]]</f>
        <v>0</v>
      </c>
    </row>
    <row r="819" spans="30:41" x14ac:dyDescent="0.25">
      <c r="AD819" s="1067" t="str">
        <f t="shared" si="60"/>
        <v/>
      </c>
      <c r="AE819" s="1063" t="str">
        <f>IF(ISNA(VLOOKUP(TB_curr[[#This Row],[Synt]],GL[[#Headers],[#Data],[subtotal label]],1,FALSE)),0,(VLOOKUP(TB_curr[[#This Row],[Synt]],GL[[#Headers],[#Data],[subtotal label]],1,FALSE)))</f>
        <v/>
      </c>
      <c r="AF819" s="1063" t="e">
        <f>IF((TB_curr[[#This Row],[Synt]]-TB_curr[[#This Row],[Subtotal Y/N]])=0,0,VLOOKUP(TB_curr[[#This Row],[Synt]],GL[[Account]:[Line]],3,FALSE))</f>
        <v>#VALUE!</v>
      </c>
      <c r="AG819" s="1063" t="e">
        <f>VLOOKUP(TB_curr[[#This Row],[Synt]],GL[[Account]:[B/P]],4,FALSE)</f>
        <v>#N/A</v>
      </c>
      <c r="AH819" s="1066" t="e">
        <v>#VALUE!</v>
      </c>
      <c r="AI819" s="1065" t="e">
        <f>TB_curr[[#This Row],[Synt]]&amp;TB_curr[[#This Row],[Line No. manual corr.]]</f>
        <v>#VALUE!</v>
      </c>
      <c r="AJ819" s="1064">
        <f t="shared" si="61"/>
        <v>0</v>
      </c>
      <c r="AK819" s="1064">
        <f t="shared" si="62"/>
        <v>0</v>
      </c>
      <c r="AL819" s="1064">
        <f t="shared" si="63"/>
        <v>0</v>
      </c>
      <c r="AM819" s="1064">
        <f t="shared" si="64"/>
        <v>0</v>
      </c>
      <c r="AN819" s="1064"/>
      <c r="AO819" s="1064">
        <f>TB_curr[[#This Row],[Closing balance]]+TB_curr[[#This Row],[Rounding]]</f>
        <v>0</v>
      </c>
    </row>
    <row r="820" spans="30:41" x14ac:dyDescent="0.25">
      <c r="AD820" s="1067" t="str">
        <f t="shared" si="60"/>
        <v/>
      </c>
      <c r="AE820" s="1063" t="str">
        <f>IF(ISNA(VLOOKUP(TB_curr[[#This Row],[Synt]],GL[[#Headers],[#Data],[subtotal label]],1,FALSE)),0,(VLOOKUP(TB_curr[[#This Row],[Synt]],GL[[#Headers],[#Data],[subtotal label]],1,FALSE)))</f>
        <v/>
      </c>
      <c r="AF820" s="1063" t="e">
        <f>IF((TB_curr[[#This Row],[Synt]]-TB_curr[[#This Row],[Subtotal Y/N]])=0,0,VLOOKUP(TB_curr[[#This Row],[Synt]],GL[[Account]:[Line]],3,FALSE))</f>
        <v>#VALUE!</v>
      </c>
      <c r="AG820" s="1063" t="e">
        <f>VLOOKUP(TB_curr[[#This Row],[Synt]],GL[[Account]:[B/P]],4,FALSE)</f>
        <v>#N/A</v>
      </c>
      <c r="AH820" s="1066" t="e">
        <v>#VALUE!</v>
      </c>
      <c r="AI820" s="1065" t="e">
        <f>TB_curr[[#This Row],[Synt]]&amp;TB_curr[[#This Row],[Line No. manual corr.]]</f>
        <v>#VALUE!</v>
      </c>
      <c r="AJ820" s="1064">
        <f t="shared" si="61"/>
        <v>0</v>
      </c>
      <c r="AK820" s="1064">
        <f t="shared" si="62"/>
        <v>0</v>
      </c>
      <c r="AL820" s="1064">
        <f t="shared" si="63"/>
        <v>0</v>
      </c>
      <c r="AM820" s="1064">
        <f t="shared" si="64"/>
        <v>0</v>
      </c>
      <c r="AN820" s="1064"/>
      <c r="AO820" s="1064">
        <f>TB_curr[[#This Row],[Closing balance]]+TB_curr[[#This Row],[Rounding]]</f>
        <v>0</v>
      </c>
    </row>
    <row r="821" spans="30:41" x14ac:dyDescent="0.25">
      <c r="AD821" s="1067" t="str">
        <f t="shared" si="60"/>
        <v/>
      </c>
      <c r="AE821" s="1063" t="str">
        <f>IF(ISNA(VLOOKUP(TB_curr[[#This Row],[Synt]],GL[[#Headers],[#Data],[subtotal label]],1,FALSE)),0,(VLOOKUP(TB_curr[[#This Row],[Synt]],GL[[#Headers],[#Data],[subtotal label]],1,FALSE)))</f>
        <v/>
      </c>
      <c r="AF821" s="1063" t="e">
        <f>IF((TB_curr[[#This Row],[Synt]]-TB_curr[[#This Row],[Subtotal Y/N]])=0,0,VLOOKUP(TB_curr[[#This Row],[Synt]],GL[[Account]:[Line]],3,FALSE))</f>
        <v>#VALUE!</v>
      </c>
      <c r="AG821" s="1063" t="e">
        <f>VLOOKUP(TB_curr[[#This Row],[Synt]],GL[[Account]:[B/P]],4,FALSE)</f>
        <v>#N/A</v>
      </c>
      <c r="AH821" s="1066" t="e">
        <v>#VALUE!</v>
      </c>
      <c r="AI821" s="1065" t="e">
        <f>TB_curr[[#This Row],[Synt]]&amp;TB_curr[[#This Row],[Line No. manual corr.]]</f>
        <v>#VALUE!</v>
      </c>
      <c r="AJ821" s="1064">
        <f t="shared" si="61"/>
        <v>0</v>
      </c>
      <c r="AK821" s="1064">
        <f t="shared" si="62"/>
        <v>0</v>
      </c>
      <c r="AL821" s="1064">
        <f t="shared" si="63"/>
        <v>0</v>
      </c>
      <c r="AM821" s="1064">
        <f t="shared" si="64"/>
        <v>0</v>
      </c>
      <c r="AN821" s="1064"/>
      <c r="AO821" s="1064">
        <f>TB_curr[[#This Row],[Closing balance]]+TB_curr[[#This Row],[Rounding]]</f>
        <v>0</v>
      </c>
    </row>
    <row r="822" spans="30:41" x14ac:dyDescent="0.25">
      <c r="AD822" s="1067" t="str">
        <f t="shared" si="60"/>
        <v/>
      </c>
      <c r="AE822" s="1063" t="str">
        <f>IF(ISNA(VLOOKUP(TB_curr[[#This Row],[Synt]],GL[[#Headers],[#Data],[subtotal label]],1,FALSE)),0,(VLOOKUP(TB_curr[[#This Row],[Synt]],GL[[#Headers],[#Data],[subtotal label]],1,FALSE)))</f>
        <v/>
      </c>
      <c r="AF822" s="1063" t="e">
        <f>IF((TB_curr[[#This Row],[Synt]]-TB_curr[[#This Row],[Subtotal Y/N]])=0,0,VLOOKUP(TB_curr[[#This Row],[Synt]],GL[[Account]:[Line]],3,FALSE))</f>
        <v>#VALUE!</v>
      </c>
      <c r="AG822" s="1063" t="e">
        <f>VLOOKUP(TB_curr[[#This Row],[Synt]],GL[[Account]:[B/P]],4,FALSE)</f>
        <v>#N/A</v>
      </c>
      <c r="AH822" s="1066" t="e">
        <v>#VALUE!</v>
      </c>
      <c r="AI822" s="1065" t="e">
        <f>TB_curr[[#This Row],[Synt]]&amp;TB_curr[[#This Row],[Line No. manual corr.]]</f>
        <v>#VALUE!</v>
      </c>
      <c r="AJ822" s="1064">
        <f t="shared" si="61"/>
        <v>0</v>
      </c>
      <c r="AK822" s="1064">
        <f t="shared" si="62"/>
        <v>0</v>
      </c>
      <c r="AL822" s="1064">
        <f t="shared" si="63"/>
        <v>0</v>
      </c>
      <c r="AM822" s="1064">
        <f t="shared" si="64"/>
        <v>0</v>
      </c>
      <c r="AN822" s="1064"/>
      <c r="AO822" s="1064">
        <f>TB_curr[[#This Row],[Closing balance]]+TB_curr[[#This Row],[Rounding]]</f>
        <v>0</v>
      </c>
    </row>
    <row r="823" spans="30:41" x14ac:dyDescent="0.25">
      <c r="AD823" s="1067" t="str">
        <f t="shared" si="60"/>
        <v/>
      </c>
      <c r="AE823" s="1063" t="str">
        <f>IF(ISNA(VLOOKUP(TB_curr[[#This Row],[Synt]],GL[[#Headers],[#Data],[subtotal label]],1,FALSE)),0,(VLOOKUP(TB_curr[[#This Row],[Synt]],GL[[#Headers],[#Data],[subtotal label]],1,FALSE)))</f>
        <v/>
      </c>
      <c r="AF823" s="1063" t="e">
        <f>IF((TB_curr[[#This Row],[Synt]]-TB_curr[[#This Row],[Subtotal Y/N]])=0,0,VLOOKUP(TB_curr[[#This Row],[Synt]],GL[[Account]:[Line]],3,FALSE))</f>
        <v>#VALUE!</v>
      </c>
      <c r="AG823" s="1063" t="e">
        <f>VLOOKUP(TB_curr[[#This Row],[Synt]],GL[[Account]:[B/P]],4,FALSE)</f>
        <v>#N/A</v>
      </c>
      <c r="AH823" s="1066" t="e">
        <v>#VALUE!</v>
      </c>
      <c r="AI823" s="1065" t="e">
        <f>TB_curr[[#This Row],[Synt]]&amp;TB_curr[[#This Row],[Line No. manual corr.]]</f>
        <v>#VALUE!</v>
      </c>
      <c r="AJ823" s="1064">
        <f t="shared" si="61"/>
        <v>0</v>
      </c>
      <c r="AK823" s="1064">
        <f t="shared" si="62"/>
        <v>0</v>
      </c>
      <c r="AL823" s="1064">
        <f t="shared" si="63"/>
        <v>0</v>
      </c>
      <c r="AM823" s="1064">
        <f t="shared" si="64"/>
        <v>0</v>
      </c>
      <c r="AN823" s="1064"/>
      <c r="AO823" s="1064">
        <f>TB_curr[[#This Row],[Closing balance]]+TB_curr[[#This Row],[Rounding]]</f>
        <v>0</v>
      </c>
    </row>
    <row r="824" spans="30:41" x14ac:dyDescent="0.25">
      <c r="AD824" s="1067" t="str">
        <f t="shared" si="60"/>
        <v/>
      </c>
      <c r="AE824" s="1063" t="str">
        <f>IF(ISNA(VLOOKUP(TB_curr[[#This Row],[Synt]],GL[[#Headers],[#Data],[subtotal label]],1,FALSE)),0,(VLOOKUP(TB_curr[[#This Row],[Synt]],GL[[#Headers],[#Data],[subtotal label]],1,FALSE)))</f>
        <v/>
      </c>
      <c r="AF824" s="1063" t="e">
        <f>IF((TB_curr[[#This Row],[Synt]]-TB_curr[[#This Row],[Subtotal Y/N]])=0,0,VLOOKUP(TB_curr[[#This Row],[Synt]],GL[[Account]:[Line]],3,FALSE))</f>
        <v>#VALUE!</v>
      </c>
      <c r="AG824" s="1063" t="e">
        <f>VLOOKUP(TB_curr[[#This Row],[Synt]],GL[[Account]:[B/P]],4,FALSE)</f>
        <v>#N/A</v>
      </c>
      <c r="AH824" s="1066" t="e">
        <v>#VALUE!</v>
      </c>
      <c r="AI824" s="1065" t="e">
        <f>TB_curr[[#This Row],[Synt]]&amp;TB_curr[[#This Row],[Line No. manual corr.]]</f>
        <v>#VALUE!</v>
      </c>
      <c r="AJ824" s="1064">
        <f t="shared" si="61"/>
        <v>0</v>
      </c>
      <c r="AK824" s="1064">
        <f t="shared" si="62"/>
        <v>0</v>
      </c>
      <c r="AL824" s="1064">
        <f t="shared" si="63"/>
        <v>0</v>
      </c>
      <c r="AM824" s="1064">
        <f t="shared" si="64"/>
        <v>0</v>
      </c>
      <c r="AN824" s="1064"/>
      <c r="AO824" s="1064">
        <f>TB_curr[[#This Row],[Closing balance]]+TB_curr[[#This Row],[Rounding]]</f>
        <v>0</v>
      </c>
    </row>
    <row r="825" spans="30:41" x14ac:dyDescent="0.25">
      <c r="AD825" s="1067" t="str">
        <f t="shared" si="60"/>
        <v/>
      </c>
      <c r="AE825" s="1063" t="str">
        <f>IF(ISNA(VLOOKUP(TB_curr[[#This Row],[Synt]],GL[[#Headers],[#Data],[subtotal label]],1,FALSE)),0,(VLOOKUP(TB_curr[[#This Row],[Synt]],GL[[#Headers],[#Data],[subtotal label]],1,FALSE)))</f>
        <v/>
      </c>
      <c r="AF825" s="1063" t="e">
        <f>IF((TB_curr[[#This Row],[Synt]]-TB_curr[[#This Row],[Subtotal Y/N]])=0,0,VLOOKUP(TB_curr[[#This Row],[Synt]],GL[[Account]:[Line]],3,FALSE))</f>
        <v>#VALUE!</v>
      </c>
      <c r="AG825" s="1063" t="e">
        <f>VLOOKUP(TB_curr[[#This Row],[Synt]],GL[[Account]:[B/P]],4,FALSE)</f>
        <v>#N/A</v>
      </c>
      <c r="AH825" s="1066" t="e">
        <v>#VALUE!</v>
      </c>
      <c r="AI825" s="1065" t="e">
        <f>TB_curr[[#This Row],[Synt]]&amp;TB_curr[[#This Row],[Line No. manual corr.]]</f>
        <v>#VALUE!</v>
      </c>
      <c r="AJ825" s="1064">
        <f t="shared" si="61"/>
        <v>0</v>
      </c>
      <c r="AK825" s="1064">
        <f t="shared" si="62"/>
        <v>0</v>
      </c>
      <c r="AL825" s="1064">
        <f t="shared" si="63"/>
        <v>0</v>
      </c>
      <c r="AM825" s="1064">
        <f t="shared" si="64"/>
        <v>0</v>
      </c>
      <c r="AN825" s="1064"/>
      <c r="AO825" s="1064">
        <f>TB_curr[[#This Row],[Closing balance]]+TB_curr[[#This Row],[Rounding]]</f>
        <v>0</v>
      </c>
    </row>
    <row r="826" spans="30:41" x14ac:dyDescent="0.25">
      <c r="AD826" s="1067" t="str">
        <f t="shared" si="60"/>
        <v/>
      </c>
      <c r="AE826" s="1063" t="str">
        <f>IF(ISNA(VLOOKUP(TB_curr[[#This Row],[Synt]],GL[[#Headers],[#Data],[subtotal label]],1,FALSE)),0,(VLOOKUP(TB_curr[[#This Row],[Synt]],GL[[#Headers],[#Data],[subtotal label]],1,FALSE)))</f>
        <v/>
      </c>
      <c r="AF826" s="1063" t="e">
        <f>IF((TB_curr[[#This Row],[Synt]]-TB_curr[[#This Row],[Subtotal Y/N]])=0,0,VLOOKUP(TB_curr[[#This Row],[Synt]],GL[[Account]:[Line]],3,FALSE))</f>
        <v>#VALUE!</v>
      </c>
      <c r="AG826" s="1063" t="e">
        <f>VLOOKUP(TB_curr[[#This Row],[Synt]],GL[[Account]:[B/P]],4,FALSE)</f>
        <v>#N/A</v>
      </c>
      <c r="AH826" s="1066" t="e">
        <v>#VALUE!</v>
      </c>
      <c r="AI826" s="1065" t="e">
        <f>TB_curr[[#This Row],[Synt]]&amp;TB_curr[[#This Row],[Line No. manual corr.]]</f>
        <v>#VALUE!</v>
      </c>
      <c r="AJ826" s="1064">
        <f t="shared" si="61"/>
        <v>0</v>
      </c>
      <c r="AK826" s="1064">
        <f t="shared" si="62"/>
        <v>0</v>
      </c>
      <c r="AL826" s="1064">
        <f t="shared" si="63"/>
        <v>0</v>
      </c>
      <c r="AM826" s="1064">
        <f t="shared" si="64"/>
        <v>0</v>
      </c>
      <c r="AN826" s="1064"/>
      <c r="AO826" s="1064">
        <f>TB_curr[[#This Row],[Closing balance]]+TB_curr[[#This Row],[Rounding]]</f>
        <v>0</v>
      </c>
    </row>
    <row r="827" spans="30:41" x14ac:dyDescent="0.25">
      <c r="AD827" s="1067" t="str">
        <f t="shared" si="60"/>
        <v/>
      </c>
      <c r="AE827" s="1063" t="str">
        <f>IF(ISNA(VLOOKUP(TB_curr[[#This Row],[Synt]],GL[[#Headers],[#Data],[subtotal label]],1,FALSE)),0,(VLOOKUP(TB_curr[[#This Row],[Synt]],GL[[#Headers],[#Data],[subtotal label]],1,FALSE)))</f>
        <v/>
      </c>
      <c r="AF827" s="1063" t="e">
        <f>IF((TB_curr[[#This Row],[Synt]]-TB_curr[[#This Row],[Subtotal Y/N]])=0,0,VLOOKUP(TB_curr[[#This Row],[Synt]],GL[[Account]:[Line]],3,FALSE))</f>
        <v>#VALUE!</v>
      </c>
      <c r="AG827" s="1063" t="e">
        <f>VLOOKUP(TB_curr[[#This Row],[Synt]],GL[[Account]:[B/P]],4,FALSE)</f>
        <v>#N/A</v>
      </c>
      <c r="AH827" s="1066" t="e">
        <v>#VALUE!</v>
      </c>
      <c r="AI827" s="1065" t="e">
        <f>TB_curr[[#This Row],[Synt]]&amp;TB_curr[[#This Row],[Line No. manual corr.]]</f>
        <v>#VALUE!</v>
      </c>
      <c r="AJ827" s="1064">
        <f t="shared" si="61"/>
        <v>0</v>
      </c>
      <c r="AK827" s="1064">
        <f t="shared" si="62"/>
        <v>0</v>
      </c>
      <c r="AL827" s="1064">
        <f t="shared" si="63"/>
        <v>0</v>
      </c>
      <c r="AM827" s="1064">
        <f t="shared" si="64"/>
        <v>0</v>
      </c>
      <c r="AN827" s="1064"/>
      <c r="AO827" s="1064">
        <f>TB_curr[[#This Row],[Closing balance]]+TB_curr[[#This Row],[Rounding]]</f>
        <v>0</v>
      </c>
    </row>
    <row r="828" spans="30:41" x14ac:dyDescent="0.25">
      <c r="AD828" s="1067" t="str">
        <f t="shared" si="60"/>
        <v/>
      </c>
      <c r="AE828" s="1063" t="str">
        <f>IF(ISNA(VLOOKUP(TB_curr[[#This Row],[Synt]],GL[[#Headers],[#Data],[subtotal label]],1,FALSE)),0,(VLOOKUP(TB_curr[[#This Row],[Synt]],GL[[#Headers],[#Data],[subtotal label]],1,FALSE)))</f>
        <v/>
      </c>
      <c r="AF828" s="1063" t="e">
        <f>IF((TB_curr[[#This Row],[Synt]]-TB_curr[[#This Row],[Subtotal Y/N]])=0,0,VLOOKUP(TB_curr[[#This Row],[Synt]],GL[[Account]:[Line]],3,FALSE))</f>
        <v>#VALUE!</v>
      </c>
      <c r="AG828" s="1063" t="e">
        <f>VLOOKUP(TB_curr[[#This Row],[Synt]],GL[[Account]:[B/P]],4,FALSE)</f>
        <v>#N/A</v>
      </c>
      <c r="AH828" s="1066" t="e">
        <v>#VALUE!</v>
      </c>
      <c r="AI828" s="1065" t="e">
        <f>TB_curr[[#This Row],[Synt]]&amp;TB_curr[[#This Row],[Line No. manual corr.]]</f>
        <v>#VALUE!</v>
      </c>
      <c r="AJ828" s="1064">
        <f t="shared" si="61"/>
        <v>0</v>
      </c>
      <c r="AK828" s="1064">
        <f t="shared" si="62"/>
        <v>0</v>
      </c>
      <c r="AL828" s="1064">
        <f t="shared" si="63"/>
        <v>0</v>
      </c>
      <c r="AM828" s="1064">
        <f t="shared" si="64"/>
        <v>0</v>
      </c>
      <c r="AN828" s="1064"/>
      <c r="AO828" s="1064">
        <f>TB_curr[[#This Row],[Closing balance]]+TB_curr[[#This Row],[Rounding]]</f>
        <v>0</v>
      </c>
    </row>
    <row r="829" spans="30:41" x14ac:dyDescent="0.25">
      <c r="AD829" s="1067" t="str">
        <f t="shared" si="60"/>
        <v/>
      </c>
      <c r="AE829" s="1063" t="str">
        <f>IF(ISNA(VLOOKUP(TB_curr[[#This Row],[Synt]],GL[[#Headers],[#Data],[subtotal label]],1,FALSE)),0,(VLOOKUP(TB_curr[[#This Row],[Synt]],GL[[#Headers],[#Data],[subtotal label]],1,FALSE)))</f>
        <v/>
      </c>
      <c r="AF829" s="1063" t="e">
        <f>IF((TB_curr[[#This Row],[Synt]]-TB_curr[[#This Row],[Subtotal Y/N]])=0,0,VLOOKUP(TB_curr[[#This Row],[Synt]],GL[[Account]:[Line]],3,FALSE))</f>
        <v>#VALUE!</v>
      </c>
      <c r="AG829" s="1063" t="e">
        <f>VLOOKUP(TB_curr[[#This Row],[Synt]],GL[[Account]:[B/P]],4,FALSE)</f>
        <v>#N/A</v>
      </c>
      <c r="AH829" s="1066" t="e">
        <v>#VALUE!</v>
      </c>
      <c r="AI829" s="1065" t="e">
        <f>TB_curr[[#This Row],[Synt]]&amp;TB_curr[[#This Row],[Line No. manual corr.]]</f>
        <v>#VALUE!</v>
      </c>
      <c r="AJ829" s="1064">
        <f t="shared" si="61"/>
        <v>0</v>
      </c>
      <c r="AK829" s="1064">
        <f t="shared" si="62"/>
        <v>0</v>
      </c>
      <c r="AL829" s="1064">
        <f t="shared" si="63"/>
        <v>0</v>
      </c>
      <c r="AM829" s="1064">
        <f t="shared" si="64"/>
        <v>0</v>
      </c>
      <c r="AN829" s="1064"/>
      <c r="AO829" s="1064">
        <f>TB_curr[[#This Row],[Closing balance]]+TB_curr[[#This Row],[Rounding]]</f>
        <v>0</v>
      </c>
    </row>
    <row r="830" spans="30:41" x14ac:dyDescent="0.25">
      <c r="AD830" s="1067" t="str">
        <f t="shared" si="60"/>
        <v/>
      </c>
      <c r="AE830" s="1063" t="str">
        <f>IF(ISNA(VLOOKUP(TB_curr[[#This Row],[Synt]],GL[[#Headers],[#Data],[subtotal label]],1,FALSE)),0,(VLOOKUP(TB_curr[[#This Row],[Synt]],GL[[#Headers],[#Data],[subtotal label]],1,FALSE)))</f>
        <v/>
      </c>
      <c r="AF830" s="1063" t="e">
        <f>IF((TB_curr[[#This Row],[Synt]]-TB_curr[[#This Row],[Subtotal Y/N]])=0,0,VLOOKUP(TB_curr[[#This Row],[Synt]],GL[[Account]:[Line]],3,FALSE))</f>
        <v>#VALUE!</v>
      </c>
      <c r="AG830" s="1063" t="e">
        <f>VLOOKUP(TB_curr[[#This Row],[Synt]],GL[[Account]:[B/P]],4,FALSE)</f>
        <v>#N/A</v>
      </c>
      <c r="AH830" s="1066" t="e">
        <v>#VALUE!</v>
      </c>
      <c r="AI830" s="1065" t="e">
        <f>TB_curr[[#This Row],[Synt]]&amp;TB_curr[[#This Row],[Line No. manual corr.]]</f>
        <v>#VALUE!</v>
      </c>
      <c r="AJ830" s="1064">
        <f t="shared" si="61"/>
        <v>0</v>
      </c>
      <c r="AK830" s="1064">
        <f t="shared" si="62"/>
        <v>0</v>
      </c>
      <c r="AL830" s="1064">
        <f t="shared" si="63"/>
        <v>0</v>
      </c>
      <c r="AM830" s="1064">
        <f t="shared" si="64"/>
        <v>0</v>
      </c>
      <c r="AN830" s="1064"/>
      <c r="AO830" s="1064">
        <f>TB_curr[[#This Row],[Closing balance]]+TB_curr[[#This Row],[Rounding]]</f>
        <v>0</v>
      </c>
    </row>
    <row r="831" spans="30:41" x14ac:dyDescent="0.25">
      <c r="AD831" s="1067" t="str">
        <f t="shared" si="60"/>
        <v/>
      </c>
      <c r="AE831" s="1063" t="str">
        <f>IF(ISNA(VLOOKUP(TB_curr[[#This Row],[Synt]],GL[[#Headers],[#Data],[subtotal label]],1,FALSE)),0,(VLOOKUP(TB_curr[[#This Row],[Synt]],GL[[#Headers],[#Data],[subtotal label]],1,FALSE)))</f>
        <v/>
      </c>
      <c r="AF831" s="1063" t="e">
        <f>IF((TB_curr[[#This Row],[Synt]]-TB_curr[[#This Row],[Subtotal Y/N]])=0,0,VLOOKUP(TB_curr[[#This Row],[Synt]],GL[[Account]:[Line]],3,FALSE))</f>
        <v>#VALUE!</v>
      </c>
      <c r="AG831" s="1063" t="e">
        <f>VLOOKUP(TB_curr[[#This Row],[Synt]],GL[[Account]:[B/P]],4,FALSE)</f>
        <v>#N/A</v>
      </c>
      <c r="AH831" s="1066" t="e">
        <v>#VALUE!</v>
      </c>
      <c r="AI831" s="1065" t="e">
        <f>TB_curr[[#This Row],[Synt]]&amp;TB_curr[[#This Row],[Line No. manual corr.]]</f>
        <v>#VALUE!</v>
      </c>
      <c r="AJ831" s="1064">
        <f t="shared" si="61"/>
        <v>0</v>
      </c>
      <c r="AK831" s="1064">
        <f t="shared" si="62"/>
        <v>0</v>
      </c>
      <c r="AL831" s="1064">
        <f t="shared" si="63"/>
        <v>0</v>
      </c>
      <c r="AM831" s="1064">
        <f t="shared" si="64"/>
        <v>0</v>
      </c>
      <c r="AN831" s="1064"/>
      <c r="AO831" s="1064">
        <f>TB_curr[[#This Row],[Closing balance]]+TB_curr[[#This Row],[Rounding]]</f>
        <v>0</v>
      </c>
    </row>
    <row r="832" spans="30:41" x14ac:dyDescent="0.25">
      <c r="AD832" s="1067" t="str">
        <f t="shared" si="60"/>
        <v/>
      </c>
      <c r="AE832" s="1063" t="str">
        <f>IF(ISNA(VLOOKUP(TB_curr[[#This Row],[Synt]],GL[[#Headers],[#Data],[subtotal label]],1,FALSE)),0,(VLOOKUP(TB_curr[[#This Row],[Synt]],GL[[#Headers],[#Data],[subtotal label]],1,FALSE)))</f>
        <v/>
      </c>
      <c r="AF832" s="1063" t="e">
        <f>IF((TB_curr[[#This Row],[Synt]]-TB_curr[[#This Row],[Subtotal Y/N]])=0,0,VLOOKUP(TB_curr[[#This Row],[Synt]],GL[[Account]:[Line]],3,FALSE))</f>
        <v>#VALUE!</v>
      </c>
      <c r="AG832" s="1063" t="e">
        <f>VLOOKUP(TB_curr[[#This Row],[Synt]],GL[[Account]:[B/P]],4,FALSE)</f>
        <v>#N/A</v>
      </c>
      <c r="AH832" s="1066" t="e">
        <v>#VALUE!</v>
      </c>
      <c r="AI832" s="1065" t="e">
        <f>TB_curr[[#This Row],[Synt]]&amp;TB_curr[[#This Row],[Line No. manual corr.]]</f>
        <v>#VALUE!</v>
      </c>
      <c r="AJ832" s="1064">
        <f t="shared" si="61"/>
        <v>0</v>
      </c>
      <c r="AK832" s="1064">
        <f t="shared" si="62"/>
        <v>0</v>
      </c>
      <c r="AL832" s="1064">
        <f t="shared" si="63"/>
        <v>0</v>
      </c>
      <c r="AM832" s="1064">
        <f t="shared" si="64"/>
        <v>0</v>
      </c>
      <c r="AN832" s="1064"/>
      <c r="AO832" s="1064">
        <f>TB_curr[[#This Row],[Closing balance]]+TB_curr[[#This Row],[Rounding]]</f>
        <v>0</v>
      </c>
    </row>
    <row r="833" spans="30:41" x14ac:dyDescent="0.25">
      <c r="AD833" s="1067" t="str">
        <f t="shared" si="60"/>
        <v/>
      </c>
      <c r="AE833" s="1063" t="str">
        <f>IF(ISNA(VLOOKUP(TB_curr[[#This Row],[Synt]],GL[[#Headers],[#Data],[subtotal label]],1,FALSE)),0,(VLOOKUP(TB_curr[[#This Row],[Synt]],GL[[#Headers],[#Data],[subtotal label]],1,FALSE)))</f>
        <v/>
      </c>
      <c r="AF833" s="1063" t="e">
        <f>IF((TB_curr[[#This Row],[Synt]]-TB_curr[[#This Row],[Subtotal Y/N]])=0,0,VLOOKUP(TB_curr[[#This Row],[Synt]],GL[[Account]:[Line]],3,FALSE))</f>
        <v>#VALUE!</v>
      </c>
      <c r="AG833" s="1063" t="e">
        <f>VLOOKUP(TB_curr[[#This Row],[Synt]],GL[[Account]:[B/P]],4,FALSE)</f>
        <v>#N/A</v>
      </c>
      <c r="AH833" s="1066" t="e">
        <v>#VALUE!</v>
      </c>
      <c r="AI833" s="1065" t="e">
        <f>TB_curr[[#This Row],[Synt]]&amp;TB_curr[[#This Row],[Line No. manual corr.]]</f>
        <v>#VALUE!</v>
      </c>
      <c r="AJ833" s="1064">
        <f t="shared" si="61"/>
        <v>0</v>
      </c>
      <c r="AK833" s="1064">
        <f t="shared" si="62"/>
        <v>0</v>
      </c>
      <c r="AL833" s="1064">
        <f t="shared" si="63"/>
        <v>0</v>
      </c>
      <c r="AM833" s="1064">
        <f t="shared" si="64"/>
        <v>0</v>
      </c>
      <c r="AN833" s="1064"/>
      <c r="AO833" s="1064">
        <f>TB_curr[[#This Row],[Closing balance]]+TB_curr[[#This Row],[Rounding]]</f>
        <v>0</v>
      </c>
    </row>
    <row r="834" spans="30:41" x14ac:dyDescent="0.25">
      <c r="AD834" s="1067" t="str">
        <f t="shared" si="60"/>
        <v/>
      </c>
      <c r="AE834" s="1063" t="str">
        <f>IF(ISNA(VLOOKUP(TB_curr[[#This Row],[Synt]],GL[[#Headers],[#Data],[subtotal label]],1,FALSE)),0,(VLOOKUP(TB_curr[[#This Row],[Synt]],GL[[#Headers],[#Data],[subtotal label]],1,FALSE)))</f>
        <v/>
      </c>
      <c r="AF834" s="1063" t="e">
        <f>IF((TB_curr[[#This Row],[Synt]]-TB_curr[[#This Row],[Subtotal Y/N]])=0,0,VLOOKUP(TB_curr[[#This Row],[Synt]],GL[[Account]:[Line]],3,FALSE))</f>
        <v>#VALUE!</v>
      </c>
      <c r="AG834" s="1063" t="e">
        <f>VLOOKUP(TB_curr[[#This Row],[Synt]],GL[[Account]:[B/P]],4,FALSE)</f>
        <v>#N/A</v>
      </c>
      <c r="AH834" s="1066" t="e">
        <v>#VALUE!</v>
      </c>
      <c r="AI834" s="1065" t="e">
        <f>TB_curr[[#This Row],[Synt]]&amp;TB_curr[[#This Row],[Line No. manual corr.]]</f>
        <v>#VALUE!</v>
      </c>
      <c r="AJ834" s="1064">
        <f t="shared" si="61"/>
        <v>0</v>
      </c>
      <c r="AK834" s="1064">
        <f t="shared" si="62"/>
        <v>0</v>
      </c>
      <c r="AL834" s="1064">
        <f t="shared" si="63"/>
        <v>0</v>
      </c>
      <c r="AM834" s="1064">
        <f t="shared" si="64"/>
        <v>0</v>
      </c>
      <c r="AN834" s="1064"/>
      <c r="AO834" s="1064">
        <f>TB_curr[[#This Row],[Closing balance]]+TB_curr[[#This Row],[Rounding]]</f>
        <v>0</v>
      </c>
    </row>
    <row r="835" spans="30:41" x14ac:dyDescent="0.25">
      <c r="AD835" s="1067" t="str">
        <f t="shared" si="60"/>
        <v/>
      </c>
      <c r="AE835" s="1063" t="str">
        <f>IF(ISNA(VLOOKUP(TB_curr[[#This Row],[Synt]],GL[[#Headers],[#Data],[subtotal label]],1,FALSE)),0,(VLOOKUP(TB_curr[[#This Row],[Synt]],GL[[#Headers],[#Data],[subtotal label]],1,FALSE)))</f>
        <v/>
      </c>
      <c r="AF835" s="1063" t="e">
        <f>IF((TB_curr[[#This Row],[Synt]]-TB_curr[[#This Row],[Subtotal Y/N]])=0,0,VLOOKUP(TB_curr[[#This Row],[Synt]],GL[[Account]:[Line]],3,FALSE))</f>
        <v>#VALUE!</v>
      </c>
      <c r="AG835" s="1063" t="e">
        <f>VLOOKUP(TB_curr[[#This Row],[Synt]],GL[[Account]:[B/P]],4,FALSE)</f>
        <v>#N/A</v>
      </c>
      <c r="AH835" s="1066" t="e">
        <v>#VALUE!</v>
      </c>
      <c r="AI835" s="1065" t="e">
        <f>TB_curr[[#This Row],[Synt]]&amp;TB_curr[[#This Row],[Line No. manual corr.]]</f>
        <v>#VALUE!</v>
      </c>
      <c r="AJ835" s="1064">
        <f t="shared" si="61"/>
        <v>0</v>
      </c>
      <c r="AK835" s="1064">
        <f t="shared" si="62"/>
        <v>0</v>
      </c>
      <c r="AL835" s="1064">
        <f t="shared" si="63"/>
        <v>0</v>
      </c>
      <c r="AM835" s="1064">
        <f t="shared" si="64"/>
        <v>0</v>
      </c>
      <c r="AN835" s="1064"/>
      <c r="AO835" s="1064">
        <f>TB_curr[[#This Row],[Closing balance]]+TB_curr[[#This Row],[Rounding]]</f>
        <v>0</v>
      </c>
    </row>
    <row r="836" spans="30:41" x14ac:dyDescent="0.25">
      <c r="AD836" s="1067" t="str">
        <f t="shared" si="60"/>
        <v/>
      </c>
      <c r="AE836" s="1063" t="str">
        <f>IF(ISNA(VLOOKUP(TB_curr[[#This Row],[Synt]],GL[[#Headers],[#Data],[subtotal label]],1,FALSE)),0,(VLOOKUP(TB_curr[[#This Row],[Synt]],GL[[#Headers],[#Data],[subtotal label]],1,FALSE)))</f>
        <v/>
      </c>
      <c r="AF836" s="1063" t="e">
        <f>IF((TB_curr[[#This Row],[Synt]]-TB_curr[[#This Row],[Subtotal Y/N]])=0,0,VLOOKUP(TB_curr[[#This Row],[Synt]],GL[[Account]:[Line]],3,FALSE))</f>
        <v>#VALUE!</v>
      </c>
      <c r="AG836" s="1063" t="e">
        <f>VLOOKUP(TB_curr[[#This Row],[Synt]],GL[[Account]:[B/P]],4,FALSE)</f>
        <v>#N/A</v>
      </c>
      <c r="AH836" s="1066" t="e">
        <v>#VALUE!</v>
      </c>
      <c r="AI836" s="1065" t="e">
        <f>TB_curr[[#This Row],[Synt]]&amp;TB_curr[[#This Row],[Line No. manual corr.]]</f>
        <v>#VALUE!</v>
      </c>
      <c r="AJ836" s="1064">
        <f t="shared" si="61"/>
        <v>0</v>
      </c>
      <c r="AK836" s="1064">
        <f t="shared" si="62"/>
        <v>0</v>
      </c>
      <c r="AL836" s="1064">
        <f t="shared" si="63"/>
        <v>0</v>
      </c>
      <c r="AM836" s="1064">
        <f t="shared" si="64"/>
        <v>0</v>
      </c>
      <c r="AN836" s="1064"/>
      <c r="AO836" s="1064">
        <f>TB_curr[[#This Row],[Closing balance]]+TB_curr[[#This Row],[Rounding]]</f>
        <v>0</v>
      </c>
    </row>
    <row r="837" spans="30:41" x14ac:dyDescent="0.25">
      <c r="AD837" s="1067" t="str">
        <f t="shared" si="60"/>
        <v/>
      </c>
      <c r="AE837" s="1063" t="str">
        <f>IF(ISNA(VLOOKUP(TB_curr[[#This Row],[Synt]],GL[[#Headers],[#Data],[subtotal label]],1,FALSE)),0,(VLOOKUP(TB_curr[[#This Row],[Synt]],GL[[#Headers],[#Data],[subtotal label]],1,FALSE)))</f>
        <v/>
      </c>
      <c r="AF837" s="1063" t="e">
        <f>IF((TB_curr[[#This Row],[Synt]]-TB_curr[[#This Row],[Subtotal Y/N]])=0,0,VLOOKUP(TB_curr[[#This Row],[Synt]],GL[[Account]:[Line]],3,FALSE))</f>
        <v>#VALUE!</v>
      </c>
      <c r="AG837" s="1063" t="e">
        <f>VLOOKUP(TB_curr[[#This Row],[Synt]],GL[[Account]:[B/P]],4,FALSE)</f>
        <v>#N/A</v>
      </c>
      <c r="AH837" s="1066" t="e">
        <v>#VALUE!</v>
      </c>
      <c r="AI837" s="1065" t="e">
        <f>TB_curr[[#This Row],[Synt]]&amp;TB_curr[[#This Row],[Line No. manual corr.]]</f>
        <v>#VALUE!</v>
      </c>
      <c r="AJ837" s="1064">
        <f t="shared" si="61"/>
        <v>0</v>
      </c>
      <c r="AK837" s="1064">
        <f t="shared" si="62"/>
        <v>0</v>
      </c>
      <c r="AL837" s="1064">
        <f t="shared" si="63"/>
        <v>0</v>
      </c>
      <c r="AM837" s="1064">
        <f t="shared" si="64"/>
        <v>0</v>
      </c>
      <c r="AN837" s="1064"/>
      <c r="AO837" s="1064">
        <f>TB_curr[[#This Row],[Closing balance]]+TB_curr[[#This Row],[Rounding]]</f>
        <v>0</v>
      </c>
    </row>
    <row r="838" spans="30:41" x14ac:dyDescent="0.25">
      <c r="AD838" s="1067" t="str">
        <f t="shared" si="60"/>
        <v/>
      </c>
      <c r="AE838" s="1063" t="str">
        <f>IF(ISNA(VLOOKUP(TB_curr[[#This Row],[Synt]],GL[[#Headers],[#Data],[subtotal label]],1,FALSE)),0,(VLOOKUP(TB_curr[[#This Row],[Synt]],GL[[#Headers],[#Data],[subtotal label]],1,FALSE)))</f>
        <v/>
      </c>
      <c r="AF838" s="1063" t="e">
        <f>IF((TB_curr[[#This Row],[Synt]]-TB_curr[[#This Row],[Subtotal Y/N]])=0,0,VLOOKUP(TB_curr[[#This Row],[Synt]],GL[[Account]:[Line]],3,FALSE))</f>
        <v>#VALUE!</v>
      </c>
      <c r="AG838" s="1063" t="e">
        <f>VLOOKUP(TB_curr[[#This Row],[Synt]],GL[[Account]:[B/P]],4,FALSE)</f>
        <v>#N/A</v>
      </c>
      <c r="AH838" s="1066" t="e">
        <v>#VALUE!</v>
      </c>
      <c r="AI838" s="1065" t="e">
        <f>TB_curr[[#This Row],[Synt]]&amp;TB_curr[[#This Row],[Line No. manual corr.]]</f>
        <v>#VALUE!</v>
      </c>
      <c r="AJ838" s="1064">
        <f t="shared" si="61"/>
        <v>0</v>
      </c>
      <c r="AK838" s="1064">
        <f t="shared" si="62"/>
        <v>0</v>
      </c>
      <c r="AL838" s="1064">
        <f t="shared" si="63"/>
        <v>0</v>
      </c>
      <c r="AM838" s="1064">
        <f t="shared" si="64"/>
        <v>0</v>
      </c>
      <c r="AN838" s="1064"/>
      <c r="AO838" s="1064">
        <f>TB_curr[[#This Row],[Closing balance]]+TB_curr[[#This Row],[Rounding]]</f>
        <v>0</v>
      </c>
    </row>
    <row r="839" spans="30:41" x14ac:dyDescent="0.25">
      <c r="AD839" s="1067" t="str">
        <f t="shared" si="60"/>
        <v/>
      </c>
      <c r="AE839" s="1063" t="str">
        <f>IF(ISNA(VLOOKUP(TB_curr[[#This Row],[Synt]],GL[[#Headers],[#Data],[subtotal label]],1,FALSE)),0,(VLOOKUP(TB_curr[[#This Row],[Synt]],GL[[#Headers],[#Data],[subtotal label]],1,FALSE)))</f>
        <v/>
      </c>
      <c r="AF839" s="1063" t="e">
        <f>IF((TB_curr[[#This Row],[Synt]]-TB_curr[[#This Row],[Subtotal Y/N]])=0,0,VLOOKUP(TB_curr[[#This Row],[Synt]],GL[[Account]:[Line]],3,FALSE))</f>
        <v>#VALUE!</v>
      </c>
      <c r="AG839" s="1063" t="e">
        <f>VLOOKUP(TB_curr[[#This Row],[Synt]],GL[[Account]:[B/P]],4,FALSE)</f>
        <v>#N/A</v>
      </c>
      <c r="AH839" s="1066" t="e">
        <v>#VALUE!</v>
      </c>
      <c r="AI839" s="1065" t="e">
        <f>TB_curr[[#This Row],[Synt]]&amp;TB_curr[[#This Row],[Line No. manual corr.]]</f>
        <v>#VALUE!</v>
      </c>
      <c r="AJ839" s="1064">
        <f t="shared" si="61"/>
        <v>0</v>
      </c>
      <c r="AK839" s="1064">
        <f t="shared" si="62"/>
        <v>0</v>
      </c>
      <c r="AL839" s="1064">
        <f t="shared" si="63"/>
        <v>0</v>
      </c>
      <c r="AM839" s="1064">
        <f t="shared" si="64"/>
        <v>0</v>
      </c>
      <c r="AN839" s="1064"/>
      <c r="AO839" s="1064">
        <f>TB_curr[[#This Row],[Closing balance]]+TB_curr[[#This Row],[Rounding]]</f>
        <v>0</v>
      </c>
    </row>
    <row r="840" spans="30:41" x14ac:dyDescent="0.25">
      <c r="AD840" s="1067" t="str">
        <f t="shared" ref="AD840:AD903" si="65">LEFT(B840,3)</f>
        <v/>
      </c>
      <c r="AE840" s="1063" t="str">
        <f>IF(ISNA(VLOOKUP(TB_curr[[#This Row],[Synt]],GL[[#Headers],[#Data],[subtotal label]],1,FALSE)),0,(VLOOKUP(TB_curr[[#This Row],[Synt]],GL[[#Headers],[#Data],[subtotal label]],1,FALSE)))</f>
        <v/>
      </c>
      <c r="AF840" s="1063" t="e">
        <f>IF((TB_curr[[#This Row],[Synt]]-TB_curr[[#This Row],[Subtotal Y/N]])=0,0,VLOOKUP(TB_curr[[#This Row],[Synt]],GL[[Account]:[Line]],3,FALSE))</f>
        <v>#VALUE!</v>
      </c>
      <c r="AG840" s="1063" t="e">
        <f>VLOOKUP(TB_curr[[#This Row],[Synt]],GL[[Account]:[B/P]],4,FALSE)</f>
        <v>#N/A</v>
      </c>
      <c r="AH840" s="1066" t="e">
        <v>#VALUE!</v>
      </c>
      <c r="AI840" s="1065" t="e">
        <f>TB_curr[[#This Row],[Synt]]&amp;TB_curr[[#This Row],[Line No. manual corr.]]</f>
        <v>#VALUE!</v>
      </c>
      <c r="AJ840" s="1064">
        <f t="shared" ref="AJ840:AJ903" si="66">K840-N840</f>
        <v>0</v>
      </c>
      <c r="AK840" s="1064">
        <f t="shared" ref="AK840:AK903" si="67">Q840</f>
        <v>0</v>
      </c>
      <c r="AL840" s="1064">
        <f t="shared" ref="AL840:AL903" si="68">U840</f>
        <v>0</v>
      </c>
      <c r="AM840" s="1064">
        <f t="shared" ref="AM840:AM903" si="69">X840-AB840</f>
        <v>0</v>
      </c>
      <c r="AN840" s="1064"/>
      <c r="AO840" s="1064">
        <f>TB_curr[[#This Row],[Closing balance]]+TB_curr[[#This Row],[Rounding]]</f>
        <v>0</v>
      </c>
    </row>
    <row r="841" spans="30:41" x14ac:dyDescent="0.25">
      <c r="AD841" s="1067" t="str">
        <f t="shared" si="65"/>
        <v/>
      </c>
      <c r="AE841" s="1063" t="str">
        <f>IF(ISNA(VLOOKUP(TB_curr[[#This Row],[Synt]],GL[[#Headers],[#Data],[subtotal label]],1,FALSE)),0,(VLOOKUP(TB_curr[[#This Row],[Synt]],GL[[#Headers],[#Data],[subtotal label]],1,FALSE)))</f>
        <v/>
      </c>
      <c r="AF841" s="1063" t="e">
        <f>IF((TB_curr[[#This Row],[Synt]]-TB_curr[[#This Row],[Subtotal Y/N]])=0,0,VLOOKUP(TB_curr[[#This Row],[Synt]],GL[[Account]:[Line]],3,FALSE))</f>
        <v>#VALUE!</v>
      </c>
      <c r="AG841" s="1063" t="e">
        <f>VLOOKUP(TB_curr[[#This Row],[Synt]],GL[[Account]:[B/P]],4,FALSE)</f>
        <v>#N/A</v>
      </c>
      <c r="AH841" s="1066" t="e">
        <v>#VALUE!</v>
      </c>
      <c r="AI841" s="1065" t="e">
        <f>TB_curr[[#This Row],[Synt]]&amp;TB_curr[[#This Row],[Line No. manual corr.]]</f>
        <v>#VALUE!</v>
      </c>
      <c r="AJ841" s="1064">
        <f t="shared" si="66"/>
        <v>0</v>
      </c>
      <c r="AK841" s="1064">
        <f t="shared" si="67"/>
        <v>0</v>
      </c>
      <c r="AL841" s="1064">
        <f t="shared" si="68"/>
        <v>0</v>
      </c>
      <c r="AM841" s="1064">
        <f t="shared" si="69"/>
        <v>0</v>
      </c>
      <c r="AN841" s="1064"/>
      <c r="AO841" s="1064">
        <f>TB_curr[[#This Row],[Closing balance]]+TB_curr[[#This Row],[Rounding]]</f>
        <v>0</v>
      </c>
    </row>
    <row r="842" spans="30:41" x14ac:dyDescent="0.25">
      <c r="AD842" s="1067" t="str">
        <f t="shared" si="65"/>
        <v/>
      </c>
      <c r="AE842" s="1063" t="str">
        <f>IF(ISNA(VLOOKUP(TB_curr[[#This Row],[Synt]],GL[[#Headers],[#Data],[subtotal label]],1,FALSE)),0,(VLOOKUP(TB_curr[[#This Row],[Synt]],GL[[#Headers],[#Data],[subtotal label]],1,FALSE)))</f>
        <v/>
      </c>
      <c r="AF842" s="1063" t="e">
        <f>IF((TB_curr[[#This Row],[Synt]]-TB_curr[[#This Row],[Subtotal Y/N]])=0,0,VLOOKUP(TB_curr[[#This Row],[Synt]],GL[[Account]:[Line]],3,FALSE))</f>
        <v>#VALUE!</v>
      </c>
      <c r="AG842" s="1063" t="e">
        <f>VLOOKUP(TB_curr[[#This Row],[Synt]],GL[[Account]:[B/P]],4,FALSE)</f>
        <v>#N/A</v>
      </c>
      <c r="AH842" s="1066" t="e">
        <v>#VALUE!</v>
      </c>
      <c r="AI842" s="1065" t="e">
        <f>TB_curr[[#This Row],[Synt]]&amp;TB_curr[[#This Row],[Line No. manual corr.]]</f>
        <v>#VALUE!</v>
      </c>
      <c r="AJ842" s="1064">
        <f t="shared" si="66"/>
        <v>0</v>
      </c>
      <c r="AK842" s="1064">
        <f t="shared" si="67"/>
        <v>0</v>
      </c>
      <c r="AL842" s="1064">
        <f t="shared" si="68"/>
        <v>0</v>
      </c>
      <c r="AM842" s="1064">
        <f t="shared" si="69"/>
        <v>0</v>
      </c>
      <c r="AN842" s="1064"/>
      <c r="AO842" s="1064">
        <f>TB_curr[[#This Row],[Closing balance]]+TB_curr[[#This Row],[Rounding]]</f>
        <v>0</v>
      </c>
    </row>
    <row r="843" spans="30:41" x14ac:dyDescent="0.25">
      <c r="AD843" s="1067" t="str">
        <f t="shared" si="65"/>
        <v/>
      </c>
      <c r="AE843" s="1063" t="str">
        <f>IF(ISNA(VLOOKUP(TB_curr[[#This Row],[Synt]],GL[[#Headers],[#Data],[subtotal label]],1,FALSE)),0,(VLOOKUP(TB_curr[[#This Row],[Synt]],GL[[#Headers],[#Data],[subtotal label]],1,FALSE)))</f>
        <v/>
      </c>
      <c r="AF843" s="1063" t="e">
        <f>IF((TB_curr[[#This Row],[Synt]]-TB_curr[[#This Row],[Subtotal Y/N]])=0,0,VLOOKUP(TB_curr[[#This Row],[Synt]],GL[[Account]:[Line]],3,FALSE))</f>
        <v>#VALUE!</v>
      </c>
      <c r="AG843" s="1063" t="e">
        <f>VLOOKUP(TB_curr[[#This Row],[Synt]],GL[[Account]:[B/P]],4,FALSE)</f>
        <v>#N/A</v>
      </c>
      <c r="AH843" s="1066" t="e">
        <v>#VALUE!</v>
      </c>
      <c r="AI843" s="1065" t="e">
        <f>TB_curr[[#This Row],[Synt]]&amp;TB_curr[[#This Row],[Line No. manual corr.]]</f>
        <v>#VALUE!</v>
      </c>
      <c r="AJ843" s="1064">
        <f t="shared" si="66"/>
        <v>0</v>
      </c>
      <c r="AK843" s="1064">
        <f t="shared" si="67"/>
        <v>0</v>
      </c>
      <c r="AL843" s="1064">
        <f t="shared" si="68"/>
        <v>0</v>
      </c>
      <c r="AM843" s="1064">
        <f t="shared" si="69"/>
        <v>0</v>
      </c>
      <c r="AN843" s="1064"/>
      <c r="AO843" s="1064">
        <f>TB_curr[[#This Row],[Closing balance]]+TB_curr[[#This Row],[Rounding]]</f>
        <v>0</v>
      </c>
    </row>
    <row r="844" spans="30:41" x14ac:dyDescent="0.25">
      <c r="AD844" s="1067" t="str">
        <f t="shared" si="65"/>
        <v/>
      </c>
      <c r="AE844" s="1063" t="str">
        <f>IF(ISNA(VLOOKUP(TB_curr[[#This Row],[Synt]],GL[[#Headers],[#Data],[subtotal label]],1,FALSE)),0,(VLOOKUP(TB_curr[[#This Row],[Synt]],GL[[#Headers],[#Data],[subtotal label]],1,FALSE)))</f>
        <v/>
      </c>
      <c r="AF844" s="1063" t="e">
        <f>IF((TB_curr[[#This Row],[Synt]]-TB_curr[[#This Row],[Subtotal Y/N]])=0,0,VLOOKUP(TB_curr[[#This Row],[Synt]],GL[[Account]:[Line]],3,FALSE))</f>
        <v>#VALUE!</v>
      </c>
      <c r="AG844" s="1063" t="e">
        <f>VLOOKUP(TB_curr[[#This Row],[Synt]],GL[[Account]:[B/P]],4,FALSE)</f>
        <v>#N/A</v>
      </c>
      <c r="AH844" s="1066" t="e">
        <v>#VALUE!</v>
      </c>
      <c r="AI844" s="1065" t="e">
        <f>TB_curr[[#This Row],[Synt]]&amp;TB_curr[[#This Row],[Line No. manual corr.]]</f>
        <v>#VALUE!</v>
      </c>
      <c r="AJ844" s="1064">
        <f t="shared" si="66"/>
        <v>0</v>
      </c>
      <c r="AK844" s="1064">
        <f t="shared" si="67"/>
        <v>0</v>
      </c>
      <c r="AL844" s="1064">
        <f t="shared" si="68"/>
        <v>0</v>
      </c>
      <c r="AM844" s="1064">
        <f t="shared" si="69"/>
        <v>0</v>
      </c>
      <c r="AN844" s="1064"/>
      <c r="AO844" s="1064">
        <f>TB_curr[[#This Row],[Closing balance]]+TB_curr[[#This Row],[Rounding]]</f>
        <v>0</v>
      </c>
    </row>
    <row r="845" spans="30:41" x14ac:dyDescent="0.25">
      <c r="AD845" s="1067" t="str">
        <f t="shared" si="65"/>
        <v/>
      </c>
      <c r="AE845" s="1063" t="str">
        <f>IF(ISNA(VLOOKUP(TB_curr[[#This Row],[Synt]],GL[[#Headers],[#Data],[subtotal label]],1,FALSE)),0,(VLOOKUP(TB_curr[[#This Row],[Synt]],GL[[#Headers],[#Data],[subtotal label]],1,FALSE)))</f>
        <v/>
      </c>
      <c r="AF845" s="1063" t="e">
        <f>IF((TB_curr[[#This Row],[Synt]]-TB_curr[[#This Row],[Subtotal Y/N]])=0,0,VLOOKUP(TB_curr[[#This Row],[Synt]],GL[[Account]:[Line]],3,FALSE))</f>
        <v>#VALUE!</v>
      </c>
      <c r="AG845" s="1063" t="e">
        <f>VLOOKUP(TB_curr[[#This Row],[Synt]],GL[[Account]:[B/P]],4,FALSE)</f>
        <v>#N/A</v>
      </c>
      <c r="AH845" s="1066" t="e">
        <v>#VALUE!</v>
      </c>
      <c r="AI845" s="1065" t="e">
        <f>TB_curr[[#This Row],[Synt]]&amp;TB_curr[[#This Row],[Line No. manual corr.]]</f>
        <v>#VALUE!</v>
      </c>
      <c r="AJ845" s="1064">
        <f t="shared" si="66"/>
        <v>0</v>
      </c>
      <c r="AK845" s="1064">
        <f t="shared" si="67"/>
        <v>0</v>
      </c>
      <c r="AL845" s="1064">
        <f t="shared" si="68"/>
        <v>0</v>
      </c>
      <c r="AM845" s="1064">
        <f t="shared" si="69"/>
        <v>0</v>
      </c>
      <c r="AN845" s="1064"/>
      <c r="AO845" s="1064">
        <f>TB_curr[[#This Row],[Closing balance]]+TB_curr[[#This Row],[Rounding]]</f>
        <v>0</v>
      </c>
    </row>
    <row r="846" spans="30:41" x14ac:dyDescent="0.25">
      <c r="AD846" s="1067" t="str">
        <f t="shared" si="65"/>
        <v/>
      </c>
      <c r="AE846" s="1063" t="str">
        <f>IF(ISNA(VLOOKUP(TB_curr[[#This Row],[Synt]],GL[[#Headers],[#Data],[subtotal label]],1,FALSE)),0,(VLOOKUP(TB_curr[[#This Row],[Synt]],GL[[#Headers],[#Data],[subtotal label]],1,FALSE)))</f>
        <v/>
      </c>
      <c r="AF846" s="1063" t="e">
        <f>IF((TB_curr[[#This Row],[Synt]]-TB_curr[[#This Row],[Subtotal Y/N]])=0,0,VLOOKUP(TB_curr[[#This Row],[Synt]],GL[[Account]:[Line]],3,FALSE))</f>
        <v>#VALUE!</v>
      </c>
      <c r="AG846" s="1063" t="e">
        <f>VLOOKUP(TB_curr[[#This Row],[Synt]],GL[[Account]:[B/P]],4,FALSE)</f>
        <v>#N/A</v>
      </c>
      <c r="AH846" s="1066" t="e">
        <v>#VALUE!</v>
      </c>
      <c r="AI846" s="1065" t="e">
        <f>TB_curr[[#This Row],[Synt]]&amp;TB_curr[[#This Row],[Line No. manual corr.]]</f>
        <v>#VALUE!</v>
      </c>
      <c r="AJ846" s="1064">
        <f t="shared" si="66"/>
        <v>0</v>
      </c>
      <c r="AK846" s="1064">
        <f t="shared" si="67"/>
        <v>0</v>
      </c>
      <c r="AL846" s="1064">
        <f t="shared" si="68"/>
        <v>0</v>
      </c>
      <c r="AM846" s="1064">
        <f t="shared" si="69"/>
        <v>0</v>
      </c>
      <c r="AN846" s="1064"/>
      <c r="AO846" s="1064">
        <f>TB_curr[[#This Row],[Closing balance]]+TB_curr[[#This Row],[Rounding]]</f>
        <v>0</v>
      </c>
    </row>
    <row r="847" spans="30:41" x14ac:dyDescent="0.25">
      <c r="AD847" s="1067" t="str">
        <f t="shared" si="65"/>
        <v/>
      </c>
      <c r="AE847" s="1063" t="str">
        <f>IF(ISNA(VLOOKUP(TB_curr[[#This Row],[Synt]],GL[[#Headers],[#Data],[subtotal label]],1,FALSE)),0,(VLOOKUP(TB_curr[[#This Row],[Synt]],GL[[#Headers],[#Data],[subtotal label]],1,FALSE)))</f>
        <v/>
      </c>
      <c r="AF847" s="1063" t="e">
        <f>IF((TB_curr[[#This Row],[Synt]]-TB_curr[[#This Row],[Subtotal Y/N]])=0,0,VLOOKUP(TB_curr[[#This Row],[Synt]],GL[[Account]:[Line]],3,FALSE))</f>
        <v>#VALUE!</v>
      </c>
      <c r="AG847" s="1063" t="e">
        <f>VLOOKUP(TB_curr[[#This Row],[Synt]],GL[[Account]:[B/P]],4,FALSE)</f>
        <v>#N/A</v>
      </c>
      <c r="AH847" s="1066" t="e">
        <v>#VALUE!</v>
      </c>
      <c r="AI847" s="1065" t="e">
        <f>TB_curr[[#This Row],[Synt]]&amp;TB_curr[[#This Row],[Line No. manual corr.]]</f>
        <v>#VALUE!</v>
      </c>
      <c r="AJ847" s="1064">
        <f t="shared" si="66"/>
        <v>0</v>
      </c>
      <c r="AK847" s="1064">
        <f t="shared" si="67"/>
        <v>0</v>
      </c>
      <c r="AL847" s="1064">
        <f t="shared" si="68"/>
        <v>0</v>
      </c>
      <c r="AM847" s="1064">
        <f t="shared" si="69"/>
        <v>0</v>
      </c>
      <c r="AN847" s="1064"/>
      <c r="AO847" s="1064">
        <f>TB_curr[[#This Row],[Closing balance]]+TB_curr[[#This Row],[Rounding]]</f>
        <v>0</v>
      </c>
    </row>
    <row r="848" spans="30:41" x14ac:dyDescent="0.25">
      <c r="AD848" s="1067" t="str">
        <f t="shared" si="65"/>
        <v/>
      </c>
      <c r="AE848" s="1063" t="str">
        <f>IF(ISNA(VLOOKUP(TB_curr[[#This Row],[Synt]],GL[[#Headers],[#Data],[subtotal label]],1,FALSE)),0,(VLOOKUP(TB_curr[[#This Row],[Synt]],GL[[#Headers],[#Data],[subtotal label]],1,FALSE)))</f>
        <v/>
      </c>
      <c r="AF848" s="1063" t="e">
        <f>IF((TB_curr[[#This Row],[Synt]]-TB_curr[[#This Row],[Subtotal Y/N]])=0,0,VLOOKUP(TB_curr[[#This Row],[Synt]],GL[[Account]:[Line]],3,FALSE))</f>
        <v>#VALUE!</v>
      </c>
      <c r="AG848" s="1063" t="e">
        <f>VLOOKUP(TB_curr[[#This Row],[Synt]],GL[[Account]:[B/P]],4,FALSE)</f>
        <v>#N/A</v>
      </c>
      <c r="AH848" s="1066" t="e">
        <v>#VALUE!</v>
      </c>
      <c r="AI848" s="1065" t="e">
        <f>TB_curr[[#This Row],[Synt]]&amp;TB_curr[[#This Row],[Line No. manual corr.]]</f>
        <v>#VALUE!</v>
      </c>
      <c r="AJ848" s="1064">
        <f t="shared" si="66"/>
        <v>0</v>
      </c>
      <c r="AK848" s="1064">
        <f t="shared" si="67"/>
        <v>0</v>
      </c>
      <c r="AL848" s="1064">
        <f t="shared" si="68"/>
        <v>0</v>
      </c>
      <c r="AM848" s="1064">
        <f t="shared" si="69"/>
        <v>0</v>
      </c>
      <c r="AN848" s="1064"/>
      <c r="AO848" s="1064">
        <f>TB_curr[[#This Row],[Closing balance]]+TB_curr[[#This Row],[Rounding]]</f>
        <v>0</v>
      </c>
    </row>
    <row r="849" spans="30:41" x14ac:dyDescent="0.25">
      <c r="AD849" s="1067" t="str">
        <f t="shared" si="65"/>
        <v/>
      </c>
      <c r="AE849" s="1063" t="str">
        <f>IF(ISNA(VLOOKUP(TB_curr[[#This Row],[Synt]],GL[[#Headers],[#Data],[subtotal label]],1,FALSE)),0,(VLOOKUP(TB_curr[[#This Row],[Synt]],GL[[#Headers],[#Data],[subtotal label]],1,FALSE)))</f>
        <v/>
      </c>
      <c r="AF849" s="1063" t="e">
        <f>IF((TB_curr[[#This Row],[Synt]]-TB_curr[[#This Row],[Subtotal Y/N]])=0,0,VLOOKUP(TB_curr[[#This Row],[Synt]],GL[[Account]:[Line]],3,FALSE))</f>
        <v>#VALUE!</v>
      </c>
      <c r="AG849" s="1063" t="e">
        <f>VLOOKUP(TB_curr[[#This Row],[Synt]],GL[[Account]:[B/P]],4,FALSE)</f>
        <v>#N/A</v>
      </c>
      <c r="AH849" s="1066" t="e">
        <v>#VALUE!</v>
      </c>
      <c r="AI849" s="1065" t="e">
        <f>TB_curr[[#This Row],[Synt]]&amp;TB_curr[[#This Row],[Line No. manual corr.]]</f>
        <v>#VALUE!</v>
      </c>
      <c r="AJ849" s="1064">
        <f t="shared" si="66"/>
        <v>0</v>
      </c>
      <c r="AK849" s="1064">
        <f t="shared" si="67"/>
        <v>0</v>
      </c>
      <c r="AL849" s="1064">
        <f t="shared" si="68"/>
        <v>0</v>
      </c>
      <c r="AM849" s="1064">
        <f t="shared" si="69"/>
        <v>0</v>
      </c>
      <c r="AN849" s="1064"/>
      <c r="AO849" s="1064">
        <f>TB_curr[[#This Row],[Closing balance]]+TB_curr[[#This Row],[Rounding]]</f>
        <v>0</v>
      </c>
    </row>
    <row r="850" spans="30:41" x14ac:dyDescent="0.25">
      <c r="AD850" s="1067" t="str">
        <f t="shared" si="65"/>
        <v/>
      </c>
      <c r="AE850" s="1063" t="str">
        <f>IF(ISNA(VLOOKUP(TB_curr[[#This Row],[Synt]],GL[[#Headers],[#Data],[subtotal label]],1,FALSE)),0,(VLOOKUP(TB_curr[[#This Row],[Synt]],GL[[#Headers],[#Data],[subtotal label]],1,FALSE)))</f>
        <v/>
      </c>
      <c r="AF850" s="1063" t="e">
        <f>IF((TB_curr[[#This Row],[Synt]]-TB_curr[[#This Row],[Subtotal Y/N]])=0,0,VLOOKUP(TB_curr[[#This Row],[Synt]],GL[[Account]:[Line]],3,FALSE))</f>
        <v>#VALUE!</v>
      </c>
      <c r="AG850" s="1063" t="e">
        <f>VLOOKUP(TB_curr[[#This Row],[Synt]],GL[[Account]:[B/P]],4,FALSE)</f>
        <v>#N/A</v>
      </c>
      <c r="AH850" s="1066" t="e">
        <v>#VALUE!</v>
      </c>
      <c r="AI850" s="1065" t="e">
        <f>TB_curr[[#This Row],[Synt]]&amp;TB_curr[[#This Row],[Line No. manual corr.]]</f>
        <v>#VALUE!</v>
      </c>
      <c r="AJ850" s="1064">
        <f t="shared" si="66"/>
        <v>0</v>
      </c>
      <c r="AK850" s="1064">
        <f t="shared" si="67"/>
        <v>0</v>
      </c>
      <c r="AL850" s="1064">
        <f t="shared" si="68"/>
        <v>0</v>
      </c>
      <c r="AM850" s="1064">
        <f t="shared" si="69"/>
        <v>0</v>
      </c>
      <c r="AN850" s="1064"/>
      <c r="AO850" s="1064">
        <f>TB_curr[[#This Row],[Closing balance]]+TB_curr[[#This Row],[Rounding]]</f>
        <v>0</v>
      </c>
    </row>
    <row r="851" spans="30:41" x14ac:dyDescent="0.25">
      <c r="AD851" s="1067" t="str">
        <f t="shared" si="65"/>
        <v/>
      </c>
      <c r="AE851" s="1063" t="str">
        <f>IF(ISNA(VLOOKUP(TB_curr[[#This Row],[Synt]],GL[[#Headers],[#Data],[subtotal label]],1,FALSE)),0,(VLOOKUP(TB_curr[[#This Row],[Synt]],GL[[#Headers],[#Data],[subtotal label]],1,FALSE)))</f>
        <v/>
      </c>
      <c r="AF851" s="1063" t="e">
        <f>IF((TB_curr[[#This Row],[Synt]]-TB_curr[[#This Row],[Subtotal Y/N]])=0,0,VLOOKUP(TB_curr[[#This Row],[Synt]],GL[[Account]:[Line]],3,FALSE))</f>
        <v>#VALUE!</v>
      </c>
      <c r="AG851" s="1063" t="e">
        <f>VLOOKUP(TB_curr[[#This Row],[Synt]],GL[[Account]:[B/P]],4,FALSE)</f>
        <v>#N/A</v>
      </c>
      <c r="AH851" s="1066" t="e">
        <v>#VALUE!</v>
      </c>
      <c r="AI851" s="1065" t="e">
        <f>TB_curr[[#This Row],[Synt]]&amp;TB_curr[[#This Row],[Line No. manual corr.]]</f>
        <v>#VALUE!</v>
      </c>
      <c r="AJ851" s="1064">
        <f t="shared" si="66"/>
        <v>0</v>
      </c>
      <c r="AK851" s="1064">
        <f t="shared" si="67"/>
        <v>0</v>
      </c>
      <c r="AL851" s="1064">
        <f t="shared" si="68"/>
        <v>0</v>
      </c>
      <c r="AM851" s="1064">
        <f t="shared" si="69"/>
        <v>0</v>
      </c>
      <c r="AN851" s="1064"/>
      <c r="AO851" s="1064">
        <f>TB_curr[[#This Row],[Closing balance]]+TB_curr[[#This Row],[Rounding]]</f>
        <v>0</v>
      </c>
    </row>
    <row r="852" spans="30:41" x14ac:dyDescent="0.25">
      <c r="AD852" s="1067" t="str">
        <f t="shared" si="65"/>
        <v/>
      </c>
      <c r="AE852" s="1063" t="str">
        <f>IF(ISNA(VLOOKUP(TB_curr[[#This Row],[Synt]],GL[[#Headers],[#Data],[subtotal label]],1,FALSE)),0,(VLOOKUP(TB_curr[[#This Row],[Synt]],GL[[#Headers],[#Data],[subtotal label]],1,FALSE)))</f>
        <v/>
      </c>
      <c r="AF852" s="1063" t="e">
        <f>IF((TB_curr[[#This Row],[Synt]]-TB_curr[[#This Row],[Subtotal Y/N]])=0,0,VLOOKUP(TB_curr[[#This Row],[Synt]],GL[[Account]:[Line]],3,FALSE))</f>
        <v>#VALUE!</v>
      </c>
      <c r="AG852" s="1063" t="e">
        <f>VLOOKUP(TB_curr[[#This Row],[Synt]],GL[[Account]:[B/P]],4,FALSE)</f>
        <v>#N/A</v>
      </c>
      <c r="AH852" s="1066" t="e">
        <v>#VALUE!</v>
      </c>
      <c r="AI852" s="1065" t="e">
        <f>TB_curr[[#This Row],[Synt]]&amp;TB_curr[[#This Row],[Line No. manual corr.]]</f>
        <v>#VALUE!</v>
      </c>
      <c r="AJ852" s="1064">
        <f t="shared" si="66"/>
        <v>0</v>
      </c>
      <c r="AK852" s="1064">
        <f t="shared" si="67"/>
        <v>0</v>
      </c>
      <c r="AL852" s="1064">
        <f t="shared" si="68"/>
        <v>0</v>
      </c>
      <c r="AM852" s="1064">
        <f t="shared" si="69"/>
        <v>0</v>
      </c>
      <c r="AN852" s="1064"/>
      <c r="AO852" s="1064">
        <f>TB_curr[[#This Row],[Closing balance]]+TB_curr[[#This Row],[Rounding]]</f>
        <v>0</v>
      </c>
    </row>
    <row r="853" spans="30:41" x14ac:dyDescent="0.25">
      <c r="AD853" s="1067" t="str">
        <f t="shared" si="65"/>
        <v/>
      </c>
      <c r="AE853" s="1063" t="str">
        <f>IF(ISNA(VLOOKUP(TB_curr[[#This Row],[Synt]],GL[[#Headers],[#Data],[subtotal label]],1,FALSE)),0,(VLOOKUP(TB_curr[[#This Row],[Synt]],GL[[#Headers],[#Data],[subtotal label]],1,FALSE)))</f>
        <v/>
      </c>
      <c r="AF853" s="1063" t="e">
        <f>IF((TB_curr[[#This Row],[Synt]]-TB_curr[[#This Row],[Subtotal Y/N]])=0,0,VLOOKUP(TB_curr[[#This Row],[Synt]],GL[[Account]:[Line]],3,FALSE))</f>
        <v>#VALUE!</v>
      </c>
      <c r="AG853" s="1063" t="e">
        <f>VLOOKUP(TB_curr[[#This Row],[Synt]],GL[[Account]:[B/P]],4,FALSE)</f>
        <v>#N/A</v>
      </c>
      <c r="AH853" s="1066" t="e">
        <v>#VALUE!</v>
      </c>
      <c r="AI853" s="1065" t="e">
        <f>TB_curr[[#This Row],[Synt]]&amp;TB_curr[[#This Row],[Line No. manual corr.]]</f>
        <v>#VALUE!</v>
      </c>
      <c r="AJ853" s="1064">
        <f t="shared" si="66"/>
        <v>0</v>
      </c>
      <c r="AK853" s="1064">
        <f t="shared" si="67"/>
        <v>0</v>
      </c>
      <c r="AL853" s="1064">
        <f t="shared" si="68"/>
        <v>0</v>
      </c>
      <c r="AM853" s="1064">
        <f t="shared" si="69"/>
        <v>0</v>
      </c>
      <c r="AN853" s="1064"/>
      <c r="AO853" s="1064">
        <f>TB_curr[[#This Row],[Closing balance]]+TB_curr[[#This Row],[Rounding]]</f>
        <v>0</v>
      </c>
    </row>
    <row r="854" spans="30:41" x14ac:dyDescent="0.25">
      <c r="AD854" s="1067" t="str">
        <f t="shared" si="65"/>
        <v/>
      </c>
      <c r="AE854" s="1063" t="str">
        <f>IF(ISNA(VLOOKUP(TB_curr[[#This Row],[Synt]],GL[[#Headers],[#Data],[subtotal label]],1,FALSE)),0,(VLOOKUP(TB_curr[[#This Row],[Synt]],GL[[#Headers],[#Data],[subtotal label]],1,FALSE)))</f>
        <v/>
      </c>
      <c r="AF854" s="1063" t="e">
        <f>IF((TB_curr[[#This Row],[Synt]]-TB_curr[[#This Row],[Subtotal Y/N]])=0,0,VLOOKUP(TB_curr[[#This Row],[Synt]],GL[[Account]:[Line]],3,FALSE))</f>
        <v>#VALUE!</v>
      </c>
      <c r="AG854" s="1063" t="e">
        <f>VLOOKUP(TB_curr[[#This Row],[Synt]],GL[[Account]:[B/P]],4,FALSE)</f>
        <v>#N/A</v>
      </c>
      <c r="AH854" s="1066" t="e">
        <v>#VALUE!</v>
      </c>
      <c r="AI854" s="1065" t="e">
        <f>TB_curr[[#This Row],[Synt]]&amp;TB_curr[[#This Row],[Line No. manual corr.]]</f>
        <v>#VALUE!</v>
      </c>
      <c r="AJ854" s="1064">
        <f t="shared" si="66"/>
        <v>0</v>
      </c>
      <c r="AK854" s="1064">
        <f t="shared" si="67"/>
        <v>0</v>
      </c>
      <c r="AL854" s="1064">
        <f t="shared" si="68"/>
        <v>0</v>
      </c>
      <c r="AM854" s="1064">
        <f t="shared" si="69"/>
        <v>0</v>
      </c>
      <c r="AN854" s="1064"/>
      <c r="AO854" s="1064">
        <f>TB_curr[[#This Row],[Closing balance]]+TB_curr[[#This Row],[Rounding]]</f>
        <v>0</v>
      </c>
    </row>
    <row r="855" spans="30:41" x14ac:dyDescent="0.25">
      <c r="AD855" s="1067" t="str">
        <f t="shared" si="65"/>
        <v/>
      </c>
      <c r="AE855" s="1063" t="str">
        <f>IF(ISNA(VLOOKUP(TB_curr[[#This Row],[Synt]],GL[[#Headers],[#Data],[subtotal label]],1,FALSE)),0,(VLOOKUP(TB_curr[[#This Row],[Synt]],GL[[#Headers],[#Data],[subtotal label]],1,FALSE)))</f>
        <v/>
      </c>
      <c r="AF855" s="1063" t="e">
        <f>IF((TB_curr[[#This Row],[Synt]]-TB_curr[[#This Row],[Subtotal Y/N]])=0,0,VLOOKUP(TB_curr[[#This Row],[Synt]],GL[[Account]:[Line]],3,FALSE))</f>
        <v>#VALUE!</v>
      </c>
      <c r="AG855" s="1063" t="e">
        <f>VLOOKUP(TB_curr[[#This Row],[Synt]],GL[[Account]:[B/P]],4,FALSE)</f>
        <v>#N/A</v>
      </c>
      <c r="AH855" s="1066" t="e">
        <v>#VALUE!</v>
      </c>
      <c r="AI855" s="1065" t="e">
        <f>TB_curr[[#This Row],[Synt]]&amp;TB_curr[[#This Row],[Line No. manual corr.]]</f>
        <v>#VALUE!</v>
      </c>
      <c r="AJ855" s="1064">
        <f t="shared" si="66"/>
        <v>0</v>
      </c>
      <c r="AK855" s="1064">
        <f t="shared" si="67"/>
        <v>0</v>
      </c>
      <c r="AL855" s="1064">
        <f t="shared" si="68"/>
        <v>0</v>
      </c>
      <c r="AM855" s="1064">
        <f t="shared" si="69"/>
        <v>0</v>
      </c>
      <c r="AN855" s="1064"/>
      <c r="AO855" s="1064">
        <f>TB_curr[[#This Row],[Closing balance]]+TB_curr[[#This Row],[Rounding]]</f>
        <v>0</v>
      </c>
    </row>
    <row r="856" spans="30:41" x14ac:dyDescent="0.25">
      <c r="AD856" s="1067" t="str">
        <f t="shared" si="65"/>
        <v/>
      </c>
      <c r="AE856" s="1063" t="str">
        <f>IF(ISNA(VLOOKUP(TB_curr[[#This Row],[Synt]],GL[[#Headers],[#Data],[subtotal label]],1,FALSE)),0,(VLOOKUP(TB_curr[[#This Row],[Synt]],GL[[#Headers],[#Data],[subtotal label]],1,FALSE)))</f>
        <v/>
      </c>
      <c r="AF856" s="1063" t="e">
        <f>IF((TB_curr[[#This Row],[Synt]]-TB_curr[[#This Row],[Subtotal Y/N]])=0,0,VLOOKUP(TB_curr[[#This Row],[Synt]],GL[[Account]:[Line]],3,FALSE))</f>
        <v>#VALUE!</v>
      </c>
      <c r="AG856" s="1063" t="e">
        <f>VLOOKUP(TB_curr[[#This Row],[Synt]],GL[[Account]:[B/P]],4,FALSE)</f>
        <v>#N/A</v>
      </c>
      <c r="AH856" s="1066" t="e">
        <v>#VALUE!</v>
      </c>
      <c r="AI856" s="1065" t="e">
        <f>TB_curr[[#This Row],[Synt]]&amp;TB_curr[[#This Row],[Line No. manual corr.]]</f>
        <v>#VALUE!</v>
      </c>
      <c r="AJ856" s="1064">
        <f t="shared" si="66"/>
        <v>0</v>
      </c>
      <c r="AK856" s="1064">
        <f t="shared" si="67"/>
        <v>0</v>
      </c>
      <c r="AL856" s="1064">
        <f t="shared" si="68"/>
        <v>0</v>
      </c>
      <c r="AM856" s="1064">
        <f t="shared" si="69"/>
        <v>0</v>
      </c>
      <c r="AN856" s="1064"/>
      <c r="AO856" s="1064">
        <f>TB_curr[[#This Row],[Closing balance]]+TB_curr[[#This Row],[Rounding]]</f>
        <v>0</v>
      </c>
    </row>
    <row r="857" spans="30:41" x14ac:dyDescent="0.25">
      <c r="AD857" s="1067" t="str">
        <f t="shared" si="65"/>
        <v/>
      </c>
      <c r="AE857" s="1063" t="str">
        <f>IF(ISNA(VLOOKUP(TB_curr[[#This Row],[Synt]],GL[[#Headers],[#Data],[subtotal label]],1,FALSE)),0,(VLOOKUP(TB_curr[[#This Row],[Synt]],GL[[#Headers],[#Data],[subtotal label]],1,FALSE)))</f>
        <v/>
      </c>
      <c r="AF857" s="1063" t="e">
        <f>IF((TB_curr[[#This Row],[Synt]]-TB_curr[[#This Row],[Subtotal Y/N]])=0,0,VLOOKUP(TB_curr[[#This Row],[Synt]],GL[[Account]:[Line]],3,FALSE))</f>
        <v>#VALUE!</v>
      </c>
      <c r="AG857" s="1063" t="e">
        <f>VLOOKUP(TB_curr[[#This Row],[Synt]],GL[[Account]:[B/P]],4,FALSE)</f>
        <v>#N/A</v>
      </c>
      <c r="AH857" s="1066" t="e">
        <v>#VALUE!</v>
      </c>
      <c r="AI857" s="1065" t="e">
        <f>TB_curr[[#This Row],[Synt]]&amp;TB_curr[[#This Row],[Line No. manual corr.]]</f>
        <v>#VALUE!</v>
      </c>
      <c r="AJ857" s="1064">
        <f t="shared" si="66"/>
        <v>0</v>
      </c>
      <c r="AK857" s="1064">
        <f t="shared" si="67"/>
        <v>0</v>
      </c>
      <c r="AL857" s="1064">
        <f t="shared" si="68"/>
        <v>0</v>
      </c>
      <c r="AM857" s="1064">
        <f t="shared" si="69"/>
        <v>0</v>
      </c>
      <c r="AN857" s="1064"/>
      <c r="AO857" s="1064">
        <f>TB_curr[[#This Row],[Closing balance]]+TB_curr[[#This Row],[Rounding]]</f>
        <v>0</v>
      </c>
    </row>
    <row r="858" spans="30:41" x14ac:dyDescent="0.25">
      <c r="AD858" s="1067" t="str">
        <f t="shared" si="65"/>
        <v/>
      </c>
      <c r="AE858" s="1063" t="str">
        <f>IF(ISNA(VLOOKUP(TB_curr[[#This Row],[Synt]],GL[[#Headers],[#Data],[subtotal label]],1,FALSE)),0,(VLOOKUP(TB_curr[[#This Row],[Synt]],GL[[#Headers],[#Data],[subtotal label]],1,FALSE)))</f>
        <v/>
      </c>
      <c r="AF858" s="1063" t="e">
        <f>IF((TB_curr[[#This Row],[Synt]]-TB_curr[[#This Row],[Subtotal Y/N]])=0,0,VLOOKUP(TB_curr[[#This Row],[Synt]],GL[[Account]:[Line]],3,FALSE))</f>
        <v>#VALUE!</v>
      </c>
      <c r="AG858" s="1063" t="e">
        <f>VLOOKUP(TB_curr[[#This Row],[Synt]],GL[[Account]:[B/P]],4,FALSE)</f>
        <v>#N/A</v>
      </c>
      <c r="AH858" s="1066" t="e">
        <v>#VALUE!</v>
      </c>
      <c r="AI858" s="1065" t="e">
        <f>TB_curr[[#This Row],[Synt]]&amp;TB_curr[[#This Row],[Line No. manual corr.]]</f>
        <v>#VALUE!</v>
      </c>
      <c r="AJ858" s="1064">
        <f t="shared" si="66"/>
        <v>0</v>
      </c>
      <c r="AK858" s="1064">
        <f t="shared" si="67"/>
        <v>0</v>
      </c>
      <c r="AL858" s="1064">
        <f t="shared" si="68"/>
        <v>0</v>
      </c>
      <c r="AM858" s="1064">
        <f t="shared" si="69"/>
        <v>0</v>
      </c>
      <c r="AN858" s="1064"/>
      <c r="AO858" s="1064">
        <f>TB_curr[[#This Row],[Closing balance]]+TB_curr[[#This Row],[Rounding]]</f>
        <v>0</v>
      </c>
    </row>
    <row r="859" spans="30:41" x14ac:dyDescent="0.25">
      <c r="AD859" s="1067" t="str">
        <f t="shared" si="65"/>
        <v/>
      </c>
      <c r="AE859" s="1063" t="str">
        <f>IF(ISNA(VLOOKUP(TB_curr[[#This Row],[Synt]],GL[[#Headers],[#Data],[subtotal label]],1,FALSE)),0,(VLOOKUP(TB_curr[[#This Row],[Synt]],GL[[#Headers],[#Data],[subtotal label]],1,FALSE)))</f>
        <v/>
      </c>
      <c r="AF859" s="1063" t="e">
        <f>IF((TB_curr[[#This Row],[Synt]]-TB_curr[[#This Row],[Subtotal Y/N]])=0,0,VLOOKUP(TB_curr[[#This Row],[Synt]],GL[[Account]:[Line]],3,FALSE))</f>
        <v>#VALUE!</v>
      </c>
      <c r="AG859" s="1063" t="e">
        <f>VLOOKUP(TB_curr[[#This Row],[Synt]],GL[[Account]:[B/P]],4,FALSE)</f>
        <v>#N/A</v>
      </c>
      <c r="AH859" s="1066" t="e">
        <v>#VALUE!</v>
      </c>
      <c r="AI859" s="1065" t="e">
        <f>TB_curr[[#This Row],[Synt]]&amp;TB_curr[[#This Row],[Line No. manual corr.]]</f>
        <v>#VALUE!</v>
      </c>
      <c r="AJ859" s="1064">
        <f t="shared" si="66"/>
        <v>0</v>
      </c>
      <c r="AK859" s="1064">
        <f t="shared" si="67"/>
        <v>0</v>
      </c>
      <c r="AL859" s="1064">
        <f t="shared" si="68"/>
        <v>0</v>
      </c>
      <c r="AM859" s="1064">
        <f t="shared" si="69"/>
        <v>0</v>
      </c>
      <c r="AN859" s="1064"/>
      <c r="AO859" s="1064">
        <f>TB_curr[[#This Row],[Closing balance]]+TB_curr[[#This Row],[Rounding]]</f>
        <v>0</v>
      </c>
    </row>
    <row r="860" spans="30:41" x14ac:dyDescent="0.25">
      <c r="AD860" s="1067" t="str">
        <f t="shared" si="65"/>
        <v/>
      </c>
      <c r="AE860" s="1063" t="str">
        <f>IF(ISNA(VLOOKUP(TB_curr[[#This Row],[Synt]],GL[[#Headers],[#Data],[subtotal label]],1,FALSE)),0,(VLOOKUP(TB_curr[[#This Row],[Synt]],GL[[#Headers],[#Data],[subtotal label]],1,FALSE)))</f>
        <v/>
      </c>
      <c r="AF860" s="1063" t="e">
        <f>IF((TB_curr[[#This Row],[Synt]]-TB_curr[[#This Row],[Subtotal Y/N]])=0,0,VLOOKUP(TB_curr[[#This Row],[Synt]],GL[[Account]:[Line]],3,FALSE))</f>
        <v>#VALUE!</v>
      </c>
      <c r="AG860" s="1063" t="e">
        <f>VLOOKUP(TB_curr[[#This Row],[Synt]],GL[[Account]:[B/P]],4,FALSE)</f>
        <v>#N/A</v>
      </c>
      <c r="AH860" s="1066" t="e">
        <v>#VALUE!</v>
      </c>
      <c r="AI860" s="1065" t="e">
        <f>TB_curr[[#This Row],[Synt]]&amp;TB_curr[[#This Row],[Line No. manual corr.]]</f>
        <v>#VALUE!</v>
      </c>
      <c r="AJ860" s="1064">
        <f t="shared" si="66"/>
        <v>0</v>
      </c>
      <c r="AK860" s="1064">
        <f t="shared" si="67"/>
        <v>0</v>
      </c>
      <c r="AL860" s="1064">
        <f t="shared" si="68"/>
        <v>0</v>
      </c>
      <c r="AM860" s="1064">
        <f t="shared" si="69"/>
        <v>0</v>
      </c>
      <c r="AN860" s="1064"/>
      <c r="AO860" s="1064">
        <f>TB_curr[[#This Row],[Closing balance]]+TB_curr[[#This Row],[Rounding]]</f>
        <v>0</v>
      </c>
    </row>
    <row r="861" spans="30:41" x14ac:dyDescent="0.25">
      <c r="AD861" s="1067" t="str">
        <f t="shared" si="65"/>
        <v/>
      </c>
      <c r="AE861" s="1063" t="str">
        <f>IF(ISNA(VLOOKUP(TB_curr[[#This Row],[Synt]],GL[[#Headers],[#Data],[subtotal label]],1,FALSE)),0,(VLOOKUP(TB_curr[[#This Row],[Synt]],GL[[#Headers],[#Data],[subtotal label]],1,FALSE)))</f>
        <v/>
      </c>
      <c r="AF861" s="1063" t="e">
        <f>IF((TB_curr[[#This Row],[Synt]]-TB_curr[[#This Row],[Subtotal Y/N]])=0,0,VLOOKUP(TB_curr[[#This Row],[Synt]],GL[[Account]:[Line]],3,FALSE))</f>
        <v>#VALUE!</v>
      </c>
      <c r="AG861" s="1063" t="e">
        <f>VLOOKUP(TB_curr[[#This Row],[Synt]],GL[[Account]:[B/P]],4,FALSE)</f>
        <v>#N/A</v>
      </c>
      <c r="AH861" s="1066" t="e">
        <v>#VALUE!</v>
      </c>
      <c r="AI861" s="1065" t="e">
        <f>TB_curr[[#This Row],[Synt]]&amp;TB_curr[[#This Row],[Line No. manual corr.]]</f>
        <v>#VALUE!</v>
      </c>
      <c r="AJ861" s="1064">
        <f t="shared" si="66"/>
        <v>0</v>
      </c>
      <c r="AK861" s="1064">
        <f t="shared" si="67"/>
        <v>0</v>
      </c>
      <c r="AL861" s="1064">
        <f t="shared" si="68"/>
        <v>0</v>
      </c>
      <c r="AM861" s="1064">
        <f t="shared" si="69"/>
        <v>0</v>
      </c>
      <c r="AN861" s="1064"/>
      <c r="AO861" s="1064">
        <f>TB_curr[[#This Row],[Closing balance]]+TB_curr[[#This Row],[Rounding]]</f>
        <v>0</v>
      </c>
    </row>
    <row r="862" spans="30:41" x14ac:dyDescent="0.25">
      <c r="AD862" s="1067" t="str">
        <f t="shared" si="65"/>
        <v/>
      </c>
      <c r="AE862" s="1063" t="str">
        <f>IF(ISNA(VLOOKUP(TB_curr[[#This Row],[Synt]],GL[[#Headers],[#Data],[subtotal label]],1,FALSE)),0,(VLOOKUP(TB_curr[[#This Row],[Synt]],GL[[#Headers],[#Data],[subtotal label]],1,FALSE)))</f>
        <v/>
      </c>
      <c r="AF862" s="1063" t="e">
        <f>IF((TB_curr[[#This Row],[Synt]]-TB_curr[[#This Row],[Subtotal Y/N]])=0,0,VLOOKUP(TB_curr[[#This Row],[Synt]],GL[[Account]:[Line]],3,FALSE))</f>
        <v>#VALUE!</v>
      </c>
      <c r="AG862" s="1063" t="e">
        <f>VLOOKUP(TB_curr[[#This Row],[Synt]],GL[[Account]:[B/P]],4,FALSE)</f>
        <v>#N/A</v>
      </c>
      <c r="AH862" s="1066" t="e">
        <v>#VALUE!</v>
      </c>
      <c r="AI862" s="1065" t="e">
        <f>TB_curr[[#This Row],[Synt]]&amp;TB_curr[[#This Row],[Line No. manual corr.]]</f>
        <v>#VALUE!</v>
      </c>
      <c r="AJ862" s="1064">
        <f t="shared" si="66"/>
        <v>0</v>
      </c>
      <c r="AK862" s="1064">
        <f t="shared" si="67"/>
        <v>0</v>
      </c>
      <c r="AL862" s="1064">
        <f t="shared" si="68"/>
        <v>0</v>
      </c>
      <c r="AM862" s="1064">
        <f t="shared" si="69"/>
        <v>0</v>
      </c>
      <c r="AN862" s="1064"/>
      <c r="AO862" s="1064">
        <f>TB_curr[[#This Row],[Closing balance]]+TB_curr[[#This Row],[Rounding]]</f>
        <v>0</v>
      </c>
    </row>
    <row r="863" spans="30:41" x14ac:dyDescent="0.25">
      <c r="AD863" s="1067" t="str">
        <f t="shared" si="65"/>
        <v/>
      </c>
      <c r="AE863" s="1063" t="str">
        <f>IF(ISNA(VLOOKUP(TB_curr[[#This Row],[Synt]],GL[[#Headers],[#Data],[subtotal label]],1,FALSE)),0,(VLOOKUP(TB_curr[[#This Row],[Synt]],GL[[#Headers],[#Data],[subtotal label]],1,FALSE)))</f>
        <v/>
      </c>
      <c r="AF863" s="1063" t="e">
        <f>IF((TB_curr[[#This Row],[Synt]]-TB_curr[[#This Row],[Subtotal Y/N]])=0,0,VLOOKUP(TB_curr[[#This Row],[Synt]],GL[[Account]:[Line]],3,FALSE))</f>
        <v>#VALUE!</v>
      </c>
      <c r="AG863" s="1063" t="e">
        <f>VLOOKUP(TB_curr[[#This Row],[Synt]],GL[[Account]:[B/P]],4,FALSE)</f>
        <v>#N/A</v>
      </c>
      <c r="AH863" s="1066" t="e">
        <v>#VALUE!</v>
      </c>
      <c r="AI863" s="1065" t="e">
        <f>TB_curr[[#This Row],[Synt]]&amp;TB_curr[[#This Row],[Line No. manual corr.]]</f>
        <v>#VALUE!</v>
      </c>
      <c r="AJ863" s="1064">
        <f t="shared" si="66"/>
        <v>0</v>
      </c>
      <c r="AK863" s="1064">
        <f t="shared" si="67"/>
        <v>0</v>
      </c>
      <c r="AL863" s="1064">
        <f t="shared" si="68"/>
        <v>0</v>
      </c>
      <c r="AM863" s="1064">
        <f t="shared" si="69"/>
        <v>0</v>
      </c>
      <c r="AN863" s="1064"/>
      <c r="AO863" s="1064">
        <f>TB_curr[[#This Row],[Closing balance]]+TB_curr[[#This Row],[Rounding]]</f>
        <v>0</v>
      </c>
    </row>
    <row r="864" spans="30:41" x14ac:dyDescent="0.25">
      <c r="AD864" s="1067" t="str">
        <f t="shared" si="65"/>
        <v/>
      </c>
      <c r="AE864" s="1063" t="str">
        <f>IF(ISNA(VLOOKUP(TB_curr[[#This Row],[Synt]],GL[[#Headers],[#Data],[subtotal label]],1,FALSE)),0,(VLOOKUP(TB_curr[[#This Row],[Synt]],GL[[#Headers],[#Data],[subtotal label]],1,FALSE)))</f>
        <v/>
      </c>
      <c r="AF864" s="1063" t="e">
        <f>IF((TB_curr[[#This Row],[Synt]]-TB_curr[[#This Row],[Subtotal Y/N]])=0,0,VLOOKUP(TB_curr[[#This Row],[Synt]],GL[[Account]:[Line]],3,FALSE))</f>
        <v>#VALUE!</v>
      </c>
      <c r="AG864" s="1063" t="e">
        <f>VLOOKUP(TB_curr[[#This Row],[Synt]],GL[[Account]:[B/P]],4,FALSE)</f>
        <v>#N/A</v>
      </c>
      <c r="AH864" s="1066" t="e">
        <v>#VALUE!</v>
      </c>
      <c r="AI864" s="1065" t="e">
        <f>TB_curr[[#This Row],[Synt]]&amp;TB_curr[[#This Row],[Line No. manual corr.]]</f>
        <v>#VALUE!</v>
      </c>
      <c r="AJ864" s="1064">
        <f t="shared" si="66"/>
        <v>0</v>
      </c>
      <c r="AK864" s="1064">
        <f t="shared" si="67"/>
        <v>0</v>
      </c>
      <c r="AL864" s="1064">
        <f t="shared" si="68"/>
        <v>0</v>
      </c>
      <c r="AM864" s="1064">
        <f t="shared" si="69"/>
        <v>0</v>
      </c>
      <c r="AN864" s="1064"/>
      <c r="AO864" s="1064">
        <f>TB_curr[[#This Row],[Closing balance]]+TB_curr[[#This Row],[Rounding]]</f>
        <v>0</v>
      </c>
    </row>
    <row r="865" spans="30:41" x14ac:dyDescent="0.25">
      <c r="AD865" s="1067" t="str">
        <f t="shared" si="65"/>
        <v/>
      </c>
      <c r="AE865" s="1063" t="str">
        <f>IF(ISNA(VLOOKUP(TB_curr[[#This Row],[Synt]],GL[[#Headers],[#Data],[subtotal label]],1,FALSE)),0,(VLOOKUP(TB_curr[[#This Row],[Synt]],GL[[#Headers],[#Data],[subtotal label]],1,FALSE)))</f>
        <v/>
      </c>
      <c r="AF865" s="1063" t="e">
        <f>IF((TB_curr[[#This Row],[Synt]]-TB_curr[[#This Row],[Subtotal Y/N]])=0,0,VLOOKUP(TB_curr[[#This Row],[Synt]],GL[[Account]:[Line]],3,FALSE))</f>
        <v>#VALUE!</v>
      </c>
      <c r="AG865" s="1063" t="e">
        <f>VLOOKUP(TB_curr[[#This Row],[Synt]],GL[[Account]:[B/P]],4,FALSE)</f>
        <v>#N/A</v>
      </c>
      <c r="AH865" s="1066" t="e">
        <v>#VALUE!</v>
      </c>
      <c r="AI865" s="1065" t="e">
        <f>TB_curr[[#This Row],[Synt]]&amp;TB_curr[[#This Row],[Line No. manual corr.]]</f>
        <v>#VALUE!</v>
      </c>
      <c r="AJ865" s="1064">
        <f t="shared" si="66"/>
        <v>0</v>
      </c>
      <c r="AK865" s="1064">
        <f t="shared" si="67"/>
        <v>0</v>
      </c>
      <c r="AL865" s="1064">
        <f t="shared" si="68"/>
        <v>0</v>
      </c>
      <c r="AM865" s="1064">
        <f t="shared" si="69"/>
        <v>0</v>
      </c>
      <c r="AN865" s="1064"/>
      <c r="AO865" s="1064">
        <f>TB_curr[[#This Row],[Closing balance]]+TB_curr[[#This Row],[Rounding]]</f>
        <v>0</v>
      </c>
    </row>
    <row r="866" spans="30:41" x14ac:dyDescent="0.25">
      <c r="AD866" s="1067" t="str">
        <f t="shared" si="65"/>
        <v/>
      </c>
      <c r="AE866" s="1063" t="str">
        <f>IF(ISNA(VLOOKUP(TB_curr[[#This Row],[Synt]],GL[[#Headers],[#Data],[subtotal label]],1,FALSE)),0,(VLOOKUP(TB_curr[[#This Row],[Synt]],GL[[#Headers],[#Data],[subtotal label]],1,FALSE)))</f>
        <v/>
      </c>
      <c r="AF866" s="1063" t="e">
        <f>IF((TB_curr[[#This Row],[Synt]]-TB_curr[[#This Row],[Subtotal Y/N]])=0,0,VLOOKUP(TB_curr[[#This Row],[Synt]],GL[[Account]:[Line]],3,FALSE))</f>
        <v>#VALUE!</v>
      </c>
      <c r="AG866" s="1063" t="e">
        <f>VLOOKUP(TB_curr[[#This Row],[Synt]],GL[[Account]:[B/P]],4,FALSE)</f>
        <v>#N/A</v>
      </c>
      <c r="AH866" s="1066" t="e">
        <v>#VALUE!</v>
      </c>
      <c r="AI866" s="1065" t="e">
        <f>TB_curr[[#This Row],[Synt]]&amp;TB_curr[[#This Row],[Line No. manual corr.]]</f>
        <v>#VALUE!</v>
      </c>
      <c r="AJ866" s="1064">
        <f t="shared" si="66"/>
        <v>0</v>
      </c>
      <c r="AK866" s="1064">
        <f t="shared" si="67"/>
        <v>0</v>
      </c>
      <c r="AL866" s="1064">
        <f t="shared" si="68"/>
        <v>0</v>
      </c>
      <c r="AM866" s="1064">
        <f t="shared" si="69"/>
        <v>0</v>
      </c>
      <c r="AN866" s="1064"/>
      <c r="AO866" s="1064">
        <f>TB_curr[[#This Row],[Closing balance]]+TB_curr[[#This Row],[Rounding]]</f>
        <v>0</v>
      </c>
    </row>
    <row r="867" spans="30:41" x14ac:dyDescent="0.25">
      <c r="AD867" s="1067" t="str">
        <f t="shared" si="65"/>
        <v/>
      </c>
      <c r="AE867" s="1063" t="str">
        <f>IF(ISNA(VLOOKUP(TB_curr[[#This Row],[Synt]],GL[[#Headers],[#Data],[subtotal label]],1,FALSE)),0,(VLOOKUP(TB_curr[[#This Row],[Synt]],GL[[#Headers],[#Data],[subtotal label]],1,FALSE)))</f>
        <v/>
      </c>
      <c r="AF867" s="1063" t="e">
        <f>IF((TB_curr[[#This Row],[Synt]]-TB_curr[[#This Row],[Subtotal Y/N]])=0,0,VLOOKUP(TB_curr[[#This Row],[Synt]],GL[[Account]:[Line]],3,FALSE))</f>
        <v>#VALUE!</v>
      </c>
      <c r="AG867" s="1063" t="e">
        <f>VLOOKUP(TB_curr[[#This Row],[Synt]],GL[[Account]:[B/P]],4,FALSE)</f>
        <v>#N/A</v>
      </c>
      <c r="AH867" s="1066" t="e">
        <v>#VALUE!</v>
      </c>
      <c r="AI867" s="1065" t="e">
        <f>TB_curr[[#This Row],[Synt]]&amp;TB_curr[[#This Row],[Line No. manual corr.]]</f>
        <v>#VALUE!</v>
      </c>
      <c r="AJ867" s="1064">
        <f t="shared" si="66"/>
        <v>0</v>
      </c>
      <c r="AK867" s="1064">
        <f t="shared" si="67"/>
        <v>0</v>
      </c>
      <c r="AL867" s="1064">
        <f t="shared" si="68"/>
        <v>0</v>
      </c>
      <c r="AM867" s="1064">
        <f t="shared" si="69"/>
        <v>0</v>
      </c>
      <c r="AN867" s="1064"/>
      <c r="AO867" s="1064">
        <f>TB_curr[[#This Row],[Closing balance]]+TB_curr[[#This Row],[Rounding]]</f>
        <v>0</v>
      </c>
    </row>
    <row r="868" spans="30:41" x14ac:dyDescent="0.25">
      <c r="AD868" s="1067" t="str">
        <f t="shared" si="65"/>
        <v/>
      </c>
      <c r="AE868" s="1063" t="str">
        <f>IF(ISNA(VLOOKUP(TB_curr[[#This Row],[Synt]],GL[[#Headers],[#Data],[subtotal label]],1,FALSE)),0,(VLOOKUP(TB_curr[[#This Row],[Synt]],GL[[#Headers],[#Data],[subtotal label]],1,FALSE)))</f>
        <v/>
      </c>
      <c r="AF868" s="1063" t="e">
        <f>IF((TB_curr[[#This Row],[Synt]]-TB_curr[[#This Row],[Subtotal Y/N]])=0,0,VLOOKUP(TB_curr[[#This Row],[Synt]],GL[[Account]:[Line]],3,FALSE))</f>
        <v>#VALUE!</v>
      </c>
      <c r="AG868" s="1063" t="e">
        <f>VLOOKUP(TB_curr[[#This Row],[Synt]],GL[[Account]:[B/P]],4,FALSE)</f>
        <v>#N/A</v>
      </c>
      <c r="AH868" s="1066" t="e">
        <v>#VALUE!</v>
      </c>
      <c r="AI868" s="1065" t="e">
        <f>TB_curr[[#This Row],[Synt]]&amp;TB_curr[[#This Row],[Line No. manual corr.]]</f>
        <v>#VALUE!</v>
      </c>
      <c r="AJ868" s="1064">
        <f t="shared" si="66"/>
        <v>0</v>
      </c>
      <c r="AK868" s="1064">
        <f t="shared" si="67"/>
        <v>0</v>
      </c>
      <c r="AL868" s="1064">
        <f t="shared" si="68"/>
        <v>0</v>
      </c>
      <c r="AM868" s="1064">
        <f t="shared" si="69"/>
        <v>0</v>
      </c>
      <c r="AN868" s="1064"/>
      <c r="AO868" s="1064">
        <f>TB_curr[[#This Row],[Closing balance]]+TB_curr[[#This Row],[Rounding]]</f>
        <v>0</v>
      </c>
    </row>
    <row r="869" spans="30:41" x14ac:dyDescent="0.25">
      <c r="AD869" s="1067" t="str">
        <f t="shared" si="65"/>
        <v/>
      </c>
      <c r="AE869" s="1063" t="str">
        <f>IF(ISNA(VLOOKUP(TB_curr[[#This Row],[Synt]],GL[[#Headers],[#Data],[subtotal label]],1,FALSE)),0,(VLOOKUP(TB_curr[[#This Row],[Synt]],GL[[#Headers],[#Data],[subtotal label]],1,FALSE)))</f>
        <v/>
      </c>
      <c r="AF869" s="1063" t="e">
        <f>IF((TB_curr[[#This Row],[Synt]]-TB_curr[[#This Row],[Subtotal Y/N]])=0,0,VLOOKUP(TB_curr[[#This Row],[Synt]],GL[[Account]:[Line]],3,FALSE))</f>
        <v>#VALUE!</v>
      </c>
      <c r="AG869" s="1063" t="e">
        <f>VLOOKUP(TB_curr[[#This Row],[Synt]],GL[[Account]:[B/P]],4,FALSE)</f>
        <v>#N/A</v>
      </c>
      <c r="AH869" s="1066" t="e">
        <v>#VALUE!</v>
      </c>
      <c r="AI869" s="1065" t="e">
        <f>TB_curr[[#This Row],[Synt]]&amp;TB_curr[[#This Row],[Line No. manual corr.]]</f>
        <v>#VALUE!</v>
      </c>
      <c r="AJ869" s="1064">
        <f t="shared" si="66"/>
        <v>0</v>
      </c>
      <c r="AK869" s="1064">
        <f t="shared" si="67"/>
        <v>0</v>
      </c>
      <c r="AL869" s="1064">
        <f t="shared" si="68"/>
        <v>0</v>
      </c>
      <c r="AM869" s="1064">
        <f t="shared" si="69"/>
        <v>0</v>
      </c>
      <c r="AN869" s="1064"/>
      <c r="AO869" s="1064">
        <f>TB_curr[[#This Row],[Closing balance]]+TB_curr[[#This Row],[Rounding]]</f>
        <v>0</v>
      </c>
    </row>
    <row r="870" spans="30:41" x14ac:dyDescent="0.25">
      <c r="AD870" s="1067" t="str">
        <f t="shared" si="65"/>
        <v/>
      </c>
      <c r="AE870" s="1063" t="str">
        <f>IF(ISNA(VLOOKUP(TB_curr[[#This Row],[Synt]],GL[[#Headers],[#Data],[subtotal label]],1,FALSE)),0,(VLOOKUP(TB_curr[[#This Row],[Synt]],GL[[#Headers],[#Data],[subtotal label]],1,FALSE)))</f>
        <v/>
      </c>
      <c r="AF870" s="1063" t="e">
        <f>IF((TB_curr[[#This Row],[Synt]]-TB_curr[[#This Row],[Subtotal Y/N]])=0,0,VLOOKUP(TB_curr[[#This Row],[Synt]],GL[[Account]:[Line]],3,FALSE))</f>
        <v>#VALUE!</v>
      </c>
      <c r="AG870" s="1063" t="e">
        <f>VLOOKUP(TB_curr[[#This Row],[Synt]],GL[[Account]:[B/P]],4,FALSE)</f>
        <v>#N/A</v>
      </c>
      <c r="AH870" s="1066" t="e">
        <v>#VALUE!</v>
      </c>
      <c r="AI870" s="1065" t="e">
        <f>TB_curr[[#This Row],[Synt]]&amp;TB_curr[[#This Row],[Line No. manual corr.]]</f>
        <v>#VALUE!</v>
      </c>
      <c r="AJ870" s="1064">
        <f t="shared" si="66"/>
        <v>0</v>
      </c>
      <c r="AK870" s="1064">
        <f t="shared" si="67"/>
        <v>0</v>
      </c>
      <c r="AL870" s="1064">
        <f t="shared" si="68"/>
        <v>0</v>
      </c>
      <c r="AM870" s="1064">
        <f t="shared" si="69"/>
        <v>0</v>
      </c>
      <c r="AN870" s="1064"/>
      <c r="AO870" s="1064">
        <f>TB_curr[[#This Row],[Closing balance]]+TB_curr[[#This Row],[Rounding]]</f>
        <v>0</v>
      </c>
    </row>
    <row r="871" spans="30:41" x14ac:dyDescent="0.25">
      <c r="AD871" s="1067" t="str">
        <f t="shared" si="65"/>
        <v/>
      </c>
      <c r="AE871" s="1063" t="str">
        <f>IF(ISNA(VLOOKUP(TB_curr[[#This Row],[Synt]],GL[[#Headers],[#Data],[subtotal label]],1,FALSE)),0,(VLOOKUP(TB_curr[[#This Row],[Synt]],GL[[#Headers],[#Data],[subtotal label]],1,FALSE)))</f>
        <v/>
      </c>
      <c r="AF871" s="1063" t="e">
        <f>IF((TB_curr[[#This Row],[Synt]]-TB_curr[[#This Row],[Subtotal Y/N]])=0,0,VLOOKUP(TB_curr[[#This Row],[Synt]],GL[[Account]:[Line]],3,FALSE))</f>
        <v>#VALUE!</v>
      </c>
      <c r="AG871" s="1063" t="e">
        <f>VLOOKUP(TB_curr[[#This Row],[Synt]],GL[[Account]:[B/P]],4,FALSE)</f>
        <v>#N/A</v>
      </c>
      <c r="AH871" s="1066" t="e">
        <v>#VALUE!</v>
      </c>
      <c r="AI871" s="1065" t="e">
        <f>TB_curr[[#This Row],[Synt]]&amp;TB_curr[[#This Row],[Line No. manual corr.]]</f>
        <v>#VALUE!</v>
      </c>
      <c r="AJ871" s="1064">
        <f t="shared" si="66"/>
        <v>0</v>
      </c>
      <c r="AK871" s="1064">
        <f t="shared" si="67"/>
        <v>0</v>
      </c>
      <c r="AL871" s="1064">
        <f t="shared" si="68"/>
        <v>0</v>
      </c>
      <c r="AM871" s="1064">
        <f t="shared" si="69"/>
        <v>0</v>
      </c>
      <c r="AN871" s="1064"/>
      <c r="AO871" s="1064">
        <f>TB_curr[[#This Row],[Closing balance]]+TB_curr[[#This Row],[Rounding]]</f>
        <v>0</v>
      </c>
    </row>
    <row r="872" spans="30:41" x14ac:dyDescent="0.25">
      <c r="AD872" s="1067" t="str">
        <f t="shared" si="65"/>
        <v/>
      </c>
      <c r="AE872" s="1063" t="str">
        <f>IF(ISNA(VLOOKUP(TB_curr[[#This Row],[Synt]],GL[[#Headers],[#Data],[subtotal label]],1,FALSE)),0,(VLOOKUP(TB_curr[[#This Row],[Synt]],GL[[#Headers],[#Data],[subtotal label]],1,FALSE)))</f>
        <v/>
      </c>
      <c r="AF872" s="1063" t="e">
        <f>IF((TB_curr[[#This Row],[Synt]]-TB_curr[[#This Row],[Subtotal Y/N]])=0,0,VLOOKUP(TB_curr[[#This Row],[Synt]],GL[[Account]:[Line]],3,FALSE))</f>
        <v>#VALUE!</v>
      </c>
      <c r="AG872" s="1063" t="e">
        <f>VLOOKUP(TB_curr[[#This Row],[Synt]],GL[[Account]:[B/P]],4,FALSE)</f>
        <v>#N/A</v>
      </c>
      <c r="AH872" s="1066" t="e">
        <v>#VALUE!</v>
      </c>
      <c r="AI872" s="1065" t="e">
        <f>TB_curr[[#This Row],[Synt]]&amp;TB_curr[[#This Row],[Line No. manual corr.]]</f>
        <v>#VALUE!</v>
      </c>
      <c r="AJ872" s="1064">
        <f t="shared" si="66"/>
        <v>0</v>
      </c>
      <c r="AK872" s="1064">
        <f t="shared" si="67"/>
        <v>0</v>
      </c>
      <c r="AL872" s="1064">
        <f t="shared" si="68"/>
        <v>0</v>
      </c>
      <c r="AM872" s="1064">
        <f t="shared" si="69"/>
        <v>0</v>
      </c>
      <c r="AN872" s="1064"/>
      <c r="AO872" s="1064">
        <f>TB_curr[[#This Row],[Closing balance]]+TB_curr[[#This Row],[Rounding]]</f>
        <v>0</v>
      </c>
    </row>
    <row r="873" spans="30:41" x14ac:dyDescent="0.25">
      <c r="AD873" s="1067" t="str">
        <f t="shared" si="65"/>
        <v/>
      </c>
      <c r="AE873" s="1063" t="str">
        <f>IF(ISNA(VLOOKUP(TB_curr[[#This Row],[Synt]],GL[[#Headers],[#Data],[subtotal label]],1,FALSE)),0,(VLOOKUP(TB_curr[[#This Row],[Synt]],GL[[#Headers],[#Data],[subtotal label]],1,FALSE)))</f>
        <v/>
      </c>
      <c r="AF873" s="1063" t="e">
        <f>IF((TB_curr[[#This Row],[Synt]]-TB_curr[[#This Row],[Subtotal Y/N]])=0,0,VLOOKUP(TB_curr[[#This Row],[Synt]],GL[[Account]:[Line]],3,FALSE))</f>
        <v>#VALUE!</v>
      </c>
      <c r="AG873" s="1063" t="e">
        <f>VLOOKUP(TB_curr[[#This Row],[Synt]],GL[[Account]:[B/P]],4,FALSE)</f>
        <v>#N/A</v>
      </c>
      <c r="AH873" s="1066" t="e">
        <v>#VALUE!</v>
      </c>
      <c r="AI873" s="1065" t="e">
        <f>TB_curr[[#This Row],[Synt]]&amp;TB_curr[[#This Row],[Line No. manual corr.]]</f>
        <v>#VALUE!</v>
      </c>
      <c r="AJ873" s="1064">
        <f t="shared" si="66"/>
        <v>0</v>
      </c>
      <c r="AK873" s="1064">
        <f t="shared" si="67"/>
        <v>0</v>
      </c>
      <c r="AL873" s="1064">
        <f t="shared" si="68"/>
        <v>0</v>
      </c>
      <c r="AM873" s="1064">
        <f t="shared" si="69"/>
        <v>0</v>
      </c>
      <c r="AN873" s="1064"/>
      <c r="AO873" s="1064">
        <f>TB_curr[[#This Row],[Closing balance]]+TB_curr[[#This Row],[Rounding]]</f>
        <v>0</v>
      </c>
    </row>
    <row r="874" spans="30:41" x14ac:dyDescent="0.25">
      <c r="AD874" s="1067" t="str">
        <f t="shared" si="65"/>
        <v/>
      </c>
      <c r="AE874" s="1063" t="str">
        <f>IF(ISNA(VLOOKUP(TB_curr[[#This Row],[Synt]],GL[[#Headers],[#Data],[subtotal label]],1,FALSE)),0,(VLOOKUP(TB_curr[[#This Row],[Synt]],GL[[#Headers],[#Data],[subtotal label]],1,FALSE)))</f>
        <v/>
      </c>
      <c r="AF874" s="1063" t="e">
        <f>IF((TB_curr[[#This Row],[Synt]]-TB_curr[[#This Row],[Subtotal Y/N]])=0,0,VLOOKUP(TB_curr[[#This Row],[Synt]],GL[[Account]:[Line]],3,FALSE))</f>
        <v>#VALUE!</v>
      </c>
      <c r="AG874" s="1063" t="e">
        <f>VLOOKUP(TB_curr[[#This Row],[Synt]],GL[[Account]:[B/P]],4,FALSE)</f>
        <v>#N/A</v>
      </c>
      <c r="AH874" s="1066" t="e">
        <v>#VALUE!</v>
      </c>
      <c r="AI874" s="1065" t="e">
        <f>TB_curr[[#This Row],[Synt]]&amp;TB_curr[[#This Row],[Line No. manual corr.]]</f>
        <v>#VALUE!</v>
      </c>
      <c r="AJ874" s="1064">
        <f t="shared" si="66"/>
        <v>0</v>
      </c>
      <c r="AK874" s="1064">
        <f t="shared" si="67"/>
        <v>0</v>
      </c>
      <c r="AL874" s="1064">
        <f t="shared" si="68"/>
        <v>0</v>
      </c>
      <c r="AM874" s="1064">
        <f t="shared" si="69"/>
        <v>0</v>
      </c>
      <c r="AN874" s="1064"/>
      <c r="AO874" s="1064">
        <f>TB_curr[[#This Row],[Closing balance]]+TB_curr[[#This Row],[Rounding]]</f>
        <v>0</v>
      </c>
    </row>
    <row r="875" spans="30:41" x14ac:dyDescent="0.25">
      <c r="AD875" s="1067" t="str">
        <f t="shared" si="65"/>
        <v/>
      </c>
      <c r="AE875" s="1063" t="str">
        <f>IF(ISNA(VLOOKUP(TB_curr[[#This Row],[Synt]],GL[[#Headers],[#Data],[subtotal label]],1,FALSE)),0,(VLOOKUP(TB_curr[[#This Row],[Synt]],GL[[#Headers],[#Data],[subtotal label]],1,FALSE)))</f>
        <v/>
      </c>
      <c r="AF875" s="1063" t="e">
        <f>IF((TB_curr[[#This Row],[Synt]]-TB_curr[[#This Row],[Subtotal Y/N]])=0,0,VLOOKUP(TB_curr[[#This Row],[Synt]],GL[[Account]:[Line]],3,FALSE))</f>
        <v>#VALUE!</v>
      </c>
      <c r="AG875" s="1063" t="e">
        <f>VLOOKUP(TB_curr[[#This Row],[Synt]],GL[[Account]:[B/P]],4,FALSE)</f>
        <v>#N/A</v>
      </c>
      <c r="AH875" s="1066" t="e">
        <v>#VALUE!</v>
      </c>
      <c r="AI875" s="1065" t="e">
        <f>TB_curr[[#This Row],[Synt]]&amp;TB_curr[[#This Row],[Line No. manual corr.]]</f>
        <v>#VALUE!</v>
      </c>
      <c r="AJ875" s="1064">
        <f t="shared" si="66"/>
        <v>0</v>
      </c>
      <c r="AK875" s="1064">
        <f t="shared" si="67"/>
        <v>0</v>
      </c>
      <c r="AL875" s="1064">
        <f t="shared" si="68"/>
        <v>0</v>
      </c>
      <c r="AM875" s="1064">
        <f t="shared" si="69"/>
        <v>0</v>
      </c>
      <c r="AN875" s="1064"/>
      <c r="AO875" s="1064">
        <f>TB_curr[[#This Row],[Closing balance]]+TB_curr[[#This Row],[Rounding]]</f>
        <v>0</v>
      </c>
    </row>
    <row r="876" spans="30:41" x14ac:dyDescent="0.25">
      <c r="AD876" s="1067" t="str">
        <f t="shared" si="65"/>
        <v/>
      </c>
      <c r="AE876" s="1063" t="str">
        <f>IF(ISNA(VLOOKUP(TB_curr[[#This Row],[Synt]],GL[[#Headers],[#Data],[subtotal label]],1,FALSE)),0,(VLOOKUP(TB_curr[[#This Row],[Synt]],GL[[#Headers],[#Data],[subtotal label]],1,FALSE)))</f>
        <v/>
      </c>
      <c r="AF876" s="1063" t="e">
        <f>IF((TB_curr[[#This Row],[Synt]]-TB_curr[[#This Row],[Subtotal Y/N]])=0,0,VLOOKUP(TB_curr[[#This Row],[Synt]],GL[[Account]:[Line]],3,FALSE))</f>
        <v>#VALUE!</v>
      </c>
      <c r="AG876" s="1063" t="e">
        <f>VLOOKUP(TB_curr[[#This Row],[Synt]],GL[[Account]:[B/P]],4,FALSE)</f>
        <v>#N/A</v>
      </c>
      <c r="AH876" s="1066" t="e">
        <v>#VALUE!</v>
      </c>
      <c r="AI876" s="1065" t="e">
        <f>TB_curr[[#This Row],[Synt]]&amp;TB_curr[[#This Row],[Line No. manual corr.]]</f>
        <v>#VALUE!</v>
      </c>
      <c r="AJ876" s="1064">
        <f t="shared" si="66"/>
        <v>0</v>
      </c>
      <c r="AK876" s="1064">
        <f t="shared" si="67"/>
        <v>0</v>
      </c>
      <c r="AL876" s="1064">
        <f t="shared" si="68"/>
        <v>0</v>
      </c>
      <c r="AM876" s="1064">
        <f t="shared" si="69"/>
        <v>0</v>
      </c>
      <c r="AN876" s="1064"/>
      <c r="AO876" s="1064">
        <f>TB_curr[[#This Row],[Closing balance]]+TB_curr[[#This Row],[Rounding]]</f>
        <v>0</v>
      </c>
    </row>
    <row r="877" spans="30:41" x14ac:dyDescent="0.25">
      <c r="AD877" s="1067" t="str">
        <f t="shared" si="65"/>
        <v/>
      </c>
      <c r="AE877" s="1063" t="str">
        <f>IF(ISNA(VLOOKUP(TB_curr[[#This Row],[Synt]],GL[[#Headers],[#Data],[subtotal label]],1,FALSE)),0,(VLOOKUP(TB_curr[[#This Row],[Synt]],GL[[#Headers],[#Data],[subtotal label]],1,FALSE)))</f>
        <v/>
      </c>
      <c r="AF877" s="1063" t="e">
        <f>IF((TB_curr[[#This Row],[Synt]]-TB_curr[[#This Row],[Subtotal Y/N]])=0,0,VLOOKUP(TB_curr[[#This Row],[Synt]],GL[[Account]:[Line]],3,FALSE))</f>
        <v>#VALUE!</v>
      </c>
      <c r="AG877" s="1063" t="e">
        <f>VLOOKUP(TB_curr[[#This Row],[Synt]],GL[[Account]:[B/P]],4,FALSE)</f>
        <v>#N/A</v>
      </c>
      <c r="AH877" s="1066" t="e">
        <v>#VALUE!</v>
      </c>
      <c r="AI877" s="1065" t="e">
        <f>TB_curr[[#This Row],[Synt]]&amp;TB_curr[[#This Row],[Line No. manual corr.]]</f>
        <v>#VALUE!</v>
      </c>
      <c r="AJ877" s="1064">
        <f t="shared" si="66"/>
        <v>0</v>
      </c>
      <c r="AK877" s="1064">
        <f t="shared" si="67"/>
        <v>0</v>
      </c>
      <c r="AL877" s="1064">
        <f t="shared" si="68"/>
        <v>0</v>
      </c>
      <c r="AM877" s="1064">
        <f t="shared" si="69"/>
        <v>0</v>
      </c>
      <c r="AN877" s="1064"/>
      <c r="AO877" s="1064">
        <f>TB_curr[[#This Row],[Closing balance]]+TB_curr[[#This Row],[Rounding]]</f>
        <v>0</v>
      </c>
    </row>
    <row r="878" spans="30:41" x14ac:dyDescent="0.25">
      <c r="AD878" s="1067" t="str">
        <f t="shared" si="65"/>
        <v/>
      </c>
      <c r="AE878" s="1063" t="str">
        <f>IF(ISNA(VLOOKUP(TB_curr[[#This Row],[Synt]],GL[[#Headers],[#Data],[subtotal label]],1,FALSE)),0,(VLOOKUP(TB_curr[[#This Row],[Synt]],GL[[#Headers],[#Data],[subtotal label]],1,FALSE)))</f>
        <v/>
      </c>
      <c r="AF878" s="1063" t="e">
        <f>IF((TB_curr[[#This Row],[Synt]]-TB_curr[[#This Row],[Subtotal Y/N]])=0,0,VLOOKUP(TB_curr[[#This Row],[Synt]],GL[[Account]:[Line]],3,FALSE))</f>
        <v>#VALUE!</v>
      </c>
      <c r="AG878" s="1063" t="e">
        <f>VLOOKUP(TB_curr[[#This Row],[Synt]],GL[[Account]:[B/P]],4,FALSE)</f>
        <v>#N/A</v>
      </c>
      <c r="AH878" s="1066" t="e">
        <v>#VALUE!</v>
      </c>
      <c r="AI878" s="1065" t="e">
        <f>TB_curr[[#This Row],[Synt]]&amp;TB_curr[[#This Row],[Line No. manual corr.]]</f>
        <v>#VALUE!</v>
      </c>
      <c r="AJ878" s="1064">
        <f t="shared" si="66"/>
        <v>0</v>
      </c>
      <c r="AK878" s="1064">
        <f t="shared" si="67"/>
        <v>0</v>
      </c>
      <c r="AL878" s="1064">
        <f t="shared" si="68"/>
        <v>0</v>
      </c>
      <c r="AM878" s="1064">
        <f t="shared" si="69"/>
        <v>0</v>
      </c>
      <c r="AN878" s="1064"/>
      <c r="AO878" s="1064">
        <f>TB_curr[[#This Row],[Closing balance]]+TB_curr[[#This Row],[Rounding]]</f>
        <v>0</v>
      </c>
    </row>
    <row r="879" spans="30:41" x14ac:dyDescent="0.25">
      <c r="AD879" s="1067" t="str">
        <f t="shared" si="65"/>
        <v/>
      </c>
      <c r="AE879" s="1063" t="str">
        <f>IF(ISNA(VLOOKUP(TB_curr[[#This Row],[Synt]],GL[[#Headers],[#Data],[subtotal label]],1,FALSE)),0,(VLOOKUP(TB_curr[[#This Row],[Synt]],GL[[#Headers],[#Data],[subtotal label]],1,FALSE)))</f>
        <v/>
      </c>
      <c r="AF879" s="1063" t="e">
        <f>IF((TB_curr[[#This Row],[Synt]]-TB_curr[[#This Row],[Subtotal Y/N]])=0,0,VLOOKUP(TB_curr[[#This Row],[Synt]],GL[[Account]:[Line]],3,FALSE))</f>
        <v>#VALUE!</v>
      </c>
      <c r="AG879" s="1063" t="e">
        <f>VLOOKUP(TB_curr[[#This Row],[Synt]],GL[[Account]:[B/P]],4,FALSE)</f>
        <v>#N/A</v>
      </c>
      <c r="AH879" s="1066" t="e">
        <v>#VALUE!</v>
      </c>
      <c r="AI879" s="1065" t="e">
        <f>TB_curr[[#This Row],[Synt]]&amp;TB_curr[[#This Row],[Line No. manual corr.]]</f>
        <v>#VALUE!</v>
      </c>
      <c r="AJ879" s="1064">
        <f t="shared" si="66"/>
        <v>0</v>
      </c>
      <c r="AK879" s="1064">
        <f t="shared" si="67"/>
        <v>0</v>
      </c>
      <c r="AL879" s="1064">
        <f t="shared" si="68"/>
        <v>0</v>
      </c>
      <c r="AM879" s="1064">
        <f t="shared" si="69"/>
        <v>0</v>
      </c>
      <c r="AN879" s="1064"/>
      <c r="AO879" s="1064">
        <f>TB_curr[[#This Row],[Closing balance]]+TB_curr[[#This Row],[Rounding]]</f>
        <v>0</v>
      </c>
    </row>
    <row r="880" spans="30:41" x14ac:dyDescent="0.25">
      <c r="AD880" s="1067" t="str">
        <f t="shared" si="65"/>
        <v/>
      </c>
      <c r="AE880" s="1063" t="str">
        <f>IF(ISNA(VLOOKUP(TB_curr[[#This Row],[Synt]],GL[[#Headers],[#Data],[subtotal label]],1,FALSE)),0,(VLOOKUP(TB_curr[[#This Row],[Synt]],GL[[#Headers],[#Data],[subtotal label]],1,FALSE)))</f>
        <v/>
      </c>
      <c r="AF880" s="1063" t="e">
        <f>IF((TB_curr[[#This Row],[Synt]]-TB_curr[[#This Row],[Subtotal Y/N]])=0,0,VLOOKUP(TB_curr[[#This Row],[Synt]],GL[[Account]:[Line]],3,FALSE))</f>
        <v>#VALUE!</v>
      </c>
      <c r="AG880" s="1063" t="e">
        <f>VLOOKUP(TB_curr[[#This Row],[Synt]],GL[[Account]:[B/P]],4,FALSE)</f>
        <v>#N/A</v>
      </c>
      <c r="AH880" s="1066" t="e">
        <v>#VALUE!</v>
      </c>
      <c r="AI880" s="1065" t="e">
        <f>TB_curr[[#This Row],[Synt]]&amp;TB_curr[[#This Row],[Line No. manual corr.]]</f>
        <v>#VALUE!</v>
      </c>
      <c r="AJ880" s="1064">
        <f t="shared" si="66"/>
        <v>0</v>
      </c>
      <c r="AK880" s="1064">
        <f t="shared" si="67"/>
        <v>0</v>
      </c>
      <c r="AL880" s="1064">
        <f t="shared" si="68"/>
        <v>0</v>
      </c>
      <c r="AM880" s="1064">
        <f t="shared" si="69"/>
        <v>0</v>
      </c>
      <c r="AN880" s="1064"/>
      <c r="AO880" s="1064">
        <f>TB_curr[[#This Row],[Closing balance]]+TB_curr[[#This Row],[Rounding]]</f>
        <v>0</v>
      </c>
    </row>
    <row r="881" spans="30:41" x14ac:dyDescent="0.25">
      <c r="AD881" s="1067" t="str">
        <f t="shared" si="65"/>
        <v/>
      </c>
      <c r="AE881" s="1063" t="str">
        <f>IF(ISNA(VLOOKUP(TB_curr[[#This Row],[Synt]],GL[[#Headers],[#Data],[subtotal label]],1,FALSE)),0,(VLOOKUP(TB_curr[[#This Row],[Synt]],GL[[#Headers],[#Data],[subtotal label]],1,FALSE)))</f>
        <v/>
      </c>
      <c r="AF881" s="1063" t="e">
        <f>IF((TB_curr[[#This Row],[Synt]]-TB_curr[[#This Row],[Subtotal Y/N]])=0,0,VLOOKUP(TB_curr[[#This Row],[Synt]],GL[[Account]:[Line]],3,FALSE))</f>
        <v>#VALUE!</v>
      </c>
      <c r="AG881" s="1063" t="e">
        <f>VLOOKUP(TB_curr[[#This Row],[Synt]],GL[[Account]:[B/P]],4,FALSE)</f>
        <v>#N/A</v>
      </c>
      <c r="AH881" s="1066" t="e">
        <v>#VALUE!</v>
      </c>
      <c r="AI881" s="1065" t="e">
        <f>TB_curr[[#This Row],[Synt]]&amp;TB_curr[[#This Row],[Line No. manual corr.]]</f>
        <v>#VALUE!</v>
      </c>
      <c r="AJ881" s="1064">
        <f t="shared" si="66"/>
        <v>0</v>
      </c>
      <c r="AK881" s="1064">
        <f t="shared" si="67"/>
        <v>0</v>
      </c>
      <c r="AL881" s="1064">
        <f t="shared" si="68"/>
        <v>0</v>
      </c>
      <c r="AM881" s="1064">
        <f t="shared" si="69"/>
        <v>0</v>
      </c>
      <c r="AN881" s="1064"/>
      <c r="AO881" s="1064">
        <f>TB_curr[[#This Row],[Closing balance]]+TB_curr[[#This Row],[Rounding]]</f>
        <v>0</v>
      </c>
    </row>
    <row r="882" spans="30:41" x14ac:dyDescent="0.25">
      <c r="AD882" s="1067" t="str">
        <f t="shared" si="65"/>
        <v/>
      </c>
      <c r="AE882" s="1063" t="str">
        <f>IF(ISNA(VLOOKUP(TB_curr[[#This Row],[Synt]],GL[[#Headers],[#Data],[subtotal label]],1,FALSE)),0,(VLOOKUP(TB_curr[[#This Row],[Synt]],GL[[#Headers],[#Data],[subtotal label]],1,FALSE)))</f>
        <v/>
      </c>
      <c r="AF882" s="1063" t="e">
        <f>IF((TB_curr[[#This Row],[Synt]]-TB_curr[[#This Row],[Subtotal Y/N]])=0,0,VLOOKUP(TB_curr[[#This Row],[Synt]],GL[[Account]:[Line]],3,FALSE))</f>
        <v>#VALUE!</v>
      </c>
      <c r="AG882" s="1063" t="e">
        <f>VLOOKUP(TB_curr[[#This Row],[Synt]],GL[[Account]:[B/P]],4,FALSE)</f>
        <v>#N/A</v>
      </c>
      <c r="AH882" s="1066" t="e">
        <v>#VALUE!</v>
      </c>
      <c r="AI882" s="1065" t="e">
        <f>TB_curr[[#This Row],[Synt]]&amp;TB_curr[[#This Row],[Line No. manual corr.]]</f>
        <v>#VALUE!</v>
      </c>
      <c r="AJ882" s="1064">
        <f t="shared" si="66"/>
        <v>0</v>
      </c>
      <c r="AK882" s="1064">
        <f t="shared" si="67"/>
        <v>0</v>
      </c>
      <c r="AL882" s="1064">
        <f t="shared" si="68"/>
        <v>0</v>
      </c>
      <c r="AM882" s="1064">
        <f t="shared" si="69"/>
        <v>0</v>
      </c>
      <c r="AN882" s="1064"/>
      <c r="AO882" s="1064">
        <f>TB_curr[[#This Row],[Closing balance]]+TB_curr[[#This Row],[Rounding]]</f>
        <v>0</v>
      </c>
    </row>
    <row r="883" spans="30:41" x14ac:dyDescent="0.25">
      <c r="AD883" s="1067" t="str">
        <f t="shared" si="65"/>
        <v/>
      </c>
      <c r="AE883" s="1063" t="str">
        <f>IF(ISNA(VLOOKUP(TB_curr[[#This Row],[Synt]],GL[[#Headers],[#Data],[subtotal label]],1,FALSE)),0,(VLOOKUP(TB_curr[[#This Row],[Synt]],GL[[#Headers],[#Data],[subtotal label]],1,FALSE)))</f>
        <v/>
      </c>
      <c r="AF883" s="1063" t="e">
        <f>IF((TB_curr[[#This Row],[Synt]]-TB_curr[[#This Row],[Subtotal Y/N]])=0,0,VLOOKUP(TB_curr[[#This Row],[Synt]],GL[[Account]:[Line]],3,FALSE))</f>
        <v>#VALUE!</v>
      </c>
      <c r="AG883" s="1063" t="e">
        <f>VLOOKUP(TB_curr[[#This Row],[Synt]],GL[[Account]:[B/P]],4,FALSE)</f>
        <v>#N/A</v>
      </c>
      <c r="AH883" s="1066" t="e">
        <v>#VALUE!</v>
      </c>
      <c r="AI883" s="1065" t="e">
        <f>TB_curr[[#This Row],[Synt]]&amp;TB_curr[[#This Row],[Line No. manual corr.]]</f>
        <v>#VALUE!</v>
      </c>
      <c r="AJ883" s="1064">
        <f t="shared" si="66"/>
        <v>0</v>
      </c>
      <c r="AK883" s="1064">
        <f t="shared" si="67"/>
        <v>0</v>
      </c>
      <c r="AL883" s="1064">
        <f t="shared" si="68"/>
        <v>0</v>
      </c>
      <c r="AM883" s="1064">
        <f t="shared" si="69"/>
        <v>0</v>
      </c>
      <c r="AN883" s="1064"/>
      <c r="AO883" s="1064">
        <f>TB_curr[[#This Row],[Closing balance]]+TB_curr[[#This Row],[Rounding]]</f>
        <v>0</v>
      </c>
    </row>
    <row r="884" spans="30:41" x14ac:dyDescent="0.25">
      <c r="AD884" s="1067" t="str">
        <f t="shared" si="65"/>
        <v/>
      </c>
      <c r="AE884" s="1063" t="str">
        <f>IF(ISNA(VLOOKUP(TB_curr[[#This Row],[Synt]],GL[[#Headers],[#Data],[subtotal label]],1,FALSE)),0,(VLOOKUP(TB_curr[[#This Row],[Synt]],GL[[#Headers],[#Data],[subtotal label]],1,FALSE)))</f>
        <v/>
      </c>
      <c r="AF884" s="1063" t="e">
        <f>IF((TB_curr[[#This Row],[Synt]]-TB_curr[[#This Row],[Subtotal Y/N]])=0,0,VLOOKUP(TB_curr[[#This Row],[Synt]],GL[[Account]:[Line]],3,FALSE))</f>
        <v>#VALUE!</v>
      </c>
      <c r="AG884" s="1063" t="e">
        <f>VLOOKUP(TB_curr[[#This Row],[Synt]],GL[[Account]:[B/P]],4,FALSE)</f>
        <v>#N/A</v>
      </c>
      <c r="AH884" s="1066" t="e">
        <v>#VALUE!</v>
      </c>
      <c r="AI884" s="1065" t="e">
        <f>TB_curr[[#This Row],[Synt]]&amp;TB_curr[[#This Row],[Line No. manual corr.]]</f>
        <v>#VALUE!</v>
      </c>
      <c r="AJ884" s="1064">
        <f t="shared" si="66"/>
        <v>0</v>
      </c>
      <c r="AK884" s="1064">
        <f t="shared" si="67"/>
        <v>0</v>
      </c>
      <c r="AL884" s="1064">
        <f t="shared" si="68"/>
        <v>0</v>
      </c>
      <c r="AM884" s="1064">
        <f t="shared" si="69"/>
        <v>0</v>
      </c>
      <c r="AN884" s="1064"/>
      <c r="AO884" s="1064">
        <f>TB_curr[[#This Row],[Closing balance]]+TB_curr[[#This Row],[Rounding]]</f>
        <v>0</v>
      </c>
    </row>
    <row r="885" spans="30:41" x14ac:dyDescent="0.25">
      <c r="AD885" s="1067" t="str">
        <f t="shared" si="65"/>
        <v/>
      </c>
      <c r="AE885" s="1063" t="str">
        <f>IF(ISNA(VLOOKUP(TB_curr[[#This Row],[Synt]],GL[[#Headers],[#Data],[subtotal label]],1,FALSE)),0,(VLOOKUP(TB_curr[[#This Row],[Synt]],GL[[#Headers],[#Data],[subtotal label]],1,FALSE)))</f>
        <v/>
      </c>
      <c r="AF885" s="1063" t="e">
        <f>IF((TB_curr[[#This Row],[Synt]]-TB_curr[[#This Row],[Subtotal Y/N]])=0,0,VLOOKUP(TB_curr[[#This Row],[Synt]],GL[[Account]:[Line]],3,FALSE))</f>
        <v>#VALUE!</v>
      </c>
      <c r="AG885" s="1063" t="e">
        <f>VLOOKUP(TB_curr[[#This Row],[Synt]],GL[[Account]:[B/P]],4,FALSE)</f>
        <v>#N/A</v>
      </c>
      <c r="AH885" s="1066" t="e">
        <v>#VALUE!</v>
      </c>
      <c r="AI885" s="1065" t="e">
        <f>TB_curr[[#This Row],[Synt]]&amp;TB_curr[[#This Row],[Line No. manual corr.]]</f>
        <v>#VALUE!</v>
      </c>
      <c r="AJ885" s="1064">
        <f t="shared" si="66"/>
        <v>0</v>
      </c>
      <c r="AK885" s="1064">
        <f t="shared" si="67"/>
        <v>0</v>
      </c>
      <c r="AL885" s="1064">
        <f t="shared" si="68"/>
        <v>0</v>
      </c>
      <c r="AM885" s="1064">
        <f t="shared" si="69"/>
        <v>0</v>
      </c>
      <c r="AN885" s="1064"/>
      <c r="AO885" s="1064">
        <f>TB_curr[[#This Row],[Closing balance]]+TB_curr[[#This Row],[Rounding]]</f>
        <v>0</v>
      </c>
    </row>
    <row r="886" spans="30:41" x14ac:dyDescent="0.25">
      <c r="AD886" s="1067" t="str">
        <f t="shared" si="65"/>
        <v/>
      </c>
      <c r="AE886" s="1063" t="str">
        <f>IF(ISNA(VLOOKUP(TB_curr[[#This Row],[Synt]],GL[[#Headers],[#Data],[subtotal label]],1,FALSE)),0,(VLOOKUP(TB_curr[[#This Row],[Synt]],GL[[#Headers],[#Data],[subtotal label]],1,FALSE)))</f>
        <v/>
      </c>
      <c r="AF886" s="1063" t="e">
        <f>IF((TB_curr[[#This Row],[Synt]]-TB_curr[[#This Row],[Subtotal Y/N]])=0,0,VLOOKUP(TB_curr[[#This Row],[Synt]],GL[[Account]:[Line]],3,FALSE))</f>
        <v>#VALUE!</v>
      </c>
      <c r="AG886" s="1063" t="e">
        <f>VLOOKUP(TB_curr[[#This Row],[Synt]],GL[[Account]:[B/P]],4,FALSE)</f>
        <v>#N/A</v>
      </c>
      <c r="AH886" s="1066" t="e">
        <v>#VALUE!</v>
      </c>
      <c r="AI886" s="1065" t="e">
        <f>TB_curr[[#This Row],[Synt]]&amp;TB_curr[[#This Row],[Line No. manual corr.]]</f>
        <v>#VALUE!</v>
      </c>
      <c r="AJ886" s="1064">
        <f t="shared" si="66"/>
        <v>0</v>
      </c>
      <c r="AK886" s="1064">
        <f t="shared" si="67"/>
        <v>0</v>
      </c>
      <c r="AL886" s="1064">
        <f t="shared" si="68"/>
        <v>0</v>
      </c>
      <c r="AM886" s="1064">
        <f t="shared" si="69"/>
        <v>0</v>
      </c>
      <c r="AN886" s="1064"/>
      <c r="AO886" s="1064">
        <f>TB_curr[[#This Row],[Closing balance]]+TB_curr[[#This Row],[Rounding]]</f>
        <v>0</v>
      </c>
    </row>
    <row r="887" spans="30:41" x14ac:dyDescent="0.25">
      <c r="AD887" s="1067" t="str">
        <f t="shared" si="65"/>
        <v/>
      </c>
      <c r="AE887" s="1063" t="str">
        <f>IF(ISNA(VLOOKUP(TB_curr[[#This Row],[Synt]],GL[[#Headers],[#Data],[subtotal label]],1,FALSE)),0,(VLOOKUP(TB_curr[[#This Row],[Synt]],GL[[#Headers],[#Data],[subtotal label]],1,FALSE)))</f>
        <v/>
      </c>
      <c r="AF887" s="1063" t="e">
        <f>IF((TB_curr[[#This Row],[Synt]]-TB_curr[[#This Row],[Subtotal Y/N]])=0,0,VLOOKUP(TB_curr[[#This Row],[Synt]],GL[[Account]:[Line]],3,FALSE))</f>
        <v>#VALUE!</v>
      </c>
      <c r="AG887" s="1063" t="e">
        <f>VLOOKUP(TB_curr[[#This Row],[Synt]],GL[[Account]:[B/P]],4,FALSE)</f>
        <v>#N/A</v>
      </c>
      <c r="AH887" s="1066" t="e">
        <v>#VALUE!</v>
      </c>
      <c r="AI887" s="1065" t="e">
        <f>TB_curr[[#This Row],[Synt]]&amp;TB_curr[[#This Row],[Line No. manual corr.]]</f>
        <v>#VALUE!</v>
      </c>
      <c r="AJ887" s="1064">
        <f t="shared" si="66"/>
        <v>0</v>
      </c>
      <c r="AK887" s="1064">
        <f t="shared" si="67"/>
        <v>0</v>
      </c>
      <c r="AL887" s="1064">
        <f t="shared" si="68"/>
        <v>0</v>
      </c>
      <c r="AM887" s="1064">
        <f t="shared" si="69"/>
        <v>0</v>
      </c>
      <c r="AN887" s="1064"/>
      <c r="AO887" s="1064">
        <f>TB_curr[[#This Row],[Closing balance]]+TB_curr[[#This Row],[Rounding]]</f>
        <v>0</v>
      </c>
    </row>
    <row r="888" spans="30:41" x14ac:dyDescent="0.25">
      <c r="AD888" s="1067" t="str">
        <f t="shared" si="65"/>
        <v/>
      </c>
      <c r="AE888" s="1063" t="str">
        <f>IF(ISNA(VLOOKUP(TB_curr[[#This Row],[Synt]],GL[[#Headers],[#Data],[subtotal label]],1,FALSE)),0,(VLOOKUP(TB_curr[[#This Row],[Synt]],GL[[#Headers],[#Data],[subtotal label]],1,FALSE)))</f>
        <v/>
      </c>
      <c r="AF888" s="1063" t="e">
        <f>IF((TB_curr[[#This Row],[Synt]]-TB_curr[[#This Row],[Subtotal Y/N]])=0,0,VLOOKUP(TB_curr[[#This Row],[Synt]],GL[[Account]:[Line]],3,FALSE))</f>
        <v>#VALUE!</v>
      </c>
      <c r="AG888" s="1063" t="e">
        <f>VLOOKUP(TB_curr[[#This Row],[Synt]],GL[[Account]:[B/P]],4,FALSE)</f>
        <v>#N/A</v>
      </c>
      <c r="AH888" s="1066" t="e">
        <v>#VALUE!</v>
      </c>
      <c r="AI888" s="1065" t="e">
        <f>TB_curr[[#This Row],[Synt]]&amp;TB_curr[[#This Row],[Line No. manual corr.]]</f>
        <v>#VALUE!</v>
      </c>
      <c r="AJ888" s="1064">
        <f t="shared" si="66"/>
        <v>0</v>
      </c>
      <c r="AK888" s="1064">
        <f t="shared" si="67"/>
        <v>0</v>
      </c>
      <c r="AL888" s="1064">
        <f t="shared" si="68"/>
        <v>0</v>
      </c>
      <c r="AM888" s="1064">
        <f t="shared" si="69"/>
        <v>0</v>
      </c>
      <c r="AN888" s="1064"/>
      <c r="AO888" s="1064">
        <f>TB_curr[[#This Row],[Closing balance]]+TB_curr[[#This Row],[Rounding]]</f>
        <v>0</v>
      </c>
    </row>
    <row r="889" spans="30:41" x14ac:dyDescent="0.25">
      <c r="AD889" s="1067" t="str">
        <f t="shared" si="65"/>
        <v/>
      </c>
      <c r="AE889" s="1063" t="str">
        <f>IF(ISNA(VLOOKUP(TB_curr[[#This Row],[Synt]],GL[[#Headers],[#Data],[subtotal label]],1,FALSE)),0,(VLOOKUP(TB_curr[[#This Row],[Synt]],GL[[#Headers],[#Data],[subtotal label]],1,FALSE)))</f>
        <v/>
      </c>
      <c r="AF889" s="1063" t="e">
        <f>IF((TB_curr[[#This Row],[Synt]]-TB_curr[[#This Row],[Subtotal Y/N]])=0,0,VLOOKUP(TB_curr[[#This Row],[Synt]],GL[[Account]:[Line]],3,FALSE))</f>
        <v>#VALUE!</v>
      </c>
      <c r="AG889" s="1063" t="e">
        <f>VLOOKUP(TB_curr[[#This Row],[Synt]],GL[[Account]:[B/P]],4,FALSE)</f>
        <v>#N/A</v>
      </c>
      <c r="AH889" s="1066" t="e">
        <v>#VALUE!</v>
      </c>
      <c r="AI889" s="1065" t="e">
        <f>TB_curr[[#This Row],[Synt]]&amp;TB_curr[[#This Row],[Line No. manual corr.]]</f>
        <v>#VALUE!</v>
      </c>
      <c r="AJ889" s="1064">
        <f t="shared" si="66"/>
        <v>0</v>
      </c>
      <c r="AK889" s="1064">
        <f t="shared" si="67"/>
        <v>0</v>
      </c>
      <c r="AL889" s="1064">
        <f t="shared" si="68"/>
        <v>0</v>
      </c>
      <c r="AM889" s="1064">
        <f t="shared" si="69"/>
        <v>0</v>
      </c>
      <c r="AN889" s="1064"/>
      <c r="AO889" s="1064">
        <f>TB_curr[[#This Row],[Closing balance]]+TB_curr[[#This Row],[Rounding]]</f>
        <v>0</v>
      </c>
    </row>
    <row r="890" spans="30:41" x14ac:dyDescent="0.25">
      <c r="AD890" s="1067" t="str">
        <f t="shared" si="65"/>
        <v/>
      </c>
      <c r="AE890" s="1063" t="str">
        <f>IF(ISNA(VLOOKUP(TB_curr[[#This Row],[Synt]],GL[[#Headers],[#Data],[subtotal label]],1,FALSE)),0,(VLOOKUP(TB_curr[[#This Row],[Synt]],GL[[#Headers],[#Data],[subtotal label]],1,FALSE)))</f>
        <v/>
      </c>
      <c r="AF890" s="1063" t="e">
        <f>IF((TB_curr[[#This Row],[Synt]]-TB_curr[[#This Row],[Subtotal Y/N]])=0,0,VLOOKUP(TB_curr[[#This Row],[Synt]],GL[[Account]:[Line]],3,FALSE))</f>
        <v>#VALUE!</v>
      </c>
      <c r="AG890" s="1063" t="e">
        <f>VLOOKUP(TB_curr[[#This Row],[Synt]],GL[[Account]:[B/P]],4,FALSE)</f>
        <v>#N/A</v>
      </c>
      <c r="AH890" s="1066" t="e">
        <v>#VALUE!</v>
      </c>
      <c r="AI890" s="1065" t="e">
        <f>TB_curr[[#This Row],[Synt]]&amp;TB_curr[[#This Row],[Line No. manual corr.]]</f>
        <v>#VALUE!</v>
      </c>
      <c r="AJ890" s="1064">
        <f t="shared" si="66"/>
        <v>0</v>
      </c>
      <c r="AK890" s="1064">
        <f t="shared" si="67"/>
        <v>0</v>
      </c>
      <c r="AL890" s="1064">
        <f t="shared" si="68"/>
        <v>0</v>
      </c>
      <c r="AM890" s="1064">
        <f t="shared" si="69"/>
        <v>0</v>
      </c>
      <c r="AN890" s="1064"/>
      <c r="AO890" s="1064">
        <f>TB_curr[[#This Row],[Closing balance]]+TB_curr[[#This Row],[Rounding]]</f>
        <v>0</v>
      </c>
    </row>
    <row r="891" spans="30:41" x14ac:dyDescent="0.25">
      <c r="AD891" s="1067" t="str">
        <f t="shared" si="65"/>
        <v/>
      </c>
      <c r="AE891" s="1063" t="str">
        <f>IF(ISNA(VLOOKUP(TB_curr[[#This Row],[Synt]],GL[[#Headers],[#Data],[subtotal label]],1,FALSE)),0,(VLOOKUP(TB_curr[[#This Row],[Synt]],GL[[#Headers],[#Data],[subtotal label]],1,FALSE)))</f>
        <v/>
      </c>
      <c r="AF891" s="1063" t="e">
        <f>IF((TB_curr[[#This Row],[Synt]]-TB_curr[[#This Row],[Subtotal Y/N]])=0,0,VLOOKUP(TB_curr[[#This Row],[Synt]],GL[[Account]:[Line]],3,FALSE))</f>
        <v>#VALUE!</v>
      </c>
      <c r="AG891" s="1063" t="e">
        <f>VLOOKUP(TB_curr[[#This Row],[Synt]],GL[[Account]:[B/P]],4,FALSE)</f>
        <v>#N/A</v>
      </c>
      <c r="AH891" s="1066" t="e">
        <v>#VALUE!</v>
      </c>
      <c r="AI891" s="1065" t="e">
        <f>TB_curr[[#This Row],[Synt]]&amp;TB_curr[[#This Row],[Line No. manual corr.]]</f>
        <v>#VALUE!</v>
      </c>
      <c r="AJ891" s="1064">
        <f t="shared" si="66"/>
        <v>0</v>
      </c>
      <c r="AK891" s="1064">
        <f t="shared" si="67"/>
        <v>0</v>
      </c>
      <c r="AL891" s="1064">
        <f t="shared" si="68"/>
        <v>0</v>
      </c>
      <c r="AM891" s="1064">
        <f t="shared" si="69"/>
        <v>0</v>
      </c>
      <c r="AN891" s="1064"/>
      <c r="AO891" s="1064">
        <f>TB_curr[[#This Row],[Closing balance]]+TB_curr[[#This Row],[Rounding]]</f>
        <v>0</v>
      </c>
    </row>
    <row r="892" spans="30:41" x14ac:dyDescent="0.25">
      <c r="AD892" s="1067" t="str">
        <f t="shared" si="65"/>
        <v/>
      </c>
      <c r="AE892" s="1063" t="str">
        <f>IF(ISNA(VLOOKUP(TB_curr[[#This Row],[Synt]],GL[[#Headers],[#Data],[subtotal label]],1,FALSE)),0,(VLOOKUP(TB_curr[[#This Row],[Synt]],GL[[#Headers],[#Data],[subtotal label]],1,FALSE)))</f>
        <v/>
      </c>
      <c r="AF892" s="1063" t="e">
        <f>IF((TB_curr[[#This Row],[Synt]]-TB_curr[[#This Row],[Subtotal Y/N]])=0,0,VLOOKUP(TB_curr[[#This Row],[Synt]],GL[[Account]:[Line]],3,FALSE))</f>
        <v>#VALUE!</v>
      </c>
      <c r="AG892" s="1063" t="e">
        <f>VLOOKUP(TB_curr[[#This Row],[Synt]],GL[[Account]:[B/P]],4,FALSE)</f>
        <v>#N/A</v>
      </c>
      <c r="AH892" s="1066" t="e">
        <v>#VALUE!</v>
      </c>
      <c r="AI892" s="1065" t="e">
        <f>TB_curr[[#This Row],[Synt]]&amp;TB_curr[[#This Row],[Line No. manual corr.]]</f>
        <v>#VALUE!</v>
      </c>
      <c r="AJ892" s="1064">
        <f t="shared" si="66"/>
        <v>0</v>
      </c>
      <c r="AK892" s="1064">
        <f t="shared" si="67"/>
        <v>0</v>
      </c>
      <c r="AL892" s="1064">
        <f t="shared" si="68"/>
        <v>0</v>
      </c>
      <c r="AM892" s="1064">
        <f t="shared" si="69"/>
        <v>0</v>
      </c>
      <c r="AN892" s="1064"/>
      <c r="AO892" s="1064">
        <f>TB_curr[[#This Row],[Closing balance]]+TB_curr[[#This Row],[Rounding]]</f>
        <v>0</v>
      </c>
    </row>
    <row r="893" spans="30:41" x14ac:dyDescent="0.25">
      <c r="AD893" s="1067" t="str">
        <f t="shared" si="65"/>
        <v/>
      </c>
      <c r="AE893" s="1063" t="str">
        <f>IF(ISNA(VLOOKUP(TB_curr[[#This Row],[Synt]],GL[[#Headers],[#Data],[subtotal label]],1,FALSE)),0,(VLOOKUP(TB_curr[[#This Row],[Synt]],GL[[#Headers],[#Data],[subtotal label]],1,FALSE)))</f>
        <v/>
      </c>
      <c r="AF893" s="1063" t="e">
        <f>IF((TB_curr[[#This Row],[Synt]]-TB_curr[[#This Row],[Subtotal Y/N]])=0,0,VLOOKUP(TB_curr[[#This Row],[Synt]],GL[[Account]:[Line]],3,FALSE))</f>
        <v>#VALUE!</v>
      </c>
      <c r="AG893" s="1063" t="e">
        <f>VLOOKUP(TB_curr[[#This Row],[Synt]],GL[[Account]:[B/P]],4,FALSE)</f>
        <v>#N/A</v>
      </c>
      <c r="AH893" s="1066" t="e">
        <v>#VALUE!</v>
      </c>
      <c r="AI893" s="1065" t="e">
        <f>TB_curr[[#This Row],[Synt]]&amp;TB_curr[[#This Row],[Line No. manual corr.]]</f>
        <v>#VALUE!</v>
      </c>
      <c r="AJ893" s="1064">
        <f t="shared" si="66"/>
        <v>0</v>
      </c>
      <c r="AK893" s="1064">
        <f t="shared" si="67"/>
        <v>0</v>
      </c>
      <c r="AL893" s="1064">
        <f t="shared" si="68"/>
        <v>0</v>
      </c>
      <c r="AM893" s="1064">
        <f t="shared" si="69"/>
        <v>0</v>
      </c>
      <c r="AN893" s="1064"/>
      <c r="AO893" s="1064">
        <f>TB_curr[[#This Row],[Closing balance]]+TB_curr[[#This Row],[Rounding]]</f>
        <v>0</v>
      </c>
    </row>
    <row r="894" spans="30:41" x14ac:dyDescent="0.25">
      <c r="AD894" s="1067" t="str">
        <f t="shared" si="65"/>
        <v/>
      </c>
      <c r="AE894" s="1063" t="str">
        <f>IF(ISNA(VLOOKUP(TB_curr[[#This Row],[Synt]],GL[[#Headers],[#Data],[subtotal label]],1,FALSE)),0,(VLOOKUP(TB_curr[[#This Row],[Synt]],GL[[#Headers],[#Data],[subtotal label]],1,FALSE)))</f>
        <v/>
      </c>
      <c r="AF894" s="1063" t="e">
        <f>IF((TB_curr[[#This Row],[Synt]]-TB_curr[[#This Row],[Subtotal Y/N]])=0,0,VLOOKUP(TB_curr[[#This Row],[Synt]],GL[[Account]:[Line]],3,FALSE))</f>
        <v>#VALUE!</v>
      </c>
      <c r="AG894" s="1063" t="e">
        <f>VLOOKUP(TB_curr[[#This Row],[Synt]],GL[[Account]:[B/P]],4,FALSE)</f>
        <v>#N/A</v>
      </c>
      <c r="AH894" s="1066" t="e">
        <v>#VALUE!</v>
      </c>
      <c r="AI894" s="1065" t="e">
        <f>TB_curr[[#This Row],[Synt]]&amp;TB_curr[[#This Row],[Line No. manual corr.]]</f>
        <v>#VALUE!</v>
      </c>
      <c r="AJ894" s="1064">
        <f t="shared" si="66"/>
        <v>0</v>
      </c>
      <c r="AK894" s="1064">
        <f t="shared" si="67"/>
        <v>0</v>
      </c>
      <c r="AL894" s="1064">
        <f t="shared" si="68"/>
        <v>0</v>
      </c>
      <c r="AM894" s="1064">
        <f t="shared" si="69"/>
        <v>0</v>
      </c>
      <c r="AN894" s="1064"/>
      <c r="AO894" s="1064">
        <f>TB_curr[[#This Row],[Closing balance]]+TB_curr[[#This Row],[Rounding]]</f>
        <v>0</v>
      </c>
    </row>
    <row r="895" spans="30:41" x14ac:dyDescent="0.25">
      <c r="AD895" s="1067" t="str">
        <f t="shared" si="65"/>
        <v/>
      </c>
      <c r="AE895" s="1063" t="str">
        <f>IF(ISNA(VLOOKUP(TB_curr[[#This Row],[Synt]],GL[[#Headers],[#Data],[subtotal label]],1,FALSE)),0,(VLOOKUP(TB_curr[[#This Row],[Synt]],GL[[#Headers],[#Data],[subtotal label]],1,FALSE)))</f>
        <v/>
      </c>
      <c r="AF895" s="1063" t="e">
        <f>IF((TB_curr[[#This Row],[Synt]]-TB_curr[[#This Row],[Subtotal Y/N]])=0,0,VLOOKUP(TB_curr[[#This Row],[Synt]],GL[[Account]:[Line]],3,FALSE))</f>
        <v>#VALUE!</v>
      </c>
      <c r="AG895" s="1063" t="e">
        <f>VLOOKUP(TB_curr[[#This Row],[Synt]],GL[[Account]:[B/P]],4,FALSE)</f>
        <v>#N/A</v>
      </c>
      <c r="AH895" s="1066" t="e">
        <v>#VALUE!</v>
      </c>
      <c r="AI895" s="1065" t="e">
        <f>TB_curr[[#This Row],[Synt]]&amp;TB_curr[[#This Row],[Line No. manual corr.]]</f>
        <v>#VALUE!</v>
      </c>
      <c r="AJ895" s="1064">
        <f t="shared" si="66"/>
        <v>0</v>
      </c>
      <c r="AK895" s="1064">
        <f t="shared" si="67"/>
        <v>0</v>
      </c>
      <c r="AL895" s="1064">
        <f t="shared" si="68"/>
        <v>0</v>
      </c>
      <c r="AM895" s="1064">
        <f t="shared" si="69"/>
        <v>0</v>
      </c>
      <c r="AN895" s="1064"/>
      <c r="AO895" s="1064">
        <f>TB_curr[[#This Row],[Closing balance]]+TB_curr[[#This Row],[Rounding]]</f>
        <v>0</v>
      </c>
    </row>
    <row r="896" spans="30:41" x14ac:dyDescent="0.25">
      <c r="AD896" s="1067" t="str">
        <f t="shared" si="65"/>
        <v/>
      </c>
      <c r="AE896" s="1063" t="str">
        <f>IF(ISNA(VLOOKUP(TB_curr[[#This Row],[Synt]],GL[[#Headers],[#Data],[subtotal label]],1,FALSE)),0,(VLOOKUP(TB_curr[[#This Row],[Synt]],GL[[#Headers],[#Data],[subtotal label]],1,FALSE)))</f>
        <v/>
      </c>
      <c r="AF896" s="1063" t="e">
        <f>IF((TB_curr[[#This Row],[Synt]]-TB_curr[[#This Row],[Subtotal Y/N]])=0,0,VLOOKUP(TB_curr[[#This Row],[Synt]],GL[[Account]:[Line]],3,FALSE))</f>
        <v>#VALUE!</v>
      </c>
      <c r="AG896" s="1063" t="e">
        <f>VLOOKUP(TB_curr[[#This Row],[Synt]],GL[[Account]:[B/P]],4,FALSE)</f>
        <v>#N/A</v>
      </c>
      <c r="AH896" s="1066" t="e">
        <v>#VALUE!</v>
      </c>
      <c r="AI896" s="1065" t="e">
        <f>TB_curr[[#This Row],[Synt]]&amp;TB_curr[[#This Row],[Line No. manual corr.]]</f>
        <v>#VALUE!</v>
      </c>
      <c r="AJ896" s="1064">
        <f t="shared" si="66"/>
        <v>0</v>
      </c>
      <c r="AK896" s="1064">
        <f t="shared" si="67"/>
        <v>0</v>
      </c>
      <c r="AL896" s="1064">
        <f t="shared" si="68"/>
        <v>0</v>
      </c>
      <c r="AM896" s="1064">
        <f t="shared" si="69"/>
        <v>0</v>
      </c>
      <c r="AN896" s="1064"/>
      <c r="AO896" s="1064">
        <f>TB_curr[[#This Row],[Closing balance]]+TB_curr[[#This Row],[Rounding]]</f>
        <v>0</v>
      </c>
    </row>
    <row r="897" spans="30:41" x14ac:dyDescent="0.25">
      <c r="AD897" s="1067" t="str">
        <f t="shared" si="65"/>
        <v/>
      </c>
      <c r="AE897" s="1063" t="str">
        <f>IF(ISNA(VLOOKUP(TB_curr[[#This Row],[Synt]],GL[[#Headers],[#Data],[subtotal label]],1,FALSE)),0,(VLOOKUP(TB_curr[[#This Row],[Synt]],GL[[#Headers],[#Data],[subtotal label]],1,FALSE)))</f>
        <v/>
      </c>
      <c r="AF897" s="1063" t="e">
        <f>IF((TB_curr[[#This Row],[Synt]]-TB_curr[[#This Row],[Subtotal Y/N]])=0,0,VLOOKUP(TB_curr[[#This Row],[Synt]],GL[[Account]:[Line]],3,FALSE))</f>
        <v>#VALUE!</v>
      </c>
      <c r="AG897" s="1063" t="e">
        <f>VLOOKUP(TB_curr[[#This Row],[Synt]],GL[[Account]:[B/P]],4,FALSE)</f>
        <v>#N/A</v>
      </c>
      <c r="AH897" s="1066" t="e">
        <v>#VALUE!</v>
      </c>
      <c r="AI897" s="1065" t="e">
        <f>TB_curr[[#This Row],[Synt]]&amp;TB_curr[[#This Row],[Line No. manual corr.]]</f>
        <v>#VALUE!</v>
      </c>
      <c r="AJ897" s="1064">
        <f t="shared" si="66"/>
        <v>0</v>
      </c>
      <c r="AK897" s="1064">
        <f t="shared" si="67"/>
        <v>0</v>
      </c>
      <c r="AL897" s="1064">
        <f t="shared" si="68"/>
        <v>0</v>
      </c>
      <c r="AM897" s="1064">
        <f t="shared" si="69"/>
        <v>0</v>
      </c>
      <c r="AN897" s="1064"/>
      <c r="AO897" s="1064">
        <f>TB_curr[[#This Row],[Closing balance]]+TB_curr[[#This Row],[Rounding]]</f>
        <v>0</v>
      </c>
    </row>
    <row r="898" spans="30:41" x14ac:dyDescent="0.25">
      <c r="AD898" s="1067" t="str">
        <f t="shared" si="65"/>
        <v/>
      </c>
      <c r="AE898" s="1063" t="str">
        <f>IF(ISNA(VLOOKUP(TB_curr[[#This Row],[Synt]],GL[[#Headers],[#Data],[subtotal label]],1,FALSE)),0,(VLOOKUP(TB_curr[[#This Row],[Synt]],GL[[#Headers],[#Data],[subtotal label]],1,FALSE)))</f>
        <v/>
      </c>
      <c r="AF898" s="1063" t="e">
        <f>IF((TB_curr[[#This Row],[Synt]]-TB_curr[[#This Row],[Subtotal Y/N]])=0,0,VLOOKUP(TB_curr[[#This Row],[Synt]],GL[[Account]:[Line]],3,FALSE))</f>
        <v>#VALUE!</v>
      </c>
      <c r="AG898" s="1063" t="e">
        <f>VLOOKUP(TB_curr[[#This Row],[Synt]],GL[[Account]:[B/P]],4,FALSE)</f>
        <v>#N/A</v>
      </c>
      <c r="AH898" s="1066" t="e">
        <v>#VALUE!</v>
      </c>
      <c r="AI898" s="1065" t="e">
        <f>TB_curr[[#This Row],[Synt]]&amp;TB_curr[[#This Row],[Line No. manual corr.]]</f>
        <v>#VALUE!</v>
      </c>
      <c r="AJ898" s="1064">
        <f t="shared" si="66"/>
        <v>0</v>
      </c>
      <c r="AK898" s="1064">
        <f t="shared" si="67"/>
        <v>0</v>
      </c>
      <c r="AL898" s="1064">
        <f t="shared" si="68"/>
        <v>0</v>
      </c>
      <c r="AM898" s="1064">
        <f t="shared" si="69"/>
        <v>0</v>
      </c>
      <c r="AN898" s="1064"/>
      <c r="AO898" s="1064">
        <f>TB_curr[[#This Row],[Closing balance]]+TB_curr[[#This Row],[Rounding]]</f>
        <v>0</v>
      </c>
    </row>
    <row r="899" spans="30:41" x14ac:dyDescent="0.25">
      <c r="AD899" s="1067" t="str">
        <f t="shared" si="65"/>
        <v/>
      </c>
      <c r="AE899" s="1063" t="str">
        <f>IF(ISNA(VLOOKUP(TB_curr[[#This Row],[Synt]],GL[[#Headers],[#Data],[subtotal label]],1,FALSE)),0,(VLOOKUP(TB_curr[[#This Row],[Synt]],GL[[#Headers],[#Data],[subtotal label]],1,FALSE)))</f>
        <v/>
      </c>
      <c r="AF899" s="1063" t="e">
        <f>IF((TB_curr[[#This Row],[Synt]]-TB_curr[[#This Row],[Subtotal Y/N]])=0,0,VLOOKUP(TB_curr[[#This Row],[Synt]],GL[[Account]:[Line]],3,FALSE))</f>
        <v>#VALUE!</v>
      </c>
      <c r="AG899" s="1063" t="e">
        <f>VLOOKUP(TB_curr[[#This Row],[Synt]],GL[[Account]:[B/P]],4,FALSE)</f>
        <v>#N/A</v>
      </c>
      <c r="AH899" s="1066" t="e">
        <v>#VALUE!</v>
      </c>
      <c r="AI899" s="1065" t="e">
        <f>TB_curr[[#This Row],[Synt]]&amp;TB_curr[[#This Row],[Line No. manual corr.]]</f>
        <v>#VALUE!</v>
      </c>
      <c r="AJ899" s="1064">
        <f t="shared" si="66"/>
        <v>0</v>
      </c>
      <c r="AK899" s="1064">
        <f t="shared" si="67"/>
        <v>0</v>
      </c>
      <c r="AL899" s="1064">
        <f t="shared" si="68"/>
        <v>0</v>
      </c>
      <c r="AM899" s="1064">
        <f t="shared" si="69"/>
        <v>0</v>
      </c>
      <c r="AN899" s="1064"/>
      <c r="AO899" s="1064">
        <f>TB_curr[[#This Row],[Closing balance]]+TB_curr[[#This Row],[Rounding]]</f>
        <v>0</v>
      </c>
    </row>
    <row r="900" spans="30:41" x14ac:dyDescent="0.25">
      <c r="AD900" s="1067" t="str">
        <f t="shared" si="65"/>
        <v/>
      </c>
      <c r="AE900" s="1063" t="str">
        <f>IF(ISNA(VLOOKUP(TB_curr[[#This Row],[Synt]],GL[[#Headers],[#Data],[subtotal label]],1,FALSE)),0,(VLOOKUP(TB_curr[[#This Row],[Synt]],GL[[#Headers],[#Data],[subtotal label]],1,FALSE)))</f>
        <v/>
      </c>
      <c r="AF900" s="1063" t="e">
        <f>IF((TB_curr[[#This Row],[Synt]]-TB_curr[[#This Row],[Subtotal Y/N]])=0,0,VLOOKUP(TB_curr[[#This Row],[Synt]],GL[[Account]:[Line]],3,FALSE))</f>
        <v>#VALUE!</v>
      </c>
      <c r="AG900" s="1063" t="e">
        <f>VLOOKUP(TB_curr[[#This Row],[Synt]],GL[[Account]:[B/P]],4,FALSE)</f>
        <v>#N/A</v>
      </c>
      <c r="AH900" s="1066" t="e">
        <v>#VALUE!</v>
      </c>
      <c r="AI900" s="1065" t="e">
        <f>TB_curr[[#This Row],[Synt]]&amp;TB_curr[[#This Row],[Line No. manual corr.]]</f>
        <v>#VALUE!</v>
      </c>
      <c r="AJ900" s="1064">
        <f t="shared" si="66"/>
        <v>0</v>
      </c>
      <c r="AK900" s="1064">
        <f t="shared" si="67"/>
        <v>0</v>
      </c>
      <c r="AL900" s="1064">
        <f t="shared" si="68"/>
        <v>0</v>
      </c>
      <c r="AM900" s="1064">
        <f t="shared" si="69"/>
        <v>0</v>
      </c>
      <c r="AN900" s="1064"/>
      <c r="AO900" s="1064">
        <f>TB_curr[[#This Row],[Closing balance]]+TB_curr[[#This Row],[Rounding]]</f>
        <v>0</v>
      </c>
    </row>
    <row r="901" spans="30:41" x14ac:dyDescent="0.25">
      <c r="AD901" s="1067" t="str">
        <f t="shared" si="65"/>
        <v/>
      </c>
      <c r="AE901" s="1063" t="str">
        <f>IF(ISNA(VLOOKUP(TB_curr[[#This Row],[Synt]],GL[[#Headers],[#Data],[subtotal label]],1,FALSE)),0,(VLOOKUP(TB_curr[[#This Row],[Synt]],GL[[#Headers],[#Data],[subtotal label]],1,FALSE)))</f>
        <v/>
      </c>
      <c r="AF901" s="1063" t="e">
        <f>IF((TB_curr[[#This Row],[Synt]]-TB_curr[[#This Row],[Subtotal Y/N]])=0,0,VLOOKUP(TB_curr[[#This Row],[Synt]],GL[[Account]:[Line]],3,FALSE))</f>
        <v>#VALUE!</v>
      </c>
      <c r="AG901" s="1063" t="e">
        <f>VLOOKUP(TB_curr[[#This Row],[Synt]],GL[[Account]:[B/P]],4,FALSE)</f>
        <v>#N/A</v>
      </c>
      <c r="AH901" s="1066" t="e">
        <v>#VALUE!</v>
      </c>
      <c r="AI901" s="1065" t="e">
        <f>TB_curr[[#This Row],[Synt]]&amp;TB_curr[[#This Row],[Line No. manual corr.]]</f>
        <v>#VALUE!</v>
      </c>
      <c r="AJ901" s="1064">
        <f t="shared" si="66"/>
        <v>0</v>
      </c>
      <c r="AK901" s="1064">
        <f t="shared" si="67"/>
        <v>0</v>
      </c>
      <c r="AL901" s="1064">
        <f t="shared" si="68"/>
        <v>0</v>
      </c>
      <c r="AM901" s="1064">
        <f t="shared" si="69"/>
        <v>0</v>
      </c>
      <c r="AN901" s="1064"/>
      <c r="AO901" s="1064">
        <f>TB_curr[[#This Row],[Closing balance]]+TB_curr[[#This Row],[Rounding]]</f>
        <v>0</v>
      </c>
    </row>
    <row r="902" spans="30:41" x14ac:dyDescent="0.25">
      <c r="AD902" s="1067" t="str">
        <f t="shared" si="65"/>
        <v/>
      </c>
      <c r="AE902" s="1063" t="str">
        <f>IF(ISNA(VLOOKUP(TB_curr[[#This Row],[Synt]],GL[[#Headers],[#Data],[subtotal label]],1,FALSE)),0,(VLOOKUP(TB_curr[[#This Row],[Synt]],GL[[#Headers],[#Data],[subtotal label]],1,FALSE)))</f>
        <v/>
      </c>
      <c r="AF902" s="1063" t="e">
        <f>IF((TB_curr[[#This Row],[Synt]]-TB_curr[[#This Row],[Subtotal Y/N]])=0,0,VLOOKUP(TB_curr[[#This Row],[Synt]],GL[[Account]:[Line]],3,FALSE))</f>
        <v>#VALUE!</v>
      </c>
      <c r="AG902" s="1063" t="e">
        <f>VLOOKUP(TB_curr[[#This Row],[Synt]],GL[[Account]:[B/P]],4,FALSE)</f>
        <v>#N/A</v>
      </c>
      <c r="AH902" s="1066" t="e">
        <v>#VALUE!</v>
      </c>
      <c r="AI902" s="1065" t="e">
        <f>TB_curr[[#This Row],[Synt]]&amp;TB_curr[[#This Row],[Line No. manual corr.]]</f>
        <v>#VALUE!</v>
      </c>
      <c r="AJ902" s="1064">
        <f t="shared" si="66"/>
        <v>0</v>
      </c>
      <c r="AK902" s="1064">
        <f t="shared" si="67"/>
        <v>0</v>
      </c>
      <c r="AL902" s="1064">
        <f t="shared" si="68"/>
        <v>0</v>
      </c>
      <c r="AM902" s="1064">
        <f t="shared" si="69"/>
        <v>0</v>
      </c>
      <c r="AN902" s="1064"/>
      <c r="AO902" s="1064">
        <f>TB_curr[[#This Row],[Closing balance]]+TB_curr[[#This Row],[Rounding]]</f>
        <v>0</v>
      </c>
    </row>
    <row r="903" spans="30:41" x14ac:dyDescent="0.25">
      <c r="AD903" s="1067" t="str">
        <f t="shared" si="65"/>
        <v/>
      </c>
      <c r="AE903" s="1063" t="str">
        <f>IF(ISNA(VLOOKUP(TB_curr[[#This Row],[Synt]],GL[[#Headers],[#Data],[subtotal label]],1,FALSE)),0,(VLOOKUP(TB_curr[[#This Row],[Synt]],GL[[#Headers],[#Data],[subtotal label]],1,FALSE)))</f>
        <v/>
      </c>
      <c r="AF903" s="1063" t="e">
        <f>IF((TB_curr[[#This Row],[Synt]]-TB_curr[[#This Row],[Subtotal Y/N]])=0,0,VLOOKUP(TB_curr[[#This Row],[Synt]],GL[[Account]:[Line]],3,FALSE))</f>
        <v>#VALUE!</v>
      </c>
      <c r="AG903" s="1063" t="e">
        <f>VLOOKUP(TB_curr[[#This Row],[Synt]],GL[[Account]:[B/P]],4,FALSE)</f>
        <v>#N/A</v>
      </c>
      <c r="AH903" s="1066" t="e">
        <v>#VALUE!</v>
      </c>
      <c r="AI903" s="1065" t="e">
        <f>TB_curr[[#This Row],[Synt]]&amp;TB_curr[[#This Row],[Line No. manual corr.]]</f>
        <v>#VALUE!</v>
      </c>
      <c r="AJ903" s="1064">
        <f t="shared" si="66"/>
        <v>0</v>
      </c>
      <c r="AK903" s="1064">
        <f t="shared" si="67"/>
        <v>0</v>
      </c>
      <c r="AL903" s="1064">
        <f t="shared" si="68"/>
        <v>0</v>
      </c>
      <c r="AM903" s="1064">
        <f t="shared" si="69"/>
        <v>0</v>
      </c>
      <c r="AN903" s="1064"/>
      <c r="AO903" s="1064">
        <f>TB_curr[[#This Row],[Closing balance]]+TB_curr[[#This Row],[Rounding]]</f>
        <v>0</v>
      </c>
    </row>
    <row r="904" spans="30:41" x14ac:dyDescent="0.25">
      <c r="AD904" s="1067" t="str">
        <f t="shared" ref="AD904:AD967" si="70">LEFT(B904,3)</f>
        <v/>
      </c>
      <c r="AE904" s="1063" t="str">
        <f>IF(ISNA(VLOOKUP(TB_curr[[#This Row],[Synt]],GL[[#Headers],[#Data],[subtotal label]],1,FALSE)),0,(VLOOKUP(TB_curr[[#This Row],[Synt]],GL[[#Headers],[#Data],[subtotal label]],1,FALSE)))</f>
        <v/>
      </c>
      <c r="AF904" s="1063" t="e">
        <f>IF((TB_curr[[#This Row],[Synt]]-TB_curr[[#This Row],[Subtotal Y/N]])=0,0,VLOOKUP(TB_curr[[#This Row],[Synt]],GL[[Account]:[Line]],3,FALSE))</f>
        <v>#VALUE!</v>
      </c>
      <c r="AG904" s="1063" t="e">
        <f>VLOOKUP(TB_curr[[#This Row],[Synt]],GL[[Account]:[B/P]],4,FALSE)</f>
        <v>#N/A</v>
      </c>
      <c r="AH904" s="1066" t="e">
        <v>#VALUE!</v>
      </c>
      <c r="AI904" s="1065" t="e">
        <f>TB_curr[[#This Row],[Synt]]&amp;TB_curr[[#This Row],[Line No. manual corr.]]</f>
        <v>#VALUE!</v>
      </c>
      <c r="AJ904" s="1064">
        <f t="shared" ref="AJ904:AJ967" si="71">K904-N904</f>
        <v>0</v>
      </c>
      <c r="AK904" s="1064">
        <f t="shared" ref="AK904:AK967" si="72">Q904</f>
        <v>0</v>
      </c>
      <c r="AL904" s="1064">
        <f t="shared" ref="AL904:AL967" si="73">U904</f>
        <v>0</v>
      </c>
      <c r="AM904" s="1064">
        <f t="shared" ref="AM904:AM967" si="74">X904-AB904</f>
        <v>0</v>
      </c>
      <c r="AN904" s="1064"/>
      <c r="AO904" s="1064">
        <f>TB_curr[[#This Row],[Closing balance]]+TB_curr[[#This Row],[Rounding]]</f>
        <v>0</v>
      </c>
    </row>
    <row r="905" spans="30:41" x14ac:dyDescent="0.25">
      <c r="AD905" s="1067" t="str">
        <f t="shared" si="70"/>
        <v/>
      </c>
      <c r="AE905" s="1063" t="str">
        <f>IF(ISNA(VLOOKUP(TB_curr[[#This Row],[Synt]],GL[[#Headers],[#Data],[subtotal label]],1,FALSE)),0,(VLOOKUP(TB_curr[[#This Row],[Synt]],GL[[#Headers],[#Data],[subtotal label]],1,FALSE)))</f>
        <v/>
      </c>
      <c r="AF905" s="1063" t="e">
        <f>IF((TB_curr[[#This Row],[Synt]]-TB_curr[[#This Row],[Subtotal Y/N]])=0,0,VLOOKUP(TB_curr[[#This Row],[Synt]],GL[[Account]:[Line]],3,FALSE))</f>
        <v>#VALUE!</v>
      </c>
      <c r="AG905" s="1063" t="e">
        <f>VLOOKUP(TB_curr[[#This Row],[Synt]],GL[[Account]:[B/P]],4,FALSE)</f>
        <v>#N/A</v>
      </c>
      <c r="AH905" s="1066" t="e">
        <v>#VALUE!</v>
      </c>
      <c r="AI905" s="1065" t="e">
        <f>TB_curr[[#This Row],[Synt]]&amp;TB_curr[[#This Row],[Line No. manual corr.]]</f>
        <v>#VALUE!</v>
      </c>
      <c r="AJ905" s="1064">
        <f t="shared" si="71"/>
        <v>0</v>
      </c>
      <c r="AK905" s="1064">
        <f t="shared" si="72"/>
        <v>0</v>
      </c>
      <c r="AL905" s="1064">
        <f t="shared" si="73"/>
        <v>0</v>
      </c>
      <c r="AM905" s="1064">
        <f t="shared" si="74"/>
        <v>0</v>
      </c>
      <c r="AN905" s="1064"/>
      <c r="AO905" s="1064">
        <f>TB_curr[[#This Row],[Closing balance]]+TB_curr[[#This Row],[Rounding]]</f>
        <v>0</v>
      </c>
    </row>
    <row r="906" spans="30:41" x14ac:dyDescent="0.25">
      <c r="AD906" s="1067" t="str">
        <f t="shared" si="70"/>
        <v/>
      </c>
      <c r="AE906" s="1063" t="str">
        <f>IF(ISNA(VLOOKUP(TB_curr[[#This Row],[Synt]],GL[[#Headers],[#Data],[subtotal label]],1,FALSE)),0,(VLOOKUP(TB_curr[[#This Row],[Synt]],GL[[#Headers],[#Data],[subtotal label]],1,FALSE)))</f>
        <v/>
      </c>
      <c r="AF906" s="1063" t="e">
        <f>IF((TB_curr[[#This Row],[Synt]]-TB_curr[[#This Row],[Subtotal Y/N]])=0,0,VLOOKUP(TB_curr[[#This Row],[Synt]],GL[[Account]:[Line]],3,FALSE))</f>
        <v>#VALUE!</v>
      </c>
      <c r="AG906" s="1063" t="e">
        <f>VLOOKUP(TB_curr[[#This Row],[Synt]],GL[[Account]:[B/P]],4,FALSE)</f>
        <v>#N/A</v>
      </c>
      <c r="AH906" s="1066" t="e">
        <v>#VALUE!</v>
      </c>
      <c r="AI906" s="1065" t="e">
        <f>TB_curr[[#This Row],[Synt]]&amp;TB_curr[[#This Row],[Line No. manual corr.]]</f>
        <v>#VALUE!</v>
      </c>
      <c r="AJ906" s="1064">
        <f t="shared" si="71"/>
        <v>0</v>
      </c>
      <c r="AK906" s="1064">
        <f t="shared" si="72"/>
        <v>0</v>
      </c>
      <c r="AL906" s="1064">
        <f t="shared" si="73"/>
        <v>0</v>
      </c>
      <c r="AM906" s="1064">
        <f t="shared" si="74"/>
        <v>0</v>
      </c>
      <c r="AN906" s="1064"/>
      <c r="AO906" s="1064">
        <f>TB_curr[[#This Row],[Closing balance]]+TB_curr[[#This Row],[Rounding]]</f>
        <v>0</v>
      </c>
    </row>
    <row r="907" spans="30:41" x14ac:dyDescent="0.25">
      <c r="AD907" s="1067" t="str">
        <f t="shared" si="70"/>
        <v/>
      </c>
      <c r="AE907" s="1063" t="str">
        <f>IF(ISNA(VLOOKUP(TB_curr[[#This Row],[Synt]],GL[[#Headers],[#Data],[subtotal label]],1,FALSE)),0,(VLOOKUP(TB_curr[[#This Row],[Synt]],GL[[#Headers],[#Data],[subtotal label]],1,FALSE)))</f>
        <v/>
      </c>
      <c r="AF907" s="1063" t="e">
        <f>IF((TB_curr[[#This Row],[Synt]]-TB_curr[[#This Row],[Subtotal Y/N]])=0,0,VLOOKUP(TB_curr[[#This Row],[Synt]],GL[[Account]:[Line]],3,FALSE))</f>
        <v>#VALUE!</v>
      </c>
      <c r="AG907" s="1063" t="e">
        <f>VLOOKUP(TB_curr[[#This Row],[Synt]],GL[[Account]:[B/P]],4,FALSE)</f>
        <v>#N/A</v>
      </c>
      <c r="AH907" s="1066" t="e">
        <v>#VALUE!</v>
      </c>
      <c r="AI907" s="1065" t="e">
        <f>TB_curr[[#This Row],[Synt]]&amp;TB_curr[[#This Row],[Line No. manual corr.]]</f>
        <v>#VALUE!</v>
      </c>
      <c r="AJ907" s="1064">
        <f t="shared" si="71"/>
        <v>0</v>
      </c>
      <c r="AK907" s="1064">
        <f t="shared" si="72"/>
        <v>0</v>
      </c>
      <c r="AL907" s="1064">
        <f t="shared" si="73"/>
        <v>0</v>
      </c>
      <c r="AM907" s="1064">
        <f t="shared" si="74"/>
        <v>0</v>
      </c>
      <c r="AN907" s="1064"/>
      <c r="AO907" s="1064">
        <f>TB_curr[[#This Row],[Closing balance]]+TB_curr[[#This Row],[Rounding]]</f>
        <v>0</v>
      </c>
    </row>
    <row r="908" spans="30:41" x14ac:dyDescent="0.25">
      <c r="AD908" s="1067" t="str">
        <f t="shared" si="70"/>
        <v/>
      </c>
      <c r="AE908" s="1063" t="str">
        <f>IF(ISNA(VLOOKUP(TB_curr[[#This Row],[Synt]],GL[[#Headers],[#Data],[subtotal label]],1,FALSE)),0,(VLOOKUP(TB_curr[[#This Row],[Synt]],GL[[#Headers],[#Data],[subtotal label]],1,FALSE)))</f>
        <v/>
      </c>
      <c r="AF908" s="1063" t="e">
        <f>IF((TB_curr[[#This Row],[Synt]]-TB_curr[[#This Row],[Subtotal Y/N]])=0,0,VLOOKUP(TB_curr[[#This Row],[Synt]],GL[[Account]:[Line]],3,FALSE))</f>
        <v>#VALUE!</v>
      </c>
      <c r="AG908" s="1063" t="e">
        <f>VLOOKUP(TB_curr[[#This Row],[Synt]],GL[[Account]:[B/P]],4,FALSE)</f>
        <v>#N/A</v>
      </c>
      <c r="AH908" s="1066" t="e">
        <v>#VALUE!</v>
      </c>
      <c r="AI908" s="1065" t="e">
        <f>TB_curr[[#This Row],[Synt]]&amp;TB_curr[[#This Row],[Line No. manual corr.]]</f>
        <v>#VALUE!</v>
      </c>
      <c r="AJ908" s="1064">
        <f t="shared" si="71"/>
        <v>0</v>
      </c>
      <c r="AK908" s="1064">
        <f t="shared" si="72"/>
        <v>0</v>
      </c>
      <c r="AL908" s="1064">
        <f t="shared" si="73"/>
        <v>0</v>
      </c>
      <c r="AM908" s="1064">
        <f t="shared" si="74"/>
        <v>0</v>
      </c>
      <c r="AN908" s="1064"/>
      <c r="AO908" s="1064">
        <f>TB_curr[[#This Row],[Closing balance]]+TB_curr[[#This Row],[Rounding]]</f>
        <v>0</v>
      </c>
    </row>
    <row r="909" spans="30:41" x14ac:dyDescent="0.25">
      <c r="AD909" s="1067" t="str">
        <f t="shared" si="70"/>
        <v/>
      </c>
      <c r="AE909" s="1063" t="str">
        <f>IF(ISNA(VLOOKUP(TB_curr[[#This Row],[Synt]],GL[[#Headers],[#Data],[subtotal label]],1,FALSE)),0,(VLOOKUP(TB_curr[[#This Row],[Synt]],GL[[#Headers],[#Data],[subtotal label]],1,FALSE)))</f>
        <v/>
      </c>
      <c r="AF909" s="1063" t="e">
        <f>IF((TB_curr[[#This Row],[Synt]]-TB_curr[[#This Row],[Subtotal Y/N]])=0,0,VLOOKUP(TB_curr[[#This Row],[Synt]],GL[[Account]:[Line]],3,FALSE))</f>
        <v>#VALUE!</v>
      </c>
      <c r="AG909" s="1063" t="e">
        <f>VLOOKUP(TB_curr[[#This Row],[Synt]],GL[[Account]:[B/P]],4,FALSE)</f>
        <v>#N/A</v>
      </c>
      <c r="AH909" s="1066" t="e">
        <v>#VALUE!</v>
      </c>
      <c r="AI909" s="1065" t="e">
        <f>TB_curr[[#This Row],[Synt]]&amp;TB_curr[[#This Row],[Line No. manual corr.]]</f>
        <v>#VALUE!</v>
      </c>
      <c r="AJ909" s="1064">
        <f t="shared" si="71"/>
        <v>0</v>
      </c>
      <c r="AK909" s="1064">
        <f t="shared" si="72"/>
        <v>0</v>
      </c>
      <c r="AL909" s="1064">
        <f t="shared" si="73"/>
        <v>0</v>
      </c>
      <c r="AM909" s="1064">
        <f t="shared" si="74"/>
        <v>0</v>
      </c>
      <c r="AN909" s="1064"/>
      <c r="AO909" s="1064">
        <f>TB_curr[[#This Row],[Closing balance]]+TB_curr[[#This Row],[Rounding]]</f>
        <v>0</v>
      </c>
    </row>
    <row r="910" spans="30:41" x14ac:dyDescent="0.25">
      <c r="AD910" s="1067" t="str">
        <f t="shared" si="70"/>
        <v/>
      </c>
      <c r="AE910" s="1063" t="str">
        <f>IF(ISNA(VLOOKUP(TB_curr[[#This Row],[Synt]],GL[[#Headers],[#Data],[subtotal label]],1,FALSE)),0,(VLOOKUP(TB_curr[[#This Row],[Synt]],GL[[#Headers],[#Data],[subtotal label]],1,FALSE)))</f>
        <v/>
      </c>
      <c r="AF910" s="1063" t="e">
        <f>IF((TB_curr[[#This Row],[Synt]]-TB_curr[[#This Row],[Subtotal Y/N]])=0,0,VLOOKUP(TB_curr[[#This Row],[Synt]],GL[[Account]:[Line]],3,FALSE))</f>
        <v>#VALUE!</v>
      </c>
      <c r="AG910" s="1063" t="e">
        <f>VLOOKUP(TB_curr[[#This Row],[Synt]],GL[[Account]:[B/P]],4,FALSE)</f>
        <v>#N/A</v>
      </c>
      <c r="AH910" s="1066" t="e">
        <v>#VALUE!</v>
      </c>
      <c r="AI910" s="1065" t="e">
        <f>TB_curr[[#This Row],[Synt]]&amp;TB_curr[[#This Row],[Line No. manual corr.]]</f>
        <v>#VALUE!</v>
      </c>
      <c r="AJ910" s="1064">
        <f t="shared" si="71"/>
        <v>0</v>
      </c>
      <c r="AK910" s="1064">
        <f t="shared" si="72"/>
        <v>0</v>
      </c>
      <c r="AL910" s="1064">
        <f t="shared" si="73"/>
        <v>0</v>
      </c>
      <c r="AM910" s="1064">
        <f t="shared" si="74"/>
        <v>0</v>
      </c>
      <c r="AN910" s="1064"/>
      <c r="AO910" s="1064">
        <f>TB_curr[[#This Row],[Closing balance]]+TB_curr[[#This Row],[Rounding]]</f>
        <v>0</v>
      </c>
    </row>
    <row r="911" spans="30:41" x14ac:dyDescent="0.25">
      <c r="AD911" s="1067" t="str">
        <f t="shared" si="70"/>
        <v/>
      </c>
      <c r="AE911" s="1063" t="str">
        <f>IF(ISNA(VLOOKUP(TB_curr[[#This Row],[Synt]],GL[[#Headers],[#Data],[subtotal label]],1,FALSE)),0,(VLOOKUP(TB_curr[[#This Row],[Synt]],GL[[#Headers],[#Data],[subtotal label]],1,FALSE)))</f>
        <v/>
      </c>
      <c r="AF911" s="1063" t="e">
        <f>IF((TB_curr[[#This Row],[Synt]]-TB_curr[[#This Row],[Subtotal Y/N]])=0,0,VLOOKUP(TB_curr[[#This Row],[Synt]],GL[[Account]:[Line]],3,FALSE))</f>
        <v>#VALUE!</v>
      </c>
      <c r="AG911" s="1063" t="e">
        <f>VLOOKUP(TB_curr[[#This Row],[Synt]],GL[[Account]:[B/P]],4,FALSE)</f>
        <v>#N/A</v>
      </c>
      <c r="AH911" s="1066" t="e">
        <v>#VALUE!</v>
      </c>
      <c r="AI911" s="1065" t="e">
        <f>TB_curr[[#This Row],[Synt]]&amp;TB_curr[[#This Row],[Line No. manual corr.]]</f>
        <v>#VALUE!</v>
      </c>
      <c r="AJ911" s="1064">
        <f t="shared" si="71"/>
        <v>0</v>
      </c>
      <c r="AK911" s="1064">
        <f t="shared" si="72"/>
        <v>0</v>
      </c>
      <c r="AL911" s="1064">
        <f t="shared" si="73"/>
        <v>0</v>
      </c>
      <c r="AM911" s="1064">
        <f t="shared" si="74"/>
        <v>0</v>
      </c>
      <c r="AN911" s="1064"/>
      <c r="AO911" s="1064">
        <f>TB_curr[[#This Row],[Closing balance]]+TB_curr[[#This Row],[Rounding]]</f>
        <v>0</v>
      </c>
    </row>
    <row r="912" spans="30:41" x14ac:dyDescent="0.25">
      <c r="AD912" s="1067" t="str">
        <f t="shared" si="70"/>
        <v/>
      </c>
      <c r="AE912" s="1063" t="str">
        <f>IF(ISNA(VLOOKUP(TB_curr[[#This Row],[Synt]],GL[[#Headers],[#Data],[subtotal label]],1,FALSE)),0,(VLOOKUP(TB_curr[[#This Row],[Synt]],GL[[#Headers],[#Data],[subtotal label]],1,FALSE)))</f>
        <v/>
      </c>
      <c r="AF912" s="1063" t="e">
        <f>IF((TB_curr[[#This Row],[Synt]]-TB_curr[[#This Row],[Subtotal Y/N]])=0,0,VLOOKUP(TB_curr[[#This Row],[Synt]],GL[[Account]:[Line]],3,FALSE))</f>
        <v>#VALUE!</v>
      </c>
      <c r="AG912" s="1063" t="e">
        <f>VLOOKUP(TB_curr[[#This Row],[Synt]],GL[[Account]:[B/P]],4,FALSE)</f>
        <v>#N/A</v>
      </c>
      <c r="AH912" s="1066" t="e">
        <v>#VALUE!</v>
      </c>
      <c r="AI912" s="1065" t="e">
        <f>TB_curr[[#This Row],[Synt]]&amp;TB_curr[[#This Row],[Line No. manual corr.]]</f>
        <v>#VALUE!</v>
      </c>
      <c r="AJ912" s="1064">
        <f t="shared" si="71"/>
        <v>0</v>
      </c>
      <c r="AK912" s="1064">
        <f t="shared" si="72"/>
        <v>0</v>
      </c>
      <c r="AL912" s="1064">
        <f t="shared" si="73"/>
        <v>0</v>
      </c>
      <c r="AM912" s="1064">
        <f t="shared" si="74"/>
        <v>0</v>
      </c>
      <c r="AN912" s="1064"/>
      <c r="AO912" s="1064">
        <f>TB_curr[[#This Row],[Closing balance]]+TB_curr[[#This Row],[Rounding]]</f>
        <v>0</v>
      </c>
    </row>
    <row r="913" spans="30:41" x14ac:dyDescent="0.25">
      <c r="AD913" s="1067" t="str">
        <f t="shared" si="70"/>
        <v/>
      </c>
      <c r="AE913" s="1063" t="str">
        <f>IF(ISNA(VLOOKUP(TB_curr[[#This Row],[Synt]],GL[[#Headers],[#Data],[subtotal label]],1,FALSE)),0,(VLOOKUP(TB_curr[[#This Row],[Synt]],GL[[#Headers],[#Data],[subtotal label]],1,FALSE)))</f>
        <v/>
      </c>
      <c r="AF913" s="1063" t="e">
        <f>IF((TB_curr[[#This Row],[Synt]]-TB_curr[[#This Row],[Subtotal Y/N]])=0,0,VLOOKUP(TB_curr[[#This Row],[Synt]],GL[[Account]:[Line]],3,FALSE))</f>
        <v>#VALUE!</v>
      </c>
      <c r="AG913" s="1063" t="e">
        <f>VLOOKUP(TB_curr[[#This Row],[Synt]],GL[[Account]:[B/P]],4,FALSE)</f>
        <v>#N/A</v>
      </c>
      <c r="AH913" s="1066" t="e">
        <v>#VALUE!</v>
      </c>
      <c r="AI913" s="1065" t="e">
        <f>TB_curr[[#This Row],[Synt]]&amp;TB_curr[[#This Row],[Line No. manual corr.]]</f>
        <v>#VALUE!</v>
      </c>
      <c r="AJ913" s="1064">
        <f t="shared" si="71"/>
        <v>0</v>
      </c>
      <c r="AK913" s="1064">
        <f t="shared" si="72"/>
        <v>0</v>
      </c>
      <c r="AL913" s="1064">
        <f t="shared" si="73"/>
        <v>0</v>
      </c>
      <c r="AM913" s="1064">
        <f t="shared" si="74"/>
        <v>0</v>
      </c>
      <c r="AN913" s="1064"/>
      <c r="AO913" s="1064">
        <f>TB_curr[[#This Row],[Closing balance]]+TB_curr[[#This Row],[Rounding]]</f>
        <v>0</v>
      </c>
    </row>
    <row r="914" spans="30:41" x14ac:dyDescent="0.25">
      <c r="AD914" s="1067" t="str">
        <f t="shared" si="70"/>
        <v/>
      </c>
      <c r="AE914" s="1063" t="str">
        <f>IF(ISNA(VLOOKUP(TB_curr[[#This Row],[Synt]],GL[[#Headers],[#Data],[subtotal label]],1,FALSE)),0,(VLOOKUP(TB_curr[[#This Row],[Synt]],GL[[#Headers],[#Data],[subtotal label]],1,FALSE)))</f>
        <v/>
      </c>
      <c r="AF914" s="1063" t="e">
        <f>IF((TB_curr[[#This Row],[Synt]]-TB_curr[[#This Row],[Subtotal Y/N]])=0,0,VLOOKUP(TB_curr[[#This Row],[Synt]],GL[[Account]:[Line]],3,FALSE))</f>
        <v>#VALUE!</v>
      </c>
      <c r="AG914" s="1063" t="e">
        <f>VLOOKUP(TB_curr[[#This Row],[Synt]],GL[[Account]:[B/P]],4,FALSE)</f>
        <v>#N/A</v>
      </c>
      <c r="AH914" s="1066" t="e">
        <v>#VALUE!</v>
      </c>
      <c r="AI914" s="1065" t="e">
        <f>TB_curr[[#This Row],[Synt]]&amp;TB_curr[[#This Row],[Line No. manual corr.]]</f>
        <v>#VALUE!</v>
      </c>
      <c r="AJ914" s="1064">
        <f t="shared" si="71"/>
        <v>0</v>
      </c>
      <c r="AK914" s="1064">
        <f t="shared" si="72"/>
        <v>0</v>
      </c>
      <c r="AL914" s="1064">
        <f t="shared" si="73"/>
        <v>0</v>
      </c>
      <c r="AM914" s="1064">
        <f t="shared" si="74"/>
        <v>0</v>
      </c>
      <c r="AN914" s="1064"/>
      <c r="AO914" s="1064">
        <f>TB_curr[[#This Row],[Closing balance]]+TB_curr[[#This Row],[Rounding]]</f>
        <v>0</v>
      </c>
    </row>
    <row r="915" spans="30:41" x14ac:dyDescent="0.25">
      <c r="AD915" s="1067" t="str">
        <f t="shared" si="70"/>
        <v/>
      </c>
      <c r="AE915" s="1063" t="str">
        <f>IF(ISNA(VLOOKUP(TB_curr[[#This Row],[Synt]],GL[[#Headers],[#Data],[subtotal label]],1,FALSE)),0,(VLOOKUP(TB_curr[[#This Row],[Synt]],GL[[#Headers],[#Data],[subtotal label]],1,FALSE)))</f>
        <v/>
      </c>
      <c r="AF915" s="1063" t="e">
        <f>IF((TB_curr[[#This Row],[Synt]]-TB_curr[[#This Row],[Subtotal Y/N]])=0,0,VLOOKUP(TB_curr[[#This Row],[Synt]],GL[[Account]:[Line]],3,FALSE))</f>
        <v>#VALUE!</v>
      </c>
      <c r="AG915" s="1063" t="e">
        <f>VLOOKUP(TB_curr[[#This Row],[Synt]],GL[[Account]:[B/P]],4,FALSE)</f>
        <v>#N/A</v>
      </c>
      <c r="AH915" s="1066" t="e">
        <v>#VALUE!</v>
      </c>
      <c r="AI915" s="1065" t="e">
        <f>TB_curr[[#This Row],[Synt]]&amp;TB_curr[[#This Row],[Line No. manual corr.]]</f>
        <v>#VALUE!</v>
      </c>
      <c r="AJ915" s="1064">
        <f t="shared" si="71"/>
        <v>0</v>
      </c>
      <c r="AK915" s="1064">
        <f t="shared" si="72"/>
        <v>0</v>
      </c>
      <c r="AL915" s="1064">
        <f t="shared" si="73"/>
        <v>0</v>
      </c>
      <c r="AM915" s="1064">
        <f t="shared" si="74"/>
        <v>0</v>
      </c>
      <c r="AN915" s="1064"/>
      <c r="AO915" s="1064">
        <f>TB_curr[[#This Row],[Closing balance]]+TB_curr[[#This Row],[Rounding]]</f>
        <v>0</v>
      </c>
    </row>
    <row r="916" spans="30:41" x14ac:dyDescent="0.25">
      <c r="AD916" s="1067" t="str">
        <f t="shared" si="70"/>
        <v/>
      </c>
      <c r="AE916" s="1063" t="str">
        <f>IF(ISNA(VLOOKUP(TB_curr[[#This Row],[Synt]],GL[[#Headers],[#Data],[subtotal label]],1,FALSE)),0,(VLOOKUP(TB_curr[[#This Row],[Synt]],GL[[#Headers],[#Data],[subtotal label]],1,FALSE)))</f>
        <v/>
      </c>
      <c r="AF916" s="1063" t="e">
        <f>IF((TB_curr[[#This Row],[Synt]]-TB_curr[[#This Row],[Subtotal Y/N]])=0,0,VLOOKUP(TB_curr[[#This Row],[Synt]],GL[[Account]:[Line]],3,FALSE))</f>
        <v>#VALUE!</v>
      </c>
      <c r="AG916" s="1063" t="e">
        <f>VLOOKUP(TB_curr[[#This Row],[Synt]],GL[[Account]:[B/P]],4,FALSE)</f>
        <v>#N/A</v>
      </c>
      <c r="AH916" s="1066" t="e">
        <v>#VALUE!</v>
      </c>
      <c r="AI916" s="1065" t="e">
        <f>TB_curr[[#This Row],[Synt]]&amp;TB_curr[[#This Row],[Line No. manual corr.]]</f>
        <v>#VALUE!</v>
      </c>
      <c r="AJ916" s="1064">
        <f t="shared" si="71"/>
        <v>0</v>
      </c>
      <c r="AK916" s="1064">
        <f t="shared" si="72"/>
        <v>0</v>
      </c>
      <c r="AL916" s="1064">
        <f t="shared" si="73"/>
        <v>0</v>
      </c>
      <c r="AM916" s="1064">
        <f t="shared" si="74"/>
        <v>0</v>
      </c>
      <c r="AN916" s="1064"/>
      <c r="AO916" s="1064">
        <f>TB_curr[[#This Row],[Closing balance]]+TB_curr[[#This Row],[Rounding]]</f>
        <v>0</v>
      </c>
    </row>
    <row r="917" spans="30:41" x14ac:dyDescent="0.25">
      <c r="AD917" s="1067" t="str">
        <f t="shared" si="70"/>
        <v/>
      </c>
      <c r="AE917" s="1063" t="str">
        <f>IF(ISNA(VLOOKUP(TB_curr[[#This Row],[Synt]],GL[[#Headers],[#Data],[subtotal label]],1,FALSE)),0,(VLOOKUP(TB_curr[[#This Row],[Synt]],GL[[#Headers],[#Data],[subtotal label]],1,FALSE)))</f>
        <v/>
      </c>
      <c r="AF917" s="1063" t="e">
        <f>IF((TB_curr[[#This Row],[Synt]]-TB_curr[[#This Row],[Subtotal Y/N]])=0,0,VLOOKUP(TB_curr[[#This Row],[Synt]],GL[[Account]:[Line]],3,FALSE))</f>
        <v>#VALUE!</v>
      </c>
      <c r="AG917" s="1063" t="e">
        <f>VLOOKUP(TB_curr[[#This Row],[Synt]],GL[[Account]:[B/P]],4,FALSE)</f>
        <v>#N/A</v>
      </c>
      <c r="AH917" s="1066" t="e">
        <v>#VALUE!</v>
      </c>
      <c r="AI917" s="1065" t="e">
        <f>TB_curr[[#This Row],[Synt]]&amp;TB_curr[[#This Row],[Line No. manual corr.]]</f>
        <v>#VALUE!</v>
      </c>
      <c r="AJ917" s="1064">
        <f t="shared" si="71"/>
        <v>0</v>
      </c>
      <c r="AK917" s="1064">
        <f t="shared" si="72"/>
        <v>0</v>
      </c>
      <c r="AL917" s="1064">
        <f t="shared" si="73"/>
        <v>0</v>
      </c>
      <c r="AM917" s="1064">
        <f t="shared" si="74"/>
        <v>0</v>
      </c>
      <c r="AN917" s="1064"/>
      <c r="AO917" s="1064">
        <f>TB_curr[[#This Row],[Closing balance]]+TB_curr[[#This Row],[Rounding]]</f>
        <v>0</v>
      </c>
    </row>
    <row r="918" spans="30:41" x14ac:dyDescent="0.25">
      <c r="AD918" s="1067" t="str">
        <f t="shared" si="70"/>
        <v/>
      </c>
      <c r="AE918" s="1063" t="str">
        <f>IF(ISNA(VLOOKUP(TB_curr[[#This Row],[Synt]],GL[[#Headers],[#Data],[subtotal label]],1,FALSE)),0,(VLOOKUP(TB_curr[[#This Row],[Synt]],GL[[#Headers],[#Data],[subtotal label]],1,FALSE)))</f>
        <v/>
      </c>
      <c r="AF918" s="1063" t="e">
        <f>IF((TB_curr[[#This Row],[Synt]]-TB_curr[[#This Row],[Subtotal Y/N]])=0,0,VLOOKUP(TB_curr[[#This Row],[Synt]],GL[[Account]:[Line]],3,FALSE))</f>
        <v>#VALUE!</v>
      </c>
      <c r="AG918" s="1063" t="e">
        <f>VLOOKUP(TB_curr[[#This Row],[Synt]],GL[[Account]:[B/P]],4,FALSE)</f>
        <v>#N/A</v>
      </c>
      <c r="AH918" s="1066" t="e">
        <v>#VALUE!</v>
      </c>
      <c r="AI918" s="1065" t="e">
        <f>TB_curr[[#This Row],[Synt]]&amp;TB_curr[[#This Row],[Line No. manual corr.]]</f>
        <v>#VALUE!</v>
      </c>
      <c r="AJ918" s="1064">
        <f t="shared" si="71"/>
        <v>0</v>
      </c>
      <c r="AK918" s="1064">
        <f t="shared" si="72"/>
        <v>0</v>
      </c>
      <c r="AL918" s="1064">
        <f t="shared" si="73"/>
        <v>0</v>
      </c>
      <c r="AM918" s="1064">
        <f t="shared" si="74"/>
        <v>0</v>
      </c>
      <c r="AN918" s="1064"/>
      <c r="AO918" s="1064">
        <f>TB_curr[[#This Row],[Closing balance]]+TB_curr[[#This Row],[Rounding]]</f>
        <v>0</v>
      </c>
    </row>
    <row r="919" spans="30:41" x14ac:dyDescent="0.25">
      <c r="AD919" s="1067" t="str">
        <f t="shared" si="70"/>
        <v/>
      </c>
      <c r="AE919" s="1063" t="str">
        <f>IF(ISNA(VLOOKUP(TB_curr[[#This Row],[Synt]],GL[[#Headers],[#Data],[subtotal label]],1,FALSE)),0,(VLOOKUP(TB_curr[[#This Row],[Synt]],GL[[#Headers],[#Data],[subtotal label]],1,FALSE)))</f>
        <v/>
      </c>
      <c r="AF919" s="1063" t="e">
        <f>IF((TB_curr[[#This Row],[Synt]]-TB_curr[[#This Row],[Subtotal Y/N]])=0,0,VLOOKUP(TB_curr[[#This Row],[Synt]],GL[[Account]:[Line]],3,FALSE))</f>
        <v>#VALUE!</v>
      </c>
      <c r="AG919" s="1063" t="e">
        <f>VLOOKUP(TB_curr[[#This Row],[Synt]],GL[[Account]:[B/P]],4,FALSE)</f>
        <v>#N/A</v>
      </c>
      <c r="AH919" s="1066" t="e">
        <v>#VALUE!</v>
      </c>
      <c r="AI919" s="1065" t="e">
        <f>TB_curr[[#This Row],[Synt]]&amp;TB_curr[[#This Row],[Line No. manual corr.]]</f>
        <v>#VALUE!</v>
      </c>
      <c r="AJ919" s="1064">
        <f t="shared" si="71"/>
        <v>0</v>
      </c>
      <c r="AK919" s="1064">
        <f t="shared" si="72"/>
        <v>0</v>
      </c>
      <c r="AL919" s="1064">
        <f t="shared" si="73"/>
        <v>0</v>
      </c>
      <c r="AM919" s="1064">
        <f t="shared" si="74"/>
        <v>0</v>
      </c>
      <c r="AN919" s="1064"/>
      <c r="AO919" s="1064">
        <f>TB_curr[[#This Row],[Closing balance]]+TB_curr[[#This Row],[Rounding]]</f>
        <v>0</v>
      </c>
    </row>
    <row r="920" spans="30:41" x14ac:dyDescent="0.25">
      <c r="AD920" s="1067" t="str">
        <f t="shared" si="70"/>
        <v/>
      </c>
      <c r="AE920" s="1063" t="str">
        <f>IF(ISNA(VLOOKUP(TB_curr[[#This Row],[Synt]],GL[[#Headers],[#Data],[subtotal label]],1,FALSE)),0,(VLOOKUP(TB_curr[[#This Row],[Synt]],GL[[#Headers],[#Data],[subtotal label]],1,FALSE)))</f>
        <v/>
      </c>
      <c r="AF920" s="1063" t="e">
        <f>IF((TB_curr[[#This Row],[Synt]]-TB_curr[[#This Row],[Subtotal Y/N]])=0,0,VLOOKUP(TB_curr[[#This Row],[Synt]],GL[[Account]:[Line]],3,FALSE))</f>
        <v>#VALUE!</v>
      </c>
      <c r="AG920" s="1063" t="e">
        <f>VLOOKUP(TB_curr[[#This Row],[Synt]],GL[[Account]:[B/P]],4,FALSE)</f>
        <v>#N/A</v>
      </c>
      <c r="AH920" s="1066" t="e">
        <v>#VALUE!</v>
      </c>
      <c r="AI920" s="1065" t="e">
        <f>TB_curr[[#This Row],[Synt]]&amp;TB_curr[[#This Row],[Line No. manual corr.]]</f>
        <v>#VALUE!</v>
      </c>
      <c r="AJ920" s="1064">
        <f t="shared" si="71"/>
        <v>0</v>
      </c>
      <c r="AK920" s="1064">
        <f t="shared" si="72"/>
        <v>0</v>
      </c>
      <c r="AL920" s="1064">
        <f t="shared" si="73"/>
        <v>0</v>
      </c>
      <c r="AM920" s="1064">
        <f t="shared" si="74"/>
        <v>0</v>
      </c>
      <c r="AN920" s="1064"/>
      <c r="AO920" s="1064">
        <f>TB_curr[[#This Row],[Closing balance]]+TB_curr[[#This Row],[Rounding]]</f>
        <v>0</v>
      </c>
    </row>
    <row r="921" spans="30:41" x14ac:dyDescent="0.25">
      <c r="AD921" s="1067" t="str">
        <f t="shared" si="70"/>
        <v/>
      </c>
      <c r="AE921" s="1063" t="str">
        <f>IF(ISNA(VLOOKUP(TB_curr[[#This Row],[Synt]],GL[[#Headers],[#Data],[subtotal label]],1,FALSE)),0,(VLOOKUP(TB_curr[[#This Row],[Synt]],GL[[#Headers],[#Data],[subtotal label]],1,FALSE)))</f>
        <v/>
      </c>
      <c r="AF921" s="1063" t="e">
        <f>IF((TB_curr[[#This Row],[Synt]]-TB_curr[[#This Row],[Subtotal Y/N]])=0,0,VLOOKUP(TB_curr[[#This Row],[Synt]],GL[[Account]:[Line]],3,FALSE))</f>
        <v>#VALUE!</v>
      </c>
      <c r="AG921" s="1063" t="e">
        <f>VLOOKUP(TB_curr[[#This Row],[Synt]],GL[[Account]:[B/P]],4,FALSE)</f>
        <v>#N/A</v>
      </c>
      <c r="AH921" s="1066" t="e">
        <v>#VALUE!</v>
      </c>
      <c r="AI921" s="1065" t="e">
        <f>TB_curr[[#This Row],[Synt]]&amp;TB_curr[[#This Row],[Line No. manual corr.]]</f>
        <v>#VALUE!</v>
      </c>
      <c r="AJ921" s="1064">
        <f t="shared" si="71"/>
        <v>0</v>
      </c>
      <c r="AK921" s="1064">
        <f t="shared" si="72"/>
        <v>0</v>
      </c>
      <c r="AL921" s="1064">
        <f t="shared" si="73"/>
        <v>0</v>
      </c>
      <c r="AM921" s="1064">
        <f t="shared" si="74"/>
        <v>0</v>
      </c>
      <c r="AN921" s="1064"/>
      <c r="AO921" s="1064">
        <f>TB_curr[[#This Row],[Closing balance]]+TB_curr[[#This Row],[Rounding]]</f>
        <v>0</v>
      </c>
    </row>
    <row r="922" spans="30:41" x14ac:dyDescent="0.25">
      <c r="AD922" s="1067" t="str">
        <f t="shared" si="70"/>
        <v/>
      </c>
      <c r="AE922" s="1063" t="str">
        <f>IF(ISNA(VLOOKUP(TB_curr[[#This Row],[Synt]],GL[[#Headers],[#Data],[subtotal label]],1,FALSE)),0,(VLOOKUP(TB_curr[[#This Row],[Synt]],GL[[#Headers],[#Data],[subtotal label]],1,FALSE)))</f>
        <v/>
      </c>
      <c r="AF922" s="1063" t="e">
        <f>IF((TB_curr[[#This Row],[Synt]]-TB_curr[[#This Row],[Subtotal Y/N]])=0,0,VLOOKUP(TB_curr[[#This Row],[Synt]],GL[[Account]:[Line]],3,FALSE))</f>
        <v>#VALUE!</v>
      </c>
      <c r="AG922" s="1063" t="e">
        <f>VLOOKUP(TB_curr[[#This Row],[Synt]],GL[[Account]:[B/P]],4,FALSE)</f>
        <v>#N/A</v>
      </c>
      <c r="AH922" s="1066" t="e">
        <v>#VALUE!</v>
      </c>
      <c r="AI922" s="1065" t="e">
        <f>TB_curr[[#This Row],[Synt]]&amp;TB_curr[[#This Row],[Line No. manual corr.]]</f>
        <v>#VALUE!</v>
      </c>
      <c r="AJ922" s="1064">
        <f t="shared" si="71"/>
        <v>0</v>
      </c>
      <c r="AK922" s="1064">
        <f t="shared" si="72"/>
        <v>0</v>
      </c>
      <c r="AL922" s="1064">
        <f t="shared" si="73"/>
        <v>0</v>
      </c>
      <c r="AM922" s="1064">
        <f t="shared" si="74"/>
        <v>0</v>
      </c>
      <c r="AN922" s="1064"/>
      <c r="AO922" s="1064">
        <f>TB_curr[[#This Row],[Closing balance]]+TB_curr[[#This Row],[Rounding]]</f>
        <v>0</v>
      </c>
    </row>
    <row r="923" spans="30:41" x14ac:dyDescent="0.25">
      <c r="AD923" s="1067" t="str">
        <f t="shared" si="70"/>
        <v/>
      </c>
      <c r="AE923" s="1063" t="str">
        <f>IF(ISNA(VLOOKUP(TB_curr[[#This Row],[Synt]],GL[[#Headers],[#Data],[subtotal label]],1,FALSE)),0,(VLOOKUP(TB_curr[[#This Row],[Synt]],GL[[#Headers],[#Data],[subtotal label]],1,FALSE)))</f>
        <v/>
      </c>
      <c r="AF923" s="1063" t="e">
        <f>IF((TB_curr[[#This Row],[Synt]]-TB_curr[[#This Row],[Subtotal Y/N]])=0,0,VLOOKUP(TB_curr[[#This Row],[Synt]],GL[[Account]:[Line]],3,FALSE))</f>
        <v>#VALUE!</v>
      </c>
      <c r="AG923" s="1063" t="e">
        <f>VLOOKUP(TB_curr[[#This Row],[Synt]],GL[[Account]:[B/P]],4,FALSE)</f>
        <v>#N/A</v>
      </c>
      <c r="AH923" s="1066" t="e">
        <v>#VALUE!</v>
      </c>
      <c r="AI923" s="1065" t="e">
        <f>TB_curr[[#This Row],[Synt]]&amp;TB_curr[[#This Row],[Line No. manual corr.]]</f>
        <v>#VALUE!</v>
      </c>
      <c r="AJ923" s="1064">
        <f t="shared" si="71"/>
        <v>0</v>
      </c>
      <c r="AK923" s="1064">
        <f t="shared" si="72"/>
        <v>0</v>
      </c>
      <c r="AL923" s="1064">
        <f t="shared" si="73"/>
        <v>0</v>
      </c>
      <c r="AM923" s="1064">
        <f t="shared" si="74"/>
        <v>0</v>
      </c>
      <c r="AN923" s="1064"/>
      <c r="AO923" s="1064">
        <f>TB_curr[[#This Row],[Closing balance]]+TB_curr[[#This Row],[Rounding]]</f>
        <v>0</v>
      </c>
    </row>
    <row r="924" spans="30:41" x14ac:dyDescent="0.25">
      <c r="AD924" s="1067" t="str">
        <f t="shared" si="70"/>
        <v/>
      </c>
      <c r="AE924" s="1063" t="str">
        <f>IF(ISNA(VLOOKUP(TB_curr[[#This Row],[Synt]],GL[[#Headers],[#Data],[subtotal label]],1,FALSE)),0,(VLOOKUP(TB_curr[[#This Row],[Synt]],GL[[#Headers],[#Data],[subtotal label]],1,FALSE)))</f>
        <v/>
      </c>
      <c r="AF924" s="1063" t="e">
        <f>IF((TB_curr[[#This Row],[Synt]]-TB_curr[[#This Row],[Subtotal Y/N]])=0,0,VLOOKUP(TB_curr[[#This Row],[Synt]],GL[[Account]:[Line]],3,FALSE))</f>
        <v>#VALUE!</v>
      </c>
      <c r="AG924" s="1063" t="e">
        <f>VLOOKUP(TB_curr[[#This Row],[Synt]],GL[[Account]:[B/P]],4,FALSE)</f>
        <v>#N/A</v>
      </c>
      <c r="AH924" s="1066" t="e">
        <v>#VALUE!</v>
      </c>
      <c r="AI924" s="1065" t="e">
        <f>TB_curr[[#This Row],[Synt]]&amp;TB_curr[[#This Row],[Line No. manual corr.]]</f>
        <v>#VALUE!</v>
      </c>
      <c r="AJ924" s="1064">
        <f t="shared" si="71"/>
        <v>0</v>
      </c>
      <c r="AK924" s="1064">
        <f t="shared" si="72"/>
        <v>0</v>
      </c>
      <c r="AL924" s="1064">
        <f t="shared" si="73"/>
        <v>0</v>
      </c>
      <c r="AM924" s="1064">
        <f t="shared" si="74"/>
        <v>0</v>
      </c>
      <c r="AN924" s="1064"/>
      <c r="AO924" s="1064">
        <f>TB_curr[[#This Row],[Closing balance]]+TB_curr[[#This Row],[Rounding]]</f>
        <v>0</v>
      </c>
    </row>
    <row r="925" spans="30:41" x14ac:dyDescent="0.25">
      <c r="AD925" s="1067" t="str">
        <f t="shared" si="70"/>
        <v/>
      </c>
      <c r="AE925" s="1063" t="str">
        <f>IF(ISNA(VLOOKUP(TB_curr[[#This Row],[Synt]],GL[[#Headers],[#Data],[subtotal label]],1,FALSE)),0,(VLOOKUP(TB_curr[[#This Row],[Synt]],GL[[#Headers],[#Data],[subtotal label]],1,FALSE)))</f>
        <v/>
      </c>
      <c r="AF925" s="1063" t="e">
        <f>IF((TB_curr[[#This Row],[Synt]]-TB_curr[[#This Row],[Subtotal Y/N]])=0,0,VLOOKUP(TB_curr[[#This Row],[Synt]],GL[[Account]:[Line]],3,FALSE))</f>
        <v>#VALUE!</v>
      </c>
      <c r="AG925" s="1063" t="e">
        <f>VLOOKUP(TB_curr[[#This Row],[Synt]],GL[[Account]:[B/P]],4,FALSE)</f>
        <v>#N/A</v>
      </c>
      <c r="AH925" s="1066" t="e">
        <v>#VALUE!</v>
      </c>
      <c r="AI925" s="1065" t="e">
        <f>TB_curr[[#This Row],[Synt]]&amp;TB_curr[[#This Row],[Line No. manual corr.]]</f>
        <v>#VALUE!</v>
      </c>
      <c r="AJ925" s="1064">
        <f t="shared" si="71"/>
        <v>0</v>
      </c>
      <c r="AK925" s="1064">
        <f t="shared" si="72"/>
        <v>0</v>
      </c>
      <c r="AL925" s="1064">
        <f t="shared" si="73"/>
        <v>0</v>
      </c>
      <c r="AM925" s="1064">
        <f t="shared" si="74"/>
        <v>0</v>
      </c>
      <c r="AN925" s="1064"/>
      <c r="AO925" s="1064">
        <f>TB_curr[[#This Row],[Closing balance]]+TB_curr[[#This Row],[Rounding]]</f>
        <v>0</v>
      </c>
    </row>
    <row r="926" spans="30:41" x14ac:dyDescent="0.25">
      <c r="AD926" s="1067" t="str">
        <f t="shared" si="70"/>
        <v/>
      </c>
      <c r="AE926" s="1063" t="str">
        <f>IF(ISNA(VLOOKUP(TB_curr[[#This Row],[Synt]],GL[[#Headers],[#Data],[subtotal label]],1,FALSE)),0,(VLOOKUP(TB_curr[[#This Row],[Synt]],GL[[#Headers],[#Data],[subtotal label]],1,FALSE)))</f>
        <v/>
      </c>
      <c r="AF926" s="1063" t="e">
        <f>IF((TB_curr[[#This Row],[Synt]]-TB_curr[[#This Row],[Subtotal Y/N]])=0,0,VLOOKUP(TB_curr[[#This Row],[Synt]],GL[[Account]:[Line]],3,FALSE))</f>
        <v>#VALUE!</v>
      </c>
      <c r="AG926" s="1063" t="e">
        <f>VLOOKUP(TB_curr[[#This Row],[Synt]],GL[[Account]:[B/P]],4,FALSE)</f>
        <v>#N/A</v>
      </c>
      <c r="AH926" s="1066" t="e">
        <v>#VALUE!</v>
      </c>
      <c r="AI926" s="1065" t="e">
        <f>TB_curr[[#This Row],[Synt]]&amp;TB_curr[[#This Row],[Line No. manual corr.]]</f>
        <v>#VALUE!</v>
      </c>
      <c r="AJ926" s="1064">
        <f t="shared" si="71"/>
        <v>0</v>
      </c>
      <c r="AK926" s="1064">
        <f t="shared" si="72"/>
        <v>0</v>
      </c>
      <c r="AL926" s="1064">
        <f t="shared" si="73"/>
        <v>0</v>
      </c>
      <c r="AM926" s="1064">
        <f t="shared" si="74"/>
        <v>0</v>
      </c>
      <c r="AN926" s="1064"/>
      <c r="AO926" s="1064">
        <f>TB_curr[[#This Row],[Closing balance]]+TB_curr[[#This Row],[Rounding]]</f>
        <v>0</v>
      </c>
    </row>
    <row r="927" spans="30:41" x14ac:dyDescent="0.25">
      <c r="AD927" s="1067" t="str">
        <f t="shared" si="70"/>
        <v/>
      </c>
      <c r="AE927" s="1063" t="str">
        <f>IF(ISNA(VLOOKUP(TB_curr[[#This Row],[Synt]],GL[[#Headers],[#Data],[subtotal label]],1,FALSE)),0,(VLOOKUP(TB_curr[[#This Row],[Synt]],GL[[#Headers],[#Data],[subtotal label]],1,FALSE)))</f>
        <v/>
      </c>
      <c r="AF927" s="1063" t="e">
        <f>IF((TB_curr[[#This Row],[Synt]]-TB_curr[[#This Row],[Subtotal Y/N]])=0,0,VLOOKUP(TB_curr[[#This Row],[Synt]],GL[[Account]:[Line]],3,FALSE))</f>
        <v>#VALUE!</v>
      </c>
      <c r="AG927" s="1063" t="e">
        <f>VLOOKUP(TB_curr[[#This Row],[Synt]],GL[[Account]:[B/P]],4,FALSE)</f>
        <v>#N/A</v>
      </c>
      <c r="AH927" s="1066" t="e">
        <v>#VALUE!</v>
      </c>
      <c r="AI927" s="1065" t="e">
        <f>TB_curr[[#This Row],[Synt]]&amp;TB_curr[[#This Row],[Line No. manual corr.]]</f>
        <v>#VALUE!</v>
      </c>
      <c r="AJ927" s="1064">
        <f t="shared" si="71"/>
        <v>0</v>
      </c>
      <c r="AK927" s="1064">
        <f t="shared" si="72"/>
        <v>0</v>
      </c>
      <c r="AL927" s="1064">
        <f t="shared" si="73"/>
        <v>0</v>
      </c>
      <c r="AM927" s="1064">
        <f t="shared" si="74"/>
        <v>0</v>
      </c>
      <c r="AN927" s="1064"/>
      <c r="AO927" s="1064">
        <f>TB_curr[[#This Row],[Closing balance]]+TB_curr[[#This Row],[Rounding]]</f>
        <v>0</v>
      </c>
    </row>
    <row r="928" spans="30:41" x14ac:dyDescent="0.25">
      <c r="AD928" s="1067" t="str">
        <f t="shared" si="70"/>
        <v/>
      </c>
      <c r="AE928" s="1063" t="str">
        <f>IF(ISNA(VLOOKUP(TB_curr[[#This Row],[Synt]],GL[[#Headers],[#Data],[subtotal label]],1,FALSE)),0,(VLOOKUP(TB_curr[[#This Row],[Synt]],GL[[#Headers],[#Data],[subtotal label]],1,FALSE)))</f>
        <v/>
      </c>
      <c r="AF928" s="1063" t="e">
        <f>IF((TB_curr[[#This Row],[Synt]]-TB_curr[[#This Row],[Subtotal Y/N]])=0,0,VLOOKUP(TB_curr[[#This Row],[Synt]],GL[[Account]:[Line]],3,FALSE))</f>
        <v>#VALUE!</v>
      </c>
      <c r="AG928" s="1063" t="e">
        <f>VLOOKUP(TB_curr[[#This Row],[Synt]],GL[[Account]:[B/P]],4,FALSE)</f>
        <v>#N/A</v>
      </c>
      <c r="AH928" s="1066" t="e">
        <v>#VALUE!</v>
      </c>
      <c r="AI928" s="1065" t="e">
        <f>TB_curr[[#This Row],[Synt]]&amp;TB_curr[[#This Row],[Line No. manual corr.]]</f>
        <v>#VALUE!</v>
      </c>
      <c r="AJ928" s="1064">
        <f t="shared" si="71"/>
        <v>0</v>
      </c>
      <c r="AK928" s="1064">
        <f t="shared" si="72"/>
        <v>0</v>
      </c>
      <c r="AL928" s="1064">
        <f t="shared" si="73"/>
        <v>0</v>
      </c>
      <c r="AM928" s="1064">
        <f t="shared" si="74"/>
        <v>0</v>
      </c>
      <c r="AN928" s="1064"/>
      <c r="AO928" s="1064">
        <f>TB_curr[[#This Row],[Closing balance]]+TB_curr[[#This Row],[Rounding]]</f>
        <v>0</v>
      </c>
    </row>
    <row r="929" spans="30:41" x14ac:dyDescent="0.25">
      <c r="AD929" s="1067" t="str">
        <f t="shared" si="70"/>
        <v/>
      </c>
      <c r="AE929" s="1063" t="str">
        <f>IF(ISNA(VLOOKUP(TB_curr[[#This Row],[Synt]],GL[[#Headers],[#Data],[subtotal label]],1,FALSE)),0,(VLOOKUP(TB_curr[[#This Row],[Synt]],GL[[#Headers],[#Data],[subtotal label]],1,FALSE)))</f>
        <v/>
      </c>
      <c r="AF929" s="1063" t="e">
        <f>IF((TB_curr[[#This Row],[Synt]]-TB_curr[[#This Row],[Subtotal Y/N]])=0,0,VLOOKUP(TB_curr[[#This Row],[Synt]],GL[[Account]:[Line]],3,FALSE))</f>
        <v>#VALUE!</v>
      </c>
      <c r="AG929" s="1063" t="e">
        <f>VLOOKUP(TB_curr[[#This Row],[Synt]],GL[[Account]:[B/P]],4,FALSE)</f>
        <v>#N/A</v>
      </c>
      <c r="AH929" s="1066" t="e">
        <v>#VALUE!</v>
      </c>
      <c r="AI929" s="1065" t="e">
        <f>TB_curr[[#This Row],[Synt]]&amp;TB_curr[[#This Row],[Line No. manual corr.]]</f>
        <v>#VALUE!</v>
      </c>
      <c r="AJ929" s="1064">
        <f t="shared" si="71"/>
        <v>0</v>
      </c>
      <c r="AK929" s="1064">
        <f t="shared" si="72"/>
        <v>0</v>
      </c>
      <c r="AL929" s="1064">
        <f t="shared" si="73"/>
        <v>0</v>
      </c>
      <c r="AM929" s="1064">
        <f t="shared" si="74"/>
        <v>0</v>
      </c>
      <c r="AN929" s="1064"/>
      <c r="AO929" s="1064">
        <f>TB_curr[[#This Row],[Closing balance]]+TB_curr[[#This Row],[Rounding]]</f>
        <v>0</v>
      </c>
    </row>
    <row r="930" spans="30:41" x14ac:dyDescent="0.25">
      <c r="AD930" s="1067" t="str">
        <f t="shared" si="70"/>
        <v/>
      </c>
      <c r="AE930" s="1063" t="str">
        <f>IF(ISNA(VLOOKUP(TB_curr[[#This Row],[Synt]],GL[[#Headers],[#Data],[subtotal label]],1,FALSE)),0,(VLOOKUP(TB_curr[[#This Row],[Synt]],GL[[#Headers],[#Data],[subtotal label]],1,FALSE)))</f>
        <v/>
      </c>
      <c r="AF930" s="1063" t="e">
        <f>IF((TB_curr[[#This Row],[Synt]]-TB_curr[[#This Row],[Subtotal Y/N]])=0,0,VLOOKUP(TB_curr[[#This Row],[Synt]],GL[[Account]:[Line]],3,FALSE))</f>
        <v>#VALUE!</v>
      </c>
      <c r="AG930" s="1063" t="e">
        <f>VLOOKUP(TB_curr[[#This Row],[Synt]],GL[[Account]:[B/P]],4,FALSE)</f>
        <v>#N/A</v>
      </c>
      <c r="AH930" s="1066" t="e">
        <v>#VALUE!</v>
      </c>
      <c r="AI930" s="1065" t="e">
        <f>TB_curr[[#This Row],[Synt]]&amp;TB_curr[[#This Row],[Line No. manual corr.]]</f>
        <v>#VALUE!</v>
      </c>
      <c r="AJ930" s="1064">
        <f t="shared" si="71"/>
        <v>0</v>
      </c>
      <c r="AK930" s="1064">
        <f t="shared" si="72"/>
        <v>0</v>
      </c>
      <c r="AL930" s="1064">
        <f t="shared" si="73"/>
        <v>0</v>
      </c>
      <c r="AM930" s="1064">
        <f t="shared" si="74"/>
        <v>0</v>
      </c>
      <c r="AN930" s="1064"/>
      <c r="AO930" s="1064">
        <f>TB_curr[[#This Row],[Closing balance]]+TB_curr[[#This Row],[Rounding]]</f>
        <v>0</v>
      </c>
    </row>
    <row r="931" spans="30:41" x14ac:dyDescent="0.25">
      <c r="AD931" s="1067" t="str">
        <f t="shared" si="70"/>
        <v/>
      </c>
      <c r="AE931" s="1063" t="str">
        <f>IF(ISNA(VLOOKUP(TB_curr[[#This Row],[Synt]],GL[[#Headers],[#Data],[subtotal label]],1,FALSE)),0,(VLOOKUP(TB_curr[[#This Row],[Synt]],GL[[#Headers],[#Data],[subtotal label]],1,FALSE)))</f>
        <v/>
      </c>
      <c r="AF931" s="1063" t="e">
        <f>IF((TB_curr[[#This Row],[Synt]]-TB_curr[[#This Row],[Subtotal Y/N]])=0,0,VLOOKUP(TB_curr[[#This Row],[Synt]],GL[[Account]:[Line]],3,FALSE))</f>
        <v>#VALUE!</v>
      </c>
      <c r="AG931" s="1063" t="e">
        <f>VLOOKUP(TB_curr[[#This Row],[Synt]],GL[[Account]:[B/P]],4,FALSE)</f>
        <v>#N/A</v>
      </c>
      <c r="AH931" s="1066" t="e">
        <v>#VALUE!</v>
      </c>
      <c r="AI931" s="1065" t="e">
        <f>TB_curr[[#This Row],[Synt]]&amp;TB_curr[[#This Row],[Line No. manual corr.]]</f>
        <v>#VALUE!</v>
      </c>
      <c r="AJ931" s="1064">
        <f t="shared" si="71"/>
        <v>0</v>
      </c>
      <c r="AK931" s="1064">
        <f t="shared" si="72"/>
        <v>0</v>
      </c>
      <c r="AL931" s="1064">
        <f t="shared" si="73"/>
        <v>0</v>
      </c>
      <c r="AM931" s="1064">
        <f t="shared" si="74"/>
        <v>0</v>
      </c>
      <c r="AN931" s="1064"/>
      <c r="AO931" s="1064">
        <f>TB_curr[[#This Row],[Closing balance]]+TB_curr[[#This Row],[Rounding]]</f>
        <v>0</v>
      </c>
    </row>
    <row r="932" spans="30:41" x14ac:dyDescent="0.25">
      <c r="AD932" s="1067" t="str">
        <f t="shared" si="70"/>
        <v/>
      </c>
      <c r="AE932" s="1063" t="str">
        <f>IF(ISNA(VLOOKUP(TB_curr[[#This Row],[Synt]],GL[[#Headers],[#Data],[subtotal label]],1,FALSE)),0,(VLOOKUP(TB_curr[[#This Row],[Synt]],GL[[#Headers],[#Data],[subtotal label]],1,FALSE)))</f>
        <v/>
      </c>
      <c r="AF932" s="1063" t="e">
        <f>IF((TB_curr[[#This Row],[Synt]]-TB_curr[[#This Row],[Subtotal Y/N]])=0,0,VLOOKUP(TB_curr[[#This Row],[Synt]],GL[[Account]:[Line]],3,FALSE))</f>
        <v>#VALUE!</v>
      </c>
      <c r="AG932" s="1063" t="e">
        <f>VLOOKUP(TB_curr[[#This Row],[Synt]],GL[[Account]:[B/P]],4,FALSE)</f>
        <v>#N/A</v>
      </c>
      <c r="AH932" s="1066" t="e">
        <v>#VALUE!</v>
      </c>
      <c r="AI932" s="1065" t="e">
        <f>TB_curr[[#This Row],[Synt]]&amp;TB_curr[[#This Row],[Line No. manual corr.]]</f>
        <v>#VALUE!</v>
      </c>
      <c r="AJ932" s="1064">
        <f t="shared" si="71"/>
        <v>0</v>
      </c>
      <c r="AK932" s="1064">
        <f t="shared" si="72"/>
        <v>0</v>
      </c>
      <c r="AL932" s="1064">
        <f t="shared" si="73"/>
        <v>0</v>
      </c>
      <c r="AM932" s="1064">
        <f t="shared" si="74"/>
        <v>0</v>
      </c>
      <c r="AN932" s="1064"/>
      <c r="AO932" s="1064">
        <f>TB_curr[[#This Row],[Closing balance]]+TB_curr[[#This Row],[Rounding]]</f>
        <v>0</v>
      </c>
    </row>
    <row r="933" spans="30:41" x14ac:dyDescent="0.25">
      <c r="AD933" s="1067" t="str">
        <f t="shared" si="70"/>
        <v/>
      </c>
      <c r="AE933" s="1063" t="str">
        <f>IF(ISNA(VLOOKUP(TB_curr[[#This Row],[Synt]],GL[[#Headers],[#Data],[subtotal label]],1,FALSE)),0,(VLOOKUP(TB_curr[[#This Row],[Synt]],GL[[#Headers],[#Data],[subtotal label]],1,FALSE)))</f>
        <v/>
      </c>
      <c r="AF933" s="1063" t="e">
        <f>IF((TB_curr[[#This Row],[Synt]]-TB_curr[[#This Row],[Subtotal Y/N]])=0,0,VLOOKUP(TB_curr[[#This Row],[Synt]],GL[[Account]:[Line]],3,FALSE))</f>
        <v>#VALUE!</v>
      </c>
      <c r="AG933" s="1063" t="e">
        <f>VLOOKUP(TB_curr[[#This Row],[Synt]],GL[[Account]:[B/P]],4,FALSE)</f>
        <v>#N/A</v>
      </c>
      <c r="AH933" s="1066" t="e">
        <v>#VALUE!</v>
      </c>
      <c r="AI933" s="1065" t="e">
        <f>TB_curr[[#This Row],[Synt]]&amp;TB_curr[[#This Row],[Line No. manual corr.]]</f>
        <v>#VALUE!</v>
      </c>
      <c r="AJ933" s="1064">
        <f t="shared" si="71"/>
        <v>0</v>
      </c>
      <c r="AK933" s="1064">
        <f t="shared" si="72"/>
        <v>0</v>
      </c>
      <c r="AL933" s="1064">
        <f t="shared" si="73"/>
        <v>0</v>
      </c>
      <c r="AM933" s="1064">
        <f t="shared" si="74"/>
        <v>0</v>
      </c>
      <c r="AN933" s="1064"/>
      <c r="AO933" s="1064">
        <f>TB_curr[[#This Row],[Closing balance]]+TB_curr[[#This Row],[Rounding]]</f>
        <v>0</v>
      </c>
    </row>
    <row r="934" spans="30:41" x14ac:dyDescent="0.25">
      <c r="AD934" s="1067" t="str">
        <f t="shared" si="70"/>
        <v/>
      </c>
      <c r="AE934" s="1063" t="str">
        <f>IF(ISNA(VLOOKUP(TB_curr[[#This Row],[Synt]],GL[[#Headers],[#Data],[subtotal label]],1,FALSE)),0,(VLOOKUP(TB_curr[[#This Row],[Synt]],GL[[#Headers],[#Data],[subtotal label]],1,FALSE)))</f>
        <v/>
      </c>
      <c r="AF934" s="1063" t="e">
        <f>IF((TB_curr[[#This Row],[Synt]]-TB_curr[[#This Row],[Subtotal Y/N]])=0,0,VLOOKUP(TB_curr[[#This Row],[Synt]],GL[[Account]:[Line]],3,FALSE))</f>
        <v>#VALUE!</v>
      </c>
      <c r="AG934" s="1063" t="e">
        <f>VLOOKUP(TB_curr[[#This Row],[Synt]],GL[[Account]:[B/P]],4,FALSE)</f>
        <v>#N/A</v>
      </c>
      <c r="AH934" s="1066" t="e">
        <v>#VALUE!</v>
      </c>
      <c r="AI934" s="1065" t="e">
        <f>TB_curr[[#This Row],[Synt]]&amp;TB_curr[[#This Row],[Line No. manual corr.]]</f>
        <v>#VALUE!</v>
      </c>
      <c r="AJ934" s="1064">
        <f t="shared" si="71"/>
        <v>0</v>
      </c>
      <c r="AK934" s="1064">
        <f t="shared" si="72"/>
        <v>0</v>
      </c>
      <c r="AL934" s="1064">
        <f t="shared" si="73"/>
        <v>0</v>
      </c>
      <c r="AM934" s="1064">
        <f t="shared" si="74"/>
        <v>0</v>
      </c>
      <c r="AN934" s="1064"/>
      <c r="AO934" s="1064">
        <f>TB_curr[[#This Row],[Closing balance]]+TB_curr[[#This Row],[Rounding]]</f>
        <v>0</v>
      </c>
    </row>
    <row r="935" spans="30:41" x14ac:dyDescent="0.25">
      <c r="AD935" s="1067" t="str">
        <f t="shared" si="70"/>
        <v/>
      </c>
      <c r="AE935" s="1063" t="str">
        <f>IF(ISNA(VLOOKUP(TB_curr[[#This Row],[Synt]],GL[[#Headers],[#Data],[subtotal label]],1,FALSE)),0,(VLOOKUP(TB_curr[[#This Row],[Synt]],GL[[#Headers],[#Data],[subtotal label]],1,FALSE)))</f>
        <v/>
      </c>
      <c r="AF935" s="1063" t="e">
        <f>IF((TB_curr[[#This Row],[Synt]]-TB_curr[[#This Row],[Subtotal Y/N]])=0,0,VLOOKUP(TB_curr[[#This Row],[Synt]],GL[[Account]:[Line]],3,FALSE))</f>
        <v>#VALUE!</v>
      </c>
      <c r="AG935" s="1063" t="e">
        <f>VLOOKUP(TB_curr[[#This Row],[Synt]],GL[[Account]:[B/P]],4,FALSE)</f>
        <v>#N/A</v>
      </c>
      <c r="AH935" s="1066" t="e">
        <v>#VALUE!</v>
      </c>
      <c r="AI935" s="1065" t="e">
        <f>TB_curr[[#This Row],[Synt]]&amp;TB_curr[[#This Row],[Line No. manual corr.]]</f>
        <v>#VALUE!</v>
      </c>
      <c r="AJ935" s="1064">
        <f t="shared" si="71"/>
        <v>0</v>
      </c>
      <c r="AK935" s="1064">
        <f t="shared" si="72"/>
        <v>0</v>
      </c>
      <c r="AL935" s="1064">
        <f t="shared" si="73"/>
        <v>0</v>
      </c>
      <c r="AM935" s="1064">
        <f t="shared" si="74"/>
        <v>0</v>
      </c>
      <c r="AN935" s="1064"/>
      <c r="AO935" s="1064">
        <f>TB_curr[[#This Row],[Closing balance]]+TB_curr[[#This Row],[Rounding]]</f>
        <v>0</v>
      </c>
    </row>
    <row r="936" spans="30:41" x14ac:dyDescent="0.25">
      <c r="AD936" s="1067" t="str">
        <f t="shared" si="70"/>
        <v/>
      </c>
      <c r="AE936" s="1063" t="str">
        <f>IF(ISNA(VLOOKUP(TB_curr[[#This Row],[Synt]],GL[[#Headers],[#Data],[subtotal label]],1,FALSE)),0,(VLOOKUP(TB_curr[[#This Row],[Synt]],GL[[#Headers],[#Data],[subtotal label]],1,FALSE)))</f>
        <v/>
      </c>
      <c r="AF936" s="1063" t="e">
        <f>IF((TB_curr[[#This Row],[Synt]]-TB_curr[[#This Row],[Subtotal Y/N]])=0,0,VLOOKUP(TB_curr[[#This Row],[Synt]],GL[[Account]:[Line]],3,FALSE))</f>
        <v>#VALUE!</v>
      </c>
      <c r="AG936" s="1063" t="e">
        <f>VLOOKUP(TB_curr[[#This Row],[Synt]],GL[[Account]:[B/P]],4,FALSE)</f>
        <v>#N/A</v>
      </c>
      <c r="AH936" s="1066" t="e">
        <v>#VALUE!</v>
      </c>
      <c r="AI936" s="1065" t="e">
        <f>TB_curr[[#This Row],[Synt]]&amp;TB_curr[[#This Row],[Line No. manual corr.]]</f>
        <v>#VALUE!</v>
      </c>
      <c r="AJ936" s="1064">
        <f t="shared" si="71"/>
        <v>0</v>
      </c>
      <c r="AK936" s="1064">
        <f t="shared" si="72"/>
        <v>0</v>
      </c>
      <c r="AL936" s="1064">
        <f t="shared" si="73"/>
        <v>0</v>
      </c>
      <c r="AM936" s="1064">
        <f t="shared" si="74"/>
        <v>0</v>
      </c>
      <c r="AN936" s="1064"/>
      <c r="AO936" s="1064">
        <f>TB_curr[[#This Row],[Closing balance]]+TB_curr[[#This Row],[Rounding]]</f>
        <v>0</v>
      </c>
    </row>
    <row r="937" spans="30:41" x14ac:dyDescent="0.25">
      <c r="AD937" s="1067" t="str">
        <f t="shared" si="70"/>
        <v/>
      </c>
      <c r="AE937" s="1063" t="str">
        <f>IF(ISNA(VLOOKUP(TB_curr[[#This Row],[Synt]],GL[[#Headers],[#Data],[subtotal label]],1,FALSE)),0,(VLOOKUP(TB_curr[[#This Row],[Synt]],GL[[#Headers],[#Data],[subtotal label]],1,FALSE)))</f>
        <v/>
      </c>
      <c r="AF937" s="1063" t="e">
        <f>IF((TB_curr[[#This Row],[Synt]]-TB_curr[[#This Row],[Subtotal Y/N]])=0,0,VLOOKUP(TB_curr[[#This Row],[Synt]],GL[[Account]:[Line]],3,FALSE))</f>
        <v>#VALUE!</v>
      </c>
      <c r="AG937" s="1063" t="e">
        <f>VLOOKUP(TB_curr[[#This Row],[Synt]],GL[[Account]:[B/P]],4,FALSE)</f>
        <v>#N/A</v>
      </c>
      <c r="AH937" s="1066" t="e">
        <v>#VALUE!</v>
      </c>
      <c r="AI937" s="1065" t="e">
        <f>TB_curr[[#This Row],[Synt]]&amp;TB_curr[[#This Row],[Line No. manual corr.]]</f>
        <v>#VALUE!</v>
      </c>
      <c r="AJ937" s="1064">
        <f t="shared" si="71"/>
        <v>0</v>
      </c>
      <c r="AK937" s="1064">
        <f t="shared" si="72"/>
        <v>0</v>
      </c>
      <c r="AL937" s="1064">
        <f t="shared" si="73"/>
        <v>0</v>
      </c>
      <c r="AM937" s="1064">
        <f t="shared" si="74"/>
        <v>0</v>
      </c>
      <c r="AN937" s="1064"/>
      <c r="AO937" s="1064">
        <f>TB_curr[[#This Row],[Closing balance]]+TB_curr[[#This Row],[Rounding]]</f>
        <v>0</v>
      </c>
    </row>
    <row r="938" spans="30:41" x14ac:dyDescent="0.25">
      <c r="AD938" s="1067" t="str">
        <f t="shared" si="70"/>
        <v/>
      </c>
      <c r="AE938" s="1063" t="str">
        <f>IF(ISNA(VLOOKUP(TB_curr[[#This Row],[Synt]],GL[[#Headers],[#Data],[subtotal label]],1,FALSE)),0,(VLOOKUP(TB_curr[[#This Row],[Synt]],GL[[#Headers],[#Data],[subtotal label]],1,FALSE)))</f>
        <v/>
      </c>
      <c r="AF938" s="1063" t="e">
        <f>IF((TB_curr[[#This Row],[Synt]]-TB_curr[[#This Row],[Subtotal Y/N]])=0,0,VLOOKUP(TB_curr[[#This Row],[Synt]],GL[[Account]:[Line]],3,FALSE))</f>
        <v>#VALUE!</v>
      </c>
      <c r="AG938" s="1063" t="e">
        <f>VLOOKUP(TB_curr[[#This Row],[Synt]],GL[[Account]:[B/P]],4,FALSE)</f>
        <v>#N/A</v>
      </c>
      <c r="AH938" s="1066" t="e">
        <v>#VALUE!</v>
      </c>
      <c r="AI938" s="1065" t="e">
        <f>TB_curr[[#This Row],[Synt]]&amp;TB_curr[[#This Row],[Line No. manual corr.]]</f>
        <v>#VALUE!</v>
      </c>
      <c r="AJ938" s="1064">
        <f t="shared" si="71"/>
        <v>0</v>
      </c>
      <c r="AK938" s="1064">
        <f t="shared" si="72"/>
        <v>0</v>
      </c>
      <c r="AL938" s="1064">
        <f t="shared" si="73"/>
        <v>0</v>
      </c>
      <c r="AM938" s="1064">
        <f t="shared" si="74"/>
        <v>0</v>
      </c>
      <c r="AN938" s="1064"/>
      <c r="AO938" s="1064">
        <f>TB_curr[[#This Row],[Closing balance]]+TB_curr[[#This Row],[Rounding]]</f>
        <v>0</v>
      </c>
    </row>
    <row r="939" spans="30:41" x14ac:dyDescent="0.25">
      <c r="AD939" s="1067" t="str">
        <f t="shared" si="70"/>
        <v/>
      </c>
      <c r="AE939" s="1063" t="str">
        <f>IF(ISNA(VLOOKUP(TB_curr[[#This Row],[Synt]],GL[[#Headers],[#Data],[subtotal label]],1,FALSE)),0,(VLOOKUP(TB_curr[[#This Row],[Synt]],GL[[#Headers],[#Data],[subtotal label]],1,FALSE)))</f>
        <v/>
      </c>
      <c r="AF939" s="1063" t="e">
        <f>IF((TB_curr[[#This Row],[Synt]]-TB_curr[[#This Row],[Subtotal Y/N]])=0,0,VLOOKUP(TB_curr[[#This Row],[Synt]],GL[[Account]:[Line]],3,FALSE))</f>
        <v>#VALUE!</v>
      </c>
      <c r="AG939" s="1063" t="e">
        <f>VLOOKUP(TB_curr[[#This Row],[Synt]],GL[[Account]:[B/P]],4,FALSE)</f>
        <v>#N/A</v>
      </c>
      <c r="AH939" s="1066" t="e">
        <v>#VALUE!</v>
      </c>
      <c r="AI939" s="1065" t="e">
        <f>TB_curr[[#This Row],[Synt]]&amp;TB_curr[[#This Row],[Line No. manual corr.]]</f>
        <v>#VALUE!</v>
      </c>
      <c r="AJ939" s="1064">
        <f t="shared" si="71"/>
        <v>0</v>
      </c>
      <c r="AK939" s="1064">
        <f t="shared" si="72"/>
        <v>0</v>
      </c>
      <c r="AL939" s="1064">
        <f t="shared" si="73"/>
        <v>0</v>
      </c>
      <c r="AM939" s="1064">
        <f t="shared" si="74"/>
        <v>0</v>
      </c>
      <c r="AN939" s="1064"/>
      <c r="AO939" s="1064">
        <f>TB_curr[[#This Row],[Closing balance]]+TB_curr[[#This Row],[Rounding]]</f>
        <v>0</v>
      </c>
    </row>
    <row r="940" spans="30:41" x14ac:dyDescent="0.25">
      <c r="AD940" s="1067" t="str">
        <f t="shared" si="70"/>
        <v/>
      </c>
      <c r="AE940" s="1063" t="str">
        <f>IF(ISNA(VLOOKUP(TB_curr[[#This Row],[Synt]],GL[[#Headers],[#Data],[subtotal label]],1,FALSE)),0,(VLOOKUP(TB_curr[[#This Row],[Synt]],GL[[#Headers],[#Data],[subtotal label]],1,FALSE)))</f>
        <v/>
      </c>
      <c r="AF940" s="1063" t="e">
        <f>IF((TB_curr[[#This Row],[Synt]]-TB_curr[[#This Row],[Subtotal Y/N]])=0,0,VLOOKUP(TB_curr[[#This Row],[Synt]],GL[[Account]:[Line]],3,FALSE))</f>
        <v>#VALUE!</v>
      </c>
      <c r="AG940" s="1063" t="e">
        <f>VLOOKUP(TB_curr[[#This Row],[Synt]],GL[[Account]:[B/P]],4,FALSE)</f>
        <v>#N/A</v>
      </c>
      <c r="AH940" s="1066" t="e">
        <v>#VALUE!</v>
      </c>
      <c r="AI940" s="1065" t="e">
        <f>TB_curr[[#This Row],[Synt]]&amp;TB_curr[[#This Row],[Line No. manual corr.]]</f>
        <v>#VALUE!</v>
      </c>
      <c r="AJ940" s="1064">
        <f t="shared" si="71"/>
        <v>0</v>
      </c>
      <c r="AK940" s="1064">
        <f t="shared" si="72"/>
        <v>0</v>
      </c>
      <c r="AL940" s="1064">
        <f t="shared" si="73"/>
        <v>0</v>
      </c>
      <c r="AM940" s="1064">
        <f t="shared" si="74"/>
        <v>0</v>
      </c>
      <c r="AN940" s="1064"/>
      <c r="AO940" s="1064">
        <f>TB_curr[[#This Row],[Closing balance]]+TB_curr[[#This Row],[Rounding]]</f>
        <v>0</v>
      </c>
    </row>
    <row r="941" spans="30:41" x14ac:dyDescent="0.25">
      <c r="AD941" s="1067" t="str">
        <f t="shared" si="70"/>
        <v/>
      </c>
      <c r="AE941" s="1063" t="str">
        <f>IF(ISNA(VLOOKUP(TB_curr[[#This Row],[Synt]],GL[[#Headers],[#Data],[subtotal label]],1,FALSE)),0,(VLOOKUP(TB_curr[[#This Row],[Synt]],GL[[#Headers],[#Data],[subtotal label]],1,FALSE)))</f>
        <v/>
      </c>
      <c r="AF941" s="1063" t="e">
        <f>IF((TB_curr[[#This Row],[Synt]]-TB_curr[[#This Row],[Subtotal Y/N]])=0,0,VLOOKUP(TB_curr[[#This Row],[Synt]],GL[[Account]:[Line]],3,FALSE))</f>
        <v>#VALUE!</v>
      </c>
      <c r="AG941" s="1063" t="e">
        <f>VLOOKUP(TB_curr[[#This Row],[Synt]],GL[[Account]:[B/P]],4,FALSE)</f>
        <v>#N/A</v>
      </c>
      <c r="AH941" s="1066" t="e">
        <v>#VALUE!</v>
      </c>
      <c r="AI941" s="1065" t="e">
        <f>TB_curr[[#This Row],[Synt]]&amp;TB_curr[[#This Row],[Line No. manual corr.]]</f>
        <v>#VALUE!</v>
      </c>
      <c r="AJ941" s="1064">
        <f t="shared" si="71"/>
        <v>0</v>
      </c>
      <c r="AK941" s="1064">
        <f t="shared" si="72"/>
        <v>0</v>
      </c>
      <c r="AL941" s="1064">
        <f t="shared" si="73"/>
        <v>0</v>
      </c>
      <c r="AM941" s="1064">
        <f t="shared" si="74"/>
        <v>0</v>
      </c>
      <c r="AN941" s="1064"/>
      <c r="AO941" s="1064">
        <f>TB_curr[[#This Row],[Closing balance]]+TB_curr[[#This Row],[Rounding]]</f>
        <v>0</v>
      </c>
    </row>
    <row r="942" spans="30:41" x14ac:dyDescent="0.25">
      <c r="AD942" s="1067" t="str">
        <f t="shared" si="70"/>
        <v/>
      </c>
      <c r="AE942" s="1063" t="str">
        <f>IF(ISNA(VLOOKUP(TB_curr[[#This Row],[Synt]],GL[[#Headers],[#Data],[subtotal label]],1,FALSE)),0,(VLOOKUP(TB_curr[[#This Row],[Synt]],GL[[#Headers],[#Data],[subtotal label]],1,FALSE)))</f>
        <v/>
      </c>
      <c r="AF942" s="1063" t="e">
        <f>IF((TB_curr[[#This Row],[Synt]]-TB_curr[[#This Row],[Subtotal Y/N]])=0,0,VLOOKUP(TB_curr[[#This Row],[Synt]],GL[[Account]:[Line]],3,FALSE))</f>
        <v>#VALUE!</v>
      </c>
      <c r="AG942" s="1063" t="e">
        <f>VLOOKUP(TB_curr[[#This Row],[Synt]],GL[[Account]:[B/P]],4,FALSE)</f>
        <v>#N/A</v>
      </c>
      <c r="AH942" s="1066" t="e">
        <v>#VALUE!</v>
      </c>
      <c r="AI942" s="1065" t="e">
        <f>TB_curr[[#This Row],[Synt]]&amp;TB_curr[[#This Row],[Line No. manual corr.]]</f>
        <v>#VALUE!</v>
      </c>
      <c r="AJ942" s="1064">
        <f t="shared" si="71"/>
        <v>0</v>
      </c>
      <c r="AK942" s="1064">
        <f t="shared" si="72"/>
        <v>0</v>
      </c>
      <c r="AL942" s="1064">
        <f t="shared" si="73"/>
        <v>0</v>
      </c>
      <c r="AM942" s="1064">
        <f t="shared" si="74"/>
        <v>0</v>
      </c>
      <c r="AN942" s="1064"/>
      <c r="AO942" s="1064">
        <f>TB_curr[[#This Row],[Closing balance]]+TB_curr[[#This Row],[Rounding]]</f>
        <v>0</v>
      </c>
    </row>
    <row r="943" spans="30:41" x14ac:dyDescent="0.25">
      <c r="AD943" s="1067" t="str">
        <f t="shared" si="70"/>
        <v/>
      </c>
      <c r="AE943" s="1063" t="str">
        <f>IF(ISNA(VLOOKUP(TB_curr[[#This Row],[Synt]],GL[[#Headers],[#Data],[subtotal label]],1,FALSE)),0,(VLOOKUP(TB_curr[[#This Row],[Synt]],GL[[#Headers],[#Data],[subtotal label]],1,FALSE)))</f>
        <v/>
      </c>
      <c r="AF943" s="1063" t="e">
        <f>IF((TB_curr[[#This Row],[Synt]]-TB_curr[[#This Row],[Subtotal Y/N]])=0,0,VLOOKUP(TB_curr[[#This Row],[Synt]],GL[[Account]:[Line]],3,FALSE))</f>
        <v>#VALUE!</v>
      </c>
      <c r="AG943" s="1063" t="e">
        <f>VLOOKUP(TB_curr[[#This Row],[Synt]],GL[[Account]:[B/P]],4,FALSE)</f>
        <v>#N/A</v>
      </c>
      <c r="AH943" s="1066" t="e">
        <v>#VALUE!</v>
      </c>
      <c r="AI943" s="1065" t="e">
        <f>TB_curr[[#This Row],[Synt]]&amp;TB_curr[[#This Row],[Line No. manual corr.]]</f>
        <v>#VALUE!</v>
      </c>
      <c r="AJ943" s="1064">
        <f t="shared" si="71"/>
        <v>0</v>
      </c>
      <c r="AK943" s="1064">
        <f t="shared" si="72"/>
        <v>0</v>
      </c>
      <c r="AL943" s="1064">
        <f t="shared" si="73"/>
        <v>0</v>
      </c>
      <c r="AM943" s="1064">
        <f t="shared" si="74"/>
        <v>0</v>
      </c>
      <c r="AN943" s="1064"/>
      <c r="AO943" s="1064">
        <f>TB_curr[[#This Row],[Closing balance]]+TB_curr[[#This Row],[Rounding]]</f>
        <v>0</v>
      </c>
    </row>
    <row r="944" spans="30:41" x14ac:dyDescent="0.25">
      <c r="AD944" s="1067" t="str">
        <f t="shared" si="70"/>
        <v/>
      </c>
      <c r="AE944" s="1063" t="str">
        <f>IF(ISNA(VLOOKUP(TB_curr[[#This Row],[Synt]],GL[[#Headers],[#Data],[subtotal label]],1,FALSE)),0,(VLOOKUP(TB_curr[[#This Row],[Synt]],GL[[#Headers],[#Data],[subtotal label]],1,FALSE)))</f>
        <v/>
      </c>
      <c r="AF944" s="1063" t="e">
        <f>IF((TB_curr[[#This Row],[Synt]]-TB_curr[[#This Row],[Subtotal Y/N]])=0,0,VLOOKUP(TB_curr[[#This Row],[Synt]],GL[[Account]:[Line]],3,FALSE))</f>
        <v>#VALUE!</v>
      </c>
      <c r="AG944" s="1063" t="e">
        <f>VLOOKUP(TB_curr[[#This Row],[Synt]],GL[[Account]:[B/P]],4,FALSE)</f>
        <v>#N/A</v>
      </c>
      <c r="AH944" s="1066" t="e">
        <v>#VALUE!</v>
      </c>
      <c r="AI944" s="1065" t="e">
        <f>TB_curr[[#This Row],[Synt]]&amp;TB_curr[[#This Row],[Line No. manual corr.]]</f>
        <v>#VALUE!</v>
      </c>
      <c r="AJ944" s="1064">
        <f t="shared" si="71"/>
        <v>0</v>
      </c>
      <c r="AK944" s="1064">
        <f t="shared" si="72"/>
        <v>0</v>
      </c>
      <c r="AL944" s="1064">
        <f t="shared" si="73"/>
        <v>0</v>
      </c>
      <c r="AM944" s="1064">
        <f t="shared" si="74"/>
        <v>0</v>
      </c>
      <c r="AN944" s="1064"/>
      <c r="AO944" s="1064">
        <f>TB_curr[[#This Row],[Closing balance]]+TB_curr[[#This Row],[Rounding]]</f>
        <v>0</v>
      </c>
    </row>
    <row r="945" spans="30:41" x14ac:dyDescent="0.25">
      <c r="AD945" s="1067" t="str">
        <f t="shared" si="70"/>
        <v/>
      </c>
      <c r="AE945" s="1063" t="str">
        <f>IF(ISNA(VLOOKUP(TB_curr[[#This Row],[Synt]],GL[[#Headers],[#Data],[subtotal label]],1,FALSE)),0,(VLOOKUP(TB_curr[[#This Row],[Synt]],GL[[#Headers],[#Data],[subtotal label]],1,FALSE)))</f>
        <v/>
      </c>
      <c r="AF945" s="1063" t="e">
        <f>IF((TB_curr[[#This Row],[Synt]]-TB_curr[[#This Row],[Subtotal Y/N]])=0,0,VLOOKUP(TB_curr[[#This Row],[Synt]],GL[[Account]:[Line]],3,FALSE))</f>
        <v>#VALUE!</v>
      </c>
      <c r="AG945" s="1063" t="e">
        <f>VLOOKUP(TB_curr[[#This Row],[Synt]],GL[[Account]:[B/P]],4,FALSE)</f>
        <v>#N/A</v>
      </c>
      <c r="AH945" s="1066" t="e">
        <v>#VALUE!</v>
      </c>
      <c r="AI945" s="1065" t="e">
        <f>TB_curr[[#This Row],[Synt]]&amp;TB_curr[[#This Row],[Line No. manual corr.]]</f>
        <v>#VALUE!</v>
      </c>
      <c r="AJ945" s="1064">
        <f t="shared" si="71"/>
        <v>0</v>
      </c>
      <c r="AK945" s="1064">
        <f t="shared" si="72"/>
        <v>0</v>
      </c>
      <c r="AL945" s="1064">
        <f t="shared" si="73"/>
        <v>0</v>
      </c>
      <c r="AM945" s="1064">
        <f t="shared" si="74"/>
        <v>0</v>
      </c>
      <c r="AN945" s="1064"/>
      <c r="AO945" s="1064">
        <f>TB_curr[[#This Row],[Closing balance]]+TB_curr[[#This Row],[Rounding]]</f>
        <v>0</v>
      </c>
    </row>
    <row r="946" spans="30:41" x14ac:dyDescent="0.25">
      <c r="AD946" s="1067" t="str">
        <f t="shared" si="70"/>
        <v/>
      </c>
      <c r="AE946" s="1063" t="str">
        <f>IF(ISNA(VLOOKUP(TB_curr[[#This Row],[Synt]],GL[[#Headers],[#Data],[subtotal label]],1,FALSE)),0,(VLOOKUP(TB_curr[[#This Row],[Synt]],GL[[#Headers],[#Data],[subtotal label]],1,FALSE)))</f>
        <v/>
      </c>
      <c r="AF946" s="1063" t="e">
        <f>IF((TB_curr[[#This Row],[Synt]]-TB_curr[[#This Row],[Subtotal Y/N]])=0,0,VLOOKUP(TB_curr[[#This Row],[Synt]],GL[[Account]:[Line]],3,FALSE))</f>
        <v>#VALUE!</v>
      </c>
      <c r="AG946" s="1063" t="e">
        <f>VLOOKUP(TB_curr[[#This Row],[Synt]],GL[[Account]:[B/P]],4,FALSE)</f>
        <v>#N/A</v>
      </c>
      <c r="AH946" s="1066" t="e">
        <v>#VALUE!</v>
      </c>
      <c r="AI946" s="1065" t="e">
        <f>TB_curr[[#This Row],[Synt]]&amp;TB_curr[[#This Row],[Line No. manual corr.]]</f>
        <v>#VALUE!</v>
      </c>
      <c r="AJ946" s="1064">
        <f t="shared" si="71"/>
        <v>0</v>
      </c>
      <c r="AK946" s="1064">
        <f t="shared" si="72"/>
        <v>0</v>
      </c>
      <c r="AL946" s="1064">
        <f t="shared" si="73"/>
        <v>0</v>
      </c>
      <c r="AM946" s="1064">
        <f t="shared" si="74"/>
        <v>0</v>
      </c>
      <c r="AN946" s="1064"/>
      <c r="AO946" s="1064">
        <f>TB_curr[[#This Row],[Closing balance]]+TB_curr[[#This Row],[Rounding]]</f>
        <v>0</v>
      </c>
    </row>
    <row r="947" spans="30:41" x14ac:dyDescent="0.25">
      <c r="AD947" s="1067" t="str">
        <f t="shared" si="70"/>
        <v/>
      </c>
      <c r="AE947" s="1063" t="str">
        <f>IF(ISNA(VLOOKUP(TB_curr[[#This Row],[Synt]],GL[[#Headers],[#Data],[subtotal label]],1,FALSE)),0,(VLOOKUP(TB_curr[[#This Row],[Synt]],GL[[#Headers],[#Data],[subtotal label]],1,FALSE)))</f>
        <v/>
      </c>
      <c r="AF947" s="1063" t="e">
        <f>IF((TB_curr[[#This Row],[Synt]]-TB_curr[[#This Row],[Subtotal Y/N]])=0,0,VLOOKUP(TB_curr[[#This Row],[Synt]],GL[[Account]:[Line]],3,FALSE))</f>
        <v>#VALUE!</v>
      </c>
      <c r="AG947" s="1063" t="e">
        <f>VLOOKUP(TB_curr[[#This Row],[Synt]],GL[[Account]:[B/P]],4,FALSE)</f>
        <v>#N/A</v>
      </c>
      <c r="AH947" s="1066" t="e">
        <v>#VALUE!</v>
      </c>
      <c r="AI947" s="1065" t="e">
        <f>TB_curr[[#This Row],[Synt]]&amp;TB_curr[[#This Row],[Line No. manual corr.]]</f>
        <v>#VALUE!</v>
      </c>
      <c r="AJ947" s="1064">
        <f t="shared" si="71"/>
        <v>0</v>
      </c>
      <c r="AK947" s="1064">
        <f t="shared" si="72"/>
        <v>0</v>
      </c>
      <c r="AL947" s="1064">
        <f t="shared" si="73"/>
        <v>0</v>
      </c>
      <c r="AM947" s="1064">
        <f t="shared" si="74"/>
        <v>0</v>
      </c>
      <c r="AN947" s="1064"/>
      <c r="AO947" s="1064">
        <f>TB_curr[[#This Row],[Closing balance]]+TB_curr[[#This Row],[Rounding]]</f>
        <v>0</v>
      </c>
    </row>
    <row r="948" spans="30:41" x14ac:dyDescent="0.25">
      <c r="AD948" s="1067" t="str">
        <f t="shared" si="70"/>
        <v/>
      </c>
      <c r="AE948" s="1063" t="str">
        <f>IF(ISNA(VLOOKUP(TB_curr[[#This Row],[Synt]],GL[[#Headers],[#Data],[subtotal label]],1,FALSE)),0,(VLOOKUP(TB_curr[[#This Row],[Synt]],GL[[#Headers],[#Data],[subtotal label]],1,FALSE)))</f>
        <v/>
      </c>
      <c r="AF948" s="1063" t="e">
        <f>IF((TB_curr[[#This Row],[Synt]]-TB_curr[[#This Row],[Subtotal Y/N]])=0,0,VLOOKUP(TB_curr[[#This Row],[Synt]],GL[[Account]:[Line]],3,FALSE))</f>
        <v>#VALUE!</v>
      </c>
      <c r="AG948" s="1063" t="e">
        <f>VLOOKUP(TB_curr[[#This Row],[Synt]],GL[[Account]:[B/P]],4,FALSE)</f>
        <v>#N/A</v>
      </c>
      <c r="AH948" s="1066" t="e">
        <v>#VALUE!</v>
      </c>
      <c r="AI948" s="1065" t="e">
        <f>TB_curr[[#This Row],[Synt]]&amp;TB_curr[[#This Row],[Line No. manual corr.]]</f>
        <v>#VALUE!</v>
      </c>
      <c r="AJ948" s="1064">
        <f t="shared" si="71"/>
        <v>0</v>
      </c>
      <c r="AK948" s="1064">
        <f t="shared" si="72"/>
        <v>0</v>
      </c>
      <c r="AL948" s="1064">
        <f t="shared" si="73"/>
        <v>0</v>
      </c>
      <c r="AM948" s="1064">
        <f t="shared" si="74"/>
        <v>0</v>
      </c>
      <c r="AN948" s="1064"/>
      <c r="AO948" s="1064">
        <f>TB_curr[[#This Row],[Closing balance]]+TB_curr[[#This Row],[Rounding]]</f>
        <v>0</v>
      </c>
    </row>
    <row r="949" spans="30:41" x14ac:dyDescent="0.25">
      <c r="AD949" s="1067" t="str">
        <f t="shared" si="70"/>
        <v/>
      </c>
      <c r="AE949" s="1063" t="str">
        <f>IF(ISNA(VLOOKUP(TB_curr[[#This Row],[Synt]],GL[[#Headers],[#Data],[subtotal label]],1,FALSE)),0,(VLOOKUP(TB_curr[[#This Row],[Synt]],GL[[#Headers],[#Data],[subtotal label]],1,FALSE)))</f>
        <v/>
      </c>
      <c r="AF949" s="1063" t="e">
        <f>IF((TB_curr[[#This Row],[Synt]]-TB_curr[[#This Row],[Subtotal Y/N]])=0,0,VLOOKUP(TB_curr[[#This Row],[Synt]],GL[[Account]:[Line]],3,FALSE))</f>
        <v>#VALUE!</v>
      </c>
      <c r="AG949" s="1063" t="e">
        <f>VLOOKUP(TB_curr[[#This Row],[Synt]],GL[[Account]:[B/P]],4,FALSE)</f>
        <v>#N/A</v>
      </c>
      <c r="AH949" s="1066" t="e">
        <v>#VALUE!</v>
      </c>
      <c r="AI949" s="1065" t="e">
        <f>TB_curr[[#This Row],[Synt]]&amp;TB_curr[[#This Row],[Line No. manual corr.]]</f>
        <v>#VALUE!</v>
      </c>
      <c r="AJ949" s="1064">
        <f t="shared" si="71"/>
        <v>0</v>
      </c>
      <c r="AK949" s="1064">
        <f t="shared" si="72"/>
        <v>0</v>
      </c>
      <c r="AL949" s="1064">
        <f t="shared" si="73"/>
        <v>0</v>
      </c>
      <c r="AM949" s="1064">
        <f t="shared" si="74"/>
        <v>0</v>
      </c>
      <c r="AN949" s="1064"/>
      <c r="AO949" s="1064">
        <f>TB_curr[[#This Row],[Closing balance]]+TB_curr[[#This Row],[Rounding]]</f>
        <v>0</v>
      </c>
    </row>
    <row r="950" spans="30:41" x14ac:dyDescent="0.25">
      <c r="AD950" s="1067" t="str">
        <f t="shared" si="70"/>
        <v/>
      </c>
      <c r="AE950" s="1063" t="str">
        <f>IF(ISNA(VLOOKUP(TB_curr[[#This Row],[Synt]],GL[[#Headers],[#Data],[subtotal label]],1,FALSE)),0,(VLOOKUP(TB_curr[[#This Row],[Synt]],GL[[#Headers],[#Data],[subtotal label]],1,FALSE)))</f>
        <v/>
      </c>
      <c r="AF950" s="1063" t="e">
        <f>IF((TB_curr[[#This Row],[Synt]]-TB_curr[[#This Row],[Subtotal Y/N]])=0,0,VLOOKUP(TB_curr[[#This Row],[Synt]],GL[[Account]:[Line]],3,FALSE))</f>
        <v>#VALUE!</v>
      </c>
      <c r="AG950" s="1063" t="e">
        <f>VLOOKUP(TB_curr[[#This Row],[Synt]],GL[[Account]:[B/P]],4,FALSE)</f>
        <v>#N/A</v>
      </c>
      <c r="AH950" s="1066" t="e">
        <v>#VALUE!</v>
      </c>
      <c r="AI950" s="1065" t="e">
        <f>TB_curr[[#This Row],[Synt]]&amp;TB_curr[[#This Row],[Line No. manual corr.]]</f>
        <v>#VALUE!</v>
      </c>
      <c r="AJ950" s="1064">
        <f t="shared" si="71"/>
        <v>0</v>
      </c>
      <c r="AK950" s="1064">
        <f t="shared" si="72"/>
        <v>0</v>
      </c>
      <c r="AL950" s="1064">
        <f t="shared" si="73"/>
        <v>0</v>
      </c>
      <c r="AM950" s="1064">
        <f t="shared" si="74"/>
        <v>0</v>
      </c>
      <c r="AN950" s="1064"/>
      <c r="AO950" s="1064">
        <f>TB_curr[[#This Row],[Closing balance]]+TB_curr[[#This Row],[Rounding]]</f>
        <v>0</v>
      </c>
    </row>
    <row r="951" spans="30:41" x14ac:dyDescent="0.25">
      <c r="AD951" s="1067" t="str">
        <f t="shared" si="70"/>
        <v/>
      </c>
      <c r="AE951" s="1063" t="str">
        <f>IF(ISNA(VLOOKUP(TB_curr[[#This Row],[Synt]],GL[[#Headers],[#Data],[subtotal label]],1,FALSE)),0,(VLOOKUP(TB_curr[[#This Row],[Synt]],GL[[#Headers],[#Data],[subtotal label]],1,FALSE)))</f>
        <v/>
      </c>
      <c r="AF951" s="1063" t="e">
        <f>IF((TB_curr[[#This Row],[Synt]]-TB_curr[[#This Row],[Subtotal Y/N]])=0,0,VLOOKUP(TB_curr[[#This Row],[Synt]],GL[[Account]:[Line]],3,FALSE))</f>
        <v>#VALUE!</v>
      </c>
      <c r="AG951" s="1063" t="e">
        <f>VLOOKUP(TB_curr[[#This Row],[Synt]],GL[[Account]:[B/P]],4,FALSE)</f>
        <v>#N/A</v>
      </c>
      <c r="AH951" s="1066" t="e">
        <v>#VALUE!</v>
      </c>
      <c r="AI951" s="1065" t="e">
        <f>TB_curr[[#This Row],[Synt]]&amp;TB_curr[[#This Row],[Line No. manual corr.]]</f>
        <v>#VALUE!</v>
      </c>
      <c r="AJ951" s="1064">
        <f t="shared" si="71"/>
        <v>0</v>
      </c>
      <c r="AK951" s="1064">
        <f t="shared" si="72"/>
        <v>0</v>
      </c>
      <c r="AL951" s="1064">
        <f t="shared" si="73"/>
        <v>0</v>
      </c>
      <c r="AM951" s="1064">
        <f t="shared" si="74"/>
        <v>0</v>
      </c>
      <c r="AN951" s="1064"/>
      <c r="AO951" s="1064">
        <f>TB_curr[[#This Row],[Closing balance]]+TB_curr[[#This Row],[Rounding]]</f>
        <v>0</v>
      </c>
    </row>
    <row r="952" spans="30:41" x14ac:dyDescent="0.25">
      <c r="AD952" s="1067" t="str">
        <f t="shared" si="70"/>
        <v/>
      </c>
      <c r="AE952" s="1063" t="str">
        <f>IF(ISNA(VLOOKUP(TB_curr[[#This Row],[Synt]],GL[[#Headers],[#Data],[subtotal label]],1,FALSE)),0,(VLOOKUP(TB_curr[[#This Row],[Synt]],GL[[#Headers],[#Data],[subtotal label]],1,FALSE)))</f>
        <v/>
      </c>
      <c r="AF952" s="1063" t="e">
        <f>IF((TB_curr[[#This Row],[Synt]]-TB_curr[[#This Row],[Subtotal Y/N]])=0,0,VLOOKUP(TB_curr[[#This Row],[Synt]],GL[[Account]:[Line]],3,FALSE))</f>
        <v>#VALUE!</v>
      </c>
      <c r="AG952" s="1063" t="e">
        <f>VLOOKUP(TB_curr[[#This Row],[Synt]],GL[[Account]:[B/P]],4,FALSE)</f>
        <v>#N/A</v>
      </c>
      <c r="AH952" s="1066" t="e">
        <v>#VALUE!</v>
      </c>
      <c r="AI952" s="1065" t="e">
        <f>TB_curr[[#This Row],[Synt]]&amp;TB_curr[[#This Row],[Line No. manual corr.]]</f>
        <v>#VALUE!</v>
      </c>
      <c r="AJ952" s="1064">
        <f t="shared" si="71"/>
        <v>0</v>
      </c>
      <c r="AK952" s="1064">
        <f t="shared" si="72"/>
        <v>0</v>
      </c>
      <c r="AL952" s="1064">
        <f t="shared" si="73"/>
        <v>0</v>
      </c>
      <c r="AM952" s="1064">
        <f t="shared" si="74"/>
        <v>0</v>
      </c>
      <c r="AN952" s="1064"/>
      <c r="AO952" s="1064">
        <f>TB_curr[[#This Row],[Closing balance]]+TB_curr[[#This Row],[Rounding]]</f>
        <v>0</v>
      </c>
    </row>
    <row r="953" spans="30:41" x14ac:dyDescent="0.25">
      <c r="AD953" s="1067" t="str">
        <f t="shared" si="70"/>
        <v/>
      </c>
      <c r="AE953" s="1063" t="str">
        <f>IF(ISNA(VLOOKUP(TB_curr[[#This Row],[Synt]],GL[[#Headers],[#Data],[subtotal label]],1,FALSE)),0,(VLOOKUP(TB_curr[[#This Row],[Synt]],GL[[#Headers],[#Data],[subtotal label]],1,FALSE)))</f>
        <v/>
      </c>
      <c r="AF953" s="1063" t="e">
        <f>IF((TB_curr[[#This Row],[Synt]]-TB_curr[[#This Row],[Subtotal Y/N]])=0,0,VLOOKUP(TB_curr[[#This Row],[Synt]],GL[[Account]:[Line]],3,FALSE))</f>
        <v>#VALUE!</v>
      </c>
      <c r="AG953" s="1063" t="e">
        <f>VLOOKUP(TB_curr[[#This Row],[Synt]],GL[[Account]:[B/P]],4,FALSE)</f>
        <v>#N/A</v>
      </c>
      <c r="AH953" s="1066" t="e">
        <v>#VALUE!</v>
      </c>
      <c r="AI953" s="1065" t="e">
        <f>TB_curr[[#This Row],[Synt]]&amp;TB_curr[[#This Row],[Line No. manual corr.]]</f>
        <v>#VALUE!</v>
      </c>
      <c r="AJ953" s="1064">
        <f t="shared" si="71"/>
        <v>0</v>
      </c>
      <c r="AK953" s="1064">
        <f t="shared" si="72"/>
        <v>0</v>
      </c>
      <c r="AL953" s="1064">
        <f t="shared" si="73"/>
        <v>0</v>
      </c>
      <c r="AM953" s="1064">
        <f t="shared" si="74"/>
        <v>0</v>
      </c>
      <c r="AN953" s="1064"/>
      <c r="AO953" s="1064">
        <f>TB_curr[[#This Row],[Closing balance]]+TB_curr[[#This Row],[Rounding]]</f>
        <v>0</v>
      </c>
    </row>
    <row r="954" spans="30:41" x14ac:dyDescent="0.25">
      <c r="AD954" s="1067" t="str">
        <f t="shared" si="70"/>
        <v/>
      </c>
      <c r="AE954" s="1063" t="str">
        <f>IF(ISNA(VLOOKUP(TB_curr[[#This Row],[Synt]],GL[[#Headers],[#Data],[subtotal label]],1,FALSE)),0,(VLOOKUP(TB_curr[[#This Row],[Synt]],GL[[#Headers],[#Data],[subtotal label]],1,FALSE)))</f>
        <v/>
      </c>
      <c r="AF954" s="1063" t="e">
        <f>IF((TB_curr[[#This Row],[Synt]]-TB_curr[[#This Row],[Subtotal Y/N]])=0,0,VLOOKUP(TB_curr[[#This Row],[Synt]],GL[[Account]:[Line]],3,FALSE))</f>
        <v>#VALUE!</v>
      </c>
      <c r="AG954" s="1063" t="e">
        <f>VLOOKUP(TB_curr[[#This Row],[Synt]],GL[[Account]:[B/P]],4,FALSE)</f>
        <v>#N/A</v>
      </c>
      <c r="AH954" s="1066" t="e">
        <v>#VALUE!</v>
      </c>
      <c r="AI954" s="1065" t="e">
        <f>TB_curr[[#This Row],[Synt]]&amp;TB_curr[[#This Row],[Line No. manual corr.]]</f>
        <v>#VALUE!</v>
      </c>
      <c r="AJ954" s="1064">
        <f t="shared" si="71"/>
        <v>0</v>
      </c>
      <c r="AK954" s="1064">
        <f t="shared" si="72"/>
        <v>0</v>
      </c>
      <c r="AL954" s="1064">
        <f t="shared" si="73"/>
        <v>0</v>
      </c>
      <c r="AM954" s="1064">
        <f t="shared" si="74"/>
        <v>0</v>
      </c>
      <c r="AN954" s="1064"/>
      <c r="AO954" s="1064">
        <f>TB_curr[[#This Row],[Closing balance]]+TB_curr[[#This Row],[Rounding]]</f>
        <v>0</v>
      </c>
    </row>
    <row r="955" spans="30:41" x14ac:dyDescent="0.25">
      <c r="AD955" s="1067" t="str">
        <f t="shared" si="70"/>
        <v/>
      </c>
      <c r="AE955" s="1063" t="str">
        <f>IF(ISNA(VLOOKUP(TB_curr[[#This Row],[Synt]],GL[[#Headers],[#Data],[subtotal label]],1,FALSE)),0,(VLOOKUP(TB_curr[[#This Row],[Synt]],GL[[#Headers],[#Data],[subtotal label]],1,FALSE)))</f>
        <v/>
      </c>
      <c r="AF955" s="1063" t="e">
        <f>IF((TB_curr[[#This Row],[Synt]]-TB_curr[[#This Row],[Subtotal Y/N]])=0,0,VLOOKUP(TB_curr[[#This Row],[Synt]],GL[[Account]:[Line]],3,FALSE))</f>
        <v>#VALUE!</v>
      </c>
      <c r="AG955" s="1063" t="e">
        <f>VLOOKUP(TB_curr[[#This Row],[Synt]],GL[[Account]:[B/P]],4,FALSE)</f>
        <v>#N/A</v>
      </c>
      <c r="AH955" s="1066" t="e">
        <v>#VALUE!</v>
      </c>
      <c r="AI955" s="1065" t="e">
        <f>TB_curr[[#This Row],[Synt]]&amp;TB_curr[[#This Row],[Line No. manual corr.]]</f>
        <v>#VALUE!</v>
      </c>
      <c r="AJ955" s="1064">
        <f t="shared" si="71"/>
        <v>0</v>
      </c>
      <c r="AK955" s="1064">
        <f t="shared" si="72"/>
        <v>0</v>
      </c>
      <c r="AL955" s="1064">
        <f t="shared" si="73"/>
        <v>0</v>
      </c>
      <c r="AM955" s="1064">
        <f t="shared" si="74"/>
        <v>0</v>
      </c>
      <c r="AN955" s="1064"/>
      <c r="AO955" s="1064">
        <f>TB_curr[[#This Row],[Closing balance]]+TB_curr[[#This Row],[Rounding]]</f>
        <v>0</v>
      </c>
    </row>
    <row r="956" spans="30:41" x14ac:dyDescent="0.25">
      <c r="AD956" s="1067" t="str">
        <f t="shared" si="70"/>
        <v/>
      </c>
      <c r="AE956" s="1063" t="str">
        <f>IF(ISNA(VLOOKUP(TB_curr[[#This Row],[Synt]],GL[[#Headers],[#Data],[subtotal label]],1,FALSE)),0,(VLOOKUP(TB_curr[[#This Row],[Synt]],GL[[#Headers],[#Data],[subtotal label]],1,FALSE)))</f>
        <v/>
      </c>
      <c r="AF956" s="1063" t="e">
        <f>IF((TB_curr[[#This Row],[Synt]]-TB_curr[[#This Row],[Subtotal Y/N]])=0,0,VLOOKUP(TB_curr[[#This Row],[Synt]],GL[[Account]:[Line]],3,FALSE))</f>
        <v>#VALUE!</v>
      </c>
      <c r="AG956" s="1063" t="e">
        <f>VLOOKUP(TB_curr[[#This Row],[Synt]],GL[[Account]:[B/P]],4,FALSE)</f>
        <v>#N/A</v>
      </c>
      <c r="AH956" s="1066" t="e">
        <v>#VALUE!</v>
      </c>
      <c r="AI956" s="1065" t="e">
        <f>TB_curr[[#This Row],[Synt]]&amp;TB_curr[[#This Row],[Line No. manual corr.]]</f>
        <v>#VALUE!</v>
      </c>
      <c r="AJ956" s="1064">
        <f t="shared" si="71"/>
        <v>0</v>
      </c>
      <c r="AK956" s="1064">
        <f t="shared" si="72"/>
        <v>0</v>
      </c>
      <c r="AL956" s="1064">
        <f t="shared" si="73"/>
        <v>0</v>
      </c>
      <c r="AM956" s="1064">
        <f t="shared" si="74"/>
        <v>0</v>
      </c>
      <c r="AN956" s="1064"/>
      <c r="AO956" s="1064">
        <f>TB_curr[[#This Row],[Closing balance]]+TB_curr[[#This Row],[Rounding]]</f>
        <v>0</v>
      </c>
    </row>
    <row r="957" spans="30:41" x14ac:dyDescent="0.25">
      <c r="AD957" s="1067" t="str">
        <f t="shared" si="70"/>
        <v/>
      </c>
      <c r="AE957" s="1063" t="str">
        <f>IF(ISNA(VLOOKUP(TB_curr[[#This Row],[Synt]],GL[[#Headers],[#Data],[subtotal label]],1,FALSE)),0,(VLOOKUP(TB_curr[[#This Row],[Synt]],GL[[#Headers],[#Data],[subtotal label]],1,FALSE)))</f>
        <v/>
      </c>
      <c r="AF957" s="1063" t="e">
        <f>IF((TB_curr[[#This Row],[Synt]]-TB_curr[[#This Row],[Subtotal Y/N]])=0,0,VLOOKUP(TB_curr[[#This Row],[Synt]],GL[[Account]:[Line]],3,FALSE))</f>
        <v>#VALUE!</v>
      </c>
      <c r="AG957" s="1063" t="e">
        <f>VLOOKUP(TB_curr[[#This Row],[Synt]],GL[[Account]:[B/P]],4,FALSE)</f>
        <v>#N/A</v>
      </c>
      <c r="AH957" s="1066" t="e">
        <v>#VALUE!</v>
      </c>
      <c r="AI957" s="1065" t="e">
        <f>TB_curr[[#This Row],[Synt]]&amp;TB_curr[[#This Row],[Line No. manual corr.]]</f>
        <v>#VALUE!</v>
      </c>
      <c r="AJ957" s="1064">
        <f t="shared" si="71"/>
        <v>0</v>
      </c>
      <c r="AK957" s="1064">
        <f t="shared" si="72"/>
        <v>0</v>
      </c>
      <c r="AL957" s="1064">
        <f t="shared" si="73"/>
        <v>0</v>
      </c>
      <c r="AM957" s="1064">
        <f t="shared" si="74"/>
        <v>0</v>
      </c>
      <c r="AN957" s="1064"/>
      <c r="AO957" s="1064">
        <f>TB_curr[[#This Row],[Closing balance]]+TB_curr[[#This Row],[Rounding]]</f>
        <v>0</v>
      </c>
    </row>
    <row r="958" spans="30:41" x14ac:dyDescent="0.25">
      <c r="AD958" s="1067" t="str">
        <f t="shared" si="70"/>
        <v/>
      </c>
      <c r="AE958" s="1063" t="str">
        <f>IF(ISNA(VLOOKUP(TB_curr[[#This Row],[Synt]],GL[[#Headers],[#Data],[subtotal label]],1,FALSE)),0,(VLOOKUP(TB_curr[[#This Row],[Synt]],GL[[#Headers],[#Data],[subtotal label]],1,FALSE)))</f>
        <v/>
      </c>
      <c r="AF958" s="1063" t="e">
        <f>IF((TB_curr[[#This Row],[Synt]]-TB_curr[[#This Row],[Subtotal Y/N]])=0,0,VLOOKUP(TB_curr[[#This Row],[Synt]],GL[[Account]:[Line]],3,FALSE))</f>
        <v>#VALUE!</v>
      </c>
      <c r="AG958" s="1063" t="e">
        <f>VLOOKUP(TB_curr[[#This Row],[Synt]],GL[[Account]:[B/P]],4,FALSE)</f>
        <v>#N/A</v>
      </c>
      <c r="AH958" s="1066" t="e">
        <v>#VALUE!</v>
      </c>
      <c r="AI958" s="1065" t="e">
        <f>TB_curr[[#This Row],[Synt]]&amp;TB_curr[[#This Row],[Line No. manual corr.]]</f>
        <v>#VALUE!</v>
      </c>
      <c r="AJ958" s="1064">
        <f t="shared" si="71"/>
        <v>0</v>
      </c>
      <c r="AK958" s="1064">
        <f t="shared" si="72"/>
        <v>0</v>
      </c>
      <c r="AL958" s="1064">
        <f t="shared" si="73"/>
        <v>0</v>
      </c>
      <c r="AM958" s="1064">
        <f t="shared" si="74"/>
        <v>0</v>
      </c>
      <c r="AN958" s="1064"/>
      <c r="AO958" s="1064">
        <f>TB_curr[[#This Row],[Closing balance]]+TB_curr[[#This Row],[Rounding]]</f>
        <v>0</v>
      </c>
    </row>
    <row r="959" spans="30:41" x14ac:dyDescent="0.25">
      <c r="AD959" s="1067" t="str">
        <f t="shared" si="70"/>
        <v/>
      </c>
      <c r="AE959" s="1063" t="str">
        <f>IF(ISNA(VLOOKUP(TB_curr[[#This Row],[Synt]],GL[[#Headers],[#Data],[subtotal label]],1,FALSE)),0,(VLOOKUP(TB_curr[[#This Row],[Synt]],GL[[#Headers],[#Data],[subtotal label]],1,FALSE)))</f>
        <v/>
      </c>
      <c r="AF959" s="1063" t="e">
        <f>IF((TB_curr[[#This Row],[Synt]]-TB_curr[[#This Row],[Subtotal Y/N]])=0,0,VLOOKUP(TB_curr[[#This Row],[Synt]],GL[[Account]:[Line]],3,FALSE))</f>
        <v>#VALUE!</v>
      </c>
      <c r="AG959" s="1063" t="e">
        <f>VLOOKUP(TB_curr[[#This Row],[Synt]],GL[[Account]:[B/P]],4,FALSE)</f>
        <v>#N/A</v>
      </c>
      <c r="AH959" s="1066" t="e">
        <v>#VALUE!</v>
      </c>
      <c r="AI959" s="1065" t="e">
        <f>TB_curr[[#This Row],[Synt]]&amp;TB_curr[[#This Row],[Line No. manual corr.]]</f>
        <v>#VALUE!</v>
      </c>
      <c r="AJ959" s="1064">
        <f t="shared" si="71"/>
        <v>0</v>
      </c>
      <c r="AK959" s="1064">
        <f t="shared" si="72"/>
        <v>0</v>
      </c>
      <c r="AL959" s="1064">
        <f t="shared" si="73"/>
        <v>0</v>
      </c>
      <c r="AM959" s="1064">
        <f t="shared" si="74"/>
        <v>0</v>
      </c>
      <c r="AN959" s="1064"/>
      <c r="AO959" s="1064">
        <f>TB_curr[[#This Row],[Closing balance]]+TB_curr[[#This Row],[Rounding]]</f>
        <v>0</v>
      </c>
    </row>
    <row r="960" spans="30:41" x14ac:dyDescent="0.25">
      <c r="AD960" s="1067" t="str">
        <f t="shared" si="70"/>
        <v/>
      </c>
      <c r="AE960" s="1063" t="str">
        <f>IF(ISNA(VLOOKUP(TB_curr[[#This Row],[Synt]],GL[[#Headers],[#Data],[subtotal label]],1,FALSE)),0,(VLOOKUP(TB_curr[[#This Row],[Synt]],GL[[#Headers],[#Data],[subtotal label]],1,FALSE)))</f>
        <v/>
      </c>
      <c r="AF960" s="1063" t="e">
        <f>IF((TB_curr[[#This Row],[Synt]]-TB_curr[[#This Row],[Subtotal Y/N]])=0,0,VLOOKUP(TB_curr[[#This Row],[Synt]],GL[[Account]:[Line]],3,FALSE))</f>
        <v>#VALUE!</v>
      </c>
      <c r="AG960" s="1063" t="e">
        <f>VLOOKUP(TB_curr[[#This Row],[Synt]],GL[[Account]:[B/P]],4,FALSE)</f>
        <v>#N/A</v>
      </c>
      <c r="AH960" s="1066" t="e">
        <v>#VALUE!</v>
      </c>
      <c r="AI960" s="1065" t="e">
        <f>TB_curr[[#This Row],[Synt]]&amp;TB_curr[[#This Row],[Line No. manual corr.]]</f>
        <v>#VALUE!</v>
      </c>
      <c r="AJ960" s="1064">
        <f t="shared" si="71"/>
        <v>0</v>
      </c>
      <c r="AK960" s="1064">
        <f t="shared" si="72"/>
        <v>0</v>
      </c>
      <c r="AL960" s="1064">
        <f t="shared" si="73"/>
        <v>0</v>
      </c>
      <c r="AM960" s="1064">
        <f t="shared" si="74"/>
        <v>0</v>
      </c>
      <c r="AN960" s="1064"/>
      <c r="AO960" s="1064">
        <f>TB_curr[[#This Row],[Closing balance]]+TB_curr[[#This Row],[Rounding]]</f>
        <v>0</v>
      </c>
    </row>
    <row r="961" spans="30:41" x14ac:dyDescent="0.25">
      <c r="AD961" s="1067" t="str">
        <f t="shared" si="70"/>
        <v/>
      </c>
      <c r="AE961" s="1063" t="str">
        <f>IF(ISNA(VLOOKUP(TB_curr[[#This Row],[Synt]],GL[[#Headers],[#Data],[subtotal label]],1,FALSE)),0,(VLOOKUP(TB_curr[[#This Row],[Synt]],GL[[#Headers],[#Data],[subtotal label]],1,FALSE)))</f>
        <v/>
      </c>
      <c r="AF961" s="1063" t="e">
        <f>IF((TB_curr[[#This Row],[Synt]]-TB_curr[[#This Row],[Subtotal Y/N]])=0,0,VLOOKUP(TB_curr[[#This Row],[Synt]],GL[[Account]:[Line]],3,FALSE))</f>
        <v>#VALUE!</v>
      </c>
      <c r="AG961" s="1063" t="e">
        <f>VLOOKUP(TB_curr[[#This Row],[Synt]],GL[[Account]:[B/P]],4,FALSE)</f>
        <v>#N/A</v>
      </c>
      <c r="AH961" s="1066" t="e">
        <v>#VALUE!</v>
      </c>
      <c r="AI961" s="1065" t="e">
        <f>TB_curr[[#This Row],[Synt]]&amp;TB_curr[[#This Row],[Line No. manual corr.]]</f>
        <v>#VALUE!</v>
      </c>
      <c r="AJ961" s="1064">
        <f t="shared" si="71"/>
        <v>0</v>
      </c>
      <c r="AK961" s="1064">
        <f t="shared" si="72"/>
        <v>0</v>
      </c>
      <c r="AL961" s="1064">
        <f t="shared" si="73"/>
        <v>0</v>
      </c>
      <c r="AM961" s="1064">
        <f t="shared" si="74"/>
        <v>0</v>
      </c>
      <c r="AN961" s="1064"/>
      <c r="AO961" s="1064">
        <f>TB_curr[[#This Row],[Closing balance]]+TB_curr[[#This Row],[Rounding]]</f>
        <v>0</v>
      </c>
    </row>
    <row r="962" spans="30:41" x14ac:dyDescent="0.25">
      <c r="AD962" s="1067" t="str">
        <f t="shared" si="70"/>
        <v/>
      </c>
      <c r="AE962" s="1063" t="str">
        <f>IF(ISNA(VLOOKUP(TB_curr[[#This Row],[Synt]],GL[[#Headers],[#Data],[subtotal label]],1,FALSE)),0,(VLOOKUP(TB_curr[[#This Row],[Synt]],GL[[#Headers],[#Data],[subtotal label]],1,FALSE)))</f>
        <v/>
      </c>
      <c r="AF962" s="1063" t="e">
        <f>IF((TB_curr[[#This Row],[Synt]]-TB_curr[[#This Row],[Subtotal Y/N]])=0,0,VLOOKUP(TB_curr[[#This Row],[Synt]],GL[[Account]:[Line]],3,FALSE))</f>
        <v>#VALUE!</v>
      </c>
      <c r="AG962" s="1063" t="e">
        <f>VLOOKUP(TB_curr[[#This Row],[Synt]],GL[[Account]:[B/P]],4,FALSE)</f>
        <v>#N/A</v>
      </c>
      <c r="AH962" s="1066" t="e">
        <v>#VALUE!</v>
      </c>
      <c r="AI962" s="1065" t="e">
        <f>TB_curr[[#This Row],[Synt]]&amp;TB_curr[[#This Row],[Line No. manual corr.]]</f>
        <v>#VALUE!</v>
      </c>
      <c r="AJ962" s="1064">
        <f t="shared" si="71"/>
        <v>0</v>
      </c>
      <c r="AK962" s="1064">
        <f t="shared" si="72"/>
        <v>0</v>
      </c>
      <c r="AL962" s="1064">
        <f t="shared" si="73"/>
        <v>0</v>
      </c>
      <c r="AM962" s="1064">
        <f t="shared" si="74"/>
        <v>0</v>
      </c>
      <c r="AN962" s="1064"/>
      <c r="AO962" s="1064">
        <f>TB_curr[[#This Row],[Closing balance]]+TB_curr[[#This Row],[Rounding]]</f>
        <v>0</v>
      </c>
    </row>
    <row r="963" spans="30:41" x14ac:dyDescent="0.25">
      <c r="AD963" s="1067" t="str">
        <f t="shared" si="70"/>
        <v/>
      </c>
      <c r="AE963" s="1063" t="str">
        <f>IF(ISNA(VLOOKUP(TB_curr[[#This Row],[Synt]],GL[[#Headers],[#Data],[subtotal label]],1,FALSE)),0,(VLOOKUP(TB_curr[[#This Row],[Synt]],GL[[#Headers],[#Data],[subtotal label]],1,FALSE)))</f>
        <v/>
      </c>
      <c r="AF963" s="1063" t="e">
        <f>IF((TB_curr[[#This Row],[Synt]]-TB_curr[[#This Row],[Subtotal Y/N]])=0,0,VLOOKUP(TB_curr[[#This Row],[Synt]],GL[[Account]:[Line]],3,FALSE))</f>
        <v>#VALUE!</v>
      </c>
      <c r="AG963" s="1063" t="e">
        <f>VLOOKUP(TB_curr[[#This Row],[Synt]],GL[[Account]:[B/P]],4,FALSE)</f>
        <v>#N/A</v>
      </c>
      <c r="AH963" s="1066" t="e">
        <v>#VALUE!</v>
      </c>
      <c r="AI963" s="1065" t="e">
        <f>TB_curr[[#This Row],[Synt]]&amp;TB_curr[[#This Row],[Line No. manual corr.]]</f>
        <v>#VALUE!</v>
      </c>
      <c r="AJ963" s="1064">
        <f t="shared" si="71"/>
        <v>0</v>
      </c>
      <c r="AK963" s="1064">
        <f t="shared" si="72"/>
        <v>0</v>
      </c>
      <c r="AL963" s="1064">
        <f t="shared" si="73"/>
        <v>0</v>
      </c>
      <c r="AM963" s="1064">
        <f t="shared" si="74"/>
        <v>0</v>
      </c>
      <c r="AN963" s="1064"/>
      <c r="AO963" s="1064">
        <f>TB_curr[[#This Row],[Closing balance]]+TB_curr[[#This Row],[Rounding]]</f>
        <v>0</v>
      </c>
    </row>
    <row r="964" spans="30:41" x14ac:dyDescent="0.25">
      <c r="AD964" s="1067" t="str">
        <f t="shared" si="70"/>
        <v/>
      </c>
      <c r="AE964" s="1063" t="str">
        <f>IF(ISNA(VLOOKUP(TB_curr[[#This Row],[Synt]],GL[[#Headers],[#Data],[subtotal label]],1,FALSE)),0,(VLOOKUP(TB_curr[[#This Row],[Synt]],GL[[#Headers],[#Data],[subtotal label]],1,FALSE)))</f>
        <v/>
      </c>
      <c r="AF964" s="1063" t="e">
        <f>IF((TB_curr[[#This Row],[Synt]]-TB_curr[[#This Row],[Subtotal Y/N]])=0,0,VLOOKUP(TB_curr[[#This Row],[Synt]],GL[[Account]:[Line]],3,FALSE))</f>
        <v>#VALUE!</v>
      </c>
      <c r="AG964" s="1063" t="e">
        <f>VLOOKUP(TB_curr[[#This Row],[Synt]],GL[[Account]:[B/P]],4,FALSE)</f>
        <v>#N/A</v>
      </c>
      <c r="AH964" s="1066" t="e">
        <v>#VALUE!</v>
      </c>
      <c r="AI964" s="1065" t="e">
        <f>TB_curr[[#This Row],[Synt]]&amp;TB_curr[[#This Row],[Line No. manual corr.]]</f>
        <v>#VALUE!</v>
      </c>
      <c r="AJ964" s="1064">
        <f t="shared" si="71"/>
        <v>0</v>
      </c>
      <c r="AK964" s="1064">
        <f t="shared" si="72"/>
        <v>0</v>
      </c>
      <c r="AL964" s="1064">
        <f t="shared" si="73"/>
        <v>0</v>
      </c>
      <c r="AM964" s="1064">
        <f t="shared" si="74"/>
        <v>0</v>
      </c>
      <c r="AN964" s="1064"/>
      <c r="AO964" s="1064">
        <f>TB_curr[[#This Row],[Closing balance]]+TB_curr[[#This Row],[Rounding]]</f>
        <v>0</v>
      </c>
    </row>
    <row r="965" spans="30:41" x14ac:dyDescent="0.25">
      <c r="AD965" s="1067" t="str">
        <f t="shared" si="70"/>
        <v/>
      </c>
      <c r="AE965" s="1063" t="str">
        <f>IF(ISNA(VLOOKUP(TB_curr[[#This Row],[Synt]],GL[[#Headers],[#Data],[subtotal label]],1,FALSE)),0,(VLOOKUP(TB_curr[[#This Row],[Synt]],GL[[#Headers],[#Data],[subtotal label]],1,FALSE)))</f>
        <v/>
      </c>
      <c r="AF965" s="1063" t="e">
        <f>IF((TB_curr[[#This Row],[Synt]]-TB_curr[[#This Row],[Subtotal Y/N]])=0,0,VLOOKUP(TB_curr[[#This Row],[Synt]],GL[[Account]:[Line]],3,FALSE))</f>
        <v>#VALUE!</v>
      </c>
      <c r="AG965" s="1063" t="e">
        <f>VLOOKUP(TB_curr[[#This Row],[Synt]],GL[[Account]:[B/P]],4,FALSE)</f>
        <v>#N/A</v>
      </c>
      <c r="AH965" s="1066" t="e">
        <v>#VALUE!</v>
      </c>
      <c r="AI965" s="1065" t="e">
        <f>TB_curr[[#This Row],[Synt]]&amp;TB_curr[[#This Row],[Line No. manual corr.]]</f>
        <v>#VALUE!</v>
      </c>
      <c r="AJ965" s="1064">
        <f t="shared" si="71"/>
        <v>0</v>
      </c>
      <c r="AK965" s="1064">
        <f t="shared" si="72"/>
        <v>0</v>
      </c>
      <c r="AL965" s="1064">
        <f t="shared" si="73"/>
        <v>0</v>
      </c>
      <c r="AM965" s="1064">
        <f t="shared" si="74"/>
        <v>0</v>
      </c>
      <c r="AN965" s="1064"/>
      <c r="AO965" s="1064">
        <f>TB_curr[[#This Row],[Closing balance]]+TB_curr[[#This Row],[Rounding]]</f>
        <v>0</v>
      </c>
    </row>
    <row r="966" spans="30:41" x14ac:dyDescent="0.25">
      <c r="AD966" s="1067" t="str">
        <f t="shared" si="70"/>
        <v/>
      </c>
      <c r="AE966" s="1063" t="str">
        <f>IF(ISNA(VLOOKUP(TB_curr[[#This Row],[Synt]],GL[[#Headers],[#Data],[subtotal label]],1,FALSE)),0,(VLOOKUP(TB_curr[[#This Row],[Synt]],GL[[#Headers],[#Data],[subtotal label]],1,FALSE)))</f>
        <v/>
      </c>
      <c r="AF966" s="1063" t="e">
        <f>IF((TB_curr[[#This Row],[Synt]]-TB_curr[[#This Row],[Subtotal Y/N]])=0,0,VLOOKUP(TB_curr[[#This Row],[Synt]],GL[[Account]:[Line]],3,FALSE))</f>
        <v>#VALUE!</v>
      </c>
      <c r="AG966" s="1063" t="e">
        <f>VLOOKUP(TB_curr[[#This Row],[Synt]],GL[[Account]:[B/P]],4,FALSE)</f>
        <v>#N/A</v>
      </c>
      <c r="AH966" s="1066" t="e">
        <v>#VALUE!</v>
      </c>
      <c r="AI966" s="1065" t="e">
        <f>TB_curr[[#This Row],[Synt]]&amp;TB_curr[[#This Row],[Line No. manual corr.]]</f>
        <v>#VALUE!</v>
      </c>
      <c r="AJ966" s="1064">
        <f t="shared" si="71"/>
        <v>0</v>
      </c>
      <c r="AK966" s="1064">
        <f t="shared" si="72"/>
        <v>0</v>
      </c>
      <c r="AL966" s="1064">
        <f t="shared" si="73"/>
        <v>0</v>
      </c>
      <c r="AM966" s="1064">
        <f t="shared" si="74"/>
        <v>0</v>
      </c>
      <c r="AN966" s="1064"/>
      <c r="AO966" s="1064">
        <f>TB_curr[[#This Row],[Closing balance]]+TB_curr[[#This Row],[Rounding]]</f>
        <v>0</v>
      </c>
    </row>
    <row r="967" spans="30:41" x14ac:dyDescent="0.25">
      <c r="AD967" s="1067" t="str">
        <f t="shared" si="70"/>
        <v/>
      </c>
      <c r="AE967" s="1063" t="str">
        <f>IF(ISNA(VLOOKUP(TB_curr[[#This Row],[Synt]],GL[[#Headers],[#Data],[subtotal label]],1,FALSE)),0,(VLOOKUP(TB_curr[[#This Row],[Synt]],GL[[#Headers],[#Data],[subtotal label]],1,FALSE)))</f>
        <v/>
      </c>
      <c r="AF967" s="1063" t="e">
        <f>IF((TB_curr[[#This Row],[Synt]]-TB_curr[[#This Row],[Subtotal Y/N]])=0,0,VLOOKUP(TB_curr[[#This Row],[Synt]],GL[[Account]:[Line]],3,FALSE))</f>
        <v>#VALUE!</v>
      </c>
      <c r="AG967" s="1063" t="e">
        <f>VLOOKUP(TB_curr[[#This Row],[Synt]],GL[[Account]:[B/P]],4,FALSE)</f>
        <v>#N/A</v>
      </c>
      <c r="AH967" s="1066" t="e">
        <v>#VALUE!</v>
      </c>
      <c r="AI967" s="1065" t="e">
        <f>TB_curr[[#This Row],[Synt]]&amp;TB_curr[[#This Row],[Line No. manual corr.]]</f>
        <v>#VALUE!</v>
      </c>
      <c r="AJ967" s="1064">
        <f t="shared" si="71"/>
        <v>0</v>
      </c>
      <c r="AK967" s="1064">
        <f t="shared" si="72"/>
        <v>0</v>
      </c>
      <c r="AL967" s="1064">
        <f t="shared" si="73"/>
        <v>0</v>
      </c>
      <c r="AM967" s="1064">
        <f t="shared" si="74"/>
        <v>0</v>
      </c>
      <c r="AN967" s="1064"/>
      <c r="AO967" s="1064">
        <f>TB_curr[[#This Row],[Closing balance]]+TB_curr[[#This Row],[Rounding]]</f>
        <v>0</v>
      </c>
    </row>
    <row r="968" spans="30:41" x14ac:dyDescent="0.25">
      <c r="AD968" s="1067" t="str">
        <f t="shared" ref="AD968:AD1031" si="75">LEFT(B968,3)</f>
        <v/>
      </c>
      <c r="AE968" s="1063" t="str">
        <f>IF(ISNA(VLOOKUP(TB_curr[[#This Row],[Synt]],GL[[#Headers],[#Data],[subtotal label]],1,FALSE)),0,(VLOOKUP(TB_curr[[#This Row],[Synt]],GL[[#Headers],[#Data],[subtotal label]],1,FALSE)))</f>
        <v/>
      </c>
      <c r="AF968" s="1063" t="e">
        <f>IF((TB_curr[[#This Row],[Synt]]-TB_curr[[#This Row],[Subtotal Y/N]])=0,0,VLOOKUP(TB_curr[[#This Row],[Synt]],GL[[Account]:[Line]],3,FALSE))</f>
        <v>#VALUE!</v>
      </c>
      <c r="AG968" s="1063" t="e">
        <f>VLOOKUP(TB_curr[[#This Row],[Synt]],GL[[Account]:[B/P]],4,FALSE)</f>
        <v>#N/A</v>
      </c>
      <c r="AH968" s="1066" t="e">
        <v>#VALUE!</v>
      </c>
      <c r="AI968" s="1065" t="e">
        <f>TB_curr[[#This Row],[Synt]]&amp;TB_curr[[#This Row],[Line No. manual corr.]]</f>
        <v>#VALUE!</v>
      </c>
      <c r="AJ968" s="1064">
        <f t="shared" ref="AJ968:AJ1031" si="76">K968-N968</f>
        <v>0</v>
      </c>
      <c r="AK968" s="1064">
        <f t="shared" ref="AK968:AK1031" si="77">Q968</f>
        <v>0</v>
      </c>
      <c r="AL968" s="1064">
        <f t="shared" ref="AL968:AL1031" si="78">U968</f>
        <v>0</v>
      </c>
      <c r="AM968" s="1064">
        <f t="shared" ref="AM968:AM1031" si="79">X968-AB968</f>
        <v>0</v>
      </c>
      <c r="AN968" s="1064"/>
      <c r="AO968" s="1064">
        <f>TB_curr[[#This Row],[Closing balance]]+TB_curr[[#This Row],[Rounding]]</f>
        <v>0</v>
      </c>
    </row>
    <row r="969" spans="30:41" x14ac:dyDescent="0.25">
      <c r="AD969" s="1067" t="str">
        <f t="shared" si="75"/>
        <v/>
      </c>
      <c r="AE969" s="1063" t="str">
        <f>IF(ISNA(VLOOKUP(TB_curr[[#This Row],[Synt]],GL[[#Headers],[#Data],[subtotal label]],1,FALSE)),0,(VLOOKUP(TB_curr[[#This Row],[Synt]],GL[[#Headers],[#Data],[subtotal label]],1,FALSE)))</f>
        <v/>
      </c>
      <c r="AF969" s="1063" t="e">
        <f>IF((TB_curr[[#This Row],[Synt]]-TB_curr[[#This Row],[Subtotal Y/N]])=0,0,VLOOKUP(TB_curr[[#This Row],[Synt]],GL[[Account]:[Line]],3,FALSE))</f>
        <v>#VALUE!</v>
      </c>
      <c r="AG969" s="1063" t="e">
        <f>VLOOKUP(TB_curr[[#This Row],[Synt]],GL[[Account]:[B/P]],4,FALSE)</f>
        <v>#N/A</v>
      </c>
      <c r="AH969" s="1066" t="e">
        <v>#VALUE!</v>
      </c>
      <c r="AI969" s="1065" t="e">
        <f>TB_curr[[#This Row],[Synt]]&amp;TB_curr[[#This Row],[Line No. manual corr.]]</f>
        <v>#VALUE!</v>
      </c>
      <c r="AJ969" s="1064">
        <f t="shared" si="76"/>
        <v>0</v>
      </c>
      <c r="AK969" s="1064">
        <f t="shared" si="77"/>
        <v>0</v>
      </c>
      <c r="AL969" s="1064">
        <f t="shared" si="78"/>
        <v>0</v>
      </c>
      <c r="AM969" s="1064">
        <f t="shared" si="79"/>
        <v>0</v>
      </c>
      <c r="AN969" s="1064"/>
      <c r="AO969" s="1064">
        <f>TB_curr[[#This Row],[Closing balance]]+TB_curr[[#This Row],[Rounding]]</f>
        <v>0</v>
      </c>
    </row>
    <row r="970" spans="30:41" x14ac:dyDescent="0.25">
      <c r="AD970" s="1067" t="str">
        <f t="shared" si="75"/>
        <v/>
      </c>
      <c r="AE970" s="1063" t="str">
        <f>IF(ISNA(VLOOKUP(TB_curr[[#This Row],[Synt]],GL[[#Headers],[#Data],[subtotal label]],1,FALSE)),0,(VLOOKUP(TB_curr[[#This Row],[Synt]],GL[[#Headers],[#Data],[subtotal label]],1,FALSE)))</f>
        <v/>
      </c>
      <c r="AF970" s="1063" t="e">
        <f>IF((TB_curr[[#This Row],[Synt]]-TB_curr[[#This Row],[Subtotal Y/N]])=0,0,VLOOKUP(TB_curr[[#This Row],[Synt]],GL[[Account]:[Line]],3,FALSE))</f>
        <v>#VALUE!</v>
      </c>
      <c r="AG970" s="1063" t="e">
        <f>VLOOKUP(TB_curr[[#This Row],[Synt]],GL[[Account]:[B/P]],4,FALSE)</f>
        <v>#N/A</v>
      </c>
      <c r="AH970" s="1066" t="e">
        <v>#VALUE!</v>
      </c>
      <c r="AI970" s="1065" t="e">
        <f>TB_curr[[#This Row],[Synt]]&amp;TB_curr[[#This Row],[Line No. manual corr.]]</f>
        <v>#VALUE!</v>
      </c>
      <c r="AJ970" s="1064">
        <f t="shared" si="76"/>
        <v>0</v>
      </c>
      <c r="AK970" s="1064">
        <f t="shared" si="77"/>
        <v>0</v>
      </c>
      <c r="AL970" s="1064">
        <f t="shared" si="78"/>
        <v>0</v>
      </c>
      <c r="AM970" s="1064">
        <f t="shared" si="79"/>
        <v>0</v>
      </c>
      <c r="AN970" s="1064"/>
      <c r="AO970" s="1064">
        <f>TB_curr[[#This Row],[Closing balance]]+TB_curr[[#This Row],[Rounding]]</f>
        <v>0</v>
      </c>
    </row>
    <row r="971" spans="30:41" x14ac:dyDescent="0.25">
      <c r="AD971" s="1067" t="str">
        <f t="shared" si="75"/>
        <v/>
      </c>
      <c r="AE971" s="1063" t="str">
        <f>IF(ISNA(VLOOKUP(TB_curr[[#This Row],[Synt]],GL[[#Headers],[#Data],[subtotal label]],1,FALSE)),0,(VLOOKUP(TB_curr[[#This Row],[Synt]],GL[[#Headers],[#Data],[subtotal label]],1,FALSE)))</f>
        <v/>
      </c>
      <c r="AF971" s="1063" t="e">
        <f>IF((TB_curr[[#This Row],[Synt]]-TB_curr[[#This Row],[Subtotal Y/N]])=0,0,VLOOKUP(TB_curr[[#This Row],[Synt]],GL[[Account]:[Line]],3,FALSE))</f>
        <v>#VALUE!</v>
      </c>
      <c r="AG971" s="1063" t="e">
        <f>VLOOKUP(TB_curr[[#This Row],[Synt]],GL[[Account]:[B/P]],4,FALSE)</f>
        <v>#N/A</v>
      </c>
      <c r="AH971" s="1066" t="e">
        <v>#VALUE!</v>
      </c>
      <c r="AI971" s="1065" t="e">
        <f>TB_curr[[#This Row],[Synt]]&amp;TB_curr[[#This Row],[Line No. manual corr.]]</f>
        <v>#VALUE!</v>
      </c>
      <c r="AJ971" s="1064">
        <f t="shared" si="76"/>
        <v>0</v>
      </c>
      <c r="AK971" s="1064">
        <f t="shared" si="77"/>
        <v>0</v>
      </c>
      <c r="AL971" s="1064">
        <f t="shared" si="78"/>
        <v>0</v>
      </c>
      <c r="AM971" s="1064">
        <f t="shared" si="79"/>
        <v>0</v>
      </c>
      <c r="AN971" s="1064"/>
      <c r="AO971" s="1064">
        <f>TB_curr[[#This Row],[Closing balance]]+TB_curr[[#This Row],[Rounding]]</f>
        <v>0</v>
      </c>
    </row>
    <row r="972" spans="30:41" x14ac:dyDescent="0.25">
      <c r="AD972" s="1067" t="str">
        <f t="shared" si="75"/>
        <v/>
      </c>
      <c r="AE972" s="1063" t="str">
        <f>IF(ISNA(VLOOKUP(TB_curr[[#This Row],[Synt]],GL[[#Headers],[#Data],[subtotal label]],1,FALSE)),0,(VLOOKUP(TB_curr[[#This Row],[Synt]],GL[[#Headers],[#Data],[subtotal label]],1,FALSE)))</f>
        <v/>
      </c>
      <c r="AF972" s="1063" t="e">
        <f>IF((TB_curr[[#This Row],[Synt]]-TB_curr[[#This Row],[Subtotal Y/N]])=0,0,VLOOKUP(TB_curr[[#This Row],[Synt]],GL[[Account]:[Line]],3,FALSE))</f>
        <v>#VALUE!</v>
      </c>
      <c r="AG972" s="1063" t="e">
        <f>VLOOKUP(TB_curr[[#This Row],[Synt]],GL[[Account]:[B/P]],4,FALSE)</f>
        <v>#N/A</v>
      </c>
      <c r="AH972" s="1066" t="e">
        <v>#VALUE!</v>
      </c>
      <c r="AI972" s="1065" t="e">
        <f>TB_curr[[#This Row],[Synt]]&amp;TB_curr[[#This Row],[Line No. manual corr.]]</f>
        <v>#VALUE!</v>
      </c>
      <c r="AJ972" s="1064">
        <f t="shared" si="76"/>
        <v>0</v>
      </c>
      <c r="AK972" s="1064">
        <f t="shared" si="77"/>
        <v>0</v>
      </c>
      <c r="AL972" s="1064">
        <f t="shared" si="78"/>
        <v>0</v>
      </c>
      <c r="AM972" s="1064">
        <f t="shared" si="79"/>
        <v>0</v>
      </c>
      <c r="AN972" s="1064"/>
      <c r="AO972" s="1064">
        <f>TB_curr[[#This Row],[Closing balance]]+TB_curr[[#This Row],[Rounding]]</f>
        <v>0</v>
      </c>
    </row>
    <row r="973" spans="30:41" x14ac:dyDescent="0.25">
      <c r="AD973" s="1067" t="str">
        <f t="shared" si="75"/>
        <v/>
      </c>
      <c r="AE973" s="1063" t="str">
        <f>IF(ISNA(VLOOKUP(TB_curr[[#This Row],[Synt]],GL[[#Headers],[#Data],[subtotal label]],1,FALSE)),0,(VLOOKUP(TB_curr[[#This Row],[Synt]],GL[[#Headers],[#Data],[subtotal label]],1,FALSE)))</f>
        <v/>
      </c>
      <c r="AF973" s="1063" t="e">
        <f>IF((TB_curr[[#This Row],[Synt]]-TB_curr[[#This Row],[Subtotal Y/N]])=0,0,VLOOKUP(TB_curr[[#This Row],[Synt]],GL[[Account]:[Line]],3,FALSE))</f>
        <v>#VALUE!</v>
      </c>
      <c r="AG973" s="1063" t="e">
        <f>VLOOKUP(TB_curr[[#This Row],[Synt]],GL[[Account]:[B/P]],4,FALSE)</f>
        <v>#N/A</v>
      </c>
      <c r="AH973" s="1066" t="e">
        <v>#VALUE!</v>
      </c>
      <c r="AI973" s="1065" t="e">
        <f>TB_curr[[#This Row],[Synt]]&amp;TB_curr[[#This Row],[Line No. manual corr.]]</f>
        <v>#VALUE!</v>
      </c>
      <c r="AJ973" s="1064">
        <f t="shared" si="76"/>
        <v>0</v>
      </c>
      <c r="AK973" s="1064">
        <f t="shared" si="77"/>
        <v>0</v>
      </c>
      <c r="AL973" s="1064">
        <f t="shared" si="78"/>
        <v>0</v>
      </c>
      <c r="AM973" s="1064">
        <f t="shared" si="79"/>
        <v>0</v>
      </c>
      <c r="AN973" s="1064"/>
      <c r="AO973" s="1064">
        <f>TB_curr[[#This Row],[Closing balance]]+TB_curr[[#This Row],[Rounding]]</f>
        <v>0</v>
      </c>
    </row>
    <row r="974" spans="30:41" x14ac:dyDescent="0.25">
      <c r="AD974" s="1067" t="str">
        <f t="shared" si="75"/>
        <v/>
      </c>
      <c r="AE974" s="1063" t="str">
        <f>IF(ISNA(VLOOKUP(TB_curr[[#This Row],[Synt]],GL[[#Headers],[#Data],[subtotal label]],1,FALSE)),0,(VLOOKUP(TB_curr[[#This Row],[Synt]],GL[[#Headers],[#Data],[subtotal label]],1,FALSE)))</f>
        <v/>
      </c>
      <c r="AF974" s="1063" t="e">
        <f>IF((TB_curr[[#This Row],[Synt]]-TB_curr[[#This Row],[Subtotal Y/N]])=0,0,VLOOKUP(TB_curr[[#This Row],[Synt]],GL[[Account]:[Line]],3,FALSE))</f>
        <v>#VALUE!</v>
      </c>
      <c r="AG974" s="1063" t="e">
        <f>VLOOKUP(TB_curr[[#This Row],[Synt]],GL[[Account]:[B/P]],4,FALSE)</f>
        <v>#N/A</v>
      </c>
      <c r="AH974" s="1066" t="e">
        <v>#VALUE!</v>
      </c>
      <c r="AI974" s="1065" t="e">
        <f>TB_curr[[#This Row],[Synt]]&amp;TB_curr[[#This Row],[Line No. manual corr.]]</f>
        <v>#VALUE!</v>
      </c>
      <c r="AJ974" s="1064">
        <f t="shared" si="76"/>
        <v>0</v>
      </c>
      <c r="AK974" s="1064">
        <f t="shared" si="77"/>
        <v>0</v>
      </c>
      <c r="AL974" s="1064">
        <f t="shared" si="78"/>
        <v>0</v>
      </c>
      <c r="AM974" s="1064">
        <f t="shared" si="79"/>
        <v>0</v>
      </c>
      <c r="AN974" s="1064"/>
      <c r="AO974" s="1064">
        <f>TB_curr[[#This Row],[Closing balance]]+TB_curr[[#This Row],[Rounding]]</f>
        <v>0</v>
      </c>
    </row>
    <row r="975" spans="30:41" x14ac:dyDescent="0.25">
      <c r="AD975" s="1067" t="str">
        <f t="shared" si="75"/>
        <v/>
      </c>
      <c r="AE975" s="1063" t="str">
        <f>IF(ISNA(VLOOKUP(TB_curr[[#This Row],[Synt]],GL[[#Headers],[#Data],[subtotal label]],1,FALSE)),0,(VLOOKUP(TB_curr[[#This Row],[Synt]],GL[[#Headers],[#Data],[subtotal label]],1,FALSE)))</f>
        <v/>
      </c>
      <c r="AF975" s="1063" t="e">
        <f>IF((TB_curr[[#This Row],[Synt]]-TB_curr[[#This Row],[Subtotal Y/N]])=0,0,VLOOKUP(TB_curr[[#This Row],[Synt]],GL[[Account]:[Line]],3,FALSE))</f>
        <v>#VALUE!</v>
      </c>
      <c r="AG975" s="1063" t="e">
        <f>VLOOKUP(TB_curr[[#This Row],[Synt]],GL[[Account]:[B/P]],4,FALSE)</f>
        <v>#N/A</v>
      </c>
      <c r="AH975" s="1066" t="e">
        <v>#VALUE!</v>
      </c>
      <c r="AI975" s="1065" t="e">
        <f>TB_curr[[#This Row],[Synt]]&amp;TB_curr[[#This Row],[Line No. manual corr.]]</f>
        <v>#VALUE!</v>
      </c>
      <c r="AJ975" s="1064">
        <f t="shared" si="76"/>
        <v>0</v>
      </c>
      <c r="AK975" s="1064">
        <f t="shared" si="77"/>
        <v>0</v>
      </c>
      <c r="AL975" s="1064">
        <f t="shared" si="78"/>
        <v>0</v>
      </c>
      <c r="AM975" s="1064">
        <f t="shared" si="79"/>
        <v>0</v>
      </c>
      <c r="AN975" s="1064"/>
      <c r="AO975" s="1064">
        <f>TB_curr[[#This Row],[Closing balance]]+TB_curr[[#This Row],[Rounding]]</f>
        <v>0</v>
      </c>
    </row>
    <row r="976" spans="30:41" x14ac:dyDescent="0.25">
      <c r="AD976" s="1067" t="str">
        <f t="shared" si="75"/>
        <v/>
      </c>
      <c r="AE976" s="1063" t="str">
        <f>IF(ISNA(VLOOKUP(TB_curr[[#This Row],[Synt]],GL[[#Headers],[#Data],[subtotal label]],1,FALSE)),0,(VLOOKUP(TB_curr[[#This Row],[Synt]],GL[[#Headers],[#Data],[subtotal label]],1,FALSE)))</f>
        <v/>
      </c>
      <c r="AF976" s="1063" t="e">
        <f>IF((TB_curr[[#This Row],[Synt]]-TB_curr[[#This Row],[Subtotal Y/N]])=0,0,VLOOKUP(TB_curr[[#This Row],[Synt]],GL[[Account]:[Line]],3,FALSE))</f>
        <v>#VALUE!</v>
      </c>
      <c r="AG976" s="1063" t="e">
        <f>VLOOKUP(TB_curr[[#This Row],[Synt]],GL[[Account]:[B/P]],4,FALSE)</f>
        <v>#N/A</v>
      </c>
      <c r="AH976" s="1066" t="e">
        <v>#VALUE!</v>
      </c>
      <c r="AI976" s="1065" t="e">
        <f>TB_curr[[#This Row],[Synt]]&amp;TB_curr[[#This Row],[Line No. manual corr.]]</f>
        <v>#VALUE!</v>
      </c>
      <c r="AJ976" s="1064">
        <f t="shared" si="76"/>
        <v>0</v>
      </c>
      <c r="AK976" s="1064">
        <f t="shared" si="77"/>
        <v>0</v>
      </c>
      <c r="AL976" s="1064">
        <f t="shared" si="78"/>
        <v>0</v>
      </c>
      <c r="AM976" s="1064">
        <f t="shared" si="79"/>
        <v>0</v>
      </c>
      <c r="AN976" s="1064"/>
      <c r="AO976" s="1064">
        <f>TB_curr[[#This Row],[Closing balance]]+TB_curr[[#This Row],[Rounding]]</f>
        <v>0</v>
      </c>
    </row>
    <row r="977" spans="30:41" x14ac:dyDescent="0.25">
      <c r="AD977" s="1067" t="str">
        <f t="shared" si="75"/>
        <v/>
      </c>
      <c r="AE977" s="1063" t="str">
        <f>IF(ISNA(VLOOKUP(TB_curr[[#This Row],[Synt]],GL[[#Headers],[#Data],[subtotal label]],1,FALSE)),0,(VLOOKUP(TB_curr[[#This Row],[Synt]],GL[[#Headers],[#Data],[subtotal label]],1,FALSE)))</f>
        <v/>
      </c>
      <c r="AF977" s="1063" t="e">
        <f>IF((TB_curr[[#This Row],[Synt]]-TB_curr[[#This Row],[Subtotal Y/N]])=0,0,VLOOKUP(TB_curr[[#This Row],[Synt]],GL[[Account]:[Line]],3,FALSE))</f>
        <v>#VALUE!</v>
      </c>
      <c r="AG977" s="1063" t="e">
        <f>VLOOKUP(TB_curr[[#This Row],[Synt]],GL[[Account]:[B/P]],4,FALSE)</f>
        <v>#N/A</v>
      </c>
      <c r="AH977" s="1066" t="e">
        <v>#VALUE!</v>
      </c>
      <c r="AI977" s="1065" t="e">
        <f>TB_curr[[#This Row],[Synt]]&amp;TB_curr[[#This Row],[Line No. manual corr.]]</f>
        <v>#VALUE!</v>
      </c>
      <c r="AJ977" s="1064">
        <f t="shared" si="76"/>
        <v>0</v>
      </c>
      <c r="AK977" s="1064">
        <f t="shared" si="77"/>
        <v>0</v>
      </c>
      <c r="AL977" s="1064">
        <f t="shared" si="78"/>
        <v>0</v>
      </c>
      <c r="AM977" s="1064">
        <f t="shared" si="79"/>
        <v>0</v>
      </c>
      <c r="AN977" s="1064"/>
      <c r="AO977" s="1064">
        <f>TB_curr[[#This Row],[Closing balance]]+TB_curr[[#This Row],[Rounding]]</f>
        <v>0</v>
      </c>
    </row>
    <row r="978" spans="30:41" x14ac:dyDescent="0.25">
      <c r="AD978" s="1067" t="str">
        <f t="shared" si="75"/>
        <v/>
      </c>
      <c r="AE978" s="1063" t="str">
        <f>IF(ISNA(VLOOKUP(TB_curr[[#This Row],[Synt]],GL[[#Headers],[#Data],[subtotal label]],1,FALSE)),0,(VLOOKUP(TB_curr[[#This Row],[Synt]],GL[[#Headers],[#Data],[subtotal label]],1,FALSE)))</f>
        <v/>
      </c>
      <c r="AF978" s="1063" t="e">
        <f>IF((TB_curr[[#This Row],[Synt]]-TB_curr[[#This Row],[Subtotal Y/N]])=0,0,VLOOKUP(TB_curr[[#This Row],[Synt]],GL[[Account]:[Line]],3,FALSE))</f>
        <v>#VALUE!</v>
      </c>
      <c r="AG978" s="1063" t="e">
        <f>VLOOKUP(TB_curr[[#This Row],[Synt]],GL[[Account]:[B/P]],4,FALSE)</f>
        <v>#N/A</v>
      </c>
      <c r="AH978" s="1066" t="e">
        <v>#VALUE!</v>
      </c>
      <c r="AI978" s="1065" t="e">
        <f>TB_curr[[#This Row],[Synt]]&amp;TB_curr[[#This Row],[Line No. manual corr.]]</f>
        <v>#VALUE!</v>
      </c>
      <c r="AJ978" s="1064">
        <f t="shared" si="76"/>
        <v>0</v>
      </c>
      <c r="AK978" s="1064">
        <f t="shared" si="77"/>
        <v>0</v>
      </c>
      <c r="AL978" s="1064">
        <f t="shared" si="78"/>
        <v>0</v>
      </c>
      <c r="AM978" s="1064">
        <f t="shared" si="79"/>
        <v>0</v>
      </c>
      <c r="AN978" s="1064"/>
      <c r="AO978" s="1064">
        <f>TB_curr[[#This Row],[Closing balance]]+TB_curr[[#This Row],[Rounding]]</f>
        <v>0</v>
      </c>
    </row>
    <row r="979" spans="30:41" x14ac:dyDescent="0.25">
      <c r="AD979" s="1067" t="str">
        <f t="shared" si="75"/>
        <v/>
      </c>
      <c r="AE979" s="1063" t="str">
        <f>IF(ISNA(VLOOKUP(TB_curr[[#This Row],[Synt]],GL[[#Headers],[#Data],[subtotal label]],1,FALSE)),0,(VLOOKUP(TB_curr[[#This Row],[Synt]],GL[[#Headers],[#Data],[subtotal label]],1,FALSE)))</f>
        <v/>
      </c>
      <c r="AF979" s="1063" t="e">
        <f>IF((TB_curr[[#This Row],[Synt]]-TB_curr[[#This Row],[Subtotal Y/N]])=0,0,VLOOKUP(TB_curr[[#This Row],[Synt]],GL[[Account]:[Line]],3,FALSE))</f>
        <v>#VALUE!</v>
      </c>
      <c r="AG979" s="1063" t="e">
        <f>VLOOKUP(TB_curr[[#This Row],[Synt]],GL[[Account]:[B/P]],4,FALSE)</f>
        <v>#N/A</v>
      </c>
      <c r="AH979" s="1066" t="e">
        <v>#VALUE!</v>
      </c>
      <c r="AI979" s="1065" t="e">
        <f>TB_curr[[#This Row],[Synt]]&amp;TB_curr[[#This Row],[Line No. manual corr.]]</f>
        <v>#VALUE!</v>
      </c>
      <c r="AJ979" s="1064">
        <f t="shared" si="76"/>
        <v>0</v>
      </c>
      <c r="AK979" s="1064">
        <f t="shared" si="77"/>
        <v>0</v>
      </c>
      <c r="AL979" s="1064">
        <f t="shared" si="78"/>
        <v>0</v>
      </c>
      <c r="AM979" s="1064">
        <f t="shared" si="79"/>
        <v>0</v>
      </c>
      <c r="AN979" s="1064"/>
      <c r="AO979" s="1064">
        <f>TB_curr[[#This Row],[Closing balance]]+TB_curr[[#This Row],[Rounding]]</f>
        <v>0</v>
      </c>
    </row>
    <row r="980" spans="30:41" x14ac:dyDescent="0.25">
      <c r="AD980" s="1067" t="str">
        <f t="shared" si="75"/>
        <v/>
      </c>
      <c r="AE980" s="1063" t="str">
        <f>IF(ISNA(VLOOKUP(TB_curr[[#This Row],[Synt]],GL[[#Headers],[#Data],[subtotal label]],1,FALSE)),0,(VLOOKUP(TB_curr[[#This Row],[Synt]],GL[[#Headers],[#Data],[subtotal label]],1,FALSE)))</f>
        <v/>
      </c>
      <c r="AF980" s="1063" t="e">
        <f>IF((TB_curr[[#This Row],[Synt]]-TB_curr[[#This Row],[Subtotal Y/N]])=0,0,VLOOKUP(TB_curr[[#This Row],[Synt]],GL[[Account]:[Line]],3,FALSE))</f>
        <v>#VALUE!</v>
      </c>
      <c r="AG980" s="1063" t="e">
        <f>VLOOKUP(TB_curr[[#This Row],[Synt]],GL[[Account]:[B/P]],4,FALSE)</f>
        <v>#N/A</v>
      </c>
      <c r="AH980" s="1066" t="e">
        <v>#VALUE!</v>
      </c>
      <c r="AI980" s="1065" t="e">
        <f>TB_curr[[#This Row],[Synt]]&amp;TB_curr[[#This Row],[Line No. manual corr.]]</f>
        <v>#VALUE!</v>
      </c>
      <c r="AJ980" s="1064">
        <f t="shared" si="76"/>
        <v>0</v>
      </c>
      <c r="AK980" s="1064">
        <f t="shared" si="77"/>
        <v>0</v>
      </c>
      <c r="AL980" s="1064">
        <f t="shared" si="78"/>
        <v>0</v>
      </c>
      <c r="AM980" s="1064">
        <f t="shared" si="79"/>
        <v>0</v>
      </c>
      <c r="AN980" s="1064"/>
      <c r="AO980" s="1064">
        <f>TB_curr[[#This Row],[Closing balance]]+TB_curr[[#This Row],[Rounding]]</f>
        <v>0</v>
      </c>
    </row>
    <row r="981" spans="30:41" x14ac:dyDescent="0.25">
      <c r="AD981" s="1067" t="str">
        <f t="shared" si="75"/>
        <v/>
      </c>
      <c r="AE981" s="1063" t="str">
        <f>IF(ISNA(VLOOKUP(TB_curr[[#This Row],[Synt]],GL[[#Headers],[#Data],[subtotal label]],1,FALSE)),0,(VLOOKUP(TB_curr[[#This Row],[Synt]],GL[[#Headers],[#Data],[subtotal label]],1,FALSE)))</f>
        <v/>
      </c>
      <c r="AF981" s="1063" t="e">
        <f>IF((TB_curr[[#This Row],[Synt]]-TB_curr[[#This Row],[Subtotal Y/N]])=0,0,VLOOKUP(TB_curr[[#This Row],[Synt]],GL[[Account]:[Line]],3,FALSE))</f>
        <v>#VALUE!</v>
      </c>
      <c r="AG981" s="1063" t="e">
        <f>VLOOKUP(TB_curr[[#This Row],[Synt]],GL[[Account]:[B/P]],4,FALSE)</f>
        <v>#N/A</v>
      </c>
      <c r="AH981" s="1066" t="e">
        <v>#VALUE!</v>
      </c>
      <c r="AI981" s="1065" t="e">
        <f>TB_curr[[#This Row],[Synt]]&amp;TB_curr[[#This Row],[Line No. manual corr.]]</f>
        <v>#VALUE!</v>
      </c>
      <c r="AJ981" s="1064">
        <f t="shared" si="76"/>
        <v>0</v>
      </c>
      <c r="AK981" s="1064">
        <f t="shared" si="77"/>
        <v>0</v>
      </c>
      <c r="AL981" s="1064">
        <f t="shared" si="78"/>
        <v>0</v>
      </c>
      <c r="AM981" s="1064">
        <f t="shared" si="79"/>
        <v>0</v>
      </c>
      <c r="AN981" s="1064"/>
      <c r="AO981" s="1064">
        <f>TB_curr[[#This Row],[Closing balance]]+TB_curr[[#This Row],[Rounding]]</f>
        <v>0</v>
      </c>
    </row>
    <row r="982" spans="30:41" x14ac:dyDescent="0.25">
      <c r="AD982" s="1067" t="str">
        <f t="shared" si="75"/>
        <v/>
      </c>
      <c r="AE982" s="1063" t="str">
        <f>IF(ISNA(VLOOKUP(TB_curr[[#This Row],[Synt]],GL[[#Headers],[#Data],[subtotal label]],1,FALSE)),0,(VLOOKUP(TB_curr[[#This Row],[Synt]],GL[[#Headers],[#Data],[subtotal label]],1,FALSE)))</f>
        <v/>
      </c>
      <c r="AF982" s="1063" t="e">
        <f>IF((TB_curr[[#This Row],[Synt]]-TB_curr[[#This Row],[Subtotal Y/N]])=0,0,VLOOKUP(TB_curr[[#This Row],[Synt]],GL[[Account]:[Line]],3,FALSE))</f>
        <v>#VALUE!</v>
      </c>
      <c r="AG982" s="1063" t="e">
        <f>VLOOKUP(TB_curr[[#This Row],[Synt]],GL[[Account]:[B/P]],4,FALSE)</f>
        <v>#N/A</v>
      </c>
      <c r="AH982" s="1066" t="e">
        <v>#VALUE!</v>
      </c>
      <c r="AI982" s="1065" t="e">
        <f>TB_curr[[#This Row],[Synt]]&amp;TB_curr[[#This Row],[Line No. manual corr.]]</f>
        <v>#VALUE!</v>
      </c>
      <c r="AJ982" s="1064">
        <f t="shared" si="76"/>
        <v>0</v>
      </c>
      <c r="AK982" s="1064">
        <f t="shared" si="77"/>
        <v>0</v>
      </c>
      <c r="AL982" s="1064">
        <f t="shared" si="78"/>
        <v>0</v>
      </c>
      <c r="AM982" s="1064">
        <f t="shared" si="79"/>
        <v>0</v>
      </c>
      <c r="AN982" s="1064"/>
      <c r="AO982" s="1064">
        <f>TB_curr[[#This Row],[Closing balance]]+TB_curr[[#This Row],[Rounding]]</f>
        <v>0</v>
      </c>
    </row>
    <row r="983" spans="30:41" x14ac:dyDescent="0.25">
      <c r="AD983" s="1067" t="str">
        <f t="shared" si="75"/>
        <v/>
      </c>
      <c r="AE983" s="1063" t="str">
        <f>IF(ISNA(VLOOKUP(TB_curr[[#This Row],[Synt]],GL[[#Headers],[#Data],[subtotal label]],1,FALSE)),0,(VLOOKUP(TB_curr[[#This Row],[Synt]],GL[[#Headers],[#Data],[subtotal label]],1,FALSE)))</f>
        <v/>
      </c>
      <c r="AF983" s="1063" t="e">
        <f>IF((TB_curr[[#This Row],[Synt]]-TB_curr[[#This Row],[Subtotal Y/N]])=0,0,VLOOKUP(TB_curr[[#This Row],[Synt]],GL[[Account]:[Line]],3,FALSE))</f>
        <v>#VALUE!</v>
      </c>
      <c r="AG983" s="1063" t="e">
        <f>VLOOKUP(TB_curr[[#This Row],[Synt]],GL[[Account]:[B/P]],4,FALSE)</f>
        <v>#N/A</v>
      </c>
      <c r="AH983" s="1066" t="e">
        <v>#VALUE!</v>
      </c>
      <c r="AI983" s="1065" t="e">
        <f>TB_curr[[#This Row],[Synt]]&amp;TB_curr[[#This Row],[Line No. manual corr.]]</f>
        <v>#VALUE!</v>
      </c>
      <c r="AJ983" s="1064">
        <f t="shared" si="76"/>
        <v>0</v>
      </c>
      <c r="AK983" s="1064">
        <f t="shared" si="77"/>
        <v>0</v>
      </c>
      <c r="AL983" s="1064">
        <f t="shared" si="78"/>
        <v>0</v>
      </c>
      <c r="AM983" s="1064">
        <f t="shared" si="79"/>
        <v>0</v>
      </c>
      <c r="AN983" s="1064"/>
      <c r="AO983" s="1064">
        <f>TB_curr[[#This Row],[Closing balance]]+TB_curr[[#This Row],[Rounding]]</f>
        <v>0</v>
      </c>
    </row>
    <row r="984" spans="30:41" x14ac:dyDescent="0.25">
      <c r="AD984" s="1067" t="str">
        <f t="shared" si="75"/>
        <v/>
      </c>
      <c r="AE984" s="1063" t="str">
        <f>IF(ISNA(VLOOKUP(TB_curr[[#This Row],[Synt]],GL[[#Headers],[#Data],[subtotal label]],1,FALSE)),0,(VLOOKUP(TB_curr[[#This Row],[Synt]],GL[[#Headers],[#Data],[subtotal label]],1,FALSE)))</f>
        <v/>
      </c>
      <c r="AF984" s="1063" t="e">
        <f>IF((TB_curr[[#This Row],[Synt]]-TB_curr[[#This Row],[Subtotal Y/N]])=0,0,VLOOKUP(TB_curr[[#This Row],[Synt]],GL[[Account]:[Line]],3,FALSE))</f>
        <v>#VALUE!</v>
      </c>
      <c r="AG984" s="1063" t="e">
        <f>VLOOKUP(TB_curr[[#This Row],[Synt]],GL[[Account]:[B/P]],4,FALSE)</f>
        <v>#N/A</v>
      </c>
      <c r="AH984" s="1066" t="e">
        <v>#VALUE!</v>
      </c>
      <c r="AI984" s="1065" t="e">
        <f>TB_curr[[#This Row],[Synt]]&amp;TB_curr[[#This Row],[Line No. manual corr.]]</f>
        <v>#VALUE!</v>
      </c>
      <c r="AJ984" s="1064">
        <f t="shared" si="76"/>
        <v>0</v>
      </c>
      <c r="AK984" s="1064">
        <f t="shared" si="77"/>
        <v>0</v>
      </c>
      <c r="AL984" s="1064">
        <f t="shared" si="78"/>
        <v>0</v>
      </c>
      <c r="AM984" s="1064">
        <f t="shared" si="79"/>
        <v>0</v>
      </c>
      <c r="AN984" s="1064"/>
      <c r="AO984" s="1064">
        <f>TB_curr[[#This Row],[Closing balance]]+TB_curr[[#This Row],[Rounding]]</f>
        <v>0</v>
      </c>
    </row>
    <row r="985" spans="30:41" x14ac:dyDescent="0.25">
      <c r="AD985" s="1067" t="str">
        <f t="shared" si="75"/>
        <v/>
      </c>
      <c r="AE985" s="1063" t="str">
        <f>IF(ISNA(VLOOKUP(TB_curr[[#This Row],[Synt]],GL[[#Headers],[#Data],[subtotal label]],1,FALSE)),0,(VLOOKUP(TB_curr[[#This Row],[Synt]],GL[[#Headers],[#Data],[subtotal label]],1,FALSE)))</f>
        <v/>
      </c>
      <c r="AF985" s="1063" t="e">
        <f>IF((TB_curr[[#This Row],[Synt]]-TB_curr[[#This Row],[Subtotal Y/N]])=0,0,VLOOKUP(TB_curr[[#This Row],[Synt]],GL[[Account]:[Line]],3,FALSE))</f>
        <v>#VALUE!</v>
      </c>
      <c r="AG985" s="1063" t="e">
        <f>VLOOKUP(TB_curr[[#This Row],[Synt]],GL[[Account]:[B/P]],4,FALSE)</f>
        <v>#N/A</v>
      </c>
      <c r="AH985" s="1066" t="e">
        <v>#VALUE!</v>
      </c>
      <c r="AI985" s="1065" t="e">
        <f>TB_curr[[#This Row],[Synt]]&amp;TB_curr[[#This Row],[Line No. manual corr.]]</f>
        <v>#VALUE!</v>
      </c>
      <c r="AJ985" s="1064">
        <f t="shared" si="76"/>
        <v>0</v>
      </c>
      <c r="AK985" s="1064">
        <f t="shared" si="77"/>
        <v>0</v>
      </c>
      <c r="AL985" s="1064">
        <f t="shared" si="78"/>
        <v>0</v>
      </c>
      <c r="AM985" s="1064">
        <f t="shared" si="79"/>
        <v>0</v>
      </c>
      <c r="AN985" s="1064"/>
      <c r="AO985" s="1064">
        <f>TB_curr[[#This Row],[Closing balance]]+TB_curr[[#This Row],[Rounding]]</f>
        <v>0</v>
      </c>
    </row>
    <row r="986" spans="30:41" x14ac:dyDescent="0.25">
      <c r="AD986" s="1067" t="str">
        <f t="shared" si="75"/>
        <v/>
      </c>
      <c r="AE986" s="1063" t="str">
        <f>IF(ISNA(VLOOKUP(TB_curr[[#This Row],[Synt]],GL[[#Headers],[#Data],[subtotal label]],1,FALSE)),0,(VLOOKUP(TB_curr[[#This Row],[Synt]],GL[[#Headers],[#Data],[subtotal label]],1,FALSE)))</f>
        <v/>
      </c>
      <c r="AF986" s="1063" t="e">
        <f>IF((TB_curr[[#This Row],[Synt]]-TB_curr[[#This Row],[Subtotal Y/N]])=0,0,VLOOKUP(TB_curr[[#This Row],[Synt]],GL[[Account]:[Line]],3,FALSE))</f>
        <v>#VALUE!</v>
      </c>
      <c r="AG986" s="1063" t="e">
        <f>VLOOKUP(TB_curr[[#This Row],[Synt]],GL[[Account]:[B/P]],4,FALSE)</f>
        <v>#N/A</v>
      </c>
      <c r="AH986" s="1066" t="e">
        <v>#VALUE!</v>
      </c>
      <c r="AI986" s="1065" t="e">
        <f>TB_curr[[#This Row],[Synt]]&amp;TB_curr[[#This Row],[Line No. manual corr.]]</f>
        <v>#VALUE!</v>
      </c>
      <c r="AJ986" s="1064">
        <f t="shared" si="76"/>
        <v>0</v>
      </c>
      <c r="AK986" s="1064">
        <f t="shared" si="77"/>
        <v>0</v>
      </c>
      <c r="AL986" s="1064">
        <f t="shared" si="78"/>
        <v>0</v>
      </c>
      <c r="AM986" s="1064">
        <f t="shared" si="79"/>
        <v>0</v>
      </c>
      <c r="AN986" s="1064"/>
      <c r="AO986" s="1064">
        <f>TB_curr[[#This Row],[Closing balance]]+TB_curr[[#This Row],[Rounding]]</f>
        <v>0</v>
      </c>
    </row>
    <row r="987" spans="30:41" x14ac:dyDescent="0.25">
      <c r="AD987" s="1067" t="str">
        <f t="shared" si="75"/>
        <v/>
      </c>
      <c r="AE987" s="1063" t="str">
        <f>IF(ISNA(VLOOKUP(TB_curr[[#This Row],[Synt]],GL[[#Headers],[#Data],[subtotal label]],1,FALSE)),0,(VLOOKUP(TB_curr[[#This Row],[Synt]],GL[[#Headers],[#Data],[subtotal label]],1,FALSE)))</f>
        <v/>
      </c>
      <c r="AF987" s="1063" t="e">
        <f>IF((TB_curr[[#This Row],[Synt]]-TB_curr[[#This Row],[Subtotal Y/N]])=0,0,VLOOKUP(TB_curr[[#This Row],[Synt]],GL[[Account]:[Line]],3,FALSE))</f>
        <v>#VALUE!</v>
      </c>
      <c r="AG987" s="1063" t="e">
        <f>VLOOKUP(TB_curr[[#This Row],[Synt]],GL[[Account]:[B/P]],4,FALSE)</f>
        <v>#N/A</v>
      </c>
      <c r="AH987" s="1066" t="e">
        <v>#VALUE!</v>
      </c>
      <c r="AI987" s="1065" t="e">
        <f>TB_curr[[#This Row],[Synt]]&amp;TB_curr[[#This Row],[Line No. manual corr.]]</f>
        <v>#VALUE!</v>
      </c>
      <c r="AJ987" s="1064">
        <f t="shared" si="76"/>
        <v>0</v>
      </c>
      <c r="AK987" s="1064">
        <f t="shared" si="77"/>
        <v>0</v>
      </c>
      <c r="AL987" s="1064">
        <f t="shared" si="78"/>
        <v>0</v>
      </c>
      <c r="AM987" s="1064">
        <f t="shared" si="79"/>
        <v>0</v>
      </c>
      <c r="AN987" s="1064"/>
      <c r="AO987" s="1064">
        <f>TB_curr[[#This Row],[Closing balance]]+TB_curr[[#This Row],[Rounding]]</f>
        <v>0</v>
      </c>
    </row>
    <row r="988" spans="30:41" x14ac:dyDescent="0.25">
      <c r="AD988" s="1067" t="str">
        <f t="shared" si="75"/>
        <v/>
      </c>
      <c r="AE988" s="1063" t="str">
        <f>IF(ISNA(VLOOKUP(TB_curr[[#This Row],[Synt]],GL[[#Headers],[#Data],[subtotal label]],1,FALSE)),0,(VLOOKUP(TB_curr[[#This Row],[Synt]],GL[[#Headers],[#Data],[subtotal label]],1,FALSE)))</f>
        <v/>
      </c>
      <c r="AF988" s="1063" t="e">
        <f>IF((TB_curr[[#This Row],[Synt]]-TB_curr[[#This Row],[Subtotal Y/N]])=0,0,VLOOKUP(TB_curr[[#This Row],[Synt]],GL[[Account]:[Line]],3,FALSE))</f>
        <v>#VALUE!</v>
      </c>
      <c r="AG988" s="1063" t="e">
        <f>VLOOKUP(TB_curr[[#This Row],[Synt]],GL[[Account]:[B/P]],4,FALSE)</f>
        <v>#N/A</v>
      </c>
      <c r="AH988" s="1066" t="e">
        <v>#VALUE!</v>
      </c>
      <c r="AI988" s="1065" t="e">
        <f>TB_curr[[#This Row],[Synt]]&amp;TB_curr[[#This Row],[Line No. manual corr.]]</f>
        <v>#VALUE!</v>
      </c>
      <c r="AJ988" s="1064">
        <f t="shared" si="76"/>
        <v>0</v>
      </c>
      <c r="AK988" s="1064">
        <f t="shared" si="77"/>
        <v>0</v>
      </c>
      <c r="AL988" s="1064">
        <f t="shared" si="78"/>
        <v>0</v>
      </c>
      <c r="AM988" s="1064">
        <f t="shared" si="79"/>
        <v>0</v>
      </c>
      <c r="AN988" s="1064"/>
      <c r="AO988" s="1064">
        <f>TB_curr[[#This Row],[Closing balance]]+TB_curr[[#This Row],[Rounding]]</f>
        <v>0</v>
      </c>
    </row>
    <row r="989" spans="30:41" x14ac:dyDescent="0.25">
      <c r="AD989" s="1067" t="str">
        <f t="shared" si="75"/>
        <v/>
      </c>
      <c r="AE989" s="1063" t="str">
        <f>IF(ISNA(VLOOKUP(TB_curr[[#This Row],[Synt]],GL[[#Headers],[#Data],[subtotal label]],1,FALSE)),0,(VLOOKUP(TB_curr[[#This Row],[Synt]],GL[[#Headers],[#Data],[subtotal label]],1,FALSE)))</f>
        <v/>
      </c>
      <c r="AF989" s="1063" t="e">
        <f>IF((TB_curr[[#This Row],[Synt]]-TB_curr[[#This Row],[Subtotal Y/N]])=0,0,VLOOKUP(TB_curr[[#This Row],[Synt]],GL[[Account]:[Line]],3,FALSE))</f>
        <v>#VALUE!</v>
      </c>
      <c r="AG989" s="1063" t="e">
        <f>VLOOKUP(TB_curr[[#This Row],[Synt]],GL[[Account]:[B/P]],4,FALSE)</f>
        <v>#N/A</v>
      </c>
      <c r="AH989" s="1066" t="e">
        <v>#VALUE!</v>
      </c>
      <c r="AI989" s="1065" t="e">
        <f>TB_curr[[#This Row],[Synt]]&amp;TB_curr[[#This Row],[Line No. manual corr.]]</f>
        <v>#VALUE!</v>
      </c>
      <c r="AJ989" s="1064">
        <f t="shared" si="76"/>
        <v>0</v>
      </c>
      <c r="AK989" s="1064">
        <f t="shared" si="77"/>
        <v>0</v>
      </c>
      <c r="AL989" s="1064">
        <f t="shared" si="78"/>
        <v>0</v>
      </c>
      <c r="AM989" s="1064">
        <f t="shared" si="79"/>
        <v>0</v>
      </c>
      <c r="AN989" s="1064"/>
      <c r="AO989" s="1064">
        <f>TB_curr[[#This Row],[Closing balance]]+TB_curr[[#This Row],[Rounding]]</f>
        <v>0</v>
      </c>
    </row>
    <row r="990" spans="30:41" x14ac:dyDescent="0.25">
      <c r="AD990" s="1067" t="str">
        <f t="shared" si="75"/>
        <v/>
      </c>
      <c r="AE990" s="1063" t="str">
        <f>IF(ISNA(VLOOKUP(TB_curr[[#This Row],[Synt]],GL[[#Headers],[#Data],[subtotal label]],1,FALSE)),0,(VLOOKUP(TB_curr[[#This Row],[Synt]],GL[[#Headers],[#Data],[subtotal label]],1,FALSE)))</f>
        <v/>
      </c>
      <c r="AF990" s="1063" t="e">
        <f>IF((TB_curr[[#This Row],[Synt]]-TB_curr[[#This Row],[Subtotal Y/N]])=0,0,VLOOKUP(TB_curr[[#This Row],[Synt]],GL[[Account]:[Line]],3,FALSE))</f>
        <v>#VALUE!</v>
      </c>
      <c r="AG990" s="1063" t="e">
        <f>VLOOKUP(TB_curr[[#This Row],[Synt]],GL[[Account]:[B/P]],4,FALSE)</f>
        <v>#N/A</v>
      </c>
      <c r="AH990" s="1066" t="e">
        <v>#VALUE!</v>
      </c>
      <c r="AI990" s="1065" t="e">
        <f>TB_curr[[#This Row],[Synt]]&amp;TB_curr[[#This Row],[Line No. manual corr.]]</f>
        <v>#VALUE!</v>
      </c>
      <c r="AJ990" s="1064">
        <f t="shared" si="76"/>
        <v>0</v>
      </c>
      <c r="AK990" s="1064">
        <f t="shared" si="77"/>
        <v>0</v>
      </c>
      <c r="AL990" s="1064">
        <f t="shared" si="78"/>
        <v>0</v>
      </c>
      <c r="AM990" s="1064">
        <f t="shared" si="79"/>
        <v>0</v>
      </c>
      <c r="AN990" s="1064"/>
      <c r="AO990" s="1064">
        <f>TB_curr[[#This Row],[Closing balance]]+TB_curr[[#This Row],[Rounding]]</f>
        <v>0</v>
      </c>
    </row>
    <row r="991" spans="30:41" x14ac:dyDescent="0.25">
      <c r="AD991" s="1067" t="str">
        <f t="shared" si="75"/>
        <v/>
      </c>
      <c r="AE991" s="1063" t="str">
        <f>IF(ISNA(VLOOKUP(TB_curr[[#This Row],[Synt]],GL[[#Headers],[#Data],[subtotal label]],1,FALSE)),0,(VLOOKUP(TB_curr[[#This Row],[Synt]],GL[[#Headers],[#Data],[subtotal label]],1,FALSE)))</f>
        <v/>
      </c>
      <c r="AF991" s="1063" t="e">
        <f>IF((TB_curr[[#This Row],[Synt]]-TB_curr[[#This Row],[Subtotal Y/N]])=0,0,VLOOKUP(TB_curr[[#This Row],[Synt]],GL[[Account]:[Line]],3,FALSE))</f>
        <v>#VALUE!</v>
      </c>
      <c r="AG991" s="1063" t="e">
        <f>VLOOKUP(TB_curr[[#This Row],[Synt]],GL[[Account]:[B/P]],4,FALSE)</f>
        <v>#N/A</v>
      </c>
      <c r="AH991" s="1066" t="e">
        <v>#VALUE!</v>
      </c>
      <c r="AI991" s="1065" t="e">
        <f>TB_curr[[#This Row],[Synt]]&amp;TB_curr[[#This Row],[Line No. manual corr.]]</f>
        <v>#VALUE!</v>
      </c>
      <c r="AJ991" s="1064">
        <f t="shared" si="76"/>
        <v>0</v>
      </c>
      <c r="AK991" s="1064">
        <f t="shared" si="77"/>
        <v>0</v>
      </c>
      <c r="AL991" s="1064">
        <f t="shared" si="78"/>
        <v>0</v>
      </c>
      <c r="AM991" s="1064">
        <f t="shared" si="79"/>
        <v>0</v>
      </c>
      <c r="AN991" s="1064"/>
      <c r="AO991" s="1064">
        <f>TB_curr[[#This Row],[Closing balance]]+TB_curr[[#This Row],[Rounding]]</f>
        <v>0</v>
      </c>
    </row>
    <row r="992" spans="30:41" x14ac:dyDescent="0.25">
      <c r="AD992" s="1067" t="str">
        <f t="shared" si="75"/>
        <v/>
      </c>
      <c r="AE992" s="1063" t="str">
        <f>IF(ISNA(VLOOKUP(TB_curr[[#This Row],[Synt]],GL[[#Headers],[#Data],[subtotal label]],1,FALSE)),0,(VLOOKUP(TB_curr[[#This Row],[Synt]],GL[[#Headers],[#Data],[subtotal label]],1,FALSE)))</f>
        <v/>
      </c>
      <c r="AF992" s="1063" t="e">
        <f>IF((TB_curr[[#This Row],[Synt]]-TB_curr[[#This Row],[Subtotal Y/N]])=0,0,VLOOKUP(TB_curr[[#This Row],[Synt]],GL[[Account]:[Line]],3,FALSE))</f>
        <v>#VALUE!</v>
      </c>
      <c r="AG992" s="1063" t="e">
        <f>VLOOKUP(TB_curr[[#This Row],[Synt]],GL[[Account]:[B/P]],4,FALSE)</f>
        <v>#N/A</v>
      </c>
      <c r="AH992" s="1066" t="e">
        <v>#VALUE!</v>
      </c>
      <c r="AI992" s="1065" t="e">
        <f>TB_curr[[#This Row],[Synt]]&amp;TB_curr[[#This Row],[Line No. manual corr.]]</f>
        <v>#VALUE!</v>
      </c>
      <c r="AJ992" s="1064">
        <f t="shared" si="76"/>
        <v>0</v>
      </c>
      <c r="AK992" s="1064">
        <f t="shared" si="77"/>
        <v>0</v>
      </c>
      <c r="AL992" s="1064">
        <f t="shared" si="78"/>
        <v>0</v>
      </c>
      <c r="AM992" s="1064">
        <f t="shared" si="79"/>
        <v>0</v>
      </c>
      <c r="AN992" s="1064"/>
      <c r="AO992" s="1064">
        <f>TB_curr[[#This Row],[Closing balance]]+TB_curr[[#This Row],[Rounding]]</f>
        <v>0</v>
      </c>
    </row>
    <row r="993" spans="30:41" x14ac:dyDescent="0.25">
      <c r="AD993" s="1067" t="str">
        <f t="shared" si="75"/>
        <v/>
      </c>
      <c r="AE993" s="1063" t="str">
        <f>IF(ISNA(VLOOKUP(TB_curr[[#This Row],[Synt]],GL[[#Headers],[#Data],[subtotal label]],1,FALSE)),0,(VLOOKUP(TB_curr[[#This Row],[Synt]],GL[[#Headers],[#Data],[subtotal label]],1,FALSE)))</f>
        <v/>
      </c>
      <c r="AF993" s="1063" t="e">
        <f>IF((TB_curr[[#This Row],[Synt]]-TB_curr[[#This Row],[Subtotal Y/N]])=0,0,VLOOKUP(TB_curr[[#This Row],[Synt]],GL[[Account]:[Line]],3,FALSE))</f>
        <v>#VALUE!</v>
      </c>
      <c r="AG993" s="1063" t="e">
        <f>VLOOKUP(TB_curr[[#This Row],[Synt]],GL[[Account]:[B/P]],4,FALSE)</f>
        <v>#N/A</v>
      </c>
      <c r="AH993" s="1066" t="e">
        <v>#VALUE!</v>
      </c>
      <c r="AI993" s="1065" t="e">
        <f>TB_curr[[#This Row],[Synt]]&amp;TB_curr[[#This Row],[Line No. manual corr.]]</f>
        <v>#VALUE!</v>
      </c>
      <c r="AJ993" s="1064">
        <f t="shared" si="76"/>
        <v>0</v>
      </c>
      <c r="AK993" s="1064">
        <f t="shared" si="77"/>
        <v>0</v>
      </c>
      <c r="AL993" s="1064">
        <f t="shared" si="78"/>
        <v>0</v>
      </c>
      <c r="AM993" s="1064">
        <f t="shared" si="79"/>
        <v>0</v>
      </c>
      <c r="AN993" s="1064"/>
      <c r="AO993" s="1064">
        <f>TB_curr[[#This Row],[Closing balance]]+TB_curr[[#This Row],[Rounding]]</f>
        <v>0</v>
      </c>
    </row>
    <row r="994" spans="30:41" x14ac:dyDescent="0.25">
      <c r="AD994" s="1067" t="str">
        <f t="shared" si="75"/>
        <v/>
      </c>
      <c r="AE994" s="1063" t="str">
        <f>IF(ISNA(VLOOKUP(TB_curr[[#This Row],[Synt]],GL[[#Headers],[#Data],[subtotal label]],1,FALSE)),0,(VLOOKUP(TB_curr[[#This Row],[Synt]],GL[[#Headers],[#Data],[subtotal label]],1,FALSE)))</f>
        <v/>
      </c>
      <c r="AF994" s="1063" t="e">
        <f>IF((TB_curr[[#This Row],[Synt]]-TB_curr[[#This Row],[Subtotal Y/N]])=0,0,VLOOKUP(TB_curr[[#This Row],[Synt]],GL[[Account]:[Line]],3,FALSE))</f>
        <v>#VALUE!</v>
      </c>
      <c r="AG994" s="1063" t="e">
        <f>VLOOKUP(TB_curr[[#This Row],[Synt]],GL[[Account]:[B/P]],4,FALSE)</f>
        <v>#N/A</v>
      </c>
      <c r="AH994" s="1066" t="e">
        <v>#VALUE!</v>
      </c>
      <c r="AI994" s="1065" t="e">
        <f>TB_curr[[#This Row],[Synt]]&amp;TB_curr[[#This Row],[Line No. manual corr.]]</f>
        <v>#VALUE!</v>
      </c>
      <c r="AJ994" s="1064">
        <f t="shared" si="76"/>
        <v>0</v>
      </c>
      <c r="AK994" s="1064">
        <f t="shared" si="77"/>
        <v>0</v>
      </c>
      <c r="AL994" s="1064">
        <f t="shared" si="78"/>
        <v>0</v>
      </c>
      <c r="AM994" s="1064">
        <f t="shared" si="79"/>
        <v>0</v>
      </c>
      <c r="AN994" s="1064"/>
      <c r="AO994" s="1064">
        <f>TB_curr[[#This Row],[Closing balance]]+TB_curr[[#This Row],[Rounding]]</f>
        <v>0</v>
      </c>
    </row>
    <row r="995" spans="30:41" x14ac:dyDescent="0.25">
      <c r="AD995" s="1067" t="str">
        <f t="shared" si="75"/>
        <v/>
      </c>
      <c r="AE995" s="1063" t="str">
        <f>IF(ISNA(VLOOKUP(TB_curr[[#This Row],[Synt]],GL[[#Headers],[#Data],[subtotal label]],1,FALSE)),0,(VLOOKUP(TB_curr[[#This Row],[Synt]],GL[[#Headers],[#Data],[subtotal label]],1,FALSE)))</f>
        <v/>
      </c>
      <c r="AF995" s="1063" t="e">
        <f>IF((TB_curr[[#This Row],[Synt]]-TB_curr[[#This Row],[Subtotal Y/N]])=0,0,VLOOKUP(TB_curr[[#This Row],[Synt]],GL[[Account]:[Line]],3,FALSE))</f>
        <v>#VALUE!</v>
      </c>
      <c r="AG995" s="1063" t="e">
        <f>VLOOKUP(TB_curr[[#This Row],[Synt]],GL[[Account]:[B/P]],4,FALSE)</f>
        <v>#N/A</v>
      </c>
      <c r="AH995" s="1066" t="e">
        <v>#VALUE!</v>
      </c>
      <c r="AI995" s="1065" t="e">
        <f>TB_curr[[#This Row],[Synt]]&amp;TB_curr[[#This Row],[Line No. manual corr.]]</f>
        <v>#VALUE!</v>
      </c>
      <c r="AJ995" s="1064">
        <f t="shared" si="76"/>
        <v>0</v>
      </c>
      <c r="AK995" s="1064">
        <f t="shared" si="77"/>
        <v>0</v>
      </c>
      <c r="AL995" s="1064">
        <f t="shared" si="78"/>
        <v>0</v>
      </c>
      <c r="AM995" s="1064">
        <f t="shared" si="79"/>
        <v>0</v>
      </c>
      <c r="AN995" s="1064"/>
      <c r="AO995" s="1064">
        <f>TB_curr[[#This Row],[Closing balance]]+TB_curr[[#This Row],[Rounding]]</f>
        <v>0</v>
      </c>
    </row>
    <row r="996" spans="30:41" x14ac:dyDescent="0.25">
      <c r="AD996" s="1067" t="str">
        <f t="shared" si="75"/>
        <v/>
      </c>
      <c r="AE996" s="1063" t="str">
        <f>IF(ISNA(VLOOKUP(TB_curr[[#This Row],[Synt]],GL[[#Headers],[#Data],[subtotal label]],1,FALSE)),0,(VLOOKUP(TB_curr[[#This Row],[Synt]],GL[[#Headers],[#Data],[subtotal label]],1,FALSE)))</f>
        <v/>
      </c>
      <c r="AF996" s="1063" t="e">
        <f>IF((TB_curr[[#This Row],[Synt]]-TB_curr[[#This Row],[Subtotal Y/N]])=0,0,VLOOKUP(TB_curr[[#This Row],[Synt]],GL[[Account]:[Line]],3,FALSE))</f>
        <v>#VALUE!</v>
      </c>
      <c r="AG996" s="1063" t="e">
        <f>VLOOKUP(TB_curr[[#This Row],[Synt]],GL[[Account]:[B/P]],4,FALSE)</f>
        <v>#N/A</v>
      </c>
      <c r="AH996" s="1066" t="e">
        <v>#VALUE!</v>
      </c>
      <c r="AI996" s="1065" t="e">
        <f>TB_curr[[#This Row],[Synt]]&amp;TB_curr[[#This Row],[Line No. manual corr.]]</f>
        <v>#VALUE!</v>
      </c>
      <c r="AJ996" s="1064">
        <f t="shared" si="76"/>
        <v>0</v>
      </c>
      <c r="AK996" s="1064">
        <f t="shared" si="77"/>
        <v>0</v>
      </c>
      <c r="AL996" s="1064">
        <f t="shared" si="78"/>
        <v>0</v>
      </c>
      <c r="AM996" s="1064">
        <f t="shared" si="79"/>
        <v>0</v>
      </c>
      <c r="AN996" s="1064"/>
      <c r="AO996" s="1064">
        <f>TB_curr[[#This Row],[Closing balance]]+TB_curr[[#This Row],[Rounding]]</f>
        <v>0</v>
      </c>
    </row>
    <row r="997" spans="30:41" x14ac:dyDescent="0.25">
      <c r="AD997" s="1067" t="str">
        <f t="shared" si="75"/>
        <v/>
      </c>
      <c r="AE997" s="1063" t="str">
        <f>IF(ISNA(VLOOKUP(TB_curr[[#This Row],[Synt]],GL[[#Headers],[#Data],[subtotal label]],1,FALSE)),0,(VLOOKUP(TB_curr[[#This Row],[Synt]],GL[[#Headers],[#Data],[subtotal label]],1,FALSE)))</f>
        <v/>
      </c>
      <c r="AF997" s="1063" t="e">
        <f>IF((TB_curr[[#This Row],[Synt]]-TB_curr[[#This Row],[Subtotal Y/N]])=0,0,VLOOKUP(TB_curr[[#This Row],[Synt]],GL[[Account]:[Line]],3,FALSE))</f>
        <v>#VALUE!</v>
      </c>
      <c r="AG997" s="1063" t="e">
        <f>VLOOKUP(TB_curr[[#This Row],[Synt]],GL[[Account]:[B/P]],4,FALSE)</f>
        <v>#N/A</v>
      </c>
      <c r="AH997" s="1066" t="e">
        <v>#VALUE!</v>
      </c>
      <c r="AI997" s="1065" t="e">
        <f>TB_curr[[#This Row],[Synt]]&amp;TB_curr[[#This Row],[Line No. manual corr.]]</f>
        <v>#VALUE!</v>
      </c>
      <c r="AJ997" s="1064">
        <f t="shared" si="76"/>
        <v>0</v>
      </c>
      <c r="AK997" s="1064">
        <f t="shared" si="77"/>
        <v>0</v>
      </c>
      <c r="AL997" s="1064">
        <f t="shared" si="78"/>
        <v>0</v>
      </c>
      <c r="AM997" s="1064">
        <f t="shared" si="79"/>
        <v>0</v>
      </c>
      <c r="AN997" s="1064"/>
      <c r="AO997" s="1064">
        <f>TB_curr[[#This Row],[Closing balance]]+TB_curr[[#This Row],[Rounding]]</f>
        <v>0</v>
      </c>
    </row>
    <row r="998" spans="30:41" x14ac:dyDescent="0.25">
      <c r="AD998" s="1067" t="str">
        <f t="shared" si="75"/>
        <v/>
      </c>
      <c r="AE998" s="1063" t="str">
        <f>IF(ISNA(VLOOKUP(TB_curr[[#This Row],[Synt]],GL[[#Headers],[#Data],[subtotal label]],1,FALSE)),0,(VLOOKUP(TB_curr[[#This Row],[Synt]],GL[[#Headers],[#Data],[subtotal label]],1,FALSE)))</f>
        <v/>
      </c>
      <c r="AF998" s="1063" t="e">
        <f>IF((TB_curr[[#This Row],[Synt]]-TB_curr[[#This Row],[Subtotal Y/N]])=0,0,VLOOKUP(TB_curr[[#This Row],[Synt]],GL[[Account]:[Line]],3,FALSE))</f>
        <v>#VALUE!</v>
      </c>
      <c r="AG998" s="1063" t="e">
        <f>VLOOKUP(TB_curr[[#This Row],[Synt]],GL[[Account]:[B/P]],4,FALSE)</f>
        <v>#N/A</v>
      </c>
      <c r="AH998" s="1066" t="e">
        <v>#VALUE!</v>
      </c>
      <c r="AI998" s="1065" t="e">
        <f>TB_curr[[#This Row],[Synt]]&amp;TB_curr[[#This Row],[Line No. manual corr.]]</f>
        <v>#VALUE!</v>
      </c>
      <c r="AJ998" s="1064">
        <f t="shared" si="76"/>
        <v>0</v>
      </c>
      <c r="AK998" s="1064">
        <f t="shared" si="77"/>
        <v>0</v>
      </c>
      <c r="AL998" s="1064">
        <f t="shared" si="78"/>
        <v>0</v>
      </c>
      <c r="AM998" s="1064">
        <f t="shared" si="79"/>
        <v>0</v>
      </c>
      <c r="AN998" s="1064"/>
      <c r="AO998" s="1064">
        <f>TB_curr[[#This Row],[Closing balance]]+TB_curr[[#This Row],[Rounding]]</f>
        <v>0</v>
      </c>
    </row>
    <row r="999" spans="30:41" x14ac:dyDescent="0.25">
      <c r="AD999" s="1067" t="str">
        <f t="shared" si="75"/>
        <v/>
      </c>
      <c r="AE999" s="1063" t="str">
        <f>IF(ISNA(VLOOKUP(TB_curr[[#This Row],[Synt]],GL[[#Headers],[#Data],[subtotal label]],1,FALSE)),0,(VLOOKUP(TB_curr[[#This Row],[Synt]],GL[[#Headers],[#Data],[subtotal label]],1,FALSE)))</f>
        <v/>
      </c>
      <c r="AF999" s="1063" t="e">
        <f>IF((TB_curr[[#This Row],[Synt]]-TB_curr[[#This Row],[Subtotal Y/N]])=0,0,VLOOKUP(TB_curr[[#This Row],[Synt]],GL[[Account]:[Line]],3,FALSE))</f>
        <v>#VALUE!</v>
      </c>
      <c r="AG999" s="1063" t="e">
        <f>VLOOKUP(TB_curr[[#This Row],[Synt]],GL[[Account]:[B/P]],4,FALSE)</f>
        <v>#N/A</v>
      </c>
      <c r="AH999" s="1066" t="e">
        <v>#VALUE!</v>
      </c>
      <c r="AI999" s="1065" t="e">
        <f>TB_curr[[#This Row],[Synt]]&amp;TB_curr[[#This Row],[Line No. manual corr.]]</f>
        <v>#VALUE!</v>
      </c>
      <c r="AJ999" s="1064">
        <f t="shared" si="76"/>
        <v>0</v>
      </c>
      <c r="AK999" s="1064">
        <f t="shared" si="77"/>
        <v>0</v>
      </c>
      <c r="AL999" s="1064">
        <f t="shared" si="78"/>
        <v>0</v>
      </c>
      <c r="AM999" s="1064">
        <f t="shared" si="79"/>
        <v>0</v>
      </c>
      <c r="AN999" s="1064"/>
      <c r="AO999" s="1064">
        <f>TB_curr[[#This Row],[Closing balance]]+TB_curr[[#This Row],[Rounding]]</f>
        <v>0</v>
      </c>
    </row>
    <row r="1000" spans="30:41" x14ac:dyDescent="0.25">
      <c r="AD1000" s="1067" t="str">
        <f t="shared" si="75"/>
        <v/>
      </c>
      <c r="AE1000" s="1063" t="str">
        <f>IF(ISNA(VLOOKUP(TB_curr[[#This Row],[Synt]],GL[[#Headers],[#Data],[subtotal label]],1,FALSE)),0,(VLOOKUP(TB_curr[[#This Row],[Synt]],GL[[#Headers],[#Data],[subtotal label]],1,FALSE)))</f>
        <v/>
      </c>
      <c r="AF1000" s="1063" t="e">
        <f>IF((TB_curr[[#This Row],[Synt]]-TB_curr[[#This Row],[Subtotal Y/N]])=0,0,VLOOKUP(TB_curr[[#This Row],[Synt]],GL[[Account]:[Line]],3,FALSE))</f>
        <v>#VALUE!</v>
      </c>
      <c r="AG1000" s="1063" t="e">
        <f>VLOOKUP(TB_curr[[#This Row],[Synt]],GL[[Account]:[B/P]],4,FALSE)</f>
        <v>#N/A</v>
      </c>
      <c r="AH1000" s="1066" t="e">
        <v>#VALUE!</v>
      </c>
      <c r="AI1000" s="1065" t="e">
        <f>TB_curr[[#This Row],[Synt]]&amp;TB_curr[[#This Row],[Line No. manual corr.]]</f>
        <v>#VALUE!</v>
      </c>
      <c r="AJ1000" s="1064">
        <f t="shared" si="76"/>
        <v>0</v>
      </c>
      <c r="AK1000" s="1064">
        <f t="shared" si="77"/>
        <v>0</v>
      </c>
      <c r="AL1000" s="1064">
        <f t="shared" si="78"/>
        <v>0</v>
      </c>
      <c r="AM1000" s="1064">
        <f t="shared" si="79"/>
        <v>0</v>
      </c>
      <c r="AN1000" s="1064"/>
      <c r="AO1000" s="1064">
        <f>TB_curr[[#This Row],[Closing balance]]+TB_curr[[#This Row],[Rounding]]</f>
        <v>0</v>
      </c>
    </row>
    <row r="1001" spans="30:41" x14ac:dyDescent="0.25">
      <c r="AD1001" s="1067" t="str">
        <f t="shared" si="75"/>
        <v/>
      </c>
      <c r="AE1001" s="1063" t="str">
        <f>IF(ISNA(VLOOKUP(TB_curr[[#This Row],[Synt]],GL[[#Headers],[#Data],[subtotal label]],1,FALSE)),0,(VLOOKUP(TB_curr[[#This Row],[Synt]],GL[[#Headers],[#Data],[subtotal label]],1,FALSE)))</f>
        <v/>
      </c>
      <c r="AF1001" s="1063" t="e">
        <f>IF((TB_curr[[#This Row],[Synt]]-TB_curr[[#This Row],[Subtotal Y/N]])=0,0,VLOOKUP(TB_curr[[#This Row],[Synt]],GL[[Account]:[Line]],3,FALSE))</f>
        <v>#VALUE!</v>
      </c>
      <c r="AG1001" s="1063" t="e">
        <f>VLOOKUP(TB_curr[[#This Row],[Synt]],GL[[Account]:[B/P]],4,FALSE)</f>
        <v>#N/A</v>
      </c>
      <c r="AH1001" s="1066" t="e">
        <v>#VALUE!</v>
      </c>
      <c r="AI1001" s="1065" t="e">
        <f>TB_curr[[#This Row],[Synt]]&amp;TB_curr[[#This Row],[Line No. manual corr.]]</f>
        <v>#VALUE!</v>
      </c>
      <c r="AJ1001" s="1064">
        <f t="shared" si="76"/>
        <v>0</v>
      </c>
      <c r="AK1001" s="1064">
        <f t="shared" si="77"/>
        <v>0</v>
      </c>
      <c r="AL1001" s="1064">
        <f t="shared" si="78"/>
        <v>0</v>
      </c>
      <c r="AM1001" s="1064">
        <f t="shared" si="79"/>
        <v>0</v>
      </c>
      <c r="AN1001" s="1064"/>
      <c r="AO1001" s="1064">
        <f>TB_curr[[#This Row],[Closing balance]]+TB_curr[[#This Row],[Rounding]]</f>
        <v>0</v>
      </c>
    </row>
    <row r="1002" spans="30:41" x14ac:dyDescent="0.25">
      <c r="AD1002" s="1067" t="str">
        <f t="shared" si="75"/>
        <v/>
      </c>
      <c r="AE1002" s="1063" t="str">
        <f>IF(ISNA(VLOOKUP(TB_curr[[#This Row],[Synt]],GL[[#Headers],[#Data],[subtotal label]],1,FALSE)),0,(VLOOKUP(TB_curr[[#This Row],[Synt]],GL[[#Headers],[#Data],[subtotal label]],1,FALSE)))</f>
        <v/>
      </c>
      <c r="AF1002" s="1063" t="e">
        <f>IF((TB_curr[[#This Row],[Synt]]-TB_curr[[#This Row],[Subtotal Y/N]])=0,0,VLOOKUP(TB_curr[[#This Row],[Synt]],GL[[Account]:[Line]],3,FALSE))</f>
        <v>#VALUE!</v>
      </c>
      <c r="AG1002" s="1063" t="e">
        <f>VLOOKUP(TB_curr[[#This Row],[Synt]],GL[[Account]:[B/P]],4,FALSE)</f>
        <v>#N/A</v>
      </c>
      <c r="AH1002" s="1066" t="e">
        <v>#VALUE!</v>
      </c>
      <c r="AI1002" s="1065" t="e">
        <f>TB_curr[[#This Row],[Synt]]&amp;TB_curr[[#This Row],[Line No. manual corr.]]</f>
        <v>#VALUE!</v>
      </c>
      <c r="AJ1002" s="1064">
        <f t="shared" si="76"/>
        <v>0</v>
      </c>
      <c r="AK1002" s="1064">
        <f t="shared" si="77"/>
        <v>0</v>
      </c>
      <c r="AL1002" s="1064">
        <f t="shared" si="78"/>
        <v>0</v>
      </c>
      <c r="AM1002" s="1064">
        <f t="shared" si="79"/>
        <v>0</v>
      </c>
      <c r="AN1002" s="1064"/>
      <c r="AO1002" s="1064">
        <f>TB_curr[[#This Row],[Closing balance]]+TB_curr[[#This Row],[Rounding]]</f>
        <v>0</v>
      </c>
    </row>
    <row r="1003" spans="30:41" x14ac:dyDescent="0.25">
      <c r="AD1003" s="1067" t="str">
        <f t="shared" si="75"/>
        <v/>
      </c>
      <c r="AE1003" s="1063" t="str">
        <f>IF(ISNA(VLOOKUP(TB_curr[[#This Row],[Synt]],GL[[#Headers],[#Data],[subtotal label]],1,FALSE)),0,(VLOOKUP(TB_curr[[#This Row],[Synt]],GL[[#Headers],[#Data],[subtotal label]],1,FALSE)))</f>
        <v/>
      </c>
      <c r="AF1003" s="1063" t="e">
        <f>IF((TB_curr[[#This Row],[Synt]]-TB_curr[[#This Row],[Subtotal Y/N]])=0,0,VLOOKUP(TB_curr[[#This Row],[Synt]],GL[[Account]:[Line]],3,FALSE))</f>
        <v>#VALUE!</v>
      </c>
      <c r="AG1003" s="1063" t="e">
        <f>VLOOKUP(TB_curr[[#This Row],[Synt]],GL[[Account]:[B/P]],4,FALSE)</f>
        <v>#N/A</v>
      </c>
      <c r="AH1003" s="1066" t="e">
        <v>#VALUE!</v>
      </c>
      <c r="AI1003" s="1065" t="e">
        <f>TB_curr[[#This Row],[Synt]]&amp;TB_curr[[#This Row],[Line No. manual corr.]]</f>
        <v>#VALUE!</v>
      </c>
      <c r="AJ1003" s="1064">
        <f t="shared" si="76"/>
        <v>0</v>
      </c>
      <c r="AK1003" s="1064">
        <f t="shared" si="77"/>
        <v>0</v>
      </c>
      <c r="AL1003" s="1064">
        <f t="shared" si="78"/>
        <v>0</v>
      </c>
      <c r="AM1003" s="1064">
        <f t="shared" si="79"/>
        <v>0</v>
      </c>
      <c r="AN1003" s="1064"/>
      <c r="AO1003" s="1064">
        <f>TB_curr[[#This Row],[Closing balance]]+TB_curr[[#This Row],[Rounding]]</f>
        <v>0</v>
      </c>
    </row>
    <row r="1004" spans="30:41" x14ac:dyDescent="0.25">
      <c r="AD1004" s="1067" t="str">
        <f t="shared" si="75"/>
        <v/>
      </c>
      <c r="AE1004" s="1063" t="str">
        <f>IF(ISNA(VLOOKUP(TB_curr[[#This Row],[Synt]],GL[[#Headers],[#Data],[subtotal label]],1,FALSE)),0,(VLOOKUP(TB_curr[[#This Row],[Synt]],GL[[#Headers],[#Data],[subtotal label]],1,FALSE)))</f>
        <v/>
      </c>
      <c r="AF1004" s="1063" t="e">
        <f>IF((TB_curr[[#This Row],[Synt]]-TB_curr[[#This Row],[Subtotal Y/N]])=0,0,VLOOKUP(TB_curr[[#This Row],[Synt]],GL[[Account]:[Line]],3,FALSE))</f>
        <v>#VALUE!</v>
      </c>
      <c r="AG1004" s="1063" t="e">
        <f>VLOOKUP(TB_curr[[#This Row],[Synt]],GL[[Account]:[B/P]],4,FALSE)</f>
        <v>#N/A</v>
      </c>
      <c r="AH1004" s="1066" t="e">
        <v>#VALUE!</v>
      </c>
      <c r="AI1004" s="1065" t="e">
        <f>TB_curr[[#This Row],[Synt]]&amp;TB_curr[[#This Row],[Line No. manual corr.]]</f>
        <v>#VALUE!</v>
      </c>
      <c r="AJ1004" s="1064">
        <f t="shared" si="76"/>
        <v>0</v>
      </c>
      <c r="AK1004" s="1064">
        <f t="shared" si="77"/>
        <v>0</v>
      </c>
      <c r="AL1004" s="1064">
        <f t="shared" si="78"/>
        <v>0</v>
      </c>
      <c r="AM1004" s="1064">
        <f t="shared" si="79"/>
        <v>0</v>
      </c>
      <c r="AN1004" s="1064"/>
      <c r="AO1004" s="1064">
        <f>TB_curr[[#This Row],[Closing balance]]+TB_curr[[#This Row],[Rounding]]</f>
        <v>0</v>
      </c>
    </row>
    <row r="1005" spans="30:41" x14ac:dyDescent="0.25">
      <c r="AD1005" s="1067" t="str">
        <f t="shared" si="75"/>
        <v/>
      </c>
      <c r="AE1005" s="1063" t="str">
        <f>IF(ISNA(VLOOKUP(TB_curr[[#This Row],[Synt]],GL[[#Headers],[#Data],[subtotal label]],1,FALSE)),0,(VLOOKUP(TB_curr[[#This Row],[Synt]],GL[[#Headers],[#Data],[subtotal label]],1,FALSE)))</f>
        <v/>
      </c>
      <c r="AF1005" s="1063" t="e">
        <f>IF((TB_curr[[#This Row],[Synt]]-TB_curr[[#This Row],[Subtotal Y/N]])=0,0,VLOOKUP(TB_curr[[#This Row],[Synt]],GL[[Account]:[Line]],3,FALSE))</f>
        <v>#VALUE!</v>
      </c>
      <c r="AG1005" s="1063" t="e">
        <f>VLOOKUP(TB_curr[[#This Row],[Synt]],GL[[Account]:[B/P]],4,FALSE)</f>
        <v>#N/A</v>
      </c>
      <c r="AH1005" s="1066" t="e">
        <v>#VALUE!</v>
      </c>
      <c r="AI1005" s="1065" t="e">
        <f>TB_curr[[#This Row],[Synt]]&amp;TB_curr[[#This Row],[Line No. manual corr.]]</f>
        <v>#VALUE!</v>
      </c>
      <c r="AJ1005" s="1064">
        <f t="shared" si="76"/>
        <v>0</v>
      </c>
      <c r="AK1005" s="1064">
        <f t="shared" si="77"/>
        <v>0</v>
      </c>
      <c r="AL1005" s="1064">
        <f t="shared" si="78"/>
        <v>0</v>
      </c>
      <c r="AM1005" s="1064">
        <f t="shared" si="79"/>
        <v>0</v>
      </c>
      <c r="AN1005" s="1064"/>
      <c r="AO1005" s="1064">
        <f>TB_curr[[#This Row],[Closing balance]]+TB_curr[[#This Row],[Rounding]]</f>
        <v>0</v>
      </c>
    </row>
    <row r="1006" spans="30:41" x14ac:dyDescent="0.25">
      <c r="AD1006" s="1067" t="str">
        <f t="shared" si="75"/>
        <v/>
      </c>
      <c r="AE1006" s="1063" t="str">
        <f>IF(ISNA(VLOOKUP(TB_curr[[#This Row],[Synt]],GL[[#Headers],[#Data],[subtotal label]],1,FALSE)),0,(VLOOKUP(TB_curr[[#This Row],[Synt]],GL[[#Headers],[#Data],[subtotal label]],1,FALSE)))</f>
        <v/>
      </c>
      <c r="AF1006" s="1063" t="e">
        <f>IF((TB_curr[[#This Row],[Synt]]-TB_curr[[#This Row],[Subtotal Y/N]])=0,0,VLOOKUP(TB_curr[[#This Row],[Synt]],GL[[Account]:[Line]],3,FALSE))</f>
        <v>#VALUE!</v>
      </c>
      <c r="AG1006" s="1063" t="e">
        <f>VLOOKUP(TB_curr[[#This Row],[Synt]],GL[[Account]:[B/P]],4,FALSE)</f>
        <v>#N/A</v>
      </c>
      <c r="AH1006" s="1066" t="e">
        <v>#VALUE!</v>
      </c>
      <c r="AI1006" s="1065" t="e">
        <f>TB_curr[[#This Row],[Synt]]&amp;TB_curr[[#This Row],[Line No. manual corr.]]</f>
        <v>#VALUE!</v>
      </c>
      <c r="AJ1006" s="1064">
        <f t="shared" si="76"/>
        <v>0</v>
      </c>
      <c r="AK1006" s="1064">
        <f t="shared" si="77"/>
        <v>0</v>
      </c>
      <c r="AL1006" s="1064">
        <f t="shared" si="78"/>
        <v>0</v>
      </c>
      <c r="AM1006" s="1064">
        <f t="shared" si="79"/>
        <v>0</v>
      </c>
      <c r="AN1006" s="1064"/>
      <c r="AO1006" s="1064">
        <f>TB_curr[[#This Row],[Closing balance]]+TB_curr[[#This Row],[Rounding]]</f>
        <v>0</v>
      </c>
    </row>
    <row r="1007" spans="30:41" x14ac:dyDescent="0.25">
      <c r="AD1007" s="1067" t="str">
        <f t="shared" si="75"/>
        <v/>
      </c>
      <c r="AE1007" s="1063" t="str">
        <f>IF(ISNA(VLOOKUP(TB_curr[[#This Row],[Synt]],GL[[#Headers],[#Data],[subtotal label]],1,FALSE)),0,(VLOOKUP(TB_curr[[#This Row],[Synt]],GL[[#Headers],[#Data],[subtotal label]],1,FALSE)))</f>
        <v/>
      </c>
      <c r="AF1007" s="1063" t="e">
        <f>IF((TB_curr[[#This Row],[Synt]]-TB_curr[[#This Row],[Subtotal Y/N]])=0,0,VLOOKUP(TB_curr[[#This Row],[Synt]],GL[[Account]:[Line]],3,FALSE))</f>
        <v>#VALUE!</v>
      </c>
      <c r="AG1007" s="1063" t="e">
        <f>VLOOKUP(TB_curr[[#This Row],[Synt]],GL[[Account]:[B/P]],4,FALSE)</f>
        <v>#N/A</v>
      </c>
      <c r="AH1007" s="1066" t="e">
        <v>#VALUE!</v>
      </c>
      <c r="AI1007" s="1065" t="e">
        <f>TB_curr[[#This Row],[Synt]]&amp;TB_curr[[#This Row],[Line No. manual corr.]]</f>
        <v>#VALUE!</v>
      </c>
      <c r="AJ1007" s="1064">
        <f t="shared" si="76"/>
        <v>0</v>
      </c>
      <c r="AK1007" s="1064">
        <f t="shared" si="77"/>
        <v>0</v>
      </c>
      <c r="AL1007" s="1064">
        <f t="shared" si="78"/>
        <v>0</v>
      </c>
      <c r="AM1007" s="1064">
        <f t="shared" si="79"/>
        <v>0</v>
      </c>
      <c r="AN1007" s="1064"/>
      <c r="AO1007" s="1064">
        <f>TB_curr[[#This Row],[Closing balance]]+TB_curr[[#This Row],[Rounding]]</f>
        <v>0</v>
      </c>
    </row>
    <row r="1008" spans="30:41" x14ac:dyDescent="0.25">
      <c r="AD1008" s="1067" t="str">
        <f t="shared" si="75"/>
        <v/>
      </c>
      <c r="AE1008" s="1063" t="str">
        <f>IF(ISNA(VLOOKUP(TB_curr[[#This Row],[Synt]],GL[[#Headers],[#Data],[subtotal label]],1,FALSE)),0,(VLOOKUP(TB_curr[[#This Row],[Synt]],GL[[#Headers],[#Data],[subtotal label]],1,FALSE)))</f>
        <v/>
      </c>
      <c r="AF1008" s="1063" t="e">
        <f>IF((TB_curr[[#This Row],[Synt]]-TB_curr[[#This Row],[Subtotal Y/N]])=0,0,VLOOKUP(TB_curr[[#This Row],[Synt]],GL[[Account]:[Line]],3,FALSE))</f>
        <v>#VALUE!</v>
      </c>
      <c r="AG1008" s="1063" t="e">
        <f>VLOOKUP(TB_curr[[#This Row],[Synt]],GL[[Account]:[B/P]],4,FALSE)</f>
        <v>#N/A</v>
      </c>
      <c r="AH1008" s="1066" t="e">
        <v>#VALUE!</v>
      </c>
      <c r="AI1008" s="1065" t="e">
        <f>TB_curr[[#This Row],[Synt]]&amp;TB_curr[[#This Row],[Line No. manual corr.]]</f>
        <v>#VALUE!</v>
      </c>
      <c r="AJ1008" s="1064">
        <f t="shared" si="76"/>
        <v>0</v>
      </c>
      <c r="AK1008" s="1064">
        <f t="shared" si="77"/>
        <v>0</v>
      </c>
      <c r="AL1008" s="1064">
        <f t="shared" si="78"/>
        <v>0</v>
      </c>
      <c r="AM1008" s="1064">
        <f t="shared" si="79"/>
        <v>0</v>
      </c>
      <c r="AN1008" s="1064"/>
      <c r="AO1008" s="1064">
        <f>TB_curr[[#This Row],[Closing balance]]+TB_curr[[#This Row],[Rounding]]</f>
        <v>0</v>
      </c>
    </row>
    <row r="1009" spans="30:41" x14ac:dyDescent="0.25">
      <c r="AD1009" s="1067" t="str">
        <f t="shared" si="75"/>
        <v/>
      </c>
      <c r="AE1009" s="1063" t="str">
        <f>IF(ISNA(VLOOKUP(TB_curr[[#This Row],[Synt]],GL[[#Headers],[#Data],[subtotal label]],1,FALSE)),0,(VLOOKUP(TB_curr[[#This Row],[Synt]],GL[[#Headers],[#Data],[subtotal label]],1,FALSE)))</f>
        <v/>
      </c>
      <c r="AF1009" s="1063" t="e">
        <f>IF((TB_curr[[#This Row],[Synt]]-TB_curr[[#This Row],[Subtotal Y/N]])=0,0,VLOOKUP(TB_curr[[#This Row],[Synt]],GL[[Account]:[Line]],3,FALSE))</f>
        <v>#VALUE!</v>
      </c>
      <c r="AG1009" s="1063" t="e">
        <f>VLOOKUP(TB_curr[[#This Row],[Synt]],GL[[Account]:[B/P]],4,FALSE)</f>
        <v>#N/A</v>
      </c>
      <c r="AH1009" s="1066" t="e">
        <v>#VALUE!</v>
      </c>
      <c r="AI1009" s="1065" t="e">
        <f>TB_curr[[#This Row],[Synt]]&amp;TB_curr[[#This Row],[Line No. manual corr.]]</f>
        <v>#VALUE!</v>
      </c>
      <c r="AJ1009" s="1064">
        <f t="shared" si="76"/>
        <v>0</v>
      </c>
      <c r="AK1009" s="1064">
        <f t="shared" si="77"/>
        <v>0</v>
      </c>
      <c r="AL1009" s="1064">
        <f t="shared" si="78"/>
        <v>0</v>
      </c>
      <c r="AM1009" s="1064">
        <f t="shared" si="79"/>
        <v>0</v>
      </c>
      <c r="AN1009" s="1064"/>
      <c r="AO1009" s="1064">
        <f>TB_curr[[#This Row],[Closing balance]]+TB_curr[[#This Row],[Rounding]]</f>
        <v>0</v>
      </c>
    </row>
    <row r="1010" spans="30:41" x14ac:dyDescent="0.25">
      <c r="AD1010" s="1067" t="str">
        <f t="shared" si="75"/>
        <v/>
      </c>
      <c r="AE1010" s="1063" t="str">
        <f>IF(ISNA(VLOOKUP(TB_curr[[#This Row],[Synt]],GL[[#Headers],[#Data],[subtotal label]],1,FALSE)),0,(VLOOKUP(TB_curr[[#This Row],[Synt]],GL[[#Headers],[#Data],[subtotal label]],1,FALSE)))</f>
        <v/>
      </c>
      <c r="AF1010" s="1063" t="e">
        <f>IF((TB_curr[[#This Row],[Synt]]-TB_curr[[#This Row],[Subtotal Y/N]])=0,0,VLOOKUP(TB_curr[[#This Row],[Synt]],GL[[Account]:[Line]],3,FALSE))</f>
        <v>#VALUE!</v>
      </c>
      <c r="AG1010" s="1063" t="e">
        <f>VLOOKUP(TB_curr[[#This Row],[Synt]],GL[[Account]:[B/P]],4,FALSE)</f>
        <v>#N/A</v>
      </c>
      <c r="AH1010" s="1066" t="e">
        <v>#VALUE!</v>
      </c>
      <c r="AI1010" s="1065" t="e">
        <f>TB_curr[[#This Row],[Synt]]&amp;TB_curr[[#This Row],[Line No. manual corr.]]</f>
        <v>#VALUE!</v>
      </c>
      <c r="AJ1010" s="1064">
        <f t="shared" si="76"/>
        <v>0</v>
      </c>
      <c r="AK1010" s="1064">
        <f t="shared" si="77"/>
        <v>0</v>
      </c>
      <c r="AL1010" s="1064">
        <f t="shared" si="78"/>
        <v>0</v>
      </c>
      <c r="AM1010" s="1064">
        <f t="shared" si="79"/>
        <v>0</v>
      </c>
      <c r="AN1010" s="1064"/>
      <c r="AO1010" s="1064">
        <f>TB_curr[[#This Row],[Closing balance]]+TB_curr[[#This Row],[Rounding]]</f>
        <v>0</v>
      </c>
    </row>
    <row r="1011" spans="30:41" x14ac:dyDescent="0.25">
      <c r="AD1011" s="1067" t="str">
        <f t="shared" si="75"/>
        <v/>
      </c>
      <c r="AE1011" s="1063" t="str">
        <f>IF(ISNA(VLOOKUP(TB_curr[[#This Row],[Synt]],GL[[#Headers],[#Data],[subtotal label]],1,FALSE)),0,(VLOOKUP(TB_curr[[#This Row],[Synt]],GL[[#Headers],[#Data],[subtotal label]],1,FALSE)))</f>
        <v/>
      </c>
      <c r="AF1011" s="1063" t="e">
        <f>IF((TB_curr[[#This Row],[Synt]]-TB_curr[[#This Row],[Subtotal Y/N]])=0,0,VLOOKUP(TB_curr[[#This Row],[Synt]],GL[[Account]:[Line]],3,FALSE))</f>
        <v>#VALUE!</v>
      </c>
      <c r="AG1011" s="1063" t="e">
        <f>VLOOKUP(TB_curr[[#This Row],[Synt]],GL[[Account]:[B/P]],4,FALSE)</f>
        <v>#N/A</v>
      </c>
      <c r="AH1011" s="1066" t="e">
        <v>#VALUE!</v>
      </c>
      <c r="AI1011" s="1065" t="e">
        <f>TB_curr[[#This Row],[Synt]]&amp;TB_curr[[#This Row],[Line No. manual corr.]]</f>
        <v>#VALUE!</v>
      </c>
      <c r="AJ1011" s="1064">
        <f t="shared" si="76"/>
        <v>0</v>
      </c>
      <c r="AK1011" s="1064">
        <f t="shared" si="77"/>
        <v>0</v>
      </c>
      <c r="AL1011" s="1064">
        <f t="shared" si="78"/>
        <v>0</v>
      </c>
      <c r="AM1011" s="1064">
        <f t="shared" si="79"/>
        <v>0</v>
      </c>
      <c r="AN1011" s="1064"/>
      <c r="AO1011" s="1064">
        <f>TB_curr[[#This Row],[Closing balance]]+TB_curr[[#This Row],[Rounding]]</f>
        <v>0</v>
      </c>
    </row>
    <row r="1012" spans="30:41" x14ac:dyDescent="0.25">
      <c r="AD1012" s="1067" t="str">
        <f t="shared" si="75"/>
        <v/>
      </c>
      <c r="AE1012" s="1063" t="str">
        <f>IF(ISNA(VLOOKUP(TB_curr[[#This Row],[Synt]],GL[[#Headers],[#Data],[subtotal label]],1,FALSE)),0,(VLOOKUP(TB_curr[[#This Row],[Synt]],GL[[#Headers],[#Data],[subtotal label]],1,FALSE)))</f>
        <v/>
      </c>
      <c r="AF1012" s="1063" t="e">
        <f>IF((TB_curr[[#This Row],[Synt]]-TB_curr[[#This Row],[Subtotal Y/N]])=0,0,VLOOKUP(TB_curr[[#This Row],[Synt]],GL[[Account]:[Line]],3,FALSE))</f>
        <v>#VALUE!</v>
      </c>
      <c r="AG1012" s="1063" t="e">
        <f>VLOOKUP(TB_curr[[#This Row],[Synt]],GL[[Account]:[B/P]],4,FALSE)</f>
        <v>#N/A</v>
      </c>
      <c r="AH1012" s="1066" t="e">
        <v>#VALUE!</v>
      </c>
      <c r="AI1012" s="1065" t="e">
        <f>TB_curr[[#This Row],[Synt]]&amp;TB_curr[[#This Row],[Line No. manual corr.]]</f>
        <v>#VALUE!</v>
      </c>
      <c r="AJ1012" s="1064">
        <f t="shared" si="76"/>
        <v>0</v>
      </c>
      <c r="AK1012" s="1064">
        <f t="shared" si="77"/>
        <v>0</v>
      </c>
      <c r="AL1012" s="1064">
        <f t="shared" si="78"/>
        <v>0</v>
      </c>
      <c r="AM1012" s="1064">
        <f t="shared" si="79"/>
        <v>0</v>
      </c>
      <c r="AN1012" s="1064"/>
      <c r="AO1012" s="1064">
        <f>TB_curr[[#This Row],[Closing balance]]+TB_curr[[#This Row],[Rounding]]</f>
        <v>0</v>
      </c>
    </row>
    <row r="1013" spans="30:41" x14ac:dyDescent="0.25">
      <c r="AD1013" s="1067" t="str">
        <f t="shared" si="75"/>
        <v/>
      </c>
      <c r="AE1013" s="1063" t="str">
        <f>IF(ISNA(VLOOKUP(TB_curr[[#This Row],[Synt]],GL[[#Headers],[#Data],[subtotal label]],1,FALSE)),0,(VLOOKUP(TB_curr[[#This Row],[Synt]],GL[[#Headers],[#Data],[subtotal label]],1,FALSE)))</f>
        <v/>
      </c>
      <c r="AF1013" s="1063" t="e">
        <f>IF((TB_curr[[#This Row],[Synt]]-TB_curr[[#This Row],[Subtotal Y/N]])=0,0,VLOOKUP(TB_curr[[#This Row],[Synt]],GL[[Account]:[Line]],3,FALSE))</f>
        <v>#VALUE!</v>
      </c>
      <c r="AG1013" s="1063" t="e">
        <f>VLOOKUP(TB_curr[[#This Row],[Synt]],GL[[Account]:[B/P]],4,FALSE)</f>
        <v>#N/A</v>
      </c>
      <c r="AH1013" s="1066" t="e">
        <v>#VALUE!</v>
      </c>
      <c r="AI1013" s="1065" t="e">
        <f>TB_curr[[#This Row],[Synt]]&amp;TB_curr[[#This Row],[Line No. manual corr.]]</f>
        <v>#VALUE!</v>
      </c>
      <c r="AJ1013" s="1064">
        <f t="shared" si="76"/>
        <v>0</v>
      </c>
      <c r="AK1013" s="1064">
        <f t="shared" si="77"/>
        <v>0</v>
      </c>
      <c r="AL1013" s="1064">
        <f t="shared" si="78"/>
        <v>0</v>
      </c>
      <c r="AM1013" s="1064">
        <f t="shared" si="79"/>
        <v>0</v>
      </c>
      <c r="AN1013" s="1064"/>
      <c r="AO1013" s="1064">
        <f>TB_curr[[#This Row],[Closing balance]]+TB_curr[[#This Row],[Rounding]]</f>
        <v>0</v>
      </c>
    </row>
    <row r="1014" spans="30:41" x14ac:dyDescent="0.25">
      <c r="AD1014" s="1067" t="str">
        <f t="shared" si="75"/>
        <v/>
      </c>
      <c r="AE1014" s="1063" t="str">
        <f>IF(ISNA(VLOOKUP(TB_curr[[#This Row],[Synt]],GL[[#Headers],[#Data],[subtotal label]],1,FALSE)),0,(VLOOKUP(TB_curr[[#This Row],[Synt]],GL[[#Headers],[#Data],[subtotal label]],1,FALSE)))</f>
        <v/>
      </c>
      <c r="AF1014" s="1063" t="e">
        <f>IF((TB_curr[[#This Row],[Synt]]-TB_curr[[#This Row],[Subtotal Y/N]])=0,0,VLOOKUP(TB_curr[[#This Row],[Synt]],GL[[Account]:[Line]],3,FALSE))</f>
        <v>#VALUE!</v>
      </c>
      <c r="AG1014" s="1063" t="e">
        <f>VLOOKUP(TB_curr[[#This Row],[Synt]],GL[[Account]:[B/P]],4,FALSE)</f>
        <v>#N/A</v>
      </c>
      <c r="AH1014" s="1066" t="e">
        <v>#VALUE!</v>
      </c>
      <c r="AI1014" s="1065" t="e">
        <f>TB_curr[[#This Row],[Synt]]&amp;TB_curr[[#This Row],[Line No. manual corr.]]</f>
        <v>#VALUE!</v>
      </c>
      <c r="AJ1014" s="1064">
        <f t="shared" si="76"/>
        <v>0</v>
      </c>
      <c r="AK1014" s="1064">
        <f t="shared" si="77"/>
        <v>0</v>
      </c>
      <c r="AL1014" s="1064">
        <f t="shared" si="78"/>
        <v>0</v>
      </c>
      <c r="AM1014" s="1064">
        <f t="shared" si="79"/>
        <v>0</v>
      </c>
      <c r="AN1014" s="1064"/>
      <c r="AO1014" s="1064">
        <f>TB_curr[[#This Row],[Closing balance]]+TB_curr[[#This Row],[Rounding]]</f>
        <v>0</v>
      </c>
    </row>
    <row r="1015" spans="30:41" x14ac:dyDescent="0.25">
      <c r="AD1015" s="1067" t="str">
        <f t="shared" si="75"/>
        <v/>
      </c>
      <c r="AE1015" s="1063" t="str">
        <f>IF(ISNA(VLOOKUP(TB_curr[[#This Row],[Synt]],GL[[#Headers],[#Data],[subtotal label]],1,FALSE)),0,(VLOOKUP(TB_curr[[#This Row],[Synt]],GL[[#Headers],[#Data],[subtotal label]],1,FALSE)))</f>
        <v/>
      </c>
      <c r="AF1015" s="1063" t="e">
        <f>IF((TB_curr[[#This Row],[Synt]]-TB_curr[[#This Row],[Subtotal Y/N]])=0,0,VLOOKUP(TB_curr[[#This Row],[Synt]],GL[[Account]:[Line]],3,FALSE))</f>
        <v>#VALUE!</v>
      </c>
      <c r="AG1015" s="1063" t="e">
        <f>VLOOKUP(TB_curr[[#This Row],[Synt]],GL[[Account]:[B/P]],4,FALSE)</f>
        <v>#N/A</v>
      </c>
      <c r="AH1015" s="1066" t="e">
        <v>#VALUE!</v>
      </c>
      <c r="AI1015" s="1065" t="e">
        <f>TB_curr[[#This Row],[Synt]]&amp;TB_curr[[#This Row],[Line No. manual corr.]]</f>
        <v>#VALUE!</v>
      </c>
      <c r="AJ1015" s="1064">
        <f t="shared" si="76"/>
        <v>0</v>
      </c>
      <c r="AK1015" s="1064">
        <f t="shared" si="77"/>
        <v>0</v>
      </c>
      <c r="AL1015" s="1064">
        <f t="shared" si="78"/>
        <v>0</v>
      </c>
      <c r="AM1015" s="1064">
        <f t="shared" si="79"/>
        <v>0</v>
      </c>
      <c r="AN1015" s="1064"/>
      <c r="AO1015" s="1064">
        <f>TB_curr[[#This Row],[Closing balance]]+TB_curr[[#This Row],[Rounding]]</f>
        <v>0</v>
      </c>
    </row>
    <row r="1016" spans="30:41" x14ac:dyDescent="0.25">
      <c r="AD1016" s="1067" t="str">
        <f t="shared" si="75"/>
        <v/>
      </c>
      <c r="AE1016" s="1063" t="str">
        <f>IF(ISNA(VLOOKUP(TB_curr[[#This Row],[Synt]],GL[[#Headers],[#Data],[subtotal label]],1,FALSE)),0,(VLOOKUP(TB_curr[[#This Row],[Synt]],GL[[#Headers],[#Data],[subtotal label]],1,FALSE)))</f>
        <v/>
      </c>
      <c r="AF1016" s="1063" t="e">
        <f>IF((TB_curr[[#This Row],[Synt]]-TB_curr[[#This Row],[Subtotal Y/N]])=0,0,VLOOKUP(TB_curr[[#This Row],[Synt]],GL[[Account]:[Line]],3,FALSE))</f>
        <v>#VALUE!</v>
      </c>
      <c r="AG1016" s="1063" t="e">
        <f>VLOOKUP(TB_curr[[#This Row],[Synt]],GL[[Account]:[B/P]],4,FALSE)</f>
        <v>#N/A</v>
      </c>
      <c r="AH1016" s="1066" t="e">
        <v>#VALUE!</v>
      </c>
      <c r="AI1016" s="1065" t="e">
        <f>TB_curr[[#This Row],[Synt]]&amp;TB_curr[[#This Row],[Line No. manual corr.]]</f>
        <v>#VALUE!</v>
      </c>
      <c r="AJ1016" s="1064">
        <f t="shared" si="76"/>
        <v>0</v>
      </c>
      <c r="AK1016" s="1064">
        <f t="shared" si="77"/>
        <v>0</v>
      </c>
      <c r="AL1016" s="1064">
        <f t="shared" si="78"/>
        <v>0</v>
      </c>
      <c r="AM1016" s="1064">
        <f t="shared" si="79"/>
        <v>0</v>
      </c>
      <c r="AN1016" s="1064"/>
      <c r="AO1016" s="1064">
        <f>TB_curr[[#This Row],[Closing balance]]+TB_curr[[#This Row],[Rounding]]</f>
        <v>0</v>
      </c>
    </row>
    <row r="1017" spans="30:41" x14ac:dyDescent="0.25">
      <c r="AD1017" s="1067" t="str">
        <f t="shared" si="75"/>
        <v/>
      </c>
      <c r="AE1017" s="1063" t="str">
        <f>IF(ISNA(VLOOKUP(TB_curr[[#This Row],[Synt]],GL[[#Headers],[#Data],[subtotal label]],1,FALSE)),0,(VLOOKUP(TB_curr[[#This Row],[Synt]],GL[[#Headers],[#Data],[subtotal label]],1,FALSE)))</f>
        <v/>
      </c>
      <c r="AF1017" s="1063" t="e">
        <f>IF((TB_curr[[#This Row],[Synt]]-TB_curr[[#This Row],[Subtotal Y/N]])=0,0,VLOOKUP(TB_curr[[#This Row],[Synt]],GL[[Account]:[Line]],3,FALSE))</f>
        <v>#VALUE!</v>
      </c>
      <c r="AG1017" s="1063" t="e">
        <f>VLOOKUP(TB_curr[[#This Row],[Synt]],GL[[Account]:[B/P]],4,FALSE)</f>
        <v>#N/A</v>
      </c>
      <c r="AH1017" s="1066" t="e">
        <v>#VALUE!</v>
      </c>
      <c r="AI1017" s="1065" t="e">
        <f>TB_curr[[#This Row],[Synt]]&amp;TB_curr[[#This Row],[Line No. manual corr.]]</f>
        <v>#VALUE!</v>
      </c>
      <c r="AJ1017" s="1064">
        <f t="shared" si="76"/>
        <v>0</v>
      </c>
      <c r="AK1017" s="1064">
        <f t="shared" si="77"/>
        <v>0</v>
      </c>
      <c r="AL1017" s="1064">
        <f t="shared" si="78"/>
        <v>0</v>
      </c>
      <c r="AM1017" s="1064">
        <f t="shared" si="79"/>
        <v>0</v>
      </c>
      <c r="AN1017" s="1064"/>
      <c r="AO1017" s="1064">
        <f>TB_curr[[#This Row],[Closing balance]]+TB_curr[[#This Row],[Rounding]]</f>
        <v>0</v>
      </c>
    </row>
    <row r="1018" spans="30:41" x14ac:dyDescent="0.25">
      <c r="AD1018" s="1067" t="str">
        <f t="shared" si="75"/>
        <v/>
      </c>
      <c r="AE1018" s="1063" t="str">
        <f>IF(ISNA(VLOOKUP(TB_curr[[#This Row],[Synt]],GL[[#Headers],[#Data],[subtotal label]],1,FALSE)),0,(VLOOKUP(TB_curr[[#This Row],[Synt]],GL[[#Headers],[#Data],[subtotal label]],1,FALSE)))</f>
        <v/>
      </c>
      <c r="AF1018" s="1063" t="e">
        <f>IF((TB_curr[[#This Row],[Synt]]-TB_curr[[#This Row],[Subtotal Y/N]])=0,0,VLOOKUP(TB_curr[[#This Row],[Synt]],GL[[Account]:[Line]],3,FALSE))</f>
        <v>#VALUE!</v>
      </c>
      <c r="AG1018" s="1063" t="e">
        <f>VLOOKUP(TB_curr[[#This Row],[Synt]],GL[[Account]:[B/P]],4,FALSE)</f>
        <v>#N/A</v>
      </c>
      <c r="AH1018" s="1066" t="e">
        <v>#VALUE!</v>
      </c>
      <c r="AI1018" s="1065" t="e">
        <f>TB_curr[[#This Row],[Synt]]&amp;TB_curr[[#This Row],[Line No. manual corr.]]</f>
        <v>#VALUE!</v>
      </c>
      <c r="AJ1018" s="1064">
        <f t="shared" si="76"/>
        <v>0</v>
      </c>
      <c r="AK1018" s="1064">
        <f t="shared" si="77"/>
        <v>0</v>
      </c>
      <c r="AL1018" s="1064">
        <f t="shared" si="78"/>
        <v>0</v>
      </c>
      <c r="AM1018" s="1064">
        <f t="shared" si="79"/>
        <v>0</v>
      </c>
      <c r="AN1018" s="1064"/>
      <c r="AO1018" s="1064">
        <f>TB_curr[[#This Row],[Closing balance]]+TB_curr[[#This Row],[Rounding]]</f>
        <v>0</v>
      </c>
    </row>
    <row r="1019" spans="30:41" x14ac:dyDescent="0.25">
      <c r="AD1019" s="1067" t="str">
        <f t="shared" si="75"/>
        <v/>
      </c>
      <c r="AE1019" s="1063" t="str">
        <f>IF(ISNA(VLOOKUP(TB_curr[[#This Row],[Synt]],GL[[#Headers],[#Data],[subtotal label]],1,FALSE)),0,(VLOOKUP(TB_curr[[#This Row],[Synt]],GL[[#Headers],[#Data],[subtotal label]],1,FALSE)))</f>
        <v/>
      </c>
      <c r="AF1019" s="1063" t="e">
        <f>IF((TB_curr[[#This Row],[Synt]]-TB_curr[[#This Row],[Subtotal Y/N]])=0,0,VLOOKUP(TB_curr[[#This Row],[Synt]],GL[[Account]:[Line]],3,FALSE))</f>
        <v>#VALUE!</v>
      </c>
      <c r="AG1019" s="1063" t="e">
        <f>VLOOKUP(TB_curr[[#This Row],[Synt]],GL[[Account]:[B/P]],4,FALSE)</f>
        <v>#N/A</v>
      </c>
      <c r="AH1019" s="1066" t="e">
        <v>#VALUE!</v>
      </c>
      <c r="AI1019" s="1065" t="e">
        <f>TB_curr[[#This Row],[Synt]]&amp;TB_curr[[#This Row],[Line No. manual corr.]]</f>
        <v>#VALUE!</v>
      </c>
      <c r="AJ1019" s="1064">
        <f t="shared" si="76"/>
        <v>0</v>
      </c>
      <c r="AK1019" s="1064">
        <f t="shared" si="77"/>
        <v>0</v>
      </c>
      <c r="AL1019" s="1064">
        <f t="shared" si="78"/>
        <v>0</v>
      </c>
      <c r="AM1019" s="1064">
        <f t="shared" si="79"/>
        <v>0</v>
      </c>
      <c r="AN1019" s="1064"/>
      <c r="AO1019" s="1064">
        <f>TB_curr[[#This Row],[Closing balance]]+TB_curr[[#This Row],[Rounding]]</f>
        <v>0</v>
      </c>
    </row>
    <row r="1020" spans="30:41" x14ac:dyDescent="0.25">
      <c r="AD1020" s="1067" t="str">
        <f t="shared" si="75"/>
        <v/>
      </c>
      <c r="AE1020" s="1063" t="str">
        <f>IF(ISNA(VLOOKUP(TB_curr[[#This Row],[Synt]],GL[[#Headers],[#Data],[subtotal label]],1,FALSE)),0,(VLOOKUP(TB_curr[[#This Row],[Synt]],GL[[#Headers],[#Data],[subtotal label]],1,FALSE)))</f>
        <v/>
      </c>
      <c r="AF1020" s="1063" t="e">
        <f>IF((TB_curr[[#This Row],[Synt]]-TB_curr[[#This Row],[Subtotal Y/N]])=0,0,VLOOKUP(TB_curr[[#This Row],[Synt]],GL[[Account]:[Line]],3,FALSE))</f>
        <v>#VALUE!</v>
      </c>
      <c r="AG1020" s="1063" t="e">
        <f>VLOOKUP(TB_curr[[#This Row],[Synt]],GL[[Account]:[B/P]],4,FALSE)</f>
        <v>#N/A</v>
      </c>
      <c r="AH1020" s="1066" t="e">
        <v>#VALUE!</v>
      </c>
      <c r="AI1020" s="1065" t="e">
        <f>TB_curr[[#This Row],[Synt]]&amp;TB_curr[[#This Row],[Line No. manual corr.]]</f>
        <v>#VALUE!</v>
      </c>
      <c r="AJ1020" s="1064">
        <f t="shared" si="76"/>
        <v>0</v>
      </c>
      <c r="AK1020" s="1064">
        <f t="shared" si="77"/>
        <v>0</v>
      </c>
      <c r="AL1020" s="1064">
        <f t="shared" si="78"/>
        <v>0</v>
      </c>
      <c r="AM1020" s="1064">
        <f t="shared" si="79"/>
        <v>0</v>
      </c>
      <c r="AN1020" s="1064"/>
      <c r="AO1020" s="1064">
        <f>TB_curr[[#This Row],[Closing balance]]+TB_curr[[#This Row],[Rounding]]</f>
        <v>0</v>
      </c>
    </row>
    <row r="1021" spans="30:41" x14ac:dyDescent="0.25">
      <c r="AD1021" s="1067" t="str">
        <f t="shared" si="75"/>
        <v/>
      </c>
      <c r="AE1021" s="1063" t="str">
        <f>IF(ISNA(VLOOKUP(TB_curr[[#This Row],[Synt]],GL[[#Headers],[#Data],[subtotal label]],1,FALSE)),0,(VLOOKUP(TB_curr[[#This Row],[Synt]],GL[[#Headers],[#Data],[subtotal label]],1,FALSE)))</f>
        <v/>
      </c>
      <c r="AF1021" s="1063" t="e">
        <f>IF((TB_curr[[#This Row],[Synt]]-TB_curr[[#This Row],[Subtotal Y/N]])=0,0,VLOOKUP(TB_curr[[#This Row],[Synt]],GL[[Account]:[Line]],3,FALSE))</f>
        <v>#VALUE!</v>
      </c>
      <c r="AG1021" s="1063" t="e">
        <f>VLOOKUP(TB_curr[[#This Row],[Synt]],GL[[Account]:[B/P]],4,FALSE)</f>
        <v>#N/A</v>
      </c>
      <c r="AH1021" s="1066" t="e">
        <v>#VALUE!</v>
      </c>
      <c r="AI1021" s="1065" t="e">
        <f>TB_curr[[#This Row],[Synt]]&amp;TB_curr[[#This Row],[Line No. manual corr.]]</f>
        <v>#VALUE!</v>
      </c>
      <c r="AJ1021" s="1064">
        <f t="shared" si="76"/>
        <v>0</v>
      </c>
      <c r="AK1021" s="1064">
        <f t="shared" si="77"/>
        <v>0</v>
      </c>
      <c r="AL1021" s="1064">
        <f t="shared" si="78"/>
        <v>0</v>
      </c>
      <c r="AM1021" s="1064">
        <f t="shared" si="79"/>
        <v>0</v>
      </c>
      <c r="AN1021" s="1064"/>
      <c r="AO1021" s="1064">
        <f>TB_curr[[#This Row],[Closing balance]]+TB_curr[[#This Row],[Rounding]]</f>
        <v>0</v>
      </c>
    </row>
    <row r="1022" spans="30:41" x14ac:dyDescent="0.25">
      <c r="AD1022" s="1067" t="str">
        <f t="shared" si="75"/>
        <v/>
      </c>
      <c r="AE1022" s="1063" t="str">
        <f>IF(ISNA(VLOOKUP(TB_curr[[#This Row],[Synt]],GL[[#Headers],[#Data],[subtotal label]],1,FALSE)),0,(VLOOKUP(TB_curr[[#This Row],[Synt]],GL[[#Headers],[#Data],[subtotal label]],1,FALSE)))</f>
        <v/>
      </c>
      <c r="AF1022" s="1063" t="e">
        <f>IF((TB_curr[[#This Row],[Synt]]-TB_curr[[#This Row],[Subtotal Y/N]])=0,0,VLOOKUP(TB_curr[[#This Row],[Synt]],GL[[Account]:[Line]],3,FALSE))</f>
        <v>#VALUE!</v>
      </c>
      <c r="AG1022" s="1063" t="e">
        <f>VLOOKUP(TB_curr[[#This Row],[Synt]],GL[[Account]:[B/P]],4,FALSE)</f>
        <v>#N/A</v>
      </c>
      <c r="AH1022" s="1066" t="e">
        <v>#VALUE!</v>
      </c>
      <c r="AI1022" s="1065" t="e">
        <f>TB_curr[[#This Row],[Synt]]&amp;TB_curr[[#This Row],[Line No. manual corr.]]</f>
        <v>#VALUE!</v>
      </c>
      <c r="AJ1022" s="1064">
        <f t="shared" si="76"/>
        <v>0</v>
      </c>
      <c r="AK1022" s="1064">
        <f t="shared" si="77"/>
        <v>0</v>
      </c>
      <c r="AL1022" s="1064">
        <f t="shared" si="78"/>
        <v>0</v>
      </c>
      <c r="AM1022" s="1064">
        <f t="shared" si="79"/>
        <v>0</v>
      </c>
      <c r="AN1022" s="1064"/>
      <c r="AO1022" s="1064">
        <f>TB_curr[[#This Row],[Closing balance]]+TB_curr[[#This Row],[Rounding]]</f>
        <v>0</v>
      </c>
    </row>
    <row r="1023" spans="30:41" x14ac:dyDescent="0.25">
      <c r="AD1023" s="1067" t="str">
        <f t="shared" si="75"/>
        <v/>
      </c>
      <c r="AE1023" s="1063" t="str">
        <f>IF(ISNA(VLOOKUP(TB_curr[[#This Row],[Synt]],GL[[#Headers],[#Data],[subtotal label]],1,FALSE)),0,(VLOOKUP(TB_curr[[#This Row],[Synt]],GL[[#Headers],[#Data],[subtotal label]],1,FALSE)))</f>
        <v/>
      </c>
      <c r="AF1023" s="1063" t="e">
        <f>IF((TB_curr[[#This Row],[Synt]]-TB_curr[[#This Row],[Subtotal Y/N]])=0,0,VLOOKUP(TB_curr[[#This Row],[Synt]],GL[[Account]:[Line]],3,FALSE))</f>
        <v>#VALUE!</v>
      </c>
      <c r="AG1023" s="1063" t="e">
        <f>VLOOKUP(TB_curr[[#This Row],[Synt]],GL[[Account]:[B/P]],4,FALSE)</f>
        <v>#N/A</v>
      </c>
      <c r="AH1023" s="1066" t="e">
        <v>#VALUE!</v>
      </c>
      <c r="AI1023" s="1065" t="e">
        <f>TB_curr[[#This Row],[Synt]]&amp;TB_curr[[#This Row],[Line No. manual corr.]]</f>
        <v>#VALUE!</v>
      </c>
      <c r="AJ1023" s="1064">
        <f t="shared" si="76"/>
        <v>0</v>
      </c>
      <c r="AK1023" s="1064">
        <f t="shared" si="77"/>
        <v>0</v>
      </c>
      <c r="AL1023" s="1064">
        <f t="shared" si="78"/>
        <v>0</v>
      </c>
      <c r="AM1023" s="1064">
        <f t="shared" si="79"/>
        <v>0</v>
      </c>
      <c r="AN1023" s="1064"/>
      <c r="AO1023" s="1064">
        <f>TB_curr[[#This Row],[Closing balance]]+TB_curr[[#This Row],[Rounding]]</f>
        <v>0</v>
      </c>
    </row>
    <row r="1024" spans="30:41" x14ac:dyDescent="0.25">
      <c r="AD1024" s="1067" t="str">
        <f t="shared" si="75"/>
        <v/>
      </c>
      <c r="AE1024" s="1063" t="str">
        <f>IF(ISNA(VLOOKUP(TB_curr[[#This Row],[Synt]],GL[[#Headers],[#Data],[subtotal label]],1,FALSE)),0,(VLOOKUP(TB_curr[[#This Row],[Synt]],GL[[#Headers],[#Data],[subtotal label]],1,FALSE)))</f>
        <v/>
      </c>
      <c r="AF1024" s="1063" t="e">
        <f>IF((TB_curr[[#This Row],[Synt]]-TB_curr[[#This Row],[Subtotal Y/N]])=0,0,VLOOKUP(TB_curr[[#This Row],[Synt]],GL[[Account]:[Line]],3,FALSE))</f>
        <v>#VALUE!</v>
      </c>
      <c r="AG1024" s="1063" t="e">
        <f>VLOOKUP(TB_curr[[#This Row],[Synt]],GL[[Account]:[B/P]],4,FALSE)</f>
        <v>#N/A</v>
      </c>
      <c r="AH1024" s="1066" t="e">
        <v>#VALUE!</v>
      </c>
      <c r="AI1024" s="1065" t="e">
        <f>TB_curr[[#This Row],[Synt]]&amp;TB_curr[[#This Row],[Line No. manual corr.]]</f>
        <v>#VALUE!</v>
      </c>
      <c r="AJ1024" s="1064">
        <f t="shared" si="76"/>
        <v>0</v>
      </c>
      <c r="AK1024" s="1064">
        <f t="shared" si="77"/>
        <v>0</v>
      </c>
      <c r="AL1024" s="1064">
        <f t="shared" si="78"/>
        <v>0</v>
      </c>
      <c r="AM1024" s="1064">
        <f t="shared" si="79"/>
        <v>0</v>
      </c>
      <c r="AN1024" s="1064"/>
      <c r="AO1024" s="1064">
        <f>TB_curr[[#This Row],[Closing balance]]+TB_curr[[#This Row],[Rounding]]</f>
        <v>0</v>
      </c>
    </row>
    <row r="1025" spans="30:41" x14ac:dyDescent="0.25">
      <c r="AD1025" s="1067" t="str">
        <f t="shared" si="75"/>
        <v/>
      </c>
      <c r="AE1025" s="1063" t="str">
        <f>IF(ISNA(VLOOKUP(TB_curr[[#This Row],[Synt]],GL[[#Headers],[#Data],[subtotal label]],1,FALSE)),0,(VLOOKUP(TB_curr[[#This Row],[Synt]],GL[[#Headers],[#Data],[subtotal label]],1,FALSE)))</f>
        <v/>
      </c>
      <c r="AF1025" s="1063" t="e">
        <f>IF((TB_curr[[#This Row],[Synt]]-TB_curr[[#This Row],[Subtotal Y/N]])=0,0,VLOOKUP(TB_curr[[#This Row],[Synt]],GL[[Account]:[Line]],3,FALSE))</f>
        <v>#VALUE!</v>
      </c>
      <c r="AG1025" s="1063" t="e">
        <f>VLOOKUP(TB_curr[[#This Row],[Synt]],GL[[Account]:[B/P]],4,FALSE)</f>
        <v>#N/A</v>
      </c>
      <c r="AH1025" s="1066" t="e">
        <v>#VALUE!</v>
      </c>
      <c r="AI1025" s="1065" t="e">
        <f>TB_curr[[#This Row],[Synt]]&amp;TB_curr[[#This Row],[Line No. manual corr.]]</f>
        <v>#VALUE!</v>
      </c>
      <c r="AJ1025" s="1064">
        <f t="shared" si="76"/>
        <v>0</v>
      </c>
      <c r="AK1025" s="1064">
        <f t="shared" si="77"/>
        <v>0</v>
      </c>
      <c r="AL1025" s="1064">
        <f t="shared" si="78"/>
        <v>0</v>
      </c>
      <c r="AM1025" s="1064">
        <f t="shared" si="79"/>
        <v>0</v>
      </c>
      <c r="AN1025" s="1064"/>
      <c r="AO1025" s="1064">
        <f>TB_curr[[#This Row],[Closing balance]]+TB_curr[[#This Row],[Rounding]]</f>
        <v>0</v>
      </c>
    </row>
    <row r="1026" spans="30:41" x14ac:dyDescent="0.25">
      <c r="AD1026" s="1067" t="str">
        <f t="shared" si="75"/>
        <v/>
      </c>
      <c r="AE1026" s="1063" t="str">
        <f>IF(ISNA(VLOOKUP(TB_curr[[#This Row],[Synt]],GL[[#Headers],[#Data],[subtotal label]],1,FALSE)),0,(VLOOKUP(TB_curr[[#This Row],[Synt]],GL[[#Headers],[#Data],[subtotal label]],1,FALSE)))</f>
        <v/>
      </c>
      <c r="AF1026" s="1063" t="e">
        <f>IF((TB_curr[[#This Row],[Synt]]-TB_curr[[#This Row],[Subtotal Y/N]])=0,0,VLOOKUP(TB_curr[[#This Row],[Synt]],GL[[Account]:[Line]],3,FALSE))</f>
        <v>#VALUE!</v>
      </c>
      <c r="AG1026" s="1063" t="e">
        <f>VLOOKUP(TB_curr[[#This Row],[Synt]],GL[[Account]:[B/P]],4,FALSE)</f>
        <v>#N/A</v>
      </c>
      <c r="AH1026" s="1066" t="e">
        <v>#VALUE!</v>
      </c>
      <c r="AI1026" s="1065" t="e">
        <f>TB_curr[[#This Row],[Synt]]&amp;TB_curr[[#This Row],[Line No. manual corr.]]</f>
        <v>#VALUE!</v>
      </c>
      <c r="AJ1026" s="1064">
        <f t="shared" si="76"/>
        <v>0</v>
      </c>
      <c r="AK1026" s="1064">
        <f t="shared" si="77"/>
        <v>0</v>
      </c>
      <c r="AL1026" s="1064">
        <f t="shared" si="78"/>
        <v>0</v>
      </c>
      <c r="AM1026" s="1064">
        <f t="shared" si="79"/>
        <v>0</v>
      </c>
      <c r="AN1026" s="1064"/>
      <c r="AO1026" s="1064">
        <f>TB_curr[[#This Row],[Closing balance]]+TB_curr[[#This Row],[Rounding]]</f>
        <v>0</v>
      </c>
    </row>
    <row r="1027" spans="30:41" x14ac:dyDescent="0.25">
      <c r="AD1027" s="1067" t="str">
        <f t="shared" si="75"/>
        <v/>
      </c>
      <c r="AE1027" s="1063" t="str">
        <f>IF(ISNA(VLOOKUP(TB_curr[[#This Row],[Synt]],GL[[#Headers],[#Data],[subtotal label]],1,FALSE)),0,(VLOOKUP(TB_curr[[#This Row],[Synt]],GL[[#Headers],[#Data],[subtotal label]],1,FALSE)))</f>
        <v/>
      </c>
      <c r="AF1027" s="1063" t="e">
        <f>IF((TB_curr[[#This Row],[Synt]]-TB_curr[[#This Row],[Subtotal Y/N]])=0,0,VLOOKUP(TB_curr[[#This Row],[Synt]],GL[[Account]:[Line]],3,FALSE))</f>
        <v>#VALUE!</v>
      </c>
      <c r="AG1027" s="1063" t="e">
        <f>VLOOKUP(TB_curr[[#This Row],[Synt]],GL[[Account]:[B/P]],4,FALSE)</f>
        <v>#N/A</v>
      </c>
      <c r="AH1027" s="1066" t="e">
        <v>#VALUE!</v>
      </c>
      <c r="AI1027" s="1065" t="e">
        <f>TB_curr[[#This Row],[Synt]]&amp;TB_curr[[#This Row],[Line No. manual corr.]]</f>
        <v>#VALUE!</v>
      </c>
      <c r="AJ1027" s="1064">
        <f t="shared" si="76"/>
        <v>0</v>
      </c>
      <c r="AK1027" s="1064">
        <f t="shared" si="77"/>
        <v>0</v>
      </c>
      <c r="AL1027" s="1064">
        <f t="shared" si="78"/>
        <v>0</v>
      </c>
      <c r="AM1027" s="1064">
        <f t="shared" si="79"/>
        <v>0</v>
      </c>
      <c r="AN1027" s="1064"/>
      <c r="AO1027" s="1064">
        <f>TB_curr[[#This Row],[Closing balance]]+TB_curr[[#This Row],[Rounding]]</f>
        <v>0</v>
      </c>
    </row>
    <row r="1028" spans="30:41" x14ac:dyDescent="0.25">
      <c r="AD1028" s="1067" t="str">
        <f t="shared" si="75"/>
        <v/>
      </c>
      <c r="AE1028" s="1063" t="str">
        <f>IF(ISNA(VLOOKUP(TB_curr[[#This Row],[Synt]],GL[[#Headers],[#Data],[subtotal label]],1,FALSE)),0,(VLOOKUP(TB_curr[[#This Row],[Synt]],GL[[#Headers],[#Data],[subtotal label]],1,FALSE)))</f>
        <v/>
      </c>
      <c r="AF1028" s="1063" t="e">
        <f>IF((TB_curr[[#This Row],[Synt]]-TB_curr[[#This Row],[Subtotal Y/N]])=0,0,VLOOKUP(TB_curr[[#This Row],[Synt]],GL[[Account]:[Line]],3,FALSE))</f>
        <v>#VALUE!</v>
      </c>
      <c r="AG1028" s="1063" t="e">
        <f>VLOOKUP(TB_curr[[#This Row],[Synt]],GL[[Account]:[B/P]],4,FALSE)</f>
        <v>#N/A</v>
      </c>
      <c r="AH1028" s="1066" t="e">
        <v>#VALUE!</v>
      </c>
      <c r="AI1028" s="1065" t="e">
        <f>TB_curr[[#This Row],[Synt]]&amp;TB_curr[[#This Row],[Line No. manual corr.]]</f>
        <v>#VALUE!</v>
      </c>
      <c r="AJ1028" s="1064">
        <f t="shared" si="76"/>
        <v>0</v>
      </c>
      <c r="AK1028" s="1064">
        <f t="shared" si="77"/>
        <v>0</v>
      </c>
      <c r="AL1028" s="1064">
        <f t="shared" si="78"/>
        <v>0</v>
      </c>
      <c r="AM1028" s="1064">
        <f t="shared" si="79"/>
        <v>0</v>
      </c>
      <c r="AN1028" s="1064"/>
      <c r="AO1028" s="1064">
        <f>TB_curr[[#This Row],[Closing balance]]+TB_curr[[#This Row],[Rounding]]</f>
        <v>0</v>
      </c>
    </row>
    <row r="1029" spans="30:41" x14ac:dyDescent="0.25">
      <c r="AD1029" s="1067" t="str">
        <f t="shared" si="75"/>
        <v/>
      </c>
      <c r="AE1029" s="1063" t="str">
        <f>IF(ISNA(VLOOKUP(TB_curr[[#This Row],[Synt]],GL[[#Headers],[#Data],[subtotal label]],1,FALSE)),0,(VLOOKUP(TB_curr[[#This Row],[Synt]],GL[[#Headers],[#Data],[subtotal label]],1,FALSE)))</f>
        <v/>
      </c>
      <c r="AF1029" s="1063" t="e">
        <f>IF((TB_curr[[#This Row],[Synt]]-TB_curr[[#This Row],[Subtotal Y/N]])=0,0,VLOOKUP(TB_curr[[#This Row],[Synt]],GL[[Account]:[Line]],3,FALSE))</f>
        <v>#VALUE!</v>
      </c>
      <c r="AG1029" s="1063" t="e">
        <f>VLOOKUP(TB_curr[[#This Row],[Synt]],GL[[Account]:[B/P]],4,FALSE)</f>
        <v>#N/A</v>
      </c>
      <c r="AH1029" s="1066" t="e">
        <v>#VALUE!</v>
      </c>
      <c r="AI1029" s="1065" t="e">
        <f>TB_curr[[#This Row],[Synt]]&amp;TB_curr[[#This Row],[Line No. manual corr.]]</f>
        <v>#VALUE!</v>
      </c>
      <c r="AJ1029" s="1064">
        <f t="shared" si="76"/>
        <v>0</v>
      </c>
      <c r="AK1029" s="1064">
        <f t="shared" si="77"/>
        <v>0</v>
      </c>
      <c r="AL1029" s="1064">
        <f t="shared" si="78"/>
        <v>0</v>
      </c>
      <c r="AM1029" s="1064">
        <f t="shared" si="79"/>
        <v>0</v>
      </c>
      <c r="AN1029" s="1064"/>
      <c r="AO1029" s="1064">
        <f>TB_curr[[#This Row],[Closing balance]]+TB_curr[[#This Row],[Rounding]]</f>
        <v>0</v>
      </c>
    </row>
    <row r="1030" spans="30:41" x14ac:dyDescent="0.25">
      <c r="AD1030" s="1067" t="str">
        <f t="shared" si="75"/>
        <v/>
      </c>
      <c r="AE1030" s="1063" t="str">
        <f>IF(ISNA(VLOOKUP(TB_curr[[#This Row],[Synt]],GL[[#Headers],[#Data],[subtotal label]],1,FALSE)),0,(VLOOKUP(TB_curr[[#This Row],[Synt]],GL[[#Headers],[#Data],[subtotal label]],1,FALSE)))</f>
        <v/>
      </c>
      <c r="AF1030" s="1063" t="e">
        <f>IF((TB_curr[[#This Row],[Synt]]-TB_curr[[#This Row],[Subtotal Y/N]])=0,0,VLOOKUP(TB_curr[[#This Row],[Synt]],GL[[Account]:[Line]],3,FALSE))</f>
        <v>#VALUE!</v>
      </c>
      <c r="AG1030" s="1063" t="e">
        <f>VLOOKUP(TB_curr[[#This Row],[Synt]],GL[[Account]:[B/P]],4,FALSE)</f>
        <v>#N/A</v>
      </c>
      <c r="AH1030" s="1066" t="e">
        <v>#VALUE!</v>
      </c>
      <c r="AI1030" s="1065" t="e">
        <f>TB_curr[[#This Row],[Synt]]&amp;TB_curr[[#This Row],[Line No. manual corr.]]</f>
        <v>#VALUE!</v>
      </c>
      <c r="AJ1030" s="1064">
        <f t="shared" si="76"/>
        <v>0</v>
      </c>
      <c r="AK1030" s="1064">
        <f t="shared" si="77"/>
        <v>0</v>
      </c>
      <c r="AL1030" s="1064">
        <f t="shared" si="78"/>
        <v>0</v>
      </c>
      <c r="AM1030" s="1064">
        <f t="shared" si="79"/>
        <v>0</v>
      </c>
      <c r="AN1030" s="1064"/>
      <c r="AO1030" s="1064">
        <f>TB_curr[[#This Row],[Closing balance]]+TB_curr[[#This Row],[Rounding]]</f>
        <v>0</v>
      </c>
    </row>
    <row r="1031" spans="30:41" x14ac:dyDescent="0.25">
      <c r="AD1031" s="1067" t="str">
        <f t="shared" si="75"/>
        <v/>
      </c>
      <c r="AE1031" s="1063" t="str">
        <f>IF(ISNA(VLOOKUP(TB_curr[[#This Row],[Synt]],GL[[#Headers],[#Data],[subtotal label]],1,FALSE)),0,(VLOOKUP(TB_curr[[#This Row],[Synt]],GL[[#Headers],[#Data],[subtotal label]],1,FALSE)))</f>
        <v/>
      </c>
      <c r="AF1031" s="1063" t="e">
        <f>IF((TB_curr[[#This Row],[Synt]]-TB_curr[[#This Row],[Subtotal Y/N]])=0,0,VLOOKUP(TB_curr[[#This Row],[Synt]],GL[[Account]:[Line]],3,FALSE))</f>
        <v>#VALUE!</v>
      </c>
      <c r="AG1031" s="1063" t="e">
        <f>VLOOKUP(TB_curr[[#This Row],[Synt]],GL[[Account]:[B/P]],4,FALSE)</f>
        <v>#N/A</v>
      </c>
      <c r="AH1031" s="1066" t="e">
        <v>#VALUE!</v>
      </c>
      <c r="AI1031" s="1065" t="e">
        <f>TB_curr[[#This Row],[Synt]]&amp;TB_curr[[#This Row],[Line No. manual corr.]]</f>
        <v>#VALUE!</v>
      </c>
      <c r="AJ1031" s="1064">
        <f t="shared" si="76"/>
        <v>0</v>
      </c>
      <c r="AK1031" s="1064">
        <f t="shared" si="77"/>
        <v>0</v>
      </c>
      <c r="AL1031" s="1064">
        <f t="shared" si="78"/>
        <v>0</v>
      </c>
      <c r="AM1031" s="1064">
        <f t="shared" si="79"/>
        <v>0</v>
      </c>
      <c r="AN1031" s="1064"/>
      <c r="AO1031" s="1064">
        <f>TB_curr[[#This Row],[Closing balance]]+TB_curr[[#This Row],[Rounding]]</f>
        <v>0</v>
      </c>
    </row>
    <row r="1032" spans="30:41" x14ac:dyDescent="0.25">
      <c r="AD1032" s="1067" t="str">
        <f t="shared" ref="AD1032:AD1095" si="80">LEFT(B1032,3)</f>
        <v/>
      </c>
      <c r="AE1032" s="1063" t="str">
        <f>IF(ISNA(VLOOKUP(TB_curr[[#This Row],[Synt]],GL[[#Headers],[#Data],[subtotal label]],1,FALSE)),0,(VLOOKUP(TB_curr[[#This Row],[Synt]],GL[[#Headers],[#Data],[subtotal label]],1,FALSE)))</f>
        <v/>
      </c>
      <c r="AF1032" s="1063" t="e">
        <f>IF((TB_curr[[#This Row],[Synt]]-TB_curr[[#This Row],[Subtotal Y/N]])=0,0,VLOOKUP(TB_curr[[#This Row],[Synt]],GL[[Account]:[Line]],3,FALSE))</f>
        <v>#VALUE!</v>
      </c>
      <c r="AG1032" s="1063" t="e">
        <f>VLOOKUP(TB_curr[[#This Row],[Synt]],GL[[Account]:[B/P]],4,FALSE)</f>
        <v>#N/A</v>
      </c>
      <c r="AH1032" s="1066" t="e">
        <v>#VALUE!</v>
      </c>
      <c r="AI1032" s="1065" t="e">
        <f>TB_curr[[#This Row],[Synt]]&amp;TB_curr[[#This Row],[Line No. manual corr.]]</f>
        <v>#VALUE!</v>
      </c>
      <c r="AJ1032" s="1064">
        <f t="shared" ref="AJ1032:AJ1095" si="81">K1032-N1032</f>
        <v>0</v>
      </c>
      <c r="AK1032" s="1064">
        <f t="shared" ref="AK1032:AK1095" si="82">Q1032</f>
        <v>0</v>
      </c>
      <c r="AL1032" s="1064">
        <f t="shared" ref="AL1032:AL1095" si="83">U1032</f>
        <v>0</v>
      </c>
      <c r="AM1032" s="1064">
        <f t="shared" ref="AM1032:AM1095" si="84">X1032-AB1032</f>
        <v>0</v>
      </c>
      <c r="AN1032" s="1064"/>
      <c r="AO1032" s="1064">
        <f>TB_curr[[#This Row],[Closing balance]]+TB_curr[[#This Row],[Rounding]]</f>
        <v>0</v>
      </c>
    </row>
    <row r="1033" spans="30:41" x14ac:dyDescent="0.25">
      <c r="AD1033" s="1067" t="str">
        <f t="shared" si="80"/>
        <v/>
      </c>
      <c r="AE1033" s="1063" t="str">
        <f>IF(ISNA(VLOOKUP(TB_curr[[#This Row],[Synt]],GL[[#Headers],[#Data],[subtotal label]],1,FALSE)),0,(VLOOKUP(TB_curr[[#This Row],[Synt]],GL[[#Headers],[#Data],[subtotal label]],1,FALSE)))</f>
        <v/>
      </c>
      <c r="AF1033" s="1063" t="e">
        <f>IF((TB_curr[[#This Row],[Synt]]-TB_curr[[#This Row],[Subtotal Y/N]])=0,0,VLOOKUP(TB_curr[[#This Row],[Synt]],GL[[Account]:[Line]],3,FALSE))</f>
        <v>#VALUE!</v>
      </c>
      <c r="AG1033" s="1063" t="e">
        <f>VLOOKUP(TB_curr[[#This Row],[Synt]],GL[[Account]:[B/P]],4,FALSE)</f>
        <v>#N/A</v>
      </c>
      <c r="AH1033" s="1066" t="e">
        <v>#VALUE!</v>
      </c>
      <c r="AI1033" s="1065" t="e">
        <f>TB_curr[[#This Row],[Synt]]&amp;TB_curr[[#This Row],[Line No. manual corr.]]</f>
        <v>#VALUE!</v>
      </c>
      <c r="AJ1033" s="1064">
        <f t="shared" si="81"/>
        <v>0</v>
      </c>
      <c r="AK1033" s="1064">
        <f t="shared" si="82"/>
        <v>0</v>
      </c>
      <c r="AL1033" s="1064">
        <f t="shared" si="83"/>
        <v>0</v>
      </c>
      <c r="AM1033" s="1064">
        <f t="shared" si="84"/>
        <v>0</v>
      </c>
      <c r="AN1033" s="1064"/>
      <c r="AO1033" s="1064">
        <f>TB_curr[[#This Row],[Closing balance]]+TB_curr[[#This Row],[Rounding]]</f>
        <v>0</v>
      </c>
    </row>
    <row r="1034" spans="30:41" x14ac:dyDescent="0.25">
      <c r="AD1034" s="1067" t="str">
        <f t="shared" si="80"/>
        <v/>
      </c>
      <c r="AE1034" s="1063" t="str">
        <f>IF(ISNA(VLOOKUP(TB_curr[[#This Row],[Synt]],GL[[#Headers],[#Data],[subtotal label]],1,FALSE)),0,(VLOOKUP(TB_curr[[#This Row],[Synt]],GL[[#Headers],[#Data],[subtotal label]],1,FALSE)))</f>
        <v/>
      </c>
      <c r="AF1034" s="1063" t="e">
        <f>IF((TB_curr[[#This Row],[Synt]]-TB_curr[[#This Row],[Subtotal Y/N]])=0,0,VLOOKUP(TB_curr[[#This Row],[Synt]],GL[[Account]:[Line]],3,FALSE))</f>
        <v>#VALUE!</v>
      </c>
      <c r="AG1034" s="1063" t="e">
        <f>VLOOKUP(TB_curr[[#This Row],[Synt]],GL[[Account]:[B/P]],4,FALSE)</f>
        <v>#N/A</v>
      </c>
      <c r="AH1034" s="1066" t="e">
        <v>#VALUE!</v>
      </c>
      <c r="AI1034" s="1065" t="e">
        <f>TB_curr[[#This Row],[Synt]]&amp;TB_curr[[#This Row],[Line No. manual corr.]]</f>
        <v>#VALUE!</v>
      </c>
      <c r="AJ1034" s="1064">
        <f t="shared" si="81"/>
        <v>0</v>
      </c>
      <c r="AK1034" s="1064">
        <f t="shared" si="82"/>
        <v>0</v>
      </c>
      <c r="AL1034" s="1064">
        <f t="shared" si="83"/>
        <v>0</v>
      </c>
      <c r="AM1034" s="1064">
        <f t="shared" si="84"/>
        <v>0</v>
      </c>
      <c r="AN1034" s="1064"/>
      <c r="AO1034" s="1064">
        <f>TB_curr[[#This Row],[Closing balance]]+TB_curr[[#This Row],[Rounding]]</f>
        <v>0</v>
      </c>
    </row>
    <row r="1035" spans="30:41" x14ac:dyDescent="0.25">
      <c r="AD1035" s="1067" t="str">
        <f t="shared" si="80"/>
        <v/>
      </c>
      <c r="AE1035" s="1063" t="str">
        <f>IF(ISNA(VLOOKUP(TB_curr[[#This Row],[Synt]],GL[[#Headers],[#Data],[subtotal label]],1,FALSE)),0,(VLOOKUP(TB_curr[[#This Row],[Synt]],GL[[#Headers],[#Data],[subtotal label]],1,FALSE)))</f>
        <v/>
      </c>
      <c r="AF1035" s="1063" t="e">
        <f>IF((TB_curr[[#This Row],[Synt]]-TB_curr[[#This Row],[Subtotal Y/N]])=0,0,VLOOKUP(TB_curr[[#This Row],[Synt]],GL[[Account]:[Line]],3,FALSE))</f>
        <v>#VALUE!</v>
      </c>
      <c r="AG1035" s="1063" t="e">
        <f>VLOOKUP(TB_curr[[#This Row],[Synt]],GL[[Account]:[B/P]],4,FALSE)</f>
        <v>#N/A</v>
      </c>
      <c r="AH1035" s="1066" t="e">
        <v>#VALUE!</v>
      </c>
      <c r="AI1035" s="1065" t="e">
        <f>TB_curr[[#This Row],[Synt]]&amp;TB_curr[[#This Row],[Line No. manual corr.]]</f>
        <v>#VALUE!</v>
      </c>
      <c r="AJ1035" s="1064">
        <f t="shared" si="81"/>
        <v>0</v>
      </c>
      <c r="AK1035" s="1064">
        <f t="shared" si="82"/>
        <v>0</v>
      </c>
      <c r="AL1035" s="1064">
        <f t="shared" si="83"/>
        <v>0</v>
      </c>
      <c r="AM1035" s="1064">
        <f t="shared" si="84"/>
        <v>0</v>
      </c>
      <c r="AN1035" s="1064"/>
      <c r="AO1035" s="1064">
        <f>TB_curr[[#This Row],[Closing balance]]+TB_curr[[#This Row],[Rounding]]</f>
        <v>0</v>
      </c>
    </row>
    <row r="1036" spans="30:41" x14ac:dyDescent="0.25">
      <c r="AD1036" s="1067" t="str">
        <f t="shared" si="80"/>
        <v/>
      </c>
      <c r="AE1036" s="1063" t="str">
        <f>IF(ISNA(VLOOKUP(TB_curr[[#This Row],[Synt]],GL[[#Headers],[#Data],[subtotal label]],1,FALSE)),0,(VLOOKUP(TB_curr[[#This Row],[Synt]],GL[[#Headers],[#Data],[subtotal label]],1,FALSE)))</f>
        <v/>
      </c>
      <c r="AF1036" s="1063" t="e">
        <f>IF((TB_curr[[#This Row],[Synt]]-TB_curr[[#This Row],[Subtotal Y/N]])=0,0,VLOOKUP(TB_curr[[#This Row],[Synt]],GL[[Account]:[Line]],3,FALSE))</f>
        <v>#VALUE!</v>
      </c>
      <c r="AG1036" s="1063" t="e">
        <f>VLOOKUP(TB_curr[[#This Row],[Synt]],GL[[Account]:[B/P]],4,FALSE)</f>
        <v>#N/A</v>
      </c>
      <c r="AH1036" s="1066" t="e">
        <v>#VALUE!</v>
      </c>
      <c r="AI1036" s="1065" t="e">
        <f>TB_curr[[#This Row],[Synt]]&amp;TB_curr[[#This Row],[Line No. manual corr.]]</f>
        <v>#VALUE!</v>
      </c>
      <c r="AJ1036" s="1064">
        <f t="shared" si="81"/>
        <v>0</v>
      </c>
      <c r="AK1036" s="1064">
        <f t="shared" si="82"/>
        <v>0</v>
      </c>
      <c r="AL1036" s="1064">
        <f t="shared" si="83"/>
        <v>0</v>
      </c>
      <c r="AM1036" s="1064">
        <f t="shared" si="84"/>
        <v>0</v>
      </c>
      <c r="AN1036" s="1064"/>
      <c r="AO1036" s="1064">
        <f>TB_curr[[#This Row],[Closing balance]]+TB_curr[[#This Row],[Rounding]]</f>
        <v>0</v>
      </c>
    </row>
    <row r="1037" spans="30:41" x14ac:dyDescent="0.25">
      <c r="AD1037" s="1067" t="str">
        <f t="shared" si="80"/>
        <v/>
      </c>
      <c r="AE1037" s="1063" t="str">
        <f>IF(ISNA(VLOOKUP(TB_curr[[#This Row],[Synt]],GL[[#Headers],[#Data],[subtotal label]],1,FALSE)),0,(VLOOKUP(TB_curr[[#This Row],[Synt]],GL[[#Headers],[#Data],[subtotal label]],1,FALSE)))</f>
        <v/>
      </c>
      <c r="AF1037" s="1063" t="e">
        <f>IF((TB_curr[[#This Row],[Synt]]-TB_curr[[#This Row],[Subtotal Y/N]])=0,0,VLOOKUP(TB_curr[[#This Row],[Synt]],GL[[Account]:[Line]],3,FALSE))</f>
        <v>#VALUE!</v>
      </c>
      <c r="AG1037" s="1063" t="e">
        <f>VLOOKUP(TB_curr[[#This Row],[Synt]],GL[[Account]:[B/P]],4,FALSE)</f>
        <v>#N/A</v>
      </c>
      <c r="AH1037" s="1066" t="e">
        <v>#VALUE!</v>
      </c>
      <c r="AI1037" s="1065" t="e">
        <f>TB_curr[[#This Row],[Synt]]&amp;TB_curr[[#This Row],[Line No. manual corr.]]</f>
        <v>#VALUE!</v>
      </c>
      <c r="AJ1037" s="1064">
        <f t="shared" si="81"/>
        <v>0</v>
      </c>
      <c r="AK1037" s="1064">
        <f t="shared" si="82"/>
        <v>0</v>
      </c>
      <c r="AL1037" s="1064">
        <f t="shared" si="83"/>
        <v>0</v>
      </c>
      <c r="AM1037" s="1064">
        <f t="shared" si="84"/>
        <v>0</v>
      </c>
      <c r="AN1037" s="1064"/>
      <c r="AO1037" s="1064">
        <f>TB_curr[[#This Row],[Closing balance]]+TB_curr[[#This Row],[Rounding]]</f>
        <v>0</v>
      </c>
    </row>
    <row r="1038" spans="30:41" x14ac:dyDescent="0.25">
      <c r="AD1038" s="1067" t="str">
        <f t="shared" si="80"/>
        <v/>
      </c>
      <c r="AE1038" s="1063" t="str">
        <f>IF(ISNA(VLOOKUP(TB_curr[[#This Row],[Synt]],GL[[#Headers],[#Data],[subtotal label]],1,FALSE)),0,(VLOOKUP(TB_curr[[#This Row],[Synt]],GL[[#Headers],[#Data],[subtotal label]],1,FALSE)))</f>
        <v/>
      </c>
      <c r="AF1038" s="1063" t="e">
        <f>IF((TB_curr[[#This Row],[Synt]]-TB_curr[[#This Row],[Subtotal Y/N]])=0,0,VLOOKUP(TB_curr[[#This Row],[Synt]],GL[[Account]:[Line]],3,FALSE))</f>
        <v>#VALUE!</v>
      </c>
      <c r="AG1038" s="1063" t="e">
        <f>VLOOKUP(TB_curr[[#This Row],[Synt]],GL[[Account]:[B/P]],4,FALSE)</f>
        <v>#N/A</v>
      </c>
      <c r="AH1038" s="1066" t="e">
        <v>#VALUE!</v>
      </c>
      <c r="AI1038" s="1065" t="e">
        <f>TB_curr[[#This Row],[Synt]]&amp;TB_curr[[#This Row],[Line No. manual corr.]]</f>
        <v>#VALUE!</v>
      </c>
      <c r="AJ1038" s="1064">
        <f t="shared" si="81"/>
        <v>0</v>
      </c>
      <c r="AK1038" s="1064">
        <f t="shared" si="82"/>
        <v>0</v>
      </c>
      <c r="AL1038" s="1064">
        <f t="shared" si="83"/>
        <v>0</v>
      </c>
      <c r="AM1038" s="1064">
        <f t="shared" si="84"/>
        <v>0</v>
      </c>
      <c r="AN1038" s="1064"/>
      <c r="AO1038" s="1064">
        <f>TB_curr[[#This Row],[Closing balance]]+TB_curr[[#This Row],[Rounding]]</f>
        <v>0</v>
      </c>
    </row>
    <row r="1039" spans="30:41" x14ac:dyDescent="0.25">
      <c r="AD1039" s="1067" t="str">
        <f t="shared" si="80"/>
        <v/>
      </c>
      <c r="AE1039" s="1063" t="str">
        <f>IF(ISNA(VLOOKUP(TB_curr[[#This Row],[Synt]],GL[[#Headers],[#Data],[subtotal label]],1,FALSE)),0,(VLOOKUP(TB_curr[[#This Row],[Synt]],GL[[#Headers],[#Data],[subtotal label]],1,FALSE)))</f>
        <v/>
      </c>
      <c r="AF1039" s="1063" t="e">
        <f>IF((TB_curr[[#This Row],[Synt]]-TB_curr[[#This Row],[Subtotal Y/N]])=0,0,VLOOKUP(TB_curr[[#This Row],[Synt]],GL[[Account]:[Line]],3,FALSE))</f>
        <v>#VALUE!</v>
      </c>
      <c r="AG1039" s="1063" t="e">
        <f>VLOOKUP(TB_curr[[#This Row],[Synt]],GL[[Account]:[B/P]],4,FALSE)</f>
        <v>#N/A</v>
      </c>
      <c r="AH1039" s="1066" t="e">
        <v>#VALUE!</v>
      </c>
      <c r="AI1039" s="1065" t="e">
        <f>TB_curr[[#This Row],[Synt]]&amp;TB_curr[[#This Row],[Line No. manual corr.]]</f>
        <v>#VALUE!</v>
      </c>
      <c r="AJ1039" s="1064">
        <f t="shared" si="81"/>
        <v>0</v>
      </c>
      <c r="AK1039" s="1064">
        <f t="shared" si="82"/>
        <v>0</v>
      </c>
      <c r="AL1039" s="1064">
        <f t="shared" si="83"/>
        <v>0</v>
      </c>
      <c r="AM1039" s="1064">
        <f t="shared" si="84"/>
        <v>0</v>
      </c>
      <c r="AN1039" s="1064"/>
      <c r="AO1039" s="1064">
        <f>TB_curr[[#This Row],[Closing balance]]+TB_curr[[#This Row],[Rounding]]</f>
        <v>0</v>
      </c>
    </row>
    <row r="1040" spans="30:41" x14ac:dyDescent="0.25">
      <c r="AD1040" s="1067" t="str">
        <f t="shared" si="80"/>
        <v/>
      </c>
      <c r="AE1040" s="1063" t="str">
        <f>IF(ISNA(VLOOKUP(TB_curr[[#This Row],[Synt]],GL[[#Headers],[#Data],[subtotal label]],1,FALSE)),0,(VLOOKUP(TB_curr[[#This Row],[Synt]],GL[[#Headers],[#Data],[subtotal label]],1,FALSE)))</f>
        <v/>
      </c>
      <c r="AF1040" s="1063" t="e">
        <f>IF((TB_curr[[#This Row],[Synt]]-TB_curr[[#This Row],[Subtotal Y/N]])=0,0,VLOOKUP(TB_curr[[#This Row],[Synt]],GL[[Account]:[Line]],3,FALSE))</f>
        <v>#VALUE!</v>
      </c>
      <c r="AG1040" s="1063" t="e">
        <f>VLOOKUP(TB_curr[[#This Row],[Synt]],GL[[Account]:[B/P]],4,FALSE)</f>
        <v>#N/A</v>
      </c>
      <c r="AH1040" s="1066" t="e">
        <v>#VALUE!</v>
      </c>
      <c r="AI1040" s="1065" t="e">
        <f>TB_curr[[#This Row],[Synt]]&amp;TB_curr[[#This Row],[Line No. manual corr.]]</f>
        <v>#VALUE!</v>
      </c>
      <c r="AJ1040" s="1064">
        <f t="shared" si="81"/>
        <v>0</v>
      </c>
      <c r="AK1040" s="1064">
        <f t="shared" si="82"/>
        <v>0</v>
      </c>
      <c r="AL1040" s="1064">
        <f t="shared" si="83"/>
        <v>0</v>
      </c>
      <c r="AM1040" s="1064">
        <f t="shared" si="84"/>
        <v>0</v>
      </c>
      <c r="AN1040" s="1064"/>
      <c r="AO1040" s="1064">
        <f>TB_curr[[#This Row],[Closing balance]]+TB_curr[[#This Row],[Rounding]]</f>
        <v>0</v>
      </c>
    </row>
    <row r="1041" spans="30:41" x14ac:dyDescent="0.25">
      <c r="AD1041" s="1067" t="str">
        <f t="shared" si="80"/>
        <v/>
      </c>
      <c r="AE1041" s="1063" t="str">
        <f>IF(ISNA(VLOOKUP(TB_curr[[#This Row],[Synt]],GL[[#Headers],[#Data],[subtotal label]],1,FALSE)),0,(VLOOKUP(TB_curr[[#This Row],[Synt]],GL[[#Headers],[#Data],[subtotal label]],1,FALSE)))</f>
        <v/>
      </c>
      <c r="AF1041" s="1063" t="e">
        <f>IF((TB_curr[[#This Row],[Synt]]-TB_curr[[#This Row],[Subtotal Y/N]])=0,0,VLOOKUP(TB_curr[[#This Row],[Synt]],GL[[Account]:[Line]],3,FALSE))</f>
        <v>#VALUE!</v>
      </c>
      <c r="AG1041" s="1063" t="e">
        <f>VLOOKUP(TB_curr[[#This Row],[Synt]],GL[[Account]:[B/P]],4,FALSE)</f>
        <v>#N/A</v>
      </c>
      <c r="AH1041" s="1066" t="e">
        <v>#VALUE!</v>
      </c>
      <c r="AI1041" s="1065" t="e">
        <f>TB_curr[[#This Row],[Synt]]&amp;TB_curr[[#This Row],[Line No. manual corr.]]</f>
        <v>#VALUE!</v>
      </c>
      <c r="AJ1041" s="1064">
        <f t="shared" si="81"/>
        <v>0</v>
      </c>
      <c r="AK1041" s="1064">
        <f t="shared" si="82"/>
        <v>0</v>
      </c>
      <c r="AL1041" s="1064">
        <f t="shared" si="83"/>
        <v>0</v>
      </c>
      <c r="AM1041" s="1064">
        <f t="shared" si="84"/>
        <v>0</v>
      </c>
      <c r="AN1041" s="1064"/>
      <c r="AO1041" s="1064">
        <f>TB_curr[[#This Row],[Closing balance]]+TB_curr[[#This Row],[Rounding]]</f>
        <v>0</v>
      </c>
    </row>
    <row r="1042" spans="30:41" x14ac:dyDescent="0.25">
      <c r="AD1042" s="1067" t="str">
        <f t="shared" si="80"/>
        <v/>
      </c>
      <c r="AE1042" s="1063" t="str">
        <f>IF(ISNA(VLOOKUP(TB_curr[[#This Row],[Synt]],GL[[#Headers],[#Data],[subtotal label]],1,FALSE)),0,(VLOOKUP(TB_curr[[#This Row],[Synt]],GL[[#Headers],[#Data],[subtotal label]],1,FALSE)))</f>
        <v/>
      </c>
      <c r="AF1042" s="1063" t="e">
        <f>IF((TB_curr[[#This Row],[Synt]]-TB_curr[[#This Row],[Subtotal Y/N]])=0,0,VLOOKUP(TB_curr[[#This Row],[Synt]],GL[[Account]:[Line]],3,FALSE))</f>
        <v>#VALUE!</v>
      </c>
      <c r="AG1042" s="1063" t="e">
        <f>VLOOKUP(TB_curr[[#This Row],[Synt]],GL[[Account]:[B/P]],4,FALSE)</f>
        <v>#N/A</v>
      </c>
      <c r="AH1042" s="1066" t="e">
        <v>#VALUE!</v>
      </c>
      <c r="AI1042" s="1065" t="e">
        <f>TB_curr[[#This Row],[Synt]]&amp;TB_curr[[#This Row],[Line No. manual corr.]]</f>
        <v>#VALUE!</v>
      </c>
      <c r="AJ1042" s="1064">
        <f t="shared" si="81"/>
        <v>0</v>
      </c>
      <c r="AK1042" s="1064">
        <f t="shared" si="82"/>
        <v>0</v>
      </c>
      <c r="AL1042" s="1064">
        <f t="shared" si="83"/>
        <v>0</v>
      </c>
      <c r="AM1042" s="1064">
        <f t="shared" si="84"/>
        <v>0</v>
      </c>
      <c r="AN1042" s="1064"/>
      <c r="AO1042" s="1064">
        <f>TB_curr[[#This Row],[Closing balance]]+TB_curr[[#This Row],[Rounding]]</f>
        <v>0</v>
      </c>
    </row>
    <row r="1043" spans="30:41" x14ac:dyDescent="0.25">
      <c r="AD1043" s="1067" t="str">
        <f t="shared" si="80"/>
        <v/>
      </c>
      <c r="AE1043" s="1063" t="str">
        <f>IF(ISNA(VLOOKUP(TB_curr[[#This Row],[Synt]],GL[[#Headers],[#Data],[subtotal label]],1,FALSE)),0,(VLOOKUP(TB_curr[[#This Row],[Synt]],GL[[#Headers],[#Data],[subtotal label]],1,FALSE)))</f>
        <v/>
      </c>
      <c r="AF1043" s="1063" t="e">
        <f>IF((TB_curr[[#This Row],[Synt]]-TB_curr[[#This Row],[Subtotal Y/N]])=0,0,VLOOKUP(TB_curr[[#This Row],[Synt]],GL[[Account]:[Line]],3,FALSE))</f>
        <v>#VALUE!</v>
      </c>
      <c r="AG1043" s="1063" t="e">
        <f>VLOOKUP(TB_curr[[#This Row],[Synt]],GL[[Account]:[B/P]],4,FALSE)</f>
        <v>#N/A</v>
      </c>
      <c r="AH1043" s="1066" t="e">
        <v>#VALUE!</v>
      </c>
      <c r="AI1043" s="1065" t="e">
        <f>TB_curr[[#This Row],[Synt]]&amp;TB_curr[[#This Row],[Line No. manual corr.]]</f>
        <v>#VALUE!</v>
      </c>
      <c r="AJ1043" s="1064">
        <f t="shared" si="81"/>
        <v>0</v>
      </c>
      <c r="AK1043" s="1064">
        <f t="shared" si="82"/>
        <v>0</v>
      </c>
      <c r="AL1043" s="1064">
        <f t="shared" si="83"/>
        <v>0</v>
      </c>
      <c r="AM1043" s="1064">
        <f t="shared" si="84"/>
        <v>0</v>
      </c>
      <c r="AN1043" s="1064"/>
      <c r="AO1043" s="1064">
        <f>TB_curr[[#This Row],[Closing balance]]+TB_curr[[#This Row],[Rounding]]</f>
        <v>0</v>
      </c>
    </row>
    <row r="1044" spans="30:41" x14ac:dyDescent="0.25">
      <c r="AD1044" s="1067" t="str">
        <f t="shared" si="80"/>
        <v/>
      </c>
      <c r="AE1044" s="1063" t="str">
        <f>IF(ISNA(VLOOKUP(TB_curr[[#This Row],[Synt]],GL[[#Headers],[#Data],[subtotal label]],1,FALSE)),0,(VLOOKUP(TB_curr[[#This Row],[Synt]],GL[[#Headers],[#Data],[subtotal label]],1,FALSE)))</f>
        <v/>
      </c>
      <c r="AF1044" s="1063" t="e">
        <f>IF((TB_curr[[#This Row],[Synt]]-TB_curr[[#This Row],[Subtotal Y/N]])=0,0,VLOOKUP(TB_curr[[#This Row],[Synt]],GL[[Account]:[Line]],3,FALSE))</f>
        <v>#VALUE!</v>
      </c>
      <c r="AG1044" s="1063" t="e">
        <f>VLOOKUP(TB_curr[[#This Row],[Synt]],GL[[Account]:[B/P]],4,FALSE)</f>
        <v>#N/A</v>
      </c>
      <c r="AH1044" s="1066" t="e">
        <v>#VALUE!</v>
      </c>
      <c r="AI1044" s="1065" t="e">
        <f>TB_curr[[#This Row],[Synt]]&amp;TB_curr[[#This Row],[Line No. manual corr.]]</f>
        <v>#VALUE!</v>
      </c>
      <c r="AJ1044" s="1064">
        <f t="shared" si="81"/>
        <v>0</v>
      </c>
      <c r="AK1044" s="1064">
        <f t="shared" si="82"/>
        <v>0</v>
      </c>
      <c r="AL1044" s="1064">
        <f t="shared" si="83"/>
        <v>0</v>
      </c>
      <c r="AM1044" s="1064">
        <f t="shared" si="84"/>
        <v>0</v>
      </c>
      <c r="AN1044" s="1064"/>
      <c r="AO1044" s="1064">
        <f>TB_curr[[#This Row],[Closing balance]]+TB_curr[[#This Row],[Rounding]]</f>
        <v>0</v>
      </c>
    </row>
    <row r="1045" spans="30:41" x14ac:dyDescent="0.25">
      <c r="AD1045" s="1067" t="str">
        <f t="shared" si="80"/>
        <v/>
      </c>
      <c r="AE1045" s="1063" t="str">
        <f>IF(ISNA(VLOOKUP(TB_curr[[#This Row],[Synt]],GL[[#Headers],[#Data],[subtotal label]],1,FALSE)),0,(VLOOKUP(TB_curr[[#This Row],[Synt]],GL[[#Headers],[#Data],[subtotal label]],1,FALSE)))</f>
        <v/>
      </c>
      <c r="AF1045" s="1063" t="e">
        <f>IF((TB_curr[[#This Row],[Synt]]-TB_curr[[#This Row],[Subtotal Y/N]])=0,0,VLOOKUP(TB_curr[[#This Row],[Synt]],GL[[Account]:[Line]],3,FALSE))</f>
        <v>#VALUE!</v>
      </c>
      <c r="AG1045" s="1063" t="e">
        <f>VLOOKUP(TB_curr[[#This Row],[Synt]],GL[[Account]:[B/P]],4,FALSE)</f>
        <v>#N/A</v>
      </c>
      <c r="AH1045" s="1066" t="e">
        <v>#VALUE!</v>
      </c>
      <c r="AI1045" s="1065" t="e">
        <f>TB_curr[[#This Row],[Synt]]&amp;TB_curr[[#This Row],[Line No. manual corr.]]</f>
        <v>#VALUE!</v>
      </c>
      <c r="AJ1045" s="1064">
        <f t="shared" si="81"/>
        <v>0</v>
      </c>
      <c r="AK1045" s="1064">
        <f t="shared" si="82"/>
        <v>0</v>
      </c>
      <c r="AL1045" s="1064">
        <f t="shared" si="83"/>
        <v>0</v>
      </c>
      <c r="AM1045" s="1064">
        <f t="shared" si="84"/>
        <v>0</v>
      </c>
      <c r="AN1045" s="1064"/>
      <c r="AO1045" s="1064">
        <f>TB_curr[[#This Row],[Closing balance]]+TB_curr[[#This Row],[Rounding]]</f>
        <v>0</v>
      </c>
    </row>
    <row r="1046" spans="30:41" x14ac:dyDescent="0.25">
      <c r="AD1046" s="1067" t="str">
        <f t="shared" si="80"/>
        <v/>
      </c>
      <c r="AE1046" s="1063" t="str">
        <f>IF(ISNA(VLOOKUP(TB_curr[[#This Row],[Synt]],GL[[#Headers],[#Data],[subtotal label]],1,FALSE)),0,(VLOOKUP(TB_curr[[#This Row],[Synt]],GL[[#Headers],[#Data],[subtotal label]],1,FALSE)))</f>
        <v/>
      </c>
      <c r="AF1046" s="1063" t="e">
        <f>IF((TB_curr[[#This Row],[Synt]]-TB_curr[[#This Row],[Subtotal Y/N]])=0,0,VLOOKUP(TB_curr[[#This Row],[Synt]],GL[[Account]:[Line]],3,FALSE))</f>
        <v>#VALUE!</v>
      </c>
      <c r="AG1046" s="1063" t="e">
        <f>VLOOKUP(TB_curr[[#This Row],[Synt]],GL[[Account]:[B/P]],4,FALSE)</f>
        <v>#N/A</v>
      </c>
      <c r="AH1046" s="1066" t="e">
        <v>#VALUE!</v>
      </c>
      <c r="AI1046" s="1065" t="e">
        <f>TB_curr[[#This Row],[Synt]]&amp;TB_curr[[#This Row],[Line No. manual corr.]]</f>
        <v>#VALUE!</v>
      </c>
      <c r="AJ1046" s="1064">
        <f t="shared" si="81"/>
        <v>0</v>
      </c>
      <c r="AK1046" s="1064">
        <f t="shared" si="82"/>
        <v>0</v>
      </c>
      <c r="AL1046" s="1064">
        <f t="shared" si="83"/>
        <v>0</v>
      </c>
      <c r="AM1046" s="1064">
        <f t="shared" si="84"/>
        <v>0</v>
      </c>
      <c r="AN1046" s="1064"/>
      <c r="AO1046" s="1064">
        <f>TB_curr[[#This Row],[Closing balance]]+TB_curr[[#This Row],[Rounding]]</f>
        <v>0</v>
      </c>
    </row>
    <row r="1047" spans="30:41" x14ac:dyDescent="0.25">
      <c r="AD1047" s="1067" t="str">
        <f t="shared" si="80"/>
        <v/>
      </c>
      <c r="AE1047" s="1063" t="str">
        <f>IF(ISNA(VLOOKUP(TB_curr[[#This Row],[Synt]],GL[[#Headers],[#Data],[subtotal label]],1,FALSE)),0,(VLOOKUP(TB_curr[[#This Row],[Synt]],GL[[#Headers],[#Data],[subtotal label]],1,FALSE)))</f>
        <v/>
      </c>
      <c r="AF1047" s="1063" t="e">
        <f>IF((TB_curr[[#This Row],[Synt]]-TB_curr[[#This Row],[Subtotal Y/N]])=0,0,VLOOKUP(TB_curr[[#This Row],[Synt]],GL[[Account]:[Line]],3,FALSE))</f>
        <v>#VALUE!</v>
      </c>
      <c r="AG1047" s="1063" t="e">
        <f>VLOOKUP(TB_curr[[#This Row],[Synt]],GL[[Account]:[B/P]],4,FALSE)</f>
        <v>#N/A</v>
      </c>
      <c r="AH1047" s="1066" t="e">
        <v>#VALUE!</v>
      </c>
      <c r="AI1047" s="1065" t="e">
        <f>TB_curr[[#This Row],[Synt]]&amp;TB_curr[[#This Row],[Line No. manual corr.]]</f>
        <v>#VALUE!</v>
      </c>
      <c r="AJ1047" s="1064">
        <f t="shared" si="81"/>
        <v>0</v>
      </c>
      <c r="AK1047" s="1064">
        <f t="shared" si="82"/>
        <v>0</v>
      </c>
      <c r="AL1047" s="1064">
        <f t="shared" si="83"/>
        <v>0</v>
      </c>
      <c r="AM1047" s="1064">
        <f t="shared" si="84"/>
        <v>0</v>
      </c>
      <c r="AN1047" s="1064"/>
      <c r="AO1047" s="1064">
        <f>TB_curr[[#This Row],[Closing balance]]+TB_curr[[#This Row],[Rounding]]</f>
        <v>0</v>
      </c>
    </row>
    <row r="1048" spans="30:41" x14ac:dyDescent="0.25">
      <c r="AD1048" s="1067" t="str">
        <f t="shared" si="80"/>
        <v/>
      </c>
      <c r="AE1048" s="1063" t="str">
        <f>IF(ISNA(VLOOKUP(TB_curr[[#This Row],[Synt]],GL[[#Headers],[#Data],[subtotal label]],1,FALSE)),0,(VLOOKUP(TB_curr[[#This Row],[Synt]],GL[[#Headers],[#Data],[subtotal label]],1,FALSE)))</f>
        <v/>
      </c>
      <c r="AF1048" s="1063" t="e">
        <f>IF((TB_curr[[#This Row],[Synt]]-TB_curr[[#This Row],[Subtotal Y/N]])=0,0,VLOOKUP(TB_curr[[#This Row],[Synt]],GL[[Account]:[Line]],3,FALSE))</f>
        <v>#VALUE!</v>
      </c>
      <c r="AG1048" s="1063" t="e">
        <f>VLOOKUP(TB_curr[[#This Row],[Synt]],GL[[Account]:[B/P]],4,FALSE)</f>
        <v>#N/A</v>
      </c>
      <c r="AH1048" s="1066" t="e">
        <v>#VALUE!</v>
      </c>
      <c r="AI1048" s="1065" t="e">
        <f>TB_curr[[#This Row],[Synt]]&amp;TB_curr[[#This Row],[Line No. manual corr.]]</f>
        <v>#VALUE!</v>
      </c>
      <c r="AJ1048" s="1064">
        <f t="shared" si="81"/>
        <v>0</v>
      </c>
      <c r="AK1048" s="1064">
        <f t="shared" si="82"/>
        <v>0</v>
      </c>
      <c r="AL1048" s="1064">
        <f t="shared" si="83"/>
        <v>0</v>
      </c>
      <c r="AM1048" s="1064">
        <f t="shared" si="84"/>
        <v>0</v>
      </c>
      <c r="AN1048" s="1064"/>
      <c r="AO1048" s="1064">
        <f>TB_curr[[#This Row],[Closing balance]]+TB_curr[[#This Row],[Rounding]]</f>
        <v>0</v>
      </c>
    </row>
    <row r="1049" spans="30:41" x14ac:dyDescent="0.25">
      <c r="AD1049" s="1067" t="str">
        <f t="shared" si="80"/>
        <v/>
      </c>
      <c r="AE1049" s="1063" t="str">
        <f>IF(ISNA(VLOOKUP(TB_curr[[#This Row],[Synt]],GL[[#Headers],[#Data],[subtotal label]],1,FALSE)),0,(VLOOKUP(TB_curr[[#This Row],[Synt]],GL[[#Headers],[#Data],[subtotal label]],1,FALSE)))</f>
        <v/>
      </c>
      <c r="AF1049" s="1063" t="e">
        <f>IF((TB_curr[[#This Row],[Synt]]-TB_curr[[#This Row],[Subtotal Y/N]])=0,0,VLOOKUP(TB_curr[[#This Row],[Synt]],GL[[Account]:[Line]],3,FALSE))</f>
        <v>#VALUE!</v>
      </c>
      <c r="AG1049" s="1063" t="e">
        <f>VLOOKUP(TB_curr[[#This Row],[Synt]],GL[[Account]:[B/P]],4,FALSE)</f>
        <v>#N/A</v>
      </c>
      <c r="AH1049" s="1066" t="e">
        <v>#VALUE!</v>
      </c>
      <c r="AI1049" s="1065" t="e">
        <f>TB_curr[[#This Row],[Synt]]&amp;TB_curr[[#This Row],[Line No. manual corr.]]</f>
        <v>#VALUE!</v>
      </c>
      <c r="AJ1049" s="1064">
        <f t="shared" si="81"/>
        <v>0</v>
      </c>
      <c r="AK1049" s="1064">
        <f t="shared" si="82"/>
        <v>0</v>
      </c>
      <c r="AL1049" s="1064">
        <f t="shared" si="83"/>
        <v>0</v>
      </c>
      <c r="AM1049" s="1064">
        <f t="shared" si="84"/>
        <v>0</v>
      </c>
      <c r="AN1049" s="1064"/>
      <c r="AO1049" s="1064">
        <f>TB_curr[[#This Row],[Closing balance]]+TB_curr[[#This Row],[Rounding]]</f>
        <v>0</v>
      </c>
    </row>
    <row r="1050" spans="30:41" x14ac:dyDescent="0.25">
      <c r="AD1050" s="1067" t="str">
        <f t="shared" si="80"/>
        <v/>
      </c>
      <c r="AE1050" s="1063" t="str">
        <f>IF(ISNA(VLOOKUP(TB_curr[[#This Row],[Synt]],GL[[#Headers],[#Data],[subtotal label]],1,FALSE)),0,(VLOOKUP(TB_curr[[#This Row],[Synt]],GL[[#Headers],[#Data],[subtotal label]],1,FALSE)))</f>
        <v/>
      </c>
      <c r="AF1050" s="1063" t="e">
        <f>IF((TB_curr[[#This Row],[Synt]]-TB_curr[[#This Row],[Subtotal Y/N]])=0,0,VLOOKUP(TB_curr[[#This Row],[Synt]],GL[[Account]:[Line]],3,FALSE))</f>
        <v>#VALUE!</v>
      </c>
      <c r="AG1050" s="1063" t="e">
        <f>VLOOKUP(TB_curr[[#This Row],[Synt]],GL[[Account]:[B/P]],4,FALSE)</f>
        <v>#N/A</v>
      </c>
      <c r="AH1050" s="1066" t="e">
        <v>#VALUE!</v>
      </c>
      <c r="AI1050" s="1065" t="e">
        <f>TB_curr[[#This Row],[Synt]]&amp;TB_curr[[#This Row],[Line No. manual corr.]]</f>
        <v>#VALUE!</v>
      </c>
      <c r="AJ1050" s="1064">
        <f t="shared" si="81"/>
        <v>0</v>
      </c>
      <c r="AK1050" s="1064">
        <f t="shared" si="82"/>
        <v>0</v>
      </c>
      <c r="AL1050" s="1064">
        <f t="shared" si="83"/>
        <v>0</v>
      </c>
      <c r="AM1050" s="1064">
        <f t="shared" si="84"/>
        <v>0</v>
      </c>
      <c r="AN1050" s="1064"/>
      <c r="AO1050" s="1064">
        <f>TB_curr[[#This Row],[Closing balance]]+TB_curr[[#This Row],[Rounding]]</f>
        <v>0</v>
      </c>
    </row>
    <row r="1051" spans="30:41" x14ac:dyDescent="0.25">
      <c r="AD1051" s="1067" t="str">
        <f t="shared" si="80"/>
        <v/>
      </c>
      <c r="AE1051" s="1063" t="str">
        <f>IF(ISNA(VLOOKUP(TB_curr[[#This Row],[Synt]],GL[[#Headers],[#Data],[subtotal label]],1,FALSE)),0,(VLOOKUP(TB_curr[[#This Row],[Synt]],GL[[#Headers],[#Data],[subtotal label]],1,FALSE)))</f>
        <v/>
      </c>
      <c r="AF1051" s="1063" t="e">
        <f>IF((TB_curr[[#This Row],[Synt]]-TB_curr[[#This Row],[Subtotal Y/N]])=0,0,VLOOKUP(TB_curr[[#This Row],[Synt]],GL[[Account]:[Line]],3,FALSE))</f>
        <v>#VALUE!</v>
      </c>
      <c r="AG1051" s="1063" t="e">
        <f>VLOOKUP(TB_curr[[#This Row],[Synt]],GL[[Account]:[B/P]],4,FALSE)</f>
        <v>#N/A</v>
      </c>
      <c r="AH1051" s="1066" t="e">
        <v>#VALUE!</v>
      </c>
      <c r="AI1051" s="1065" t="e">
        <f>TB_curr[[#This Row],[Synt]]&amp;TB_curr[[#This Row],[Line No. manual corr.]]</f>
        <v>#VALUE!</v>
      </c>
      <c r="AJ1051" s="1064">
        <f t="shared" si="81"/>
        <v>0</v>
      </c>
      <c r="AK1051" s="1064">
        <f t="shared" si="82"/>
        <v>0</v>
      </c>
      <c r="AL1051" s="1064">
        <f t="shared" si="83"/>
        <v>0</v>
      </c>
      <c r="AM1051" s="1064">
        <f t="shared" si="84"/>
        <v>0</v>
      </c>
      <c r="AN1051" s="1064"/>
      <c r="AO1051" s="1064">
        <f>TB_curr[[#This Row],[Closing balance]]+TB_curr[[#This Row],[Rounding]]</f>
        <v>0</v>
      </c>
    </row>
    <row r="1052" spans="30:41" x14ac:dyDescent="0.25">
      <c r="AD1052" s="1067" t="str">
        <f t="shared" si="80"/>
        <v/>
      </c>
      <c r="AE1052" s="1063" t="str">
        <f>IF(ISNA(VLOOKUP(TB_curr[[#This Row],[Synt]],GL[[#Headers],[#Data],[subtotal label]],1,FALSE)),0,(VLOOKUP(TB_curr[[#This Row],[Synt]],GL[[#Headers],[#Data],[subtotal label]],1,FALSE)))</f>
        <v/>
      </c>
      <c r="AF1052" s="1063" t="e">
        <f>IF((TB_curr[[#This Row],[Synt]]-TB_curr[[#This Row],[Subtotal Y/N]])=0,0,VLOOKUP(TB_curr[[#This Row],[Synt]],GL[[Account]:[Line]],3,FALSE))</f>
        <v>#VALUE!</v>
      </c>
      <c r="AG1052" s="1063" t="e">
        <f>VLOOKUP(TB_curr[[#This Row],[Synt]],GL[[Account]:[B/P]],4,FALSE)</f>
        <v>#N/A</v>
      </c>
      <c r="AH1052" s="1066" t="e">
        <v>#VALUE!</v>
      </c>
      <c r="AI1052" s="1065" t="e">
        <f>TB_curr[[#This Row],[Synt]]&amp;TB_curr[[#This Row],[Line No. manual corr.]]</f>
        <v>#VALUE!</v>
      </c>
      <c r="AJ1052" s="1064">
        <f t="shared" si="81"/>
        <v>0</v>
      </c>
      <c r="AK1052" s="1064">
        <f t="shared" si="82"/>
        <v>0</v>
      </c>
      <c r="AL1052" s="1064">
        <f t="shared" si="83"/>
        <v>0</v>
      </c>
      <c r="AM1052" s="1064">
        <f t="shared" si="84"/>
        <v>0</v>
      </c>
      <c r="AN1052" s="1064"/>
      <c r="AO1052" s="1064">
        <f>TB_curr[[#This Row],[Closing balance]]+TB_curr[[#This Row],[Rounding]]</f>
        <v>0</v>
      </c>
    </row>
    <row r="1053" spans="30:41" x14ac:dyDescent="0.25">
      <c r="AD1053" s="1067" t="str">
        <f t="shared" si="80"/>
        <v/>
      </c>
      <c r="AE1053" s="1063" t="str">
        <f>IF(ISNA(VLOOKUP(TB_curr[[#This Row],[Synt]],GL[[#Headers],[#Data],[subtotal label]],1,FALSE)),0,(VLOOKUP(TB_curr[[#This Row],[Synt]],GL[[#Headers],[#Data],[subtotal label]],1,FALSE)))</f>
        <v/>
      </c>
      <c r="AF1053" s="1063" t="e">
        <f>IF((TB_curr[[#This Row],[Synt]]-TB_curr[[#This Row],[Subtotal Y/N]])=0,0,VLOOKUP(TB_curr[[#This Row],[Synt]],GL[[Account]:[Line]],3,FALSE))</f>
        <v>#VALUE!</v>
      </c>
      <c r="AG1053" s="1063" t="e">
        <f>VLOOKUP(TB_curr[[#This Row],[Synt]],GL[[Account]:[B/P]],4,FALSE)</f>
        <v>#N/A</v>
      </c>
      <c r="AH1053" s="1066" t="e">
        <v>#VALUE!</v>
      </c>
      <c r="AI1053" s="1065" t="e">
        <f>TB_curr[[#This Row],[Synt]]&amp;TB_curr[[#This Row],[Line No. manual corr.]]</f>
        <v>#VALUE!</v>
      </c>
      <c r="AJ1053" s="1064">
        <f t="shared" si="81"/>
        <v>0</v>
      </c>
      <c r="AK1053" s="1064">
        <f t="shared" si="82"/>
        <v>0</v>
      </c>
      <c r="AL1053" s="1064">
        <f t="shared" si="83"/>
        <v>0</v>
      </c>
      <c r="AM1053" s="1064">
        <f t="shared" si="84"/>
        <v>0</v>
      </c>
      <c r="AN1053" s="1064"/>
      <c r="AO1053" s="1064">
        <f>TB_curr[[#This Row],[Closing balance]]+TB_curr[[#This Row],[Rounding]]</f>
        <v>0</v>
      </c>
    </row>
    <row r="1054" spans="30:41" x14ac:dyDescent="0.25">
      <c r="AD1054" s="1067" t="str">
        <f t="shared" si="80"/>
        <v/>
      </c>
      <c r="AE1054" s="1063" t="str">
        <f>IF(ISNA(VLOOKUP(TB_curr[[#This Row],[Synt]],GL[[#Headers],[#Data],[subtotal label]],1,FALSE)),0,(VLOOKUP(TB_curr[[#This Row],[Synt]],GL[[#Headers],[#Data],[subtotal label]],1,FALSE)))</f>
        <v/>
      </c>
      <c r="AF1054" s="1063" t="e">
        <f>IF((TB_curr[[#This Row],[Synt]]-TB_curr[[#This Row],[Subtotal Y/N]])=0,0,VLOOKUP(TB_curr[[#This Row],[Synt]],GL[[Account]:[Line]],3,FALSE))</f>
        <v>#VALUE!</v>
      </c>
      <c r="AG1054" s="1063" t="e">
        <f>VLOOKUP(TB_curr[[#This Row],[Synt]],GL[[Account]:[B/P]],4,FALSE)</f>
        <v>#N/A</v>
      </c>
      <c r="AH1054" s="1066" t="e">
        <v>#VALUE!</v>
      </c>
      <c r="AI1054" s="1065" t="e">
        <f>TB_curr[[#This Row],[Synt]]&amp;TB_curr[[#This Row],[Line No. manual corr.]]</f>
        <v>#VALUE!</v>
      </c>
      <c r="AJ1054" s="1064">
        <f t="shared" si="81"/>
        <v>0</v>
      </c>
      <c r="AK1054" s="1064">
        <f t="shared" si="82"/>
        <v>0</v>
      </c>
      <c r="AL1054" s="1064">
        <f t="shared" si="83"/>
        <v>0</v>
      </c>
      <c r="AM1054" s="1064">
        <f t="shared" si="84"/>
        <v>0</v>
      </c>
      <c r="AN1054" s="1064"/>
      <c r="AO1054" s="1064">
        <f>TB_curr[[#This Row],[Closing balance]]+TB_curr[[#This Row],[Rounding]]</f>
        <v>0</v>
      </c>
    </row>
    <row r="1055" spans="30:41" x14ac:dyDescent="0.25">
      <c r="AD1055" s="1067" t="str">
        <f t="shared" si="80"/>
        <v/>
      </c>
      <c r="AE1055" s="1063" t="str">
        <f>IF(ISNA(VLOOKUP(TB_curr[[#This Row],[Synt]],GL[[#Headers],[#Data],[subtotal label]],1,FALSE)),0,(VLOOKUP(TB_curr[[#This Row],[Synt]],GL[[#Headers],[#Data],[subtotal label]],1,FALSE)))</f>
        <v/>
      </c>
      <c r="AF1055" s="1063" t="e">
        <f>IF((TB_curr[[#This Row],[Synt]]-TB_curr[[#This Row],[Subtotal Y/N]])=0,0,VLOOKUP(TB_curr[[#This Row],[Synt]],GL[[Account]:[Line]],3,FALSE))</f>
        <v>#VALUE!</v>
      </c>
      <c r="AG1055" s="1063" t="e">
        <f>VLOOKUP(TB_curr[[#This Row],[Synt]],GL[[Account]:[B/P]],4,FALSE)</f>
        <v>#N/A</v>
      </c>
      <c r="AH1055" s="1066" t="e">
        <v>#VALUE!</v>
      </c>
      <c r="AI1055" s="1065" t="e">
        <f>TB_curr[[#This Row],[Synt]]&amp;TB_curr[[#This Row],[Line No. manual corr.]]</f>
        <v>#VALUE!</v>
      </c>
      <c r="AJ1055" s="1064">
        <f t="shared" si="81"/>
        <v>0</v>
      </c>
      <c r="AK1055" s="1064">
        <f t="shared" si="82"/>
        <v>0</v>
      </c>
      <c r="AL1055" s="1064">
        <f t="shared" si="83"/>
        <v>0</v>
      </c>
      <c r="AM1055" s="1064">
        <f t="shared" si="84"/>
        <v>0</v>
      </c>
      <c r="AN1055" s="1064"/>
      <c r="AO1055" s="1064">
        <f>TB_curr[[#This Row],[Closing balance]]+TB_curr[[#This Row],[Rounding]]</f>
        <v>0</v>
      </c>
    </row>
    <row r="1056" spans="30:41" x14ac:dyDescent="0.25">
      <c r="AD1056" s="1067" t="str">
        <f t="shared" si="80"/>
        <v/>
      </c>
      <c r="AE1056" s="1063" t="str">
        <f>IF(ISNA(VLOOKUP(TB_curr[[#This Row],[Synt]],GL[[#Headers],[#Data],[subtotal label]],1,FALSE)),0,(VLOOKUP(TB_curr[[#This Row],[Synt]],GL[[#Headers],[#Data],[subtotal label]],1,FALSE)))</f>
        <v/>
      </c>
      <c r="AF1056" s="1063" t="e">
        <f>IF((TB_curr[[#This Row],[Synt]]-TB_curr[[#This Row],[Subtotal Y/N]])=0,0,VLOOKUP(TB_curr[[#This Row],[Synt]],GL[[Account]:[Line]],3,FALSE))</f>
        <v>#VALUE!</v>
      </c>
      <c r="AG1056" s="1063" t="e">
        <f>VLOOKUP(TB_curr[[#This Row],[Synt]],GL[[Account]:[B/P]],4,FALSE)</f>
        <v>#N/A</v>
      </c>
      <c r="AH1056" s="1066" t="e">
        <v>#VALUE!</v>
      </c>
      <c r="AI1056" s="1065" t="e">
        <f>TB_curr[[#This Row],[Synt]]&amp;TB_curr[[#This Row],[Line No. manual corr.]]</f>
        <v>#VALUE!</v>
      </c>
      <c r="AJ1056" s="1064">
        <f t="shared" si="81"/>
        <v>0</v>
      </c>
      <c r="AK1056" s="1064">
        <f t="shared" si="82"/>
        <v>0</v>
      </c>
      <c r="AL1056" s="1064">
        <f t="shared" si="83"/>
        <v>0</v>
      </c>
      <c r="AM1056" s="1064">
        <f t="shared" si="84"/>
        <v>0</v>
      </c>
      <c r="AN1056" s="1064"/>
      <c r="AO1056" s="1064">
        <f>TB_curr[[#This Row],[Closing balance]]+TB_curr[[#This Row],[Rounding]]</f>
        <v>0</v>
      </c>
    </row>
    <row r="1057" spans="30:41" x14ac:dyDescent="0.25">
      <c r="AD1057" s="1067" t="str">
        <f t="shared" si="80"/>
        <v/>
      </c>
      <c r="AE1057" s="1063" t="str">
        <f>IF(ISNA(VLOOKUP(TB_curr[[#This Row],[Synt]],GL[[#Headers],[#Data],[subtotal label]],1,FALSE)),0,(VLOOKUP(TB_curr[[#This Row],[Synt]],GL[[#Headers],[#Data],[subtotal label]],1,FALSE)))</f>
        <v/>
      </c>
      <c r="AF1057" s="1063" t="e">
        <f>IF((TB_curr[[#This Row],[Synt]]-TB_curr[[#This Row],[Subtotal Y/N]])=0,0,VLOOKUP(TB_curr[[#This Row],[Synt]],GL[[Account]:[Line]],3,FALSE))</f>
        <v>#VALUE!</v>
      </c>
      <c r="AG1057" s="1063" t="e">
        <f>VLOOKUP(TB_curr[[#This Row],[Synt]],GL[[Account]:[B/P]],4,FALSE)</f>
        <v>#N/A</v>
      </c>
      <c r="AH1057" s="1066" t="e">
        <v>#VALUE!</v>
      </c>
      <c r="AI1057" s="1065" t="e">
        <f>TB_curr[[#This Row],[Synt]]&amp;TB_curr[[#This Row],[Line No. manual corr.]]</f>
        <v>#VALUE!</v>
      </c>
      <c r="AJ1057" s="1064">
        <f t="shared" si="81"/>
        <v>0</v>
      </c>
      <c r="AK1057" s="1064">
        <f t="shared" si="82"/>
        <v>0</v>
      </c>
      <c r="AL1057" s="1064">
        <f t="shared" si="83"/>
        <v>0</v>
      </c>
      <c r="AM1057" s="1064">
        <f t="shared" si="84"/>
        <v>0</v>
      </c>
      <c r="AN1057" s="1064"/>
      <c r="AO1057" s="1064">
        <f>TB_curr[[#This Row],[Closing balance]]+TB_curr[[#This Row],[Rounding]]</f>
        <v>0</v>
      </c>
    </row>
    <row r="1058" spans="30:41" x14ac:dyDescent="0.25">
      <c r="AD1058" s="1067" t="str">
        <f t="shared" si="80"/>
        <v/>
      </c>
      <c r="AE1058" s="1063" t="str">
        <f>IF(ISNA(VLOOKUP(TB_curr[[#This Row],[Synt]],GL[[#Headers],[#Data],[subtotal label]],1,FALSE)),0,(VLOOKUP(TB_curr[[#This Row],[Synt]],GL[[#Headers],[#Data],[subtotal label]],1,FALSE)))</f>
        <v/>
      </c>
      <c r="AF1058" s="1063" t="e">
        <f>IF((TB_curr[[#This Row],[Synt]]-TB_curr[[#This Row],[Subtotal Y/N]])=0,0,VLOOKUP(TB_curr[[#This Row],[Synt]],GL[[Account]:[Line]],3,FALSE))</f>
        <v>#VALUE!</v>
      </c>
      <c r="AG1058" s="1063" t="e">
        <f>VLOOKUP(TB_curr[[#This Row],[Synt]],GL[[Account]:[B/P]],4,FALSE)</f>
        <v>#N/A</v>
      </c>
      <c r="AH1058" s="1066" t="e">
        <v>#VALUE!</v>
      </c>
      <c r="AI1058" s="1065" t="e">
        <f>TB_curr[[#This Row],[Synt]]&amp;TB_curr[[#This Row],[Line No. manual corr.]]</f>
        <v>#VALUE!</v>
      </c>
      <c r="AJ1058" s="1064">
        <f t="shared" si="81"/>
        <v>0</v>
      </c>
      <c r="AK1058" s="1064">
        <f t="shared" si="82"/>
        <v>0</v>
      </c>
      <c r="AL1058" s="1064">
        <f t="shared" si="83"/>
        <v>0</v>
      </c>
      <c r="AM1058" s="1064">
        <f t="shared" si="84"/>
        <v>0</v>
      </c>
      <c r="AN1058" s="1064"/>
      <c r="AO1058" s="1064">
        <f>TB_curr[[#This Row],[Closing balance]]+TB_curr[[#This Row],[Rounding]]</f>
        <v>0</v>
      </c>
    </row>
    <row r="1059" spans="30:41" x14ac:dyDescent="0.25">
      <c r="AD1059" s="1067" t="str">
        <f t="shared" si="80"/>
        <v/>
      </c>
      <c r="AE1059" s="1063" t="str">
        <f>IF(ISNA(VLOOKUP(TB_curr[[#This Row],[Synt]],GL[[#Headers],[#Data],[subtotal label]],1,FALSE)),0,(VLOOKUP(TB_curr[[#This Row],[Synt]],GL[[#Headers],[#Data],[subtotal label]],1,FALSE)))</f>
        <v/>
      </c>
      <c r="AF1059" s="1063" t="e">
        <f>IF((TB_curr[[#This Row],[Synt]]-TB_curr[[#This Row],[Subtotal Y/N]])=0,0,VLOOKUP(TB_curr[[#This Row],[Synt]],GL[[Account]:[Line]],3,FALSE))</f>
        <v>#VALUE!</v>
      </c>
      <c r="AG1059" s="1063" t="e">
        <f>VLOOKUP(TB_curr[[#This Row],[Synt]],GL[[Account]:[B/P]],4,FALSE)</f>
        <v>#N/A</v>
      </c>
      <c r="AH1059" s="1066" t="e">
        <v>#VALUE!</v>
      </c>
      <c r="AI1059" s="1065" t="e">
        <f>TB_curr[[#This Row],[Synt]]&amp;TB_curr[[#This Row],[Line No. manual corr.]]</f>
        <v>#VALUE!</v>
      </c>
      <c r="AJ1059" s="1064">
        <f t="shared" si="81"/>
        <v>0</v>
      </c>
      <c r="AK1059" s="1064">
        <f t="shared" si="82"/>
        <v>0</v>
      </c>
      <c r="AL1059" s="1064">
        <f t="shared" si="83"/>
        <v>0</v>
      </c>
      <c r="AM1059" s="1064">
        <f t="shared" si="84"/>
        <v>0</v>
      </c>
      <c r="AN1059" s="1064"/>
      <c r="AO1059" s="1064">
        <f>TB_curr[[#This Row],[Closing balance]]+TB_curr[[#This Row],[Rounding]]</f>
        <v>0</v>
      </c>
    </row>
    <row r="1060" spans="30:41" x14ac:dyDescent="0.25">
      <c r="AD1060" s="1067" t="str">
        <f t="shared" si="80"/>
        <v/>
      </c>
      <c r="AE1060" s="1063" t="str">
        <f>IF(ISNA(VLOOKUP(TB_curr[[#This Row],[Synt]],GL[[#Headers],[#Data],[subtotal label]],1,FALSE)),0,(VLOOKUP(TB_curr[[#This Row],[Synt]],GL[[#Headers],[#Data],[subtotal label]],1,FALSE)))</f>
        <v/>
      </c>
      <c r="AF1060" s="1063" t="e">
        <f>IF((TB_curr[[#This Row],[Synt]]-TB_curr[[#This Row],[Subtotal Y/N]])=0,0,VLOOKUP(TB_curr[[#This Row],[Synt]],GL[[Account]:[Line]],3,FALSE))</f>
        <v>#VALUE!</v>
      </c>
      <c r="AG1060" s="1063" t="e">
        <f>VLOOKUP(TB_curr[[#This Row],[Synt]],GL[[Account]:[B/P]],4,FALSE)</f>
        <v>#N/A</v>
      </c>
      <c r="AH1060" s="1066" t="e">
        <v>#VALUE!</v>
      </c>
      <c r="AI1060" s="1065" t="e">
        <f>TB_curr[[#This Row],[Synt]]&amp;TB_curr[[#This Row],[Line No. manual corr.]]</f>
        <v>#VALUE!</v>
      </c>
      <c r="AJ1060" s="1064">
        <f t="shared" si="81"/>
        <v>0</v>
      </c>
      <c r="AK1060" s="1064">
        <f t="shared" si="82"/>
        <v>0</v>
      </c>
      <c r="AL1060" s="1064">
        <f t="shared" si="83"/>
        <v>0</v>
      </c>
      <c r="AM1060" s="1064">
        <f t="shared" si="84"/>
        <v>0</v>
      </c>
      <c r="AN1060" s="1064"/>
      <c r="AO1060" s="1064">
        <f>TB_curr[[#This Row],[Closing balance]]+TB_curr[[#This Row],[Rounding]]</f>
        <v>0</v>
      </c>
    </row>
    <row r="1061" spans="30:41" x14ac:dyDescent="0.25">
      <c r="AD1061" s="1067" t="str">
        <f t="shared" si="80"/>
        <v/>
      </c>
      <c r="AE1061" s="1063" t="str">
        <f>IF(ISNA(VLOOKUP(TB_curr[[#This Row],[Synt]],GL[[#Headers],[#Data],[subtotal label]],1,FALSE)),0,(VLOOKUP(TB_curr[[#This Row],[Synt]],GL[[#Headers],[#Data],[subtotal label]],1,FALSE)))</f>
        <v/>
      </c>
      <c r="AF1061" s="1063" t="e">
        <f>IF((TB_curr[[#This Row],[Synt]]-TB_curr[[#This Row],[Subtotal Y/N]])=0,0,VLOOKUP(TB_curr[[#This Row],[Synt]],GL[[Account]:[Line]],3,FALSE))</f>
        <v>#VALUE!</v>
      </c>
      <c r="AG1061" s="1063" t="e">
        <f>VLOOKUP(TB_curr[[#This Row],[Synt]],GL[[Account]:[B/P]],4,FALSE)</f>
        <v>#N/A</v>
      </c>
      <c r="AH1061" s="1066" t="e">
        <v>#VALUE!</v>
      </c>
      <c r="AI1061" s="1065" t="e">
        <f>TB_curr[[#This Row],[Synt]]&amp;TB_curr[[#This Row],[Line No. manual corr.]]</f>
        <v>#VALUE!</v>
      </c>
      <c r="AJ1061" s="1064">
        <f t="shared" si="81"/>
        <v>0</v>
      </c>
      <c r="AK1061" s="1064">
        <f t="shared" si="82"/>
        <v>0</v>
      </c>
      <c r="AL1061" s="1064">
        <f t="shared" si="83"/>
        <v>0</v>
      </c>
      <c r="AM1061" s="1064">
        <f t="shared" si="84"/>
        <v>0</v>
      </c>
      <c r="AN1061" s="1064"/>
      <c r="AO1061" s="1064">
        <f>TB_curr[[#This Row],[Closing balance]]+TB_curr[[#This Row],[Rounding]]</f>
        <v>0</v>
      </c>
    </row>
    <row r="1062" spans="30:41" x14ac:dyDescent="0.25">
      <c r="AD1062" s="1067" t="str">
        <f t="shared" si="80"/>
        <v/>
      </c>
      <c r="AE1062" s="1063" t="str">
        <f>IF(ISNA(VLOOKUP(TB_curr[[#This Row],[Synt]],GL[[#Headers],[#Data],[subtotal label]],1,FALSE)),0,(VLOOKUP(TB_curr[[#This Row],[Synt]],GL[[#Headers],[#Data],[subtotal label]],1,FALSE)))</f>
        <v/>
      </c>
      <c r="AF1062" s="1063" t="e">
        <f>IF((TB_curr[[#This Row],[Synt]]-TB_curr[[#This Row],[Subtotal Y/N]])=0,0,VLOOKUP(TB_curr[[#This Row],[Synt]],GL[[Account]:[Line]],3,FALSE))</f>
        <v>#VALUE!</v>
      </c>
      <c r="AG1062" s="1063" t="e">
        <f>VLOOKUP(TB_curr[[#This Row],[Synt]],GL[[Account]:[B/P]],4,FALSE)</f>
        <v>#N/A</v>
      </c>
      <c r="AH1062" s="1066" t="e">
        <v>#VALUE!</v>
      </c>
      <c r="AI1062" s="1065" t="e">
        <f>TB_curr[[#This Row],[Synt]]&amp;TB_curr[[#This Row],[Line No. manual corr.]]</f>
        <v>#VALUE!</v>
      </c>
      <c r="AJ1062" s="1064">
        <f t="shared" si="81"/>
        <v>0</v>
      </c>
      <c r="AK1062" s="1064">
        <f t="shared" si="82"/>
        <v>0</v>
      </c>
      <c r="AL1062" s="1064">
        <f t="shared" si="83"/>
        <v>0</v>
      </c>
      <c r="AM1062" s="1064">
        <f t="shared" si="84"/>
        <v>0</v>
      </c>
      <c r="AN1062" s="1064"/>
      <c r="AO1062" s="1064">
        <f>TB_curr[[#This Row],[Closing balance]]+TB_curr[[#This Row],[Rounding]]</f>
        <v>0</v>
      </c>
    </row>
    <row r="1063" spans="30:41" x14ac:dyDescent="0.25">
      <c r="AD1063" s="1067" t="str">
        <f t="shared" si="80"/>
        <v/>
      </c>
      <c r="AE1063" s="1063" t="str">
        <f>IF(ISNA(VLOOKUP(TB_curr[[#This Row],[Synt]],GL[[#Headers],[#Data],[subtotal label]],1,FALSE)),0,(VLOOKUP(TB_curr[[#This Row],[Synt]],GL[[#Headers],[#Data],[subtotal label]],1,FALSE)))</f>
        <v/>
      </c>
      <c r="AF1063" s="1063" t="e">
        <f>IF((TB_curr[[#This Row],[Synt]]-TB_curr[[#This Row],[Subtotal Y/N]])=0,0,VLOOKUP(TB_curr[[#This Row],[Synt]],GL[[Account]:[Line]],3,FALSE))</f>
        <v>#VALUE!</v>
      </c>
      <c r="AG1063" s="1063" t="e">
        <f>VLOOKUP(TB_curr[[#This Row],[Synt]],GL[[Account]:[B/P]],4,FALSE)</f>
        <v>#N/A</v>
      </c>
      <c r="AH1063" s="1066" t="e">
        <v>#VALUE!</v>
      </c>
      <c r="AI1063" s="1065" t="e">
        <f>TB_curr[[#This Row],[Synt]]&amp;TB_curr[[#This Row],[Line No. manual corr.]]</f>
        <v>#VALUE!</v>
      </c>
      <c r="AJ1063" s="1064">
        <f t="shared" si="81"/>
        <v>0</v>
      </c>
      <c r="AK1063" s="1064">
        <f t="shared" si="82"/>
        <v>0</v>
      </c>
      <c r="AL1063" s="1064">
        <f t="shared" si="83"/>
        <v>0</v>
      </c>
      <c r="AM1063" s="1064">
        <f t="shared" si="84"/>
        <v>0</v>
      </c>
      <c r="AN1063" s="1064"/>
      <c r="AO1063" s="1064">
        <f>TB_curr[[#This Row],[Closing balance]]+TB_curr[[#This Row],[Rounding]]</f>
        <v>0</v>
      </c>
    </row>
    <row r="1064" spans="30:41" x14ac:dyDescent="0.25">
      <c r="AD1064" s="1067" t="str">
        <f t="shared" si="80"/>
        <v/>
      </c>
      <c r="AE1064" s="1063" t="str">
        <f>IF(ISNA(VLOOKUP(TB_curr[[#This Row],[Synt]],GL[[#Headers],[#Data],[subtotal label]],1,FALSE)),0,(VLOOKUP(TB_curr[[#This Row],[Synt]],GL[[#Headers],[#Data],[subtotal label]],1,FALSE)))</f>
        <v/>
      </c>
      <c r="AF1064" s="1063" t="e">
        <f>IF((TB_curr[[#This Row],[Synt]]-TB_curr[[#This Row],[Subtotal Y/N]])=0,0,VLOOKUP(TB_curr[[#This Row],[Synt]],GL[[Account]:[Line]],3,FALSE))</f>
        <v>#VALUE!</v>
      </c>
      <c r="AG1064" s="1063" t="e">
        <f>VLOOKUP(TB_curr[[#This Row],[Synt]],GL[[Account]:[B/P]],4,FALSE)</f>
        <v>#N/A</v>
      </c>
      <c r="AH1064" s="1066" t="e">
        <v>#VALUE!</v>
      </c>
      <c r="AI1064" s="1065" t="e">
        <f>TB_curr[[#This Row],[Synt]]&amp;TB_curr[[#This Row],[Line No. manual corr.]]</f>
        <v>#VALUE!</v>
      </c>
      <c r="AJ1064" s="1064">
        <f t="shared" si="81"/>
        <v>0</v>
      </c>
      <c r="AK1064" s="1064">
        <f t="shared" si="82"/>
        <v>0</v>
      </c>
      <c r="AL1064" s="1064">
        <f t="shared" si="83"/>
        <v>0</v>
      </c>
      <c r="AM1064" s="1064">
        <f t="shared" si="84"/>
        <v>0</v>
      </c>
      <c r="AN1064" s="1064"/>
      <c r="AO1064" s="1064">
        <f>TB_curr[[#This Row],[Closing balance]]+TB_curr[[#This Row],[Rounding]]</f>
        <v>0</v>
      </c>
    </row>
    <row r="1065" spans="30:41" x14ac:dyDescent="0.25">
      <c r="AD1065" s="1067" t="str">
        <f t="shared" si="80"/>
        <v/>
      </c>
      <c r="AE1065" s="1063" t="str">
        <f>IF(ISNA(VLOOKUP(TB_curr[[#This Row],[Synt]],GL[[#Headers],[#Data],[subtotal label]],1,FALSE)),0,(VLOOKUP(TB_curr[[#This Row],[Synt]],GL[[#Headers],[#Data],[subtotal label]],1,FALSE)))</f>
        <v/>
      </c>
      <c r="AF1065" s="1063" t="e">
        <f>IF((TB_curr[[#This Row],[Synt]]-TB_curr[[#This Row],[Subtotal Y/N]])=0,0,VLOOKUP(TB_curr[[#This Row],[Synt]],GL[[Account]:[Line]],3,FALSE))</f>
        <v>#VALUE!</v>
      </c>
      <c r="AG1065" s="1063" t="e">
        <f>VLOOKUP(TB_curr[[#This Row],[Synt]],GL[[Account]:[B/P]],4,FALSE)</f>
        <v>#N/A</v>
      </c>
      <c r="AH1065" s="1066" t="e">
        <v>#VALUE!</v>
      </c>
      <c r="AI1065" s="1065" t="e">
        <f>TB_curr[[#This Row],[Synt]]&amp;TB_curr[[#This Row],[Line No. manual corr.]]</f>
        <v>#VALUE!</v>
      </c>
      <c r="AJ1065" s="1064">
        <f t="shared" si="81"/>
        <v>0</v>
      </c>
      <c r="AK1065" s="1064">
        <f t="shared" si="82"/>
        <v>0</v>
      </c>
      <c r="AL1065" s="1064">
        <f t="shared" si="83"/>
        <v>0</v>
      </c>
      <c r="AM1065" s="1064">
        <f t="shared" si="84"/>
        <v>0</v>
      </c>
      <c r="AN1065" s="1064"/>
      <c r="AO1065" s="1064">
        <f>TB_curr[[#This Row],[Closing balance]]+TB_curr[[#This Row],[Rounding]]</f>
        <v>0</v>
      </c>
    </row>
    <row r="1066" spans="30:41" x14ac:dyDescent="0.25">
      <c r="AD1066" s="1067" t="str">
        <f t="shared" si="80"/>
        <v/>
      </c>
      <c r="AE1066" s="1063" t="str">
        <f>IF(ISNA(VLOOKUP(TB_curr[[#This Row],[Synt]],GL[[#Headers],[#Data],[subtotal label]],1,FALSE)),0,(VLOOKUP(TB_curr[[#This Row],[Synt]],GL[[#Headers],[#Data],[subtotal label]],1,FALSE)))</f>
        <v/>
      </c>
      <c r="AF1066" s="1063" t="e">
        <f>IF((TB_curr[[#This Row],[Synt]]-TB_curr[[#This Row],[Subtotal Y/N]])=0,0,VLOOKUP(TB_curr[[#This Row],[Synt]],GL[[Account]:[Line]],3,FALSE))</f>
        <v>#VALUE!</v>
      </c>
      <c r="AG1066" s="1063" t="e">
        <f>VLOOKUP(TB_curr[[#This Row],[Synt]],GL[[Account]:[B/P]],4,FALSE)</f>
        <v>#N/A</v>
      </c>
      <c r="AH1066" s="1066" t="e">
        <v>#VALUE!</v>
      </c>
      <c r="AI1066" s="1065" t="e">
        <f>TB_curr[[#This Row],[Synt]]&amp;TB_curr[[#This Row],[Line No. manual corr.]]</f>
        <v>#VALUE!</v>
      </c>
      <c r="AJ1066" s="1064">
        <f t="shared" si="81"/>
        <v>0</v>
      </c>
      <c r="AK1066" s="1064">
        <f t="shared" si="82"/>
        <v>0</v>
      </c>
      <c r="AL1066" s="1064">
        <f t="shared" si="83"/>
        <v>0</v>
      </c>
      <c r="AM1066" s="1064">
        <f t="shared" si="84"/>
        <v>0</v>
      </c>
      <c r="AN1066" s="1064"/>
      <c r="AO1066" s="1064">
        <f>TB_curr[[#This Row],[Closing balance]]+TB_curr[[#This Row],[Rounding]]</f>
        <v>0</v>
      </c>
    </row>
    <row r="1067" spans="30:41" x14ac:dyDescent="0.25">
      <c r="AD1067" s="1067" t="str">
        <f t="shared" si="80"/>
        <v/>
      </c>
      <c r="AE1067" s="1063" t="str">
        <f>IF(ISNA(VLOOKUP(TB_curr[[#This Row],[Synt]],GL[[#Headers],[#Data],[subtotal label]],1,FALSE)),0,(VLOOKUP(TB_curr[[#This Row],[Synt]],GL[[#Headers],[#Data],[subtotal label]],1,FALSE)))</f>
        <v/>
      </c>
      <c r="AF1067" s="1063" t="e">
        <f>IF((TB_curr[[#This Row],[Synt]]-TB_curr[[#This Row],[Subtotal Y/N]])=0,0,VLOOKUP(TB_curr[[#This Row],[Synt]],GL[[Account]:[Line]],3,FALSE))</f>
        <v>#VALUE!</v>
      </c>
      <c r="AG1067" s="1063" t="e">
        <f>VLOOKUP(TB_curr[[#This Row],[Synt]],GL[[Account]:[B/P]],4,FALSE)</f>
        <v>#N/A</v>
      </c>
      <c r="AH1067" s="1066" t="e">
        <v>#VALUE!</v>
      </c>
      <c r="AI1067" s="1065" t="e">
        <f>TB_curr[[#This Row],[Synt]]&amp;TB_curr[[#This Row],[Line No. manual corr.]]</f>
        <v>#VALUE!</v>
      </c>
      <c r="AJ1067" s="1064">
        <f t="shared" si="81"/>
        <v>0</v>
      </c>
      <c r="AK1067" s="1064">
        <f t="shared" si="82"/>
        <v>0</v>
      </c>
      <c r="AL1067" s="1064">
        <f t="shared" si="83"/>
        <v>0</v>
      </c>
      <c r="AM1067" s="1064">
        <f t="shared" si="84"/>
        <v>0</v>
      </c>
      <c r="AN1067" s="1064"/>
      <c r="AO1067" s="1064">
        <f>TB_curr[[#This Row],[Closing balance]]+TB_curr[[#This Row],[Rounding]]</f>
        <v>0</v>
      </c>
    </row>
    <row r="1068" spans="30:41" x14ac:dyDescent="0.25">
      <c r="AD1068" s="1067" t="str">
        <f t="shared" si="80"/>
        <v/>
      </c>
      <c r="AE1068" s="1063" t="str">
        <f>IF(ISNA(VLOOKUP(TB_curr[[#This Row],[Synt]],GL[[#Headers],[#Data],[subtotal label]],1,FALSE)),0,(VLOOKUP(TB_curr[[#This Row],[Synt]],GL[[#Headers],[#Data],[subtotal label]],1,FALSE)))</f>
        <v/>
      </c>
      <c r="AF1068" s="1063" t="e">
        <f>IF((TB_curr[[#This Row],[Synt]]-TB_curr[[#This Row],[Subtotal Y/N]])=0,0,VLOOKUP(TB_curr[[#This Row],[Synt]],GL[[Account]:[Line]],3,FALSE))</f>
        <v>#VALUE!</v>
      </c>
      <c r="AG1068" s="1063" t="e">
        <f>VLOOKUP(TB_curr[[#This Row],[Synt]],GL[[Account]:[B/P]],4,FALSE)</f>
        <v>#N/A</v>
      </c>
      <c r="AH1068" s="1066" t="e">
        <v>#VALUE!</v>
      </c>
      <c r="AI1068" s="1065" t="e">
        <f>TB_curr[[#This Row],[Synt]]&amp;TB_curr[[#This Row],[Line No. manual corr.]]</f>
        <v>#VALUE!</v>
      </c>
      <c r="AJ1068" s="1064">
        <f t="shared" si="81"/>
        <v>0</v>
      </c>
      <c r="AK1068" s="1064">
        <f t="shared" si="82"/>
        <v>0</v>
      </c>
      <c r="AL1068" s="1064">
        <f t="shared" si="83"/>
        <v>0</v>
      </c>
      <c r="AM1068" s="1064">
        <f t="shared" si="84"/>
        <v>0</v>
      </c>
      <c r="AN1068" s="1064"/>
      <c r="AO1068" s="1064">
        <f>TB_curr[[#This Row],[Closing balance]]+TB_curr[[#This Row],[Rounding]]</f>
        <v>0</v>
      </c>
    </row>
    <row r="1069" spans="30:41" x14ac:dyDescent="0.25">
      <c r="AD1069" s="1067" t="str">
        <f t="shared" si="80"/>
        <v/>
      </c>
      <c r="AE1069" s="1063" t="str">
        <f>IF(ISNA(VLOOKUP(TB_curr[[#This Row],[Synt]],GL[[#Headers],[#Data],[subtotal label]],1,FALSE)),0,(VLOOKUP(TB_curr[[#This Row],[Synt]],GL[[#Headers],[#Data],[subtotal label]],1,FALSE)))</f>
        <v/>
      </c>
      <c r="AF1069" s="1063" t="e">
        <f>IF((TB_curr[[#This Row],[Synt]]-TB_curr[[#This Row],[Subtotal Y/N]])=0,0,VLOOKUP(TB_curr[[#This Row],[Synt]],GL[[Account]:[Line]],3,FALSE))</f>
        <v>#VALUE!</v>
      </c>
      <c r="AG1069" s="1063" t="e">
        <f>VLOOKUP(TB_curr[[#This Row],[Synt]],GL[[Account]:[B/P]],4,FALSE)</f>
        <v>#N/A</v>
      </c>
      <c r="AH1069" s="1066" t="e">
        <v>#VALUE!</v>
      </c>
      <c r="AI1069" s="1065" t="e">
        <f>TB_curr[[#This Row],[Synt]]&amp;TB_curr[[#This Row],[Line No. manual corr.]]</f>
        <v>#VALUE!</v>
      </c>
      <c r="AJ1069" s="1064">
        <f t="shared" si="81"/>
        <v>0</v>
      </c>
      <c r="AK1069" s="1064">
        <f t="shared" si="82"/>
        <v>0</v>
      </c>
      <c r="AL1069" s="1064">
        <f t="shared" si="83"/>
        <v>0</v>
      </c>
      <c r="AM1069" s="1064">
        <f t="shared" si="84"/>
        <v>0</v>
      </c>
      <c r="AN1069" s="1064"/>
      <c r="AO1069" s="1064">
        <f>TB_curr[[#This Row],[Closing balance]]+TB_curr[[#This Row],[Rounding]]</f>
        <v>0</v>
      </c>
    </row>
    <row r="1070" spans="30:41" x14ac:dyDescent="0.25">
      <c r="AD1070" s="1067" t="str">
        <f t="shared" si="80"/>
        <v/>
      </c>
      <c r="AE1070" s="1063" t="str">
        <f>IF(ISNA(VLOOKUP(TB_curr[[#This Row],[Synt]],GL[[#Headers],[#Data],[subtotal label]],1,FALSE)),0,(VLOOKUP(TB_curr[[#This Row],[Synt]],GL[[#Headers],[#Data],[subtotal label]],1,FALSE)))</f>
        <v/>
      </c>
      <c r="AF1070" s="1063" t="e">
        <f>IF((TB_curr[[#This Row],[Synt]]-TB_curr[[#This Row],[Subtotal Y/N]])=0,0,VLOOKUP(TB_curr[[#This Row],[Synt]],GL[[Account]:[Line]],3,FALSE))</f>
        <v>#VALUE!</v>
      </c>
      <c r="AG1070" s="1063" t="e">
        <f>VLOOKUP(TB_curr[[#This Row],[Synt]],GL[[Account]:[B/P]],4,FALSE)</f>
        <v>#N/A</v>
      </c>
      <c r="AH1070" s="1066" t="e">
        <v>#VALUE!</v>
      </c>
      <c r="AI1070" s="1065" t="e">
        <f>TB_curr[[#This Row],[Synt]]&amp;TB_curr[[#This Row],[Line No. manual corr.]]</f>
        <v>#VALUE!</v>
      </c>
      <c r="AJ1070" s="1064">
        <f t="shared" si="81"/>
        <v>0</v>
      </c>
      <c r="AK1070" s="1064">
        <f t="shared" si="82"/>
        <v>0</v>
      </c>
      <c r="AL1070" s="1064">
        <f t="shared" si="83"/>
        <v>0</v>
      </c>
      <c r="AM1070" s="1064">
        <f t="shared" si="84"/>
        <v>0</v>
      </c>
      <c r="AN1070" s="1064"/>
      <c r="AO1070" s="1064">
        <f>TB_curr[[#This Row],[Closing balance]]+TB_curr[[#This Row],[Rounding]]</f>
        <v>0</v>
      </c>
    </row>
    <row r="1071" spans="30:41" x14ac:dyDescent="0.25">
      <c r="AD1071" s="1067" t="str">
        <f t="shared" si="80"/>
        <v/>
      </c>
      <c r="AE1071" s="1063" t="str">
        <f>IF(ISNA(VLOOKUP(TB_curr[[#This Row],[Synt]],GL[[#Headers],[#Data],[subtotal label]],1,FALSE)),0,(VLOOKUP(TB_curr[[#This Row],[Synt]],GL[[#Headers],[#Data],[subtotal label]],1,FALSE)))</f>
        <v/>
      </c>
      <c r="AF1071" s="1063" t="e">
        <f>IF((TB_curr[[#This Row],[Synt]]-TB_curr[[#This Row],[Subtotal Y/N]])=0,0,VLOOKUP(TB_curr[[#This Row],[Synt]],GL[[Account]:[Line]],3,FALSE))</f>
        <v>#VALUE!</v>
      </c>
      <c r="AG1071" s="1063" t="e">
        <f>VLOOKUP(TB_curr[[#This Row],[Synt]],GL[[Account]:[B/P]],4,FALSE)</f>
        <v>#N/A</v>
      </c>
      <c r="AH1071" s="1066" t="e">
        <v>#VALUE!</v>
      </c>
      <c r="AI1071" s="1065" t="e">
        <f>TB_curr[[#This Row],[Synt]]&amp;TB_curr[[#This Row],[Line No. manual corr.]]</f>
        <v>#VALUE!</v>
      </c>
      <c r="AJ1071" s="1064">
        <f t="shared" si="81"/>
        <v>0</v>
      </c>
      <c r="AK1071" s="1064">
        <f t="shared" si="82"/>
        <v>0</v>
      </c>
      <c r="AL1071" s="1064">
        <f t="shared" si="83"/>
        <v>0</v>
      </c>
      <c r="AM1071" s="1064">
        <f t="shared" si="84"/>
        <v>0</v>
      </c>
      <c r="AN1071" s="1064"/>
      <c r="AO1071" s="1064">
        <f>TB_curr[[#This Row],[Closing balance]]+TB_curr[[#This Row],[Rounding]]</f>
        <v>0</v>
      </c>
    </row>
    <row r="1072" spans="30:41" x14ac:dyDescent="0.25">
      <c r="AD1072" s="1067" t="str">
        <f t="shared" si="80"/>
        <v/>
      </c>
      <c r="AE1072" s="1063" t="str">
        <f>IF(ISNA(VLOOKUP(TB_curr[[#This Row],[Synt]],GL[[#Headers],[#Data],[subtotal label]],1,FALSE)),0,(VLOOKUP(TB_curr[[#This Row],[Synt]],GL[[#Headers],[#Data],[subtotal label]],1,FALSE)))</f>
        <v/>
      </c>
      <c r="AF1072" s="1063" t="e">
        <f>IF((TB_curr[[#This Row],[Synt]]-TB_curr[[#This Row],[Subtotal Y/N]])=0,0,VLOOKUP(TB_curr[[#This Row],[Synt]],GL[[Account]:[Line]],3,FALSE))</f>
        <v>#VALUE!</v>
      </c>
      <c r="AG1072" s="1063" t="e">
        <f>VLOOKUP(TB_curr[[#This Row],[Synt]],GL[[Account]:[B/P]],4,FALSE)</f>
        <v>#N/A</v>
      </c>
      <c r="AH1072" s="1066" t="e">
        <v>#VALUE!</v>
      </c>
      <c r="AI1072" s="1065" t="e">
        <f>TB_curr[[#This Row],[Synt]]&amp;TB_curr[[#This Row],[Line No. manual corr.]]</f>
        <v>#VALUE!</v>
      </c>
      <c r="AJ1072" s="1064">
        <f t="shared" si="81"/>
        <v>0</v>
      </c>
      <c r="AK1072" s="1064">
        <f t="shared" si="82"/>
        <v>0</v>
      </c>
      <c r="AL1072" s="1064">
        <f t="shared" si="83"/>
        <v>0</v>
      </c>
      <c r="AM1072" s="1064">
        <f t="shared" si="84"/>
        <v>0</v>
      </c>
      <c r="AN1072" s="1064"/>
      <c r="AO1072" s="1064">
        <f>TB_curr[[#This Row],[Closing balance]]+TB_curr[[#This Row],[Rounding]]</f>
        <v>0</v>
      </c>
    </row>
    <row r="1073" spans="30:41" x14ac:dyDescent="0.25">
      <c r="AD1073" s="1067" t="str">
        <f t="shared" si="80"/>
        <v/>
      </c>
      <c r="AE1073" s="1063" t="str">
        <f>IF(ISNA(VLOOKUP(TB_curr[[#This Row],[Synt]],GL[[#Headers],[#Data],[subtotal label]],1,FALSE)),0,(VLOOKUP(TB_curr[[#This Row],[Synt]],GL[[#Headers],[#Data],[subtotal label]],1,FALSE)))</f>
        <v/>
      </c>
      <c r="AF1073" s="1063" t="e">
        <f>IF((TB_curr[[#This Row],[Synt]]-TB_curr[[#This Row],[Subtotal Y/N]])=0,0,VLOOKUP(TB_curr[[#This Row],[Synt]],GL[[Account]:[Line]],3,FALSE))</f>
        <v>#VALUE!</v>
      </c>
      <c r="AG1073" s="1063" t="e">
        <f>VLOOKUP(TB_curr[[#This Row],[Synt]],GL[[Account]:[B/P]],4,FALSE)</f>
        <v>#N/A</v>
      </c>
      <c r="AH1073" s="1066" t="e">
        <v>#VALUE!</v>
      </c>
      <c r="AI1073" s="1065" t="e">
        <f>TB_curr[[#This Row],[Synt]]&amp;TB_curr[[#This Row],[Line No. manual corr.]]</f>
        <v>#VALUE!</v>
      </c>
      <c r="AJ1073" s="1064">
        <f t="shared" si="81"/>
        <v>0</v>
      </c>
      <c r="AK1073" s="1064">
        <f t="shared" si="82"/>
        <v>0</v>
      </c>
      <c r="AL1073" s="1064">
        <f t="shared" si="83"/>
        <v>0</v>
      </c>
      <c r="AM1073" s="1064">
        <f t="shared" si="84"/>
        <v>0</v>
      </c>
      <c r="AN1073" s="1064"/>
      <c r="AO1073" s="1064">
        <f>TB_curr[[#This Row],[Closing balance]]+TB_curr[[#This Row],[Rounding]]</f>
        <v>0</v>
      </c>
    </row>
    <row r="1074" spans="30:41" x14ac:dyDescent="0.25">
      <c r="AD1074" s="1067" t="str">
        <f t="shared" si="80"/>
        <v/>
      </c>
      <c r="AE1074" s="1063" t="str">
        <f>IF(ISNA(VLOOKUP(TB_curr[[#This Row],[Synt]],GL[[#Headers],[#Data],[subtotal label]],1,FALSE)),0,(VLOOKUP(TB_curr[[#This Row],[Synt]],GL[[#Headers],[#Data],[subtotal label]],1,FALSE)))</f>
        <v/>
      </c>
      <c r="AF1074" s="1063" t="e">
        <f>IF((TB_curr[[#This Row],[Synt]]-TB_curr[[#This Row],[Subtotal Y/N]])=0,0,VLOOKUP(TB_curr[[#This Row],[Synt]],GL[[Account]:[Line]],3,FALSE))</f>
        <v>#VALUE!</v>
      </c>
      <c r="AG1074" s="1063" t="e">
        <f>VLOOKUP(TB_curr[[#This Row],[Synt]],GL[[Account]:[B/P]],4,FALSE)</f>
        <v>#N/A</v>
      </c>
      <c r="AH1074" s="1066" t="e">
        <v>#VALUE!</v>
      </c>
      <c r="AI1074" s="1065" t="e">
        <f>TB_curr[[#This Row],[Synt]]&amp;TB_curr[[#This Row],[Line No. manual corr.]]</f>
        <v>#VALUE!</v>
      </c>
      <c r="AJ1074" s="1064">
        <f t="shared" si="81"/>
        <v>0</v>
      </c>
      <c r="AK1074" s="1064">
        <f t="shared" si="82"/>
        <v>0</v>
      </c>
      <c r="AL1074" s="1064">
        <f t="shared" si="83"/>
        <v>0</v>
      </c>
      <c r="AM1074" s="1064">
        <f t="shared" si="84"/>
        <v>0</v>
      </c>
      <c r="AN1074" s="1064"/>
      <c r="AO1074" s="1064">
        <f>TB_curr[[#This Row],[Closing balance]]+TB_curr[[#This Row],[Rounding]]</f>
        <v>0</v>
      </c>
    </row>
    <row r="1075" spans="30:41" x14ac:dyDescent="0.25">
      <c r="AD1075" s="1067" t="str">
        <f t="shared" si="80"/>
        <v/>
      </c>
      <c r="AE1075" s="1063" t="str">
        <f>IF(ISNA(VLOOKUP(TB_curr[[#This Row],[Synt]],GL[[#Headers],[#Data],[subtotal label]],1,FALSE)),0,(VLOOKUP(TB_curr[[#This Row],[Synt]],GL[[#Headers],[#Data],[subtotal label]],1,FALSE)))</f>
        <v/>
      </c>
      <c r="AF1075" s="1063" t="e">
        <f>IF((TB_curr[[#This Row],[Synt]]-TB_curr[[#This Row],[Subtotal Y/N]])=0,0,VLOOKUP(TB_curr[[#This Row],[Synt]],GL[[Account]:[Line]],3,FALSE))</f>
        <v>#VALUE!</v>
      </c>
      <c r="AG1075" s="1063" t="e">
        <f>VLOOKUP(TB_curr[[#This Row],[Synt]],GL[[Account]:[B/P]],4,FALSE)</f>
        <v>#N/A</v>
      </c>
      <c r="AH1075" s="1066" t="e">
        <v>#VALUE!</v>
      </c>
      <c r="AI1075" s="1065" t="e">
        <f>TB_curr[[#This Row],[Synt]]&amp;TB_curr[[#This Row],[Line No. manual corr.]]</f>
        <v>#VALUE!</v>
      </c>
      <c r="AJ1075" s="1064">
        <f t="shared" si="81"/>
        <v>0</v>
      </c>
      <c r="AK1075" s="1064">
        <f t="shared" si="82"/>
        <v>0</v>
      </c>
      <c r="AL1075" s="1064">
        <f t="shared" si="83"/>
        <v>0</v>
      </c>
      <c r="AM1075" s="1064">
        <f t="shared" si="84"/>
        <v>0</v>
      </c>
      <c r="AN1075" s="1064"/>
      <c r="AO1075" s="1064">
        <f>TB_curr[[#This Row],[Closing balance]]+TB_curr[[#This Row],[Rounding]]</f>
        <v>0</v>
      </c>
    </row>
    <row r="1076" spans="30:41" x14ac:dyDescent="0.25">
      <c r="AD1076" s="1067" t="str">
        <f t="shared" si="80"/>
        <v/>
      </c>
      <c r="AE1076" s="1063" t="str">
        <f>IF(ISNA(VLOOKUP(TB_curr[[#This Row],[Synt]],GL[[#Headers],[#Data],[subtotal label]],1,FALSE)),0,(VLOOKUP(TB_curr[[#This Row],[Synt]],GL[[#Headers],[#Data],[subtotal label]],1,FALSE)))</f>
        <v/>
      </c>
      <c r="AF1076" s="1063" t="e">
        <f>IF((TB_curr[[#This Row],[Synt]]-TB_curr[[#This Row],[Subtotal Y/N]])=0,0,VLOOKUP(TB_curr[[#This Row],[Synt]],GL[[Account]:[Line]],3,FALSE))</f>
        <v>#VALUE!</v>
      </c>
      <c r="AG1076" s="1063" t="e">
        <f>VLOOKUP(TB_curr[[#This Row],[Synt]],GL[[Account]:[B/P]],4,FALSE)</f>
        <v>#N/A</v>
      </c>
      <c r="AH1076" s="1066" t="e">
        <v>#VALUE!</v>
      </c>
      <c r="AI1076" s="1065" t="e">
        <f>TB_curr[[#This Row],[Synt]]&amp;TB_curr[[#This Row],[Line No. manual corr.]]</f>
        <v>#VALUE!</v>
      </c>
      <c r="AJ1076" s="1064">
        <f t="shared" si="81"/>
        <v>0</v>
      </c>
      <c r="AK1076" s="1064">
        <f t="shared" si="82"/>
        <v>0</v>
      </c>
      <c r="AL1076" s="1064">
        <f t="shared" si="83"/>
        <v>0</v>
      </c>
      <c r="AM1076" s="1064">
        <f t="shared" si="84"/>
        <v>0</v>
      </c>
      <c r="AN1076" s="1064"/>
      <c r="AO1076" s="1064">
        <f>TB_curr[[#This Row],[Closing balance]]+TB_curr[[#This Row],[Rounding]]</f>
        <v>0</v>
      </c>
    </row>
    <row r="1077" spans="30:41" x14ac:dyDescent="0.25">
      <c r="AD1077" s="1067" t="str">
        <f t="shared" si="80"/>
        <v/>
      </c>
      <c r="AE1077" s="1063" t="str">
        <f>IF(ISNA(VLOOKUP(TB_curr[[#This Row],[Synt]],GL[[#Headers],[#Data],[subtotal label]],1,FALSE)),0,(VLOOKUP(TB_curr[[#This Row],[Synt]],GL[[#Headers],[#Data],[subtotal label]],1,FALSE)))</f>
        <v/>
      </c>
      <c r="AF1077" s="1063" t="e">
        <f>IF((TB_curr[[#This Row],[Synt]]-TB_curr[[#This Row],[Subtotal Y/N]])=0,0,VLOOKUP(TB_curr[[#This Row],[Synt]],GL[[Account]:[Line]],3,FALSE))</f>
        <v>#VALUE!</v>
      </c>
      <c r="AG1077" s="1063" t="e">
        <f>VLOOKUP(TB_curr[[#This Row],[Synt]],GL[[Account]:[B/P]],4,FALSE)</f>
        <v>#N/A</v>
      </c>
      <c r="AH1077" s="1066" t="e">
        <v>#VALUE!</v>
      </c>
      <c r="AI1077" s="1065" t="e">
        <f>TB_curr[[#This Row],[Synt]]&amp;TB_curr[[#This Row],[Line No. manual corr.]]</f>
        <v>#VALUE!</v>
      </c>
      <c r="AJ1077" s="1064">
        <f t="shared" si="81"/>
        <v>0</v>
      </c>
      <c r="AK1077" s="1064">
        <f t="shared" si="82"/>
        <v>0</v>
      </c>
      <c r="AL1077" s="1064">
        <f t="shared" si="83"/>
        <v>0</v>
      </c>
      <c r="AM1077" s="1064">
        <f t="shared" si="84"/>
        <v>0</v>
      </c>
      <c r="AN1077" s="1064"/>
      <c r="AO1077" s="1064">
        <f>TB_curr[[#This Row],[Closing balance]]+TB_curr[[#This Row],[Rounding]]</f>
        <v>0</v>
      </c>
    </row>
    <row r="1078" spans="30:41" x14ac:dyDescent="0.25">
      <c r="AD1078" s="1067" t="str">
        <f t="shared" si="80"/>
        <v/>
      </c>
      <c r="AE1078" s="1063" t="str">
        <f>IF(ISNA(VLOOKUP(TB_curr[[#This Row],[Synt]],GL[[#Headers],[#Data],[subtotal label]],1,FALSE)),0,(VLOOKUP(TB_curr[[#This Row],[Synt]],GL[[#Headers],[#Data],[subtotal label]],1,FALSE)))</f>
        <v/>
      </c>
      <c r="AF1078" s="1063" t="e">
        <f>IF((TB_curr[[#This Row],[Synt]]-TB_curr[[#This Row],[Subtotal Y/N]])=0,0,VLOOKUP(TB_curr[[#This Row],[Synt]],GL[[Account]:[Line]],3,FALSE))</f>
        <v>#VALUE!</v>
      </c>
      <c r="AG1078" s="1063" t="e">
        <f>VLOOKUP(TB_curr[[#This Row],[Synt]],GL[[Account]:[B/P]],4,FALSE)</f>
        <v>#N/A</v>
      </c>
      <c r="AH1078" s="1066" t="e">
        <v>#VALUE!</v>
      </c>
      <c r="AI1078" s="1065" t="e">
        <f>TB_curr[[#This Row],[Synt]]&amp;TB_curr[[#This Row],[Line No. manual corr.]]</f>
        <v>#VALUE!</v>
      </c>
      <c r="AJ1078" s="1064">
        <f t="shared" si="81"/>
        <v>0</v>
      </c>
      <c r="AK1078" s="1064">
        <f t="shared" si="82"/>
        <v>0</v>
      </c>
      <c r="AL1078" s="1064">
        <f t="shared" si="83"/>
        <v>0</v>
      </c>
      <c r="AM1078" s="1064">
        <f t="shared" si="84"/>
        <v>0</v>
      </c>
      <c r="AN1078" s="1064"/>
      <c r="AO1078" s="1064">
        <f>TB_curr[[#This Row],[Closing balance]]+TB_curr[[#This Row],[Rounding]]</f>
        <v>0</v>
      </c>
    </row>
    <row r="1079" spans="30:41" x14ac:dyDescent="0.25">
      <c r="AD1079" s="1067" t="str">
        <f t="shared" si="80"/>
        <v/>
      </c>
      <c r="AE1079" s="1063" t="str">
        <f>IF(ISNA(VLOOKUP(TB_curr[[#This Row],[Synt]],GL[[#Headers],[#Data],[subtotal label]],1,FALSE)),0,(VLOOKUP(TB_curr[[#This Row],[Synt]],GL[[#Headers],[#Data],[subtotal label]],1,FALSE)))</f>
        <v/>
      </c>
      <c r="AF1079" s="1063" t="e">
        <f>IF((TB_curr[[#This Row],[Synt]]-TB_curr[[#This Row],[Subtotal Y/N]])=0,0,VLOOKUP(TB_curr[[#This Row],[Synt]],GL[[Account]:[Line]],3,FALSE))</f>
        <v>#VALUE!</v>
      </c>
      <c r="AG1079" s="1063" t="e">
        <f>VLOOKUP(TB_curr[[#This Row],[Synt]],GL[[Account]:[B/P]],4,FALSE)</f>
        <v>#N/A</v>
      </c>
      <c r="AH1079" s="1066" t="e">
        <v>#VALUE!</v>
      </c>
      <c r="AI1079" s="1065" t="e">
        <f>TB_curr[[#This Row],[Synt]]&amp;TB_curr[[#This Row],[Line No. manual corr.]]</f>
        <v>#VALUE!</v>
      </c>
      <c r="AJ1079" s="1064">
        <f t="shared" si="81"/>
        <v>0</v>
      </c>
      <c r="AK1079" s="1064">
        <f t="shared" si="82"/>
        <v>0</v>
      </c>
      <c r="AL1079" s="1064">
        <f t="shared" si="83"/>
        <v>0</v>
      </c>
      <c r="AM1079" s="1064">
        <f t="shared" si="84"/>
        <v>0</v>
      </c>
      <c r="AN1079" s="1064"/>
      <c r="AO1079" s="1064">
        <f>TB_curr[[#This Row],[Closing balance]]+TB_curr[[#This Row],[Rounding]]</f>
        <v>0</v>
      </c>
    </row>
    <row r="1080" spans="30:41" x14ac:dyDescent="0.25">
      <c r="AD1080" s="1067" t="str">
        <f t="shared" si="80"/>
        <v/>
      </c>
      <c r="AE1080" s="1063" t="str">
        <f>IF(ISNA(VLOOKUP(TB_curr[[#This Row],[Synt]],GL[[#Headers],[#Data],[subtotal label]],1,FALSE)),0,(VLOOKUP(TB_curr[[#This Row],[Synt]],GL[[#Headers],[#Data],[subtotal label]],1,FALSE)))</f>
        <v/>
      </c>
      <c r="AF1080" s="1063" t="e">
        <f>IF((TB_curr[[#This Row],[Synt]]-TB_curr[[#This Row],[Subtotal Y/N]])=0,0,VLOOKUP(TB_curr[[#This Row],[Synt]],GL[[Account]:[Line]],3,FALSE))</f>
        <v>#VALUE!</v>
      </c>
      <c r="AG1080" s="1063" t="e">
        <f>VLOOKUP(TB_curr[[#This Row],[Synt]],GL[[Account]:[B/P]],4,FALSE)</f>
        <v>#N/A</v>
      </c>
      <c r="AH1080" s="1066" t="e">
        <v>#VALUE!</v>
      </c>
      <c r="AI1080" s="1065" t="e">
        <f>TB_curr[[#This Row],[Synt]]&amp;TB_curr[[#This Row],[Line No. manual corr.]]</f>
        <v>#VALUE!</v>
      </c>
      <c r="AJ1080" s="1064">
        <f t="shared" si="81"/>
        <v>0</v>
      </c>
      <c r="AK1080" s="1064">
        <f t="shared" si="82"/>
        <v>0</v>
      </c>
      <c r="AL1080" s="1064">
        <f t="shared" si="83"/>
        <v>0</v>
      </c>
      <c r="AM1080" s="1064">
        <f t="shared" si="84"/>
        <v>0</v>
      </c>
      <c r="AN1080" s="1064"/>
      <c r="AO1080" s="1064">
        <f>TB_curr[[#This Row],[Closing balance]]+TB_curr[[#This Row],[Rounding]]</f>
        <v>0</v>
      </c>
    </row>
    <row r="1081" spans="30:41" x14ac:dyDescent="0.25">
      <c r="AD1081" s="1067" t="str">
        <f t="shared" si="80"/>
        <v/>
      </c>
      <c r="AE1081" s="1063" t="str">
        <f>IF(ISNA(VLOOKUP(TB_curr[[#This Row],[Synt]],GL[[#Headers],[#Data],[subtotal label]],1,FALSE)),0,(VLOOKUP(TB_curr[[#This Row],[Synt]],GL[[#Headers],[#Data],[subtotal label]],1,FALSE)))</f>
        <v/>
      </c>
      <c r="AF1081" s="1063" t="e">
        <f>IF((TB_curr[[#This Row],[Synt]]-TB_curr[[#This Row],[Subtotal Y/N]])=0,0,VLOOKUP(TB_curr[[#This Row],[Synt]],GL[[Account]:[Line]],3,FALSE))</f>
        <v>#VALUE!</v>
      </c>
      <c r="AG1081" s="1063" t="e">
        <f>VLOOKUP(TB_curr[[#This Row],[Synt]],GL[[Account]:[B/P]],4,FALSE)</f>
        <v>#N/A</v>
      </c>
      <c r="AH1081" s="1066" t="e">
        <v>#VALUE!</v>
      </c>
      <c r="AI1081" s="1065" t="e">
        <f>TB_curr[[#This Row],[Synt]]&amp;TB_curr[[#This Row],[Line No. manual corr.]]</f>
        <v>#VALUE!</v>
      </c>
      <c r="AJ1081" s="1064">
        <f t="shared" si="81"/>
        <v>0</v>
      </c>
      <c r="AK1081" s="1064">
        <f t="shared" si="82"/>
        <v>0</v>
      </c>
      <c r="AL1081" s="1064">
        <f t="shared" si="83"/>
        <v>0</v>
      </c>
      <c r="AM1081" s="1064">
        <f t="shared" si="84"/>
        <v>0</v>
      </c>
      <c r="AN1081" s="1064"/>
      <c r="AO1081" s="1064">
        <f>TB_curr[[#This Row],[Closing balance]]+TB_curr[[#This Row],[Rounding]]</f>
        <v>0</v>
      </c>
    </row>
    <row r="1082" spans="30:41" x14ac:dyDescent="0.25">
      <c r="AD1082" s="1067" t="str">
        <f t="shared" si="80"/>
        <v/>
      </c>
      <c r="AE1082" s="1063" t="str">
        <f>IF(ISNA(VLOOKUP(TB_curr[[#This Row],[Synt]],GL[[#Headers],[#Data],[subtotal label]],1,FALSE)),0,(VLOOKUP(TB_curr[[#This Row],[Synt]],GL[[#Headers],[#Data],[subtotal label]],1,FALSE)))</f>
        <v/>
      </c>
      <c r="AF1082" s="1063" t="e">
        <f>IF((TB_curr[[#This Row],[Synt]]-TB_curr[[#This Row],[Subtotal Y/N]])=0,0,VLOOKUP(TB_curr[[#This Row],[Synt]],GL[[Account]:[Line]],3,FALSE))</f>
        <v>#VALUE!</v>
      </c>
      <c r="AG1082" s="1063" t="e">
        <f>VLOOKUP(TB_curr[[#This Row],[Synt]],GL[[Account]:[B/P]],4,FALSE)</f>
        <v>#N/A</v>
      </c>
      <c r="AH1082" s="1066" t="e">
        <v>#VALUE!</v>
      </c>
      <c r="AI1082" s="1065" t="e">
        <f>TB_curr[[#This Row],[Synt]]&amp;TB_curr[[#This Row],[Line No. manual corr.]]</f>
        <v>#VALUE!</v>
      </c>
      <c r="AJ1082" s="1064">
        <f t="shared" si="81"/>
        <v>0</v>
      </c>
      <c r="AK1082" s="1064">
        <f t="shared" si="82"/>
        <v>0</v>
      </c>
      <c r="AL1082" s="1064">
        <f t="shared" si="83"/>
        <v>0</v>
      </c>
      <c r="AM1082" s="1064">
        <f t="shared" si="84"/>
        <v>0</v>
      </c>
      <c r="AN1082" s="1064"/>
      <c r="AO1082" s="1064">
        <f>TB_curr[[#This Row],[Closing balance]]+TB_curr[[#This Row],[Rounding]]</f>
        <v>0</v>
      </c>
    </row>
    <row r="1083" spans="30:41" x14ac:dyDescent="0.25">
      <c r="AD1083" s="1067" t="str">
        <f t="shared" si="80"/>
        <v/>
      </c>
      <c r="AE1083" s="1063" t="str">
        <f>IF(ISNA(VLOOKUP(TB_curr[[#This Row],[Synt]],GL[[#Headers],[#Data],[subtotal label]],1,FALSE)),0,(VLOOKUP(TB_curr[[#This Row],[Synt]],GL[[#Headers],[#Data],[subtotal label]],1,FALSE)))</f>
        <v/>
      </c>
      <c r="AF1083" s="1063" t="e">
        <f>IF((TB_curr[[#This Row],[Synt]]-TB_curr[[#This Row],[Subtotal Y/N]])=0,0,VLOOKUP(TB_curr[[#This Row],[Synt]],GL[[Account]:[Line]],3,FALSE))</f>
        <v>#VALUE!</v>
      </c>
      <c r="AG1083" s="1063" t="e">
        <f>VLOOKUP(TB_curr[[#This Row],[Synt]],GL[[Account]:[B/P]],4,FALSE)</f>
        <v>#N/A</v>
      </c>
      <c r="AH1083" s="1066" t="e">
        <v>#VALUE!</v>
      </c>
      <c r="AI1083" s="1065" t="e">
        <f>TB_curr[[#This Row],[Synt]]&amp;TB_curr[[#This Row],[Line No. manual corr.]]</f>
        <v>#VALUE!</v>
      </c>
      <c r="AJ1083" s="1064">
        <f t="shared" si="81"/>
        <v>0</v>
      </c>
      <c r="AK1083" s="1064">
        <f t="shared" si="82"/>
        <v>0</v>
      </c>
      <c r="AL1083" s="1064">
        <f t="shared" si="83"/>
        <v>0</v>
      </c>
      <c r="AM1083" s="1064">
        <f t="shared" si="84"/>
        <v>0</v>
      </c>
      <c r="AN1083" s="1064"/>
      <c r="AO1083" s="1064">
        <f>TB_curr[[#This Row],[Closing balance]]+TB_curr[[#This Row],[Rounding]]</f>
        <v>0</v>
      </c>
    </row>
    <row r="1084" spans="30:41" x14ac:dyDescent="0.25">
      <c r="AD1084" s="1067" t="str">
        <f t="shared" si="80"/>
        <v/>
      </c>
      <c r="AE1084" s="1063" t="str">
        <f>IF(ISNA(VLOOKUP(TB_curr[[#This Row],[Synt]],GL[[#Headers],[#Data],[subtotal label]],1,FALSE)),0,(VLOOKUP(TB_curr[[#This Row],[Synt]],GL[[#Headers],[#Data],[subtotal label]],1,FALSE)))</f>
        <v/>
      </c>
      <c r="AF1084" s="1063" t="e">
        <f>IF((TB_curr[[#This Row],[Synt]]-TB_curr[[#This Row],[Subtotal Y/N]])=0,0,VLOOKUP(TB_curr[[#This Row],[Synt]],GL[[Account]:[Line]],3,FALSE))</f>
        <v>#VALUE!</v>
      </c>
      <c r="AG1084" s="1063" t="e">
        <f>VLOOKUP(TB_curr[[#This Row],[Synt]],GL[[Account]:[B/P]],4,FALSE)</f>
        <v>#N/A</v>
      </c>
      <c r="AH1084" s="1066" t="e">
        <v>#VALUE!</v>
      </c>
      <c r="AI1084" s="1065" t="e">
        <f>TB_curr[[#This Row],[Synt]]&amp;TB_curr[[#This Row],[Line No. manual corr.]]</f>
        <v>#VALUE!</v>
      </c>
      <c r="AJ1084" s="1064">
        <f t="shared" si="81"/>
        <v>0</v>
      </c>
      <c r="AK1084" s="1064">
        <f t="shared" si="82"/>
        <v>0</v>
      </c>
      <c r="AL1084" s="1064">
        <f t="shared" si="83"/>
        <v>0</v>
      </c>
      <c r="AM1084" s="1064">
        <f t="shared" si="84"/>
        <v>0</v>
      </c>
      <c r="AN1084" s="1064"/>
      <c r="AO1084" s="1064">
        <f>TB_curr[[#This Row],[Closing balance]]+TB_curr[[#This Row],[Rounding]]</f>
        <v>0</v>
      </c>
    </row>
    <row r="1085" spans="30:41" x14ac:dyDescent="0.25">
      <c r="AD1085" s="1067" t="str">
        <f t="shared" si="80"/>
        <v/>
      </c>
      <c r="AE1085" s="1063" t="str">
        <f>IF(ISNA(VLOOKUP(TB_curr[[#This Row],[Synt]],GL[[#Headers],[#Data],[subtotal label]],1,FALSE)),0,(VLOOKUP(TB_curr[[#This Row],[Synt]],GL[[#Headers],[#Data],[subtotal label]],1,FALSE)))</f>
        <v/>
      </c>
      <c r="AF1085" s="1063" t="e">
        <f>IF((TB_curr[[#This Row],[Synt]]-TB_curr[[#This Row],[Subtotal Y/N]])=0,0,VLOOKUP(TB_curr[[#This Row],[Synt]],GL[[Account]:[Line]],3,FALSE))</f>
        <v>#VALUE!</v>
      </c>
      <c r="AG1085" s="1063" t="e">
        <f>VLOOKUP(TB_curr[[#This Row],[Synt]],GL[[Account]:[B/P]],4,FALSE)</f>
        <v>#N/A</v>
      </c>
      <c r="AH1085" s="1066" t="e">
        <v>#VALUE!</v>
      </c>
      <c r="AI1085" s="1065" t="e">
        <f>TB_curr[[#This Row],[Synt]]&amp;TB_curr[[#This Row],[Line No. manual corr.]]</f>
        <v>#VALUE!</v>
      </c>
      <c r="AJ1085" s="1064">
        <f t="shared" si="81"/>
        <v>0</v>
      </c>
      <c r="AK1085" s="1064">
        <f t="shared" si="82"/>
        <v>0</v>
      </c>
      <c r="AL1085" s="1064">
        <f t="shared" si="83"/>
        <v>0</v>
      </c>
      <c r="AM1085" s="1064">
        <f t="shared" si="84"/>
        <v>0</v>
      </c>
      <c r="AN1085" s="1064"/>
      <c r="AO1085" s="1064">
        <f>TB_curr[[#This Row],[Closing balance]]+TB_curr[[#This Row],[Rounding]]</f>
        <v>0</v>
      </c>
    </row>
    <row r="1086" spans="30:41" x14ac:dyDescent="0.25">
      <c r="AD1086" s="1067" t="str">
        <f t="shared" si="80"/>
        <v/>
      </c>
      <c r="AE1086" s="1063" t="str">
        <f>IF(ISNA(VLOOKUP(TB_curr[[#This Row],[Synt]],GL[[#Headers],[#Data],[subtotal label]],1,FALSE)),0,(VLOOKUP(TB_curr[[#This Row],[Synt]],GL[[#Headers],[#Data],[subtotal label]],1,FALSE)))</f>
        <v/>
      </c>
      <c r="AF1086" s="1063" t="e">
        <f>IF((TB_curr[[#This Row],[Synt]]-TB_curr[[#This Row],[Subtotal Y/N]])=0,0,VLOOKUP(TB_curr[[#This Row],[Synt]],GL[[Account]:[Line]],3,FALSE))</f>
        <v>#VALUE!</v>
      </c>
      <c r="AG1086" s="1063" t="e">
        <f>VLOOKUP(TB_curr[[#This Row],[Synt]],GL[[Account]:[B/P]],4,FALSE)</f>
        <v>#N/A</v>
      </c>
      <c r="AH1086" s="1066" t="e">
        <v>#VALUE!</v>
      </c>
      <c r="AI1086" s="1065" t="e">
        <f>TB_curr[[#This Row],[Synt]]&amp;TB_curr[[#This Row],[Line No. manual corr.]]</f>
        <v>#VALUE!</v>
      </c>
      <c r="AJ1086" s="1064">
        <f t="shared" si="81"/>
        <v>0</v>
      </c>
      <c r="AK1086" s="1064">
        <f t="shared" si="82"/>
        <v>0</v>
      </c>
      <c r="AL1086" s="1064">
        <f t="shared" si="83"/>
        <v>0</v>
      </c>
      <c r="AM1086" s="1064">
        <f t="shared" si="84"/>
        <v>0</v>
      </c>
      <c r="AN1086" s="1064"/>
      <c r="AO1086" s="1064">
        <f>TB_curr[[#This Row],[Closing balance]]+TB_curr[[#This Row],[Rounding]]</f>
        <v>0</v>
      </c>
    </row>
    <row r="1087" spans="30:41" x14ac:dyDescent="0.25">
      <c r="AD1087" s="1067" t="str">
        <f t="shared" si="80"/>
        <v/>
      </c>
      <c r="AE1087" s="1063" t="str">
        <f>IF(ISNA(VLOOKUP(TB_curr[[#This Row],[Synt]],GL[[#Headers],[#Data],[subtotal label]],1,FALSE)),0,(VLOOKUP(TB_curr[[#This Row],[Synt]],GL[[#Headers],[#Data],[subtotal label]],1,FALSE)))</f>
        <v/>
      </c>
      <c r="AF1087" s="1063" t="e">
        <f>IF((TB_curr[[#This Row],[Synt]]-TB_curr[[#This Row],[Subtotal Y/N]])=0,0,VLOOKUP(TB_curr[[#This Row],[Synt]],GL[[Account]:[Line]],3,FALSE))</f>
        <v>#VALUE!</v>
      </c>
      <c r="AG1087" s="1063" t="e">
        <f>VLOOKUP(TB_curr[[#This Row],[Synt]],GL[[Account]:[B/P]],4,FALSE)</f>
        <v>#N/A</v>
      </c>
      <c r="AH1087" s="1066" t="e">
        <v>#VALUE!</v>
      </c>
      <c r="AI1087" s="1065" t="e">
        <f>TB_curr[[#This Row],[Synt]]&amp;TB_curr[[#This Row],[Line No. manual corr.]]</f>
        <v>#VALUE!</v>
      </c>
      <c r="AJ1087" s="1064">
        <f t="shared" si="81"/>
        <v>0</v>
      </c>
      <c r="AK1087" s="1064">
        <f t="shared" si="82"/>
        <v>0</v>
      </c>
      <c r="AL1087" s="1064">
        <f t="shared" si="83"/>
        <v>0</v>
      </c>
      <c r="AM1087" s="1064">
        <f t="shared" si="84"/>
        <v>0</v>
      </c>
      <c r="AN1087" s="1064"/>
      <c r="AO1087" s="1064">
        <f>TB_curr[[#This Row],[Closing balance]]+TB_curr[[#This Row],[Rounding]]</f>
        <v>0</v>
      </c>
    </row>
    <row r="1088" spans="30:41" x14ac:dyDescent="0.25">
      <c r="AD1088" s="1067" t="str">
        <f t="shared" si="80"/>
        <v/>
      </c>
      <c r="AE1088" s="1063" t="str">
        <f>IF(ISNA(VLOOKUP(TB_curr[[#This Row],[Synt]],GL[[#Headers],[#Data],[subtotal label]],1,FALSE)),0,(VLOOKUP(TB_curr[[#This Row],[Synt]],GL[[#Headers],[#Data],[subtotal label]],1,FALSE)))</f>
        <v/>
      </c>
      <c r="AF1088" s="1063" t="e">
        <f>IF((TB_curr[[#This Row],[Synt]]-TB_curr[[#This Row],[Subtotal Y/N]])=0,0,VLOOKUP(TB_curr[[#This Row],[Synt]],GL[[Account]:[Line]],3,FALSE))</f>
        <v>#VALUE!</v>
      </c>
      <c r="AG1088" s="1063" t="e">
        <f>VLOOKUP(TB_curr[[#This Row],[Synt]],GL[[Account]:[B/P]],4,FALSE)</f>
        <v>#N/A</v>
      </c>
      <c r="AH1088" s="1066" t="e">
        <v>#VALUE!</v>
      </c>
      <c r="AI1088" s="1065" t="e">
        <f>TB_curr[[#This Row],[Synt]]&amp;TB_curr[[#This Row],[Line No. manual corr.]]</f>
        <v>#VALUE!</v>
      </c>
      <c r="AJ1088" s="1064">
        <f t="shared" si="81"/>
        <v>0</v>
      </c>
      <c r="AK1088" s="1064">
        <f t="shared" si="82"/>
        <v>0</v>
      </c>
      <c r="AL1088" s="1064">
        <f t="shared" si="83"/>
        <v>0</v>
      </c>
      <c r="AM1088" s="1064">
        <f t="shared" si="84"/>
        <v>0</v>
      </c>
      <c r="AN1088" s="1064"/>
      <c r="AO1088" s="1064">
        <f>TB_curr[[#This Row],[Closing balance]]+TB_curr[[#This Row],[Rounding]]</f>
        <v>0</v>
      </c>
    </row>
    <row r="1089" spans="30:41" x14ac:dyDescent="0.25">
      <c r="AD1089" s="1067" t="str">
        <f t="shared" si="80"/>
        <v/>
      </c>
      <c r="AE1089" s="1063" t="str">
        <f>IF(ISNA(VLOOKUP(TB_curr[[#This Row],[Synt]],GL[[#Headers],[#Data],[subtotal label]],1,FALSE)),0,(VLOOKUP(TB_curr[[#This Row],[Synt]],GL[[#Headers],[#Data],[subtotal label]],1,FALSE)))</f>
        <v/>
      </c>
      <c r="AF1089" s="1063" t="e">
        <f>IF((TB_curr[[#This Row],[Synt]]-TB_curr[[#This Row],[Subtotal Y/N]])=0,0,VLOOKUP(TB_curr[[#This Row],[Synt]],GL[[Account]:[Line]],3,FALSE))</f>
        <v>#VALUE!</v>
      </c>
      <c r="AG1089" s="1063" t="e">
        <f>VLOOKUP(TB_curr[[#This Row],[Synt]],GL[[Account]:[B/P]],4,FALSE)</f>
        <v>#N/A</v>
      </c>
      <c r="AH1089" s="1066" t="e">
        <v>#VALUE!</v>
      </c>
      <c r="AI1089" s="1065" t="e">
        <f>TB_curr[[#This Row],[Synt]]&amp;TB_curr[[#This Row],[Line No. manual corr.]]</f>
        <v>#VALUE!</v>
      </c>
      <c r="AJ1089" s="1064">
        <f t="shared" si="81"/>
        <v>0</v>
      </c>
      <c r="AK1089" s="1064">
        <f t="shared" si="82"/>
        <v>0</v>
      </c>
      <c r="AL1089" s="1064">
        <f t="shared" si="83"/>
        <v>0</v>
      </c>
      <c r="AM1089" s="1064">
        <f t="shared" si="84"/>
        <v>0</v>
      </c>
      <c r="AN1089" s="1064"/>
      <c r="AO1089" s="1064">
        <f>TB_curr[[#This Row],[Closing balance]]+TB_curr[[#This Row],[Rounding]]</f>
        <v>0</v>
      </c>
    </row>
    <row r="1090" spans="30:41" x14ac:dyDescent="0.25">
      <c r="AD1090" s="1067" t="str">
        <f t="shared" si="80"/>
        <v/>
      </c>
      <c r="AE1090" s="1063" t="str">
        <f>IF(ISNA(VLOOKUP(TB_curr[[#This Row],[Synt]],GL[[#Headers],[#Data],[subtotal label]],1,FALSE)),0,(VLOOKUP(TB_curr[[#This Row],[Synt]],GL[[#Headers],[#Data],[subtotal label]],1,FALSE)))</f>
        <v/>
      </c>
      <c r="AF1090" s="1063" t="e">
        <f>IF((TB_curr[[#This Row],[Synt]]-TB_curr[[#This Row],[Subtotal Y/N]])=0,0,VLOOKUP(TB_curr[[#This Row],[Synt]],GL[[Account]:[Line]],3,FALSE))</f>
        <v>#VALUE!</v>
      </c>
      <c r="AG1090" s="1063" t="e">
        <f>VLOOKUP(TB_curr[[#This Row],[Synt]],GL[[Account]:[B/P]],4,FALSE)</f>
        <v>#N/A</v>
      </c>
      <c r="AH1090" s="1066" t="e">
        <v>#VALUE!</v>
      </c>
      <c r="AI1090" s="1065" t="e">
        <f>TB_curr[[#This Row],[Synt]]&amp;TB_curr[[#This Row],[Line No. manual corr.]]</f>
        <v>#VALUE!</v>
      </c>
      <c r="AJ1090" s="1064">
        <f t="shared" si="81"/>
        <v>0</v>
      </c>
      <c r="AK1090" s="1064">
        <f t="shared" si="82"/>
        <v>0</v>
      </c>
      <c r="AL1090" s="1064">
        <f t="shared" si="83"/>
        <v>0</v>
      </c>
      <c r="AM1090" s="1064">
        <f t="shared" si="84"/>
        <v>0</v>
      </c>
      <c r="AN1090" s="1064"/>
      <c r="AO1090" s="1064">
        <f>TB_curr[[#This Row],[Closing balance]]+TB_curr[[#This Row],[Rounding]]</f>
        <v>0</v>
      </c>
    </row>
    <row r="1091" spans="30:41" x14ac:dyDescent="0.25">
      <c r="AD1091" s="1067" t="str">
        <f t="shared" si="80"/>
        <v/>
      </c>
      <c r="AE1091" s="1063" t="str">
        <f>IF(ISNA(VLOOKUP(TB_curr[[#This Row],[Synt]],GL[[#Headers],[#Data],[subtotal label]],1,FALSE)),0,(VLOOKUP(TB_curr[[#This Row],[Synt]],GL[[#Headers],[#Data],[subtotal label]],1,FALSE)))</f>
        <v/>
      </c>
      <c r="AF1091" s="1063" t="e">
        <f>IF((TB_curr[[#This Row],[Synt]]-TB_curr[[#This Row],[Subtotal Y/N]])=0,0,VLOOKUP(TB_curr[[#This Row],[Synt]],GL[[Account]:[Line]],3,FALSE))</f>
        <v>#VALUE!</v>
      </c>
      <c r="AG1091" s="1063" t="e">
        <f>VLOOKUP(TB_curr[[#This Row],[Synt]],GL[[Account]:[B/P]],4,FALSE)</f>
        <v>#N/A</v>
      </c>
      <c r="AH1091" s="1066" t="e">
        <v>#VALUE!</v>
      </c>
      <c r="AI1091" s="1065" t="e">
        <f>TB_curr[[#This Row],[Synt]]&amp;TB_curr[[#This Row],[Line No. manual corr.]]</f>
        <v>#VALUE!</v>
      </c>
      <c r="AJ1091" s="1064">
        <f t="shared" si="81"/>
        <v>0</v>
      </c>
      <c r="AK1091" s="1064">
        <f t="shared" si="82"/>
        <v>0</v>
      </c>
      <c r="AL1091" s="1064">
        <f t="shared" si="83"/>
        <v>0</v>
      </c>
      <c r="AM1091" s="1064">
        <f t="shared" si="84"/>
        <v>0</v>
      </c>
      <c r="AN1091" s="1064"/>
      <c r="AO1091" s="1064">
        <f>TB_curr[[#This Row],[Closing balance]]+TB_curr[[#This Row],[Rounding]]</f>
        <v>0</v>
      </c>
    </row>
    <row r="1092" spans="30:41" x14ac:dyDescent="0.25">
      <c r="AD1092" s="1067" t="str">
        <f t="shared" si="80"/>
        <v/>
      </c>
      <c r="AE1092" s="1063" t="str">
        <f>IF(ISNA(VLOOKUP(TB_curr[[#This Row],[Synt]],GL[[#Headers],[#Data],[subtotal label]],1,FALSE)),0,(VLOOKUP(TB_curr[[#This Row],[Synt]],GL[[#Headers],[#Data],[subtotal label]],1,FALSE)))</f>
        <v/>
      </c>
      <c r="AF1092" s="1063" t="e">
        <f>IF((TB_curr[[#This Row],[Synt]]-TB_curr[[#This Row],[Subtotal Y/N]])=0,0,VLOOKUP(TB_curr[[#This Row],[Synt]],GL[[Account]:[Line]],3,FALSE))</f>
        <v>#VALUE!</v>
      </c>
      <c r="AG1092" s="1063" t="e">
        <f>VLOOKUP(TB_curr[[#This Row],[Synt]],GL[[Account]:[B/P]],4,FALSE)</f>
        <v>#N/A</v>
      </c>
      <c r="AH1092" s="1066" t="e">
        <v>#VALUE!</v>
      </c>
      <c r="AI1092" s="1065" t="e">
        <f>TB_curr[[#This Row],[Synt]]&amp;TB_curr[[#This Row],[Line No. manual corr.]]</f>
        <v>#VALUE!</v>
      </c>
      <c r="AJ1092" s="1064">
        <f t="shared" si="81"/>
        <v>0</v>
      </c>
      <c r="AK1092" s="1064">
        <f t="shared" si="82"/>
        <v>0</v>
      </c>
      <c r="AL1092" s="1064">
        <f t="shared" si="83"/>
        <v>0</v>
      </c>
      <c r="AM1092" s="1064">
        <f t="shared" si="84"/>
        <v>0</v>
      </c>
      <c r="AN1092" s="1064"/>
      <c r="AO1092" s="1064">
        <f>TB_curr[[#This Row],[Closing balance]]+TB_curr[[#This Row],[Rounding]]</f>
        <v>0</v>
      </c>
    </row>
    <row r="1093" spans="30:41" x14ac:dyDescent="0.25">
      <c r="AD1093" s="1067" t="str">
        <f t="shared" si="80"/>
        <v/>
      </c>
      <c r="AE1093" s="1063" t="str">
        <f>IF(ISNA(VLOOKUP(TB_curr[[#This Row],[Synt]],GL[[#Headers],[#Data],[subtotal label]],1,FALSE)),0,(VLOOKUP(TB_curr[[#This Row],[Synt]],GL[[#Headers],[#Data],[subtotal label]],1,FALSE)))</f>
        <v/>
      </c>
      <c r="AF1093" s="1063" t="e">
        <f>IF((TB_curr[[#This Row],[Synt]]-TB_curr[[#This Row],[Subtotal Y/N]])=0,0,VLOOKUP(TB_curr[[#This Row],[Synt]],GL[[Account]:[Line]],3,FALSE))</f>
        <v>#VALUE!</v>
      </c>
      <c r="AG1093" s="1063" t="e">
        <f>VLOOKUP(TB_curr[[#This Row],[Synt]],GL[[Account]:[B/P]],4,FALSE)</f>
        <v>#N/A</v>
      </c>
      <c r="AH1093" s="1066" t="e">
        <v>#VALUE!</v>
      </c>
      <c r="AI1093" s="1065" t="e">
        <f>TB_curr[[#This Row],[Synt]]&amp;TB_curr[[#This Row],[Line No. manual corr.]]</f>
        <v>#VALUE!</v>
      </c>
      <c r="AJ1093" s="1064">
        <f t="shared" si="81"/>
        <v>0</v>
      </c>
      <c r="AK1093" s="1064">
        <f t="shared" si="82"/>
        <v>0</v>
      </c>
      <c r="AL1093" s="1064">
        <f t="shared" si="83"/>
        <v>0</v>
      </c>
      <c r="AM1093" s="1064">
        <f t="shared" si="84"/>
        <v>0</v>
      </c>
      <c r="AN1093" s="1064"/>
      <c r="AO1093" s="1064">
        <f>TB_curr[[#This Row],[Closing balance]]+TB_curr[[#This Row],[Rounding]]</f>
        <v>0</v>
      </c>
    </row>
    <row r="1094" spans="30:41" x14ac:dyDescent="0.25">
      <c r="AD1094" s="1067" t="str">
        <f t="shared" si="80"/>
        <v/>
      </c>
      <c r="AE1094" s="1063" t="str">
        <f>IF(ISNA(VLOOKUP(TB_curr[[#This Row],[Synt]],GL[[#Headers],[#Data],[subtotal label]],1,FALSE)),0,(VLOOKUP(TB_curr[[#This Row],[Synt]],GL[[#Headers],[#Data],[subtotal label]],1,FALSE)))</f>
        <v/>
      </c>
      <c r="AF1094" s="1063" t="e">
        <f>IF((TB_curr[[#This Row],[Synt]]-TB_curr[[#This Row],[Subtotal Y/N]])=0,0,VLOOKUP(TB_curr[[#This Row],[Synt]],GL[[Account]:[Line]],3,FALSE))</f>
        <v>#VALUE!</v>
      </c>
      <c r="AG1094" s="1063" t="e">
        <f>VLOOKUP(TB_curr[[#This Row],[Synt]],GL[[Account]:[B/P]],4,FALSE)</f>
        <v>#N/A</v>
      </c>
      <c r="AH1094" s="1066" t="e">
        <v>#VALUE!</v>
      </c>
      <c r="AI1094" s="1065" t="e">
        <f>TB_curr[[#This Row],[Synt]]&amp;TB_curr[[#This Row],[Line No. manual corr.]]</f>
        <v>#VALUE!</v>
      </c>
      <c r="AJ1094" s="1064">
        <f t="shared" si="81"/>
        <v>0</v>
      </c>
      <c r="AK1094" s="1064">
        <f t="shared" si="82"/>
        <v>0</v>
      </c>
      <c r="AL1094" s="1064">
        <f t="shared" si="83"/>
        <v>0</v>
      </c>
      <c r="AM1094" s="1064">
        <f t="shared" si="84"/>
        <v>0</v>
      </c>
      <c r="AN1094" s="1064"/>
      <c r="AO1094" s="1064">
        <f>TB_curr[[#This Row],[Closing balance]]+TB_curr[[#This Row],[Rounding]]</f>
        <v>0</v>
      </c>
    </row>
    <row r="1095" spans="30:41" x14ac:dyDescent="0.25">
      <c r="AD1095" s="1067" t="str">
        <f t="shared" si="80"/>
        <v/>
      </c>
      <c r="AE1095" s="1063" t="str">
        <f>IF(ISNA(VLOOKUP(TB_curr[[#This Row],[Synt]],GL[[#Headers],[#Data],[subtotal label]],1,FALSE)),0,(VLOOKUP(TB_curr[[#This Row],[Synt]],GL[[#Headers],[#Data],[subtotal label]],1,FALSE)))</f>
        <v/>
      </c>
      <c r="AF1095" s="1063" t="e">
        <f>IF((TB_curr[[#This Row],[Synt]]-TB_curr[[#This Row],[Subtotal Y/N]])=0,0,VLOOKUP(TB_curr[[#This Row],[Synt]],GL[[Account]:[Line]],3,FALSE))</f>
        <v>#VALUE!</v>
      </c>
      <c r="AG1095" s="1063" t="e">
        <f>VLOOKUP(TB_curr[[#This Row],[Synt]],GL[[Account]:[B/P]],4,FALSE)</f>
        <v>#N/A</v>
      </c>
      <c r="AH1095" s="1066" t="e">
        <v>#VALUE!</v>
      </c>
      <c r="AI1095" s="1065" t="e">
        <f>TB_curr[[#This Row],[Synt]]&amp;TB_curr[[#This Row],[Line No. manual corr.]]</f>
        <v>#VALUE!</v>
      </c>
      <c r="AJ1095" s="1064">
        <f t="shared" si="81"/>
        <v>0</v>
      </c>
      <c r="AK1095" s="1064">
        <f t="shared" si="82"/>
        <v>0</v>
      </c>
      <c r="AL1095" s="1064">
        <f t="shared" si="83"/>
        <v>0</v>
      </c>
      <c r="AM1095" s="1064">
        <f t="shared" si="84"/>
        <v>0</v>
      </c>
      <c r="AN1095" s="1064"/>
      <c r="AO1095" s="1064">
        <f>TB_curr[[#This Row],[Closing balance]]+TB_curr[[#This Row],[Rounding]]</f>
        <v>0</v>
      </c>
    </row>
    <row r="1096" spans="30:41" x14ac:dyDescent="0.25">
      <c r="AD1096" s="1067" t="str">
        <f t="shared" ref="AD1096:AD1159" si="85">LEFT(B1096,3)</f>
        <v/>
      </c>
      <c r="AE1096" s="1063" t="str">
        <f>IF(ISNA(VLOOKUP(TB_curr[[#This Row],[Synt]],GL[[#Headers],[#Data],[subtotal label]],1,FALSE)),0,(VLOOKUP(TB_curr[[#This Row],[Synt]],GL[[#Headers],[#Data],[subtotal label]],1,FALSE)))</f>
        <v/>
      </c>
      <c r="AF1096" s="1063" t="e">
        <f>IF((TB_curr[[#This Row],[Synt]]-TB_curr[[#This Row],[Subtotal Y/N]])=0,0,VLOOKUP(TB_curr[[#This Row],[Synt]],GL[[Account]:[Line]],3,FALSE))</f>
        <v>#VALUE!</v>
      </c>
      <c r="AG1096" s="1063" t="e">
        <f>VLOOKUP(TB_curr[[#This Row],[Synt]],GL[[Account]:[B/P]],4,FALSE)</f>
        <v>#N/A</v>
      </c>
      <c r="AH1096" s="1066" t="e">
        <v>#VALUE!</v>
      </c>
      <c r="AI1096" s="1065" t="e">
        <f>TB_curr[[#This Row],[Synt]]&amp;TB_curr[[#This Row],[Line No. manual corr.]]</f>
        <v>#VALUE!</v>
      </c>
      <c r="AJ1096" s="1064">
        <f t="shared" ref="AJ1096:AJ1159" si="86">K1096-N1096</f>
        <v>0</v>
      </c>
      <c r="AK1096" s="1064">
        <f t="shared" ref="AK1096:AK1159" si="87">Q1096</f>
        <v>0</v>
      </c>
      <c r="AL1096" s="1064">
        <f t="shared" ref="AL1096:AL1159" si="88">U1096</f>
        <v>0</v>
      </c>
      <c r="AM1096" s="1064">
        <f t="shared" ref="AM1096:AM1159" si="89">X1096-AB1096</f>
        <v>0</v>
      </c>
      <c r="AN1096" s="1064"/>
      <c r="AO1096" s="1064">
        <f>TB_curr[[#This Row],[Closing balance]]+TB_curr[[#This Row],[Rounding]]</f>
        <v>0</v>
      </c>
    </row>
    <row r="1097" spans="30:41" x14ac:dyDescent="0.25">
      <c r="AD1097" s="1067" t="str">
        <f t="shared" si="85"/>
        <v/>
      </c>
      <c r="AE1097" s="1063" t="str">
        <f>IF(ISNA(VLOOKUP(TB_curr[[#This Row],[Synt]],GL[[#Headers],[#Data],[subtotal label]],1,FALSE)),0,(VLOOKUP(TB_curr[[#This Row],[Synt]],GL[[#Headers],[#Data],[subtotal label]],1,FALSE)))</f>
        <v/>
      </c>
      <c r="AF1097" s="1063" t="e">
        <f>IF((TB_curr[[#This Row],[Synt]]-TB_curr[[#This Row],[Subtotal Y/N]])=0,0,VLOOKUP(TB_curr[[#This Row],[Synt]],GL[[Account]:[Line]],3,FALSE))</f>
        <v>#VALUE!</v>
      </c>
      <c r="AG1097" s="1063" t="e">
        <f>VLOOKUP(TB_curr[[#This Row],[Synt]],GL[[Account]:[B/P]],4,FALSE)</f>
        <v>#N/A</v>
      </c>
      <c r="AH1097" s="1066" t="e">
        <v>#VALUE!</v>
      </c>
      <c r="AI1097" s="1065" t="e">
        <f>TB_curr[[#This Row],[Synt]]&amp;TB_curr[[#This Row],[Line No. manual corr.]]</f>
        <v>#VALUE!</v>
      </c>
      <c r="AJ1097" s="1064">
        <f t="shared" si="86"/>
        <v>0</v>
      </c>
      <c r="AK1097" s="1064">
        <f t="shared" si="87"/>
        <v>0</v>
      </c>
      <c r="AL1097" s="1064">
        <f t="shared" si="88"/>
        <v>0</v>
      </c>
      <c r="AM1097" s="1064">
        <f t="shared" si="89"/>
        <v>0</v>
      </c>
      <c r="AN1097" s="1064"/>
      <c r="AO1097" s="1064">
        <f>TB_curr[[#This Row],[Closing balance]]+TB_curr[[#This Row],[Rounding]]</f>
        <v>0</v>
      </c>
    </row>
    <row r="1098" spans="30:41" x14ac:dyDescent="0.25">
      <c r="AD1098" s="1067" t="str">
        <f t="shared" si="85"/>
        <v/>
      </c>
      <c r="AE1098" s="1063" t="str">
        <f>IF(ISNA(VLOOKUP(TB_curr[[#This Row],[Synt]],GL[[#Headers],[#Data],[subtotal label]],1,FALSE)),0,(VLOOKUP(TB_curr[[#This Row],[Synt]],GL[[#Headers],[#Data],[subtotal label]],1,FALSE)))</f>
        <v/>
      </c>
      <c r="AF1098" s="1063" t="e">
        <f>IF((TB_curr[[#This Row],[Synt]]-TB_curr[[#This Row],[Subtotal Y/N]])=0,0,VLOOKUP(TB_curr[[#This Row],[Synt]],GL[[Account]:[Line]],3,FALSE))</f>
        <v>#VALUE!</v>
      </c>
      <c r="AG1098" s="1063" t="e">
        <f>VLOOKUP(TB_curr[[#This Row],[Synt]],GL[[Account]:[B/P]],4,FALSE)</f>
        <v>#N/A</v>
      </c>
      <c r="AH1098" s="1066" t="e">
        <v>#VALUE!</v>
      </c>
      <c r="AI1098" s="1065" t="e">
        <f>TB_curr[[#This Row],[Synt]]&amp;TB_curr[[#This Row],[Line No. manual corr.]]</f>
        <v>#VALUE!</v>
      </c>
      <c r="AJ1098" s="1064">
        <f t="shared" si="86"/>
        <v>0</v>
      </c>
      <c r="AK1098" s="1064">
        <f t="shared" si="87"/>
        <v>0</v>
      </c>
      <c r="AL1098" s="1064">
        <f t="shared" si="88"/>
        <v>0</v>
      </c>
      <c r="AM1098" s="1064">
        <f t="shared" si="89"/>
        <v>0</v>
      </c>
      <c r="AN1098" s="1064"/>
      <c r="AO1098" s="1064">
        <f>TB_curr[[#This Row],[Closing balance]]+TB_curr[[#This Row],[Rounding]]</f>
        <v>0</v>
      </c>
    </row>
    <row r="1099" spans="30:41" x14ac:dyDescent="0.25">
      <c r="AD1099" s="1067" t="str">
        <f t="shared" si="85"/>
        <v/>
      </c>
      <c r="AE1099" s="1063" t="str">
        <f>IF(ISNA(VLOOKUP(TB_curr[[#This Row],[Synt]],GL[[#Headers],[#Data],[subtotal label]],1,FALSE)),0,(VLOOKUP(TB_curr[[#This Row],[Synt]],GL[[#Headers],[#Data],[subtotal label]],1,FALSE)))</f>
        <v/>
      </c>
      <c r="AF1099" s="1063" t="e">
        <f>IF((TB_curr[[#This Row],[Synt]]-TB_curr[[#This Row],[Subtotal Y/N]])=0,0,VLOOKUP(TB_curr[[#This Row],[Synt]],GL[[Account]:[Line]],3,FALSE))</f>
        <v>#VALUE!</v>
      </c>
      <c r="AG1099" s="1063" t="e">
        <f>VLOOKUP(TB_curr[[#This Row],[Synt]],GL[[Account]:[B/P]],4,FALSE)</f>
        <v>#N/A</v>
      </c>
      <c r="AH1099" s="1066" t="e">
        <v>#VALUE!</v>
      </c>
      <c r="AI1099" s="1065" t="e">
        <f>TB_curr[[#This Row],[Synt]]&amp;TB_curr[[#This Row],[Line No. manual corr.]]</f>
        <v>#VALUE!</v>
      </c>
      <c r="AJ1099" s="1064">
        <f t="shared" si="86"/>
        <v>0</v>
      </c>
      <c r="AK1099" s="1064">
        <f t="shared" si="87"/>
        <v>0</v>
      </c>
      <c r="AL1099" s="1064">
        <f t="shared" si="88"/>
        <v>0</v>
      </c>
      <c r="AM1099" s="1064">
        <f t="shared" si="89"/>
        <v>0</v>
      </c>
      <c r="AN1099" s="1064"/>
      <c r="AO1099" s="1064">
        <f>TB_curr[[#This Row],[Closing balance]]+TB_curr[[#This Row],[Rounding]]</f>
        <v>0</v>
      </c>
    </row>
    <row r="1100" spans="30:41" x14ac:dyDescent="0.25">
      <c r="AD1100" s="1067" t="str">
        <f t="shared" si="85"/>
        <v/>
      </c>
      <c r="AE1100" s="1063" t="str">
        <f>IF(ISNA(VLOOKUP(TB_curr[[#This Row],[Synt]],GL[[#Headers],[#Data],[subtotal label]],1,FALSE)),0,(VLOOKUP(TB_curr[[#This Row],[Synt]],GL[[#Headers],[#Data],[subtotal label]],1,FALSE)))</f>
        <v/>
      </c>
      <c r="AF1100" s="1063" t="e">
        <f>IF((TB_curr[[#This Row],[Synt]]-TB_curr[[#This Row],[Subtotal Y/N]])=0,0,VLOOKUP(TB_curr[[#This Row],[Synt]],GL[[Account]:[Line]],3,FALSE))</f>
        <v>#VALUE!</v>
      </c>
      <c r="AG1100" s="1063" t="e">
        <f>VLOOKUP(TB_curr[[#This Row],[Synt]],GL[[Account]:[B/P]],4,FALSE)</f>
        <v>#N/A</v>
      </c>
      <c r="AH1100" s="1066" t="e">
        <v>#VALUE!</v>
      </c>
      <c r="AI1100" s="1065" t="e">
        <f>TB_curr[[#This Row],[Synt]]&amp;TB_curr[[#This Row],[Line No. manual corr.]]</f>
        <v>#VALUE!</v>
      </c>
      <c r="AJ1100" s="1064">
        <f t="shared" si="86"/>
        <v>0</v>
      </c>
      <c r="AK1100" s="1064">
        <f t="shared" si="87"/>
        <v>0</v>
      </c>
      <c r="AL1100" s="1064">
        <f t="shared" si="88"/>
        <v>0</v>
      </c>
      <c r="AM1100" s="1064">
        <f t="shared" si="89"/>
        <v>0</v>
      </c>
      <c r="AN1100" s="1064"/>
      <c r="AO1100" s="1064">
        <f>TB_curr[[#This Row],[Closing balance]]+TB_curr[[#This Row],[Rounding]]</f>
        <v>0</v>
      </c>
    </row>
    <row r="1101" spans="30:41" x14ac:dyDescent="0.25">
      <c r="AD1101" s="1067" t="str">
        <f t="shared" si="85"/>
        <v/>
      </c>
      <c r="AE1101" s="1063" t="str">
        <f>IF(ISNA(VLOOKUP(TB_curr[[#This Row],[Synt]],GL[[#Headers],[#Data],[subtotal label]],1,FALSE)),0,(VLOOKUP(TB_curr[[#This Row],[Synt]],GL[[#Headers],[#Data],[subtotal label]],1,FALSE)))</f>
        <v/>
      </c>
      <c r="AF1101" s="1063" t="e">
        <f>IF((TB_curr[[#This Row],[Synt]]-TB_curr[[#This Row],[Subtotal Y/N]])=0,0,VLOOKUP(TB_curr[[#This Row],[Synt]],GL[[Account]:[Line]],3,FALSE))</f>
        <v>#VALUE!</v>
      </c>
      <c r="AG1101" s="1063" t="e">
        <f>VLOOKUP(TB_curr[[#This Row],[Synt]],GL[[Account]:[B/P]],4,FALSE)</f>
        <v>#N/A</v>
      </c>
      <c r="AH1101" s="1066" t="e">
        <v>#VALUE!</v>
      </c>
      <c r="AI1101" s="1065" t="e">
        <f>TB_curr[[#This Row],[Synt]]&amp;TB_curr[[#This Row],[Line No. manual corr.]]</f>
        <v>#VALUE!</v>
      </c>
      <c r="AJ1101" s="1064">
        <f t="shared" si="86"/>
        <v>0</v>
      </c>
      <c r="AK1101" s="1064">
        <f t="shared" si="87"/>
        <v>0</v>
      </c>
      <c r="AL1101" s="1064">
        <f t="shared" si="88"/>
        <v>0</v>
      </c>
      <c r="AM1101" s="1064">
        <f t="shared" si="89"/>
        <v>0</v>
      </c>
      <c r="AN1101" s="1064"/>
      <c r="AO1101" s="1064">
        <f>TB_curr[[#This Row],[Closing balance]]+TB_curr[[#This Row],[Rounding]]</f>
        <v>0</v>
      </c>
    </row>
    <row r="1102" spans="30:41" x14ac:dyDescent="0.25">
      <c r="AD1102" s="1067" t="str">
        <f t="shared" si="85"/>
        <v/>
      </c>
      <c r="AE1102" s="1063" t="str">
        <f>IF(ISNA(VLOOKUP(TB_curr[[#This Row],[Synt]],GL[[#Headers],[#Data],[subtotal label]],1,FALSE)),0,(VLOOKUP(TB_curr[[#This Row],[Synt]],GL[[#Headers],[#Data],[subtotal label]],1,FALSE)))</f>
        <v/>
      </c>
      <c r="AF1102" s="1063" t="e">
        <f>IF((TB_curr[[#This Row],[Synt]]-TB_curr[[#This Row],[Subtotal Y/N]])=0,0,VLOOKUP(TB_curr[[#This Row],[Synt]],GL[[Account]:[Line]],3,FALSE))</f>
        <v>#VALUE!</v>
      </c>
      <c r="AG1102" s="1063" t="e">
        <f>VLOOKUP(TB_curr[[#This Row],[Synt]],GL[[Account]:[B/P]],4,FALSE)</f>
        <v>#N/A</v>
      </c>
      <c r="AH1102" s="1066" t="e">
        <v>#VALUE!</v>
      </c>
      <c r="AI1102" s="1065" t="e">
        <f>TB_curr[[#This Row],[Synt]]&amp;TB_curr[[#This Row],[Line No. manual corr.]]</f>
        <v>#VALUE!</v>
      </c>
      <c r="AJ1102" s="1064">
        <f t="shared" si="86"/>
        <v>0</v>
      </c>
      <c r="AK1102" s="1064">
        <f t="shared" si="87"/>
        <v>0</v>
      </c>
      <c r="AL1102" s="1064">
        <f t="shared" si="88"/>
        <v>0</v>
      </c>
      <c r="AM1102" s="1064">
        <f t="shared" si="89"/>
        <v>0</v>
      </c>
      <c r="AN1102" s="1064"/>
      <c r="AO1102" s="1064">
        <f>TB_curr[[#This Row],[Closing balance]]+TB_curr[[#This Row],[Rounding]]</f>
        <v>0</v>
      </c>
    </row>
    <row r="1103" spans="30:41" x14ac:dyDescent="0.25">
      <c r="AD1103" s="1067" t="str">
        <f t="shared" si="85"/>
        <v/>
      </c>
      <c r="AE1103" s="1063" t="str">
        <f>IF(ISNA(VLOOKUP(TB_curr[[#This Row],[Synt]],GL[[#Headers],[#Data],[subtotal label]],1,FALSE)),0,(VLOOKUP(TB_curr[[#This Row],[Synt]],GL[[#Headers],[#Data],[subtotal label]],1,FALSE)))</f>
        <v/>
      </c>
      <c r="AF1103" s="1063" t="e">
        <f>IF((TB_curr[[#This Row],[Synt]]-TB_curr[[#This Row],[Subtotal Y/N]])=0,0,VLOOKUP(TB_curr[[#This Row],[Synt]],GL[[Account]:[Line]],3,FALSE))</f>
        <v>#VALUE!</v>
      </c>
      <c r="AG1103" s="1063" t="e">
        <f>VLOOKUP(TB_curr[[#This Row],[Synt]],GL[[Account]:[B/P]],4,FALSE)</f>
        <v>#N/A</v>
      </c>
      <c r="AH1103" s="1066" t="e">
        <v>#VALUE!</v>
      </c>
      <c r="AI1103" s="1065" t="e">
        <f>TB_curr[[#This Row],[Synt]]&amp;TB_curr[[#This Row],[Line No. manual corr.]]</f>
        <v>#VALUE!</v>
      </c>
      <c r="AJ1103" s="1064">
        <f t="shared" si="86"/>
        <v>0</v>
      </c>
      <c r="AK1103" s="1064">
        <f t="shared" si="87"/>
        <v>0</v>
      </c>
      <c r="AL1103" s="1064">
        <f t="shared" si="88"/>
        <v>0</v>
      </c>
      <c r="AM1103" s="1064">
        <f t="shared" si="89"/>
        <v>0</v>
      </c>
      <c r="AN1103" s="1064"/>
      <c r="AO1103" s="1064">
        <f>TB_curr[[#This Row],[Closing balance]]+TB_curr[[#This Row],[Rounding]]</f>
        <v>0</v>
      </c>
    </row>
    <row r="1104" spans="30:41" x14ac:dyDescent="0.25">
      <c r="AD1104" s="1067" t="str">
        <f t="shared" si="85"/>
        <v/>
      </c>
      <c r="AE1104" s="1063" t="str">
        <f>IF(ISNA(VLOOKUP(TB_curr[[#This Row],[Synt]],GL[[#Headers],[#Data],[subtotal label]],1,FALSE)),0,(VLOOKUP(TB_curr[[#This Row],[Synt]],GL[[#Headers],[#Data],[subtotal label]],1,FALSE)))</f>
        <v/>
      </c>
      <c r="AF1104" s="1063" t="e">
        <f>IF((TB_curr[[#This Row],[Synt]]-TB_curr[[#This Row],[Subtotal Y/N]])=0,0,VLOOKUP(TB_curr[[#This Row],[Synt]],GL[[Account]:[Line]],3,FALSE))</f>
        <v>#VALUE!</v>
      </c>
      <c r="AG1104" s="1063" t="e">
        <f>VLOOKUP(TB_curr[[#This Row],[Synt]],GL[[Account]:[B/P]],4,FALSE)</f>
        <v>#N/A</v>
      </c>
      <c r="AH1104" s="1066" t="e">
        <v>#VALUE!</v>
      </c>
      <c r="AI1104" s="1065" t="e">
        <f>TB_curr[[#This Row],[Synt]]&amp;TB_curr[[#This Row],[Line No. manual corr.]]</f>
        <v>#VALUE!</v>
      </c>
      <c r="AJ1104" s="1064">
        <f t="shared" si="86"/>
        <v>0</v>
      </c>
      <c r="AK1104" s="1064">
        <f t="shared" si="87"/>
        <v>0</v>
      </c>
      <c r="AL1104" s="1064">
        <f t="shared" si="88"/>
        <v>0</v>
      </c>
      <c r="AM1104" s="1064">
        <f t="shared" si="89"/>
        <v>0</v>
      </c>
      <c r="AN1104" s="1064"/>
      <c r="AO1104" s="1064">
        <f>TB_curr[[#This Row],[Closing balance]]+TB_curr[[#This Row],[Rounding]]</f>
        <v>0</v>
      </c>
    </row>
    <row r="1105" spans="30:41" x14ac:dyDescent="0.25">
      <c r="AD1105" s="1067" t="str">
        <f t="shared" si="85"/>
        <v/>
      </c>
      <c r="AE1105" s="1063" t="str">
        <f>IF(ISNA(VLOOKUP(TB_curr[[#This Row],[Synt]],GL[[#Headers],[#Data],[subtotal label]],1,FALSE)),0,(VLOOKUP(TB_curr[[#This Row],[Synt]],GL[[#Headers],[#Data],[subtotal label]],1,FALSE)))</f>
        <v/>
      </c>
      <c r="AF1105" s="1063" t="e">
        <f>IF((TB_curr[[#This Row],[Synt]]-TB_curr[[#This Row],[Subtotal Y/N]])=0,0,VLOOKUP(TB_curr[[#This Row],[Synt]],GL[[Account]:[Line]],3,FALSE))</f>
        <v>#VALUE!</v>
      </c>
      <c r="AG1105" s="1063" t="e">
        <f>VLOOKUP(TB_curr[[#This Row],[Synt]],GL[[Account]:[B/P]],4,FALSE)</f>
        <v>#N/A</v>
      </c>
      <c r="AH1105" s="1066" t="e">
        <v>#VALUE!</v>
      </c>
      <c r="AI1105" s="1065" t="e">
        <f>TB_curr[[#This Row],[Synt]]&amp;TB_curr[[#This Row],[Line No. manual corr.]]</f>
        <v>#VALUE!</v>
      </c>
      <c r="AJ1105" s="1064">
        <f t="shared" si="86"/>
        <v>0</v>
      </c>
      <c r="AK1105" s="1064">
        <f t="shared" si="87"/>
        <v>0</v>
      </c>
      <c r="AL1105" s="1064">
        <f t="shared" si="88"/>
        <v>0</v>
      </c>
      <c r="AM1105" s="1064">
        <f t="shared" si="89"/>
        <v>0</v>
      </c>
      <c r="AN1105" s="1064"/>
      <c r="AO1105" s="1064">
        <f>TB_curr[[#This Row],[Closing balance]]+TB_curr[[#This Row],[Rounding]]</f>
        <v>0</v>
      </c>
    </row>
    <row r="1106" spans="30:41" x14ac:dyDescent="0.25">
      <c r="AD1106" s="1067" t="str">
        <f t="shared" si="85"/>
        <v/>
      </c>
      <c r="AE1106" s="1063" t="str">
        <f>IF(ISNA(VLOOKUP(TB_curr[[#This Row],[Synt]],GL[[#Headers],[#Data],[subtotal label]],1,FALSE)),0,(VLOOKUP(TB_curr[[#This Row],[Synt]],GL[[#Headers],[#Data],[subtotal label]],1,FALSE)))</f>
        <v/>
      </c>
      <c r="AF1106" s="1063" t="e">
        <f>IF((TB_curr[[#This Row],[Synt]]-TB_curr[[#This Row],[Subtotal Y/N]])=0,0,VLOOKUP(TB_curr[[#This Row],[Synt]],GL[[Account]:[Line]],3,FALSE))</f>
        <v>#VALUE!</v>
      </c>
      <c r="AG1106" s="1063" t="e">
        <f>VLOOKUP(TB_curr[[#This Row],[Synt]],GL[[Account]:[B/P]],4,FALSE)</f>
        <v>#N/A</v>
      </c>
      <c r="AH1106" s="1066" t="e">
        <v>#VALUE!</v>
      </c>
      <c r="AI1106" s="1065" t="e">
        <f>TB_curr[[#This Row],[Synt]]&amp;TB_curr[[#This Row],[Line No. manual corr.]]</f>
        <v>#VALUE!</v>
      </c>
      <c r="AJ1106" s="1064">
        <f t="shared" si="86"/>
        <v>0</v>
      </c>
      <c r="AK1106" s="1064">
        <f t="shared" si="87"/>
        <v>0</v>
      </c>
      <c r="AL1106" s="1064">
        <f t="shared" si="88"/>
        <v>0</v>
      </c>
      <c r="AM1106" s="1064">
        <f t="shared" si="89"/>
        <v>0</v>
      </c>
      <c r="AN1106" s="1064"/>
      <c r="AO1106" s="1064">
        <f>TB_curr[[#This Row],[Closing balance]]+TB_curr[[#This Row],[Rounding]]</f>
        <v>0</v>
      </c>
    </row>
    <row r="1107" spans="30:41" x14ac:dyDescent="0.25">
      <c r="AD1107" s="1067" t="str">
        <f t="shared" si="85"/>
        <v/>
      </c>
      <c r="AE1107" s="1063" t="str">
        <f>IF(ISNA(VLOOKUP(TB_curr[[#This Row],[Synt]],GL[[#Headers],[#Data],[subtotal label]],1,FALSE)),0,(VLOOKUP(TB_curr[[#This Row],[Synt]],GL[[#Headers],[#Data],[subtotal label]],1,FALSE)))</f>
        <v/>
      </c>
      <c r="AF1107" s="1063" t="e">
        <f>IF((TB_curr[[#This Row],[Synt]]-TB_curr[[#This Row],[Subtotal Y/N]])=0,0,VLOOKUP(TB_curr[[#This Row],[Synt]],GL[[Account]:[Line]],3,FALSE))</f>
        <v>#VALUE!</v>
      </c>
      <c r="AG1107" s="1063" t="e">
        <f>VLOOKUP(TB_curr[[#This Row],[Synt]],GL[[Account]:[B/P]],4,FALSE)</f>
        <v>#N/A</v>
      </c>
      <c r="AH1107" s="1066" t="e">
        <v>#VALUE!</v>
      </c>
      <c r="AI1107" s="1065" t="e">
        <f>TB_curr[[#This Row],[Synt]]&amp;TB_curr[[#This Row],[Line No. manual corr.]]</f>
        <v>#VALUE!</v>
      </c>
      <c r="AJ1107" s="1064">
        <f t="shared" si="86"/>
        <v>0</v>
      </c>
      <c r="AK1107" s="1064">
        <f t="shared" si="87"/>
        <v>0</v>
      </c>
      <c r="AL1107" s="1064">
        <f t="shared" si="88"/>
        <v>0</v>
      </c>
      <c r="AM1107" s="1064">
        <f t="shared" si="89"/>
        <v>0</v>
      </c>
      <c r="AN1107" s="1064"/>
      <c r="AO1107" s="1064">
        <f>TB_curr[[#This Row],[Closing balance]]+TB_curr[[#This Row],[Rounding]]</f>
        <v>0</v>
      </c>
    </row>
    <row r="1108" spans="30:41" x14ac:dyDescent="0.25">
      <c r="AD1108" s="1067" t="str">
        <f t="shared" si="85"/>
        <v/>
      </c>
      <c r="AE1108" s="1063" t="str">
        <f>IF(ISNA(VLOOKUP(TB_curr[[#This Row],[Synt]],GL[[#Headers],[#Data],[subtotal label]],1,FALSE)),0,(VLOOKUP(TB_curr[[#This Row],[Synt]],GL[[#Headers],[#Data],[subtotal label]],1,FALSE)))</f>
        <v/>
      </c>
      <c r="AF1108" s="1063" t="e">
        <f>IF((TB_curr[[#This Row],[Synt]]-TB_curr[[#This Row],[Subtotal Y/N]])=0,0,VLOOKUP(TB_curr[[#This Row],[Synt]],GL[[Account]:[Line]],3,FALSE))</f>
        <v>#VALUE!</v>
      </c>
      <c r="AG1108" s="1063" t="e">
        <f>VLOOKUP(TB_curr[[#This Row],[Synt]],GL[[Account]:[B/P]],4,FALSE)</f>
        <v>#N/A</v>
      </c>
      <c r="AH1108" s="1066" t="e">
        <v>#VALUE!</v>
      </c>
      <c r="AI1108" s="1065" t="e">
        <f>TB_curr[[#This Row],[Synt]]&amp;TB_curr[[#This Row],[Line No. manual corr.]]</f>
        <v>#VALUE!</v>
      </c>
      <c r="AJ1108" s="1064">
        <f t="shared" si="86"/>
        <v>0</v>
      </c>
      <c r="AK1108" s="1064">
        <f t="shared" si="87"/>
        <v>0</v>
      </c>
      <c r="AL1108" s="1064">
        <f t="shared" si="88"/>
        <v>0</v>
      </c>
      <c r="AM1108" s="1064">
        <f t="shared" si="89"/>
        <v>0</v>
      </c>
      <c r="AN1108" s="1064"/>
      <c r="AO1108" s="1064">
        <f>TB_curr[[#This Row],[Closing balance]]+TB_curr[[#This Row],[Rounding]]</f>
        <v>0</v>
      </c>
    </row>
    <row r="1109" spans="30:41" x14ac:dyDescent="0.25">
      <c r="AD1109" s="1067" t="str">
        <f t="shared" si="85"/>
        <v/>
      </c>
      <c r="AE1109" s="1063" t="str">
        <f>IF(ISNA(VLOOKUP(TB_curr[[#This Row],[Synt]],GL[[#Headers],[#Data],[subtotal label]],1,FALSE)),0,(VLOOKUP(TB_curr[[#This Row],[Synt]],GL[[#Headers],[#Data],[subtotal label]],1,FALSE)))</f>
        <v/>
      </c>
      <c r="AF1109" s="1063" t="e">
        <f>IF((TB_curr[[#This Row],[Synt]]-TB_curr[[#This Row],[Subtotal Y/N]])=0,0,VLOOKUP(TB_curr[[#This Row],[Synt]],GL[[Account]:[Line]],3,FALSE))</f>
        <v>#VALUE!</v>
      </c>
      <c r="AG1109" s="1063" t="e">
        <f>VLOOKUP(TB_curr[[#This Row],[Synt]],GL[[Account]:[B/P]],4,FALSE)</f>
        <v>#N/A</v>
      </c>
      <c r="AH1109" s="1066" t="e">
        <v>#VALUE!</v>
      </c>
      <c r="AI1109" s="1065" t="e">
        <f>TB_curr[[#This Row],[Synt]]&amp;TB_curr[[#This Row],[Line No. manual corr.]]</f>
        <v>#VALUE!</v>
      </c>
      <c r="AJ1109" s="1064">
        <f t="shared" si="86"/>
        <v>0</v>
      </c>
      <c r="AK1109" s="1064">
        <f t="shared" si="87"/>
        <v>0</v>
      </c>
      <c r="AL1109" s="1064">
        <f t="shared" si="88"/>
        <v>0</v>
      </c>
      <c r="AM1109" s="1064">
        <f t="shared" si="89"/>
        <v>0</v>
      </c>
      <c r="AN1109" s="1064"/>
      <c r="AO1109" s="1064">
        <f>TB_curr[[#This Row],[Closing balance]]+TB_curr[[#This Row],[Rounding]]</f>
        <v>0</v>
      </c>
    </row>
    <row r="1110" spans="30:41" x14ac:dyDescent="0.25">
      <c r="AD1110" s="1067" t="str">
        <f t="shared" si="85"/>
        <v/>
      </c>
      <c r="AE1110" s="1063" t="str">
        <f>IF(ISNA(VLOOKUP(TB_curr[[#This Row],[Synt]],GL[[#Headers],[#Data],[subtotal label]],1,FALSE)),0,(VLOOKUP(TB_curr[[#This Row],[Synt]],GL[[#Headers],[#Data],[subtotal label]],1,FALSE)))</f>
        <v/>
      </c>
      <c r="AF1110" s="1063" t="e">
        <f>IF((TB_curr[[#This Row],[Synt]]-TB_curr[[#This Row],[Subtotal Y/N]])=0,0,VLOOKUP(TB_curr[[#This Row],[Synt]],GL[[Account]:[Line]],3,FALSE))</f>
        <v>#VALUE!</v>
      </c>
      <c r="AG1110" s="1063" t="e">
        <f>VLOOKUP(TB_curr[[#This Row],[Synt]],GL[[Account]:[B/P]],4,FALSE)</f>
        <v>#N/A</v>
      </c>
      <c r="AH1110" s="1066" t="e">
        <v>#VALUE!</v>
      </c>
      <c r="AI1110" s="1065" t="e">
        <f>TB_curr[[#This Row],[Synt]]&amp;TB_curr[[#This Row],[Line No. manual corr.]]</f>
        <v>#VALUE!</v>
      </c>
      <c r="AJ1110" s="1064">
        <f t="shared" si="86"/>
        <v>0</v>
      </c>
      <c r="AK1110" s="1064">
        <f t="shared" si="87"/>
        <v>0</v>
      </c>
      <c r="AL1110" s="1064">
        <f t="shared" si="88"/>
        <v>0</v>
      </c>
      <c r="AM1110" s="1064">
        <f t="shared" si="89"/>
        <v>0</v>
      </c>
      <c r="AN1110" s="1064"/>
      <c r="AO1110" s="1064">
        <f>TB_curr[[#This Row],[Closing balance]]+TB_curr[[#This Row],[Rounding]]</f>
        <v>0</v>
      </c>
    </row>
    <row r="1111" spans="30:41" x14ac:dyDescent="0.25">
      <c r="AD1111" s="1067" t="str">
        <f t="shared" si="85"/>
        <v/>
      </c>
      <c r="AE1111" s="1063" t="str">
        <f>IF(ISNA(VLOOKUP(TB_curr[[#This Row],[Synt]],GL[[#Headers],[#Data],[subtotal label]],1,FALSE)),0,(VLOOKUP(TB_curr[[#This Row],[Synt]],GL[[#Headers],[#Data],[subtotal label]],1,FALSE)))</f>
        <v/>
      </c>
      <c r="AF1111" s="1063" t="e">
        <f>IF((TB_curr[[#This Row],[Synt]]-TB_curr[[#This Row],[Subtotal Y/N]])=0,0,VLOOKUP(TB_curr[[#This Row],[Synt]],GL[[Account]:[Line]],3,FALSE))</f>
        <v>#VALUE!</v>
      </c>
      <c r="AG1111" s="1063" t="e">
        <f>VLOOKUP(TB_curr[[#This Row],[Synt]],GL[[Account]:[B/P]],4,FALSE)</f>
        <v>#N/A</v>
      </c>
      <c r="AH1111" s="1066" t="e">
        <v>#VALUE!</v>
      </c>
      <c r="AI1111" s="1065" t="e">
        <f>TB_curr[[#This Row],[Synt]]&amp;TB_curr[[#This Row],[Line No. manual corr.]]</f>
        <v>#VALUE!</v>
      </c>
      <c r="AJ1111" s="1064">
        <f t="shared" si="86"/>
        <v>0</v>
      </c>
      <c r="AK1111" s="1064">
        <f t="shared" si="87"/>
        <v>0</v>
      </c>
      <c r="AL1111" s="1064">
        <f t="shared" si="88"/>
        <v>0</v>
      </c>
      <c r="AM1111" s="1064">
        <f t="shared" si="89"/>
        <v>0</v>
      </c>
      <c r="AN1111" s="1064"/>
      <c r="AO1111" s="1064">
        <f>TB_curr[[#This Row],[Closing balance]]+TB_curr[[#This Row],[Rounding]]</f>
        <v>0</v>
      </c>
    </row>
    <row r="1112" spans="30:41" x14ac:dyDescent="0.25">
      <c r="AD1112" s="1067" t="str">
        <f t="shared" si="85"/>
        <v/>
      </c>
      <c r="AE1112" s="1063" t="str">
        <f>IF(ISNA(VLOOKUP(TB_curr[[#This Row],[Synt]],GL[[#Headers],[#Data],[subtotal label]],1,FALSE)),0,(VLOOKUP(TB_curr[[#This Row],[Synt]],GL[[#Headers],[#Data],[subtotal label]],1,FALSE)))</f>
        <v/>
      </c>
      <c r="AF1112" s="1063" t="e">
        <f>IF((TB_curr[[#This Row],[Synt]]-TB_curr[[#This Row],[Subtotal Y/N]])=0,0,VLOOKUP(TB_curr[[#This Row],[Synt]],GL[[Account]:[Line]],3,FALSE))</f>
        <v>#VALUE!</v>
      </c>
      <c r="AG1112" s="1063" t="e">
        <f>VLOOKUP(TB_curr[[#This Row],[Synt]],GL[[Account]:[B/P]],4,FALSE)</f>
        <v>#N/A</v>
      </c>
      <c r="AH1112" s="1066" t="e">
        <v>#VALUE!</v>
      </c>
      <c r="AI1112" s="1065" t="e">
        <f>TB_curr[[#This Row],[Synt]]&amp;TB_curr[[#This Row],[Line No. manual corr.]]</f>
        <v>#VALUE!</v>
      </c>
      <c r="AJ1112" s="1064">
        <f t="shared" si="86"/>
        <v>0</v>
      </c>
      <c r="AK1112" s="1064">
        <f t="shared" si="87"/>
        <v>0</v>
      </c>
      <c r="AL1112" s="1064">
        <f t="shared" si="88"/>
        <v>0</v>
      </c>
      <c r="AM1112" s="1064">
        <f t="shared" si="89"/>
        <v>0</v>
      </c>
      <c r="AN1112" s="1064"/>
      <c r="AO1112" s="1064">
        <f>TB_curr[[#This Row],[Closing balance]]+TB_curr[[#This Row],[Rounding]]</f>
        <v>0</v>
      </c>
    </row>
    <row r="1113" spans="30:41" x14ac:dyDescent="0.25">
      <c r="AD1113" s="1067" t="str">
        <f t="shared" si="85"/>
        <v/>
      </c>
      <c r="AE1113" s="1063" t="str">
        <f>IF(ISNA(VLOOKUP(TB_curr[[#This Row],[Synt]],GL[[#Headers],[#Data],[subtotal label]],1,FALSE)),0,(VLOOKUP(TB_curr[[#This Row],[Synt]],GL[[#Headers],[#Data],[subtotal label]],1,FALSE)))</f>
        <v/>
      </c>
      <c r="AF1113" s="1063" t="e">
        <f>IF((TB_curr[[#This Row],[Synt]]-TB_curr[[#This Row],[Subtotal Y/N]])=0,0,VLOOKUP(TB_curr[[#This Row],[Synt]],GL[[Account]:[Line]],3,FALSE))</f>
        <v>#VALUE!</v>
      </c>
      <c r="AG1113" s="1063" t="e">
        <f>VLOOKUP(TB_curr[[#This Row],[Synt]],GL[[Account]:[B/P]],4,FALSE)</f>
        <v>#N/A</v>
      </c>
      <c r="AH1113" s="1066" t="e">
        <v>#VALUE!</v>
      </c>
      <c r="AI1113" s="1065" t="e">
        <f>TB_curr[[#This Row],[Synt]]&amp;TB_curr[[#This Row],[Line No. manual corr.]]</f>
        <v>#VALUE!</v>
      </c>
      <c r="AJ1113" s="1064">
        <f t="shared" si="86"/>
        <v>0</v>
      </c>
      <c r="AK1113" s="1064">
        <f t="shared" si="87"/>
        <v>0</v>
      </c>
      <c r="AL1113" s="1064">
        <f t="shared" si="88"/>
        <v>0</v>
      </c>
      <c r="AM1113" s="1064">
        <f t="shared" si="89"/>
        <v>0</v>
      </c>
      <c r="AN1113" s="1064"/>
      <c r="AO1113" s="1064">
        <f>TB_curr[[#This Row],[Closing balance]]+TB_curr[[#This Row],[Rounding]]</f>
        <v>0</v>
      </c>
    </row>
    <row r="1114" spans="30:41" x14ac:dyDescent="0.25">
      <c r="AD1114" s="1067" t="str">
        <f t="shared" si="85"/>
        <v/>
      </c>
      <c r="AE1114" s="1063" t="str">
        <f>IF(ISNA(VLOOKUP(TB_curr[[#This Row],[Synt]],GL[[#Headers],[#Data],[subtotal label]],1,FALSE)),0,(VLOOKUP(TB_curr[[#This Row],[Synt]],GL[[#Headers],[#Data],[subtotal label]],1,FALSE)))</f>
        <v/>
      </c>
      <c r="AF1114" s="1063" t="e">
        <f>IF((TB_curr[[#This Row],[Synt]]-TB_curr[[#This Row],[Subtotal Y/N]])=0,0,VLOOKUP(TB_curr[[#This Row],[Synt]],GL[[Account]:[Line]],3,FALSE))</f>
        <v>#VALUE!</v>
      </c>
      <c r="AG1114" s="1063" t="e">
        <f>VLOOKUP(TB_curr[[#This Row],[Synt]],GL[[Account]:[B/P]],4,FALSE)</f>
        <v>#N/A</v>
      </c>
      <c r="AH1114" s="1066" t="e">
        <v>#VALUE!</v>
      </c>
      <c r="AI1114" s="1065" t="e">
        <f>TB_curr[[#This Row],[Synt]]&amp;TB_curr[[#This Row],[Line No. manual corr.]]</f>
        <v>#VALUE!</v>
      </c>
      <c r="AJ1114" s="1064">
        <f t="shared" si="86"/>
        <v>0</v>
      </c>
      <c r="AK1114" s="1064">
        <f t="shared" si="87"/>
        <v>0</v>
      </c>
      <c r="AL1114" s="1064">
        <f t="shared" si="88"/>
        <v>0</v>
      </c>
      <c r="AM1114" s="1064">
        <f t="shared" si="89"/>
        <v>0</v>
      </c>
      <c r="AN1114" s="1064"/>
      <c r="AO1114" s="1064">
        <f>TB_curr[[#This Row],[Closing balance]]+TB_curr[[#This Row],[Rounding]]</f>
        <v>0</v>
      </c>
    </row>
    <row r="1115" spans="30:41" x14ac:dyDescent="0.25">
      <c r="AD1115" s="1067" t="str">
        <f t="shared" si="85"/>
        <v/>
      </c>
      <c r="AE1115" s="1063" t="str">
        <f>IF(ISNA(VLOOKUP(TB_curr[[#This Row],[Synt]],GL[[#Headers],[#Data],[subtotal label]],1,FALSE)),0,(VLOOKUP(TB_curr[[#This Row],[Synt]],GL[[#Headers],[#Data],[subtotal label]],1,FALSE)))</f>
        <v/>
      </c>
      <c r="AF1115" s="1063" t="e">
        <f>IF((TB_curr[[#This Row],[Synt]]-TB_curr[[#This Row],[Subtotal Y/N]])=0,0,VLOOKUP(TB_curr[[#This Row],[Synt]],GL[[Account]:[Line]],3,FALSE))</f>
        <v>#VALUE!</v>
      </c>
      <c r="AG1115" s="1063" t="e">
        <f>VLOOKUP(TB_curr[[#This Row],[Synt]],GL[[Account]:[B/P]],4,FALSE)</f>
        <v>#N/A</v>
      </c>
      <c r="AH1115" s="1066" t="e">
        <v>#VALUE!</v>
      </c>
      <c r="AI1115" s="1065" t="e">
        <f>TB_curr[[#This Row],[Synt]]&amp;TB_curr[[#This Row],[Line No. manual corr.]]</f>
        <v>#VALUE!</v>
      </c>
      <c r="AJ1115" s="1064">
        <f t="shared" si="86"/>
        <v>0</v>
      </c>
      <c r="AK1115" s="1064">
        <f t="shared" si="87"/>
        <v>0</v>
      </c>
      <c r="AL1115" s="1064">
        <f t="shared" si="88"/>
        <v>0</v>
      </c>
      <c r="AM1115" s="1064">
        <f t="shared" si="89"/>
        <v>0</v>
      </c>
      <c r="AN1115" s="1064"/>
      <c r="AO1115" s="1064">
        <f>TB_curr[[#This Row],[Closing balance]]+TB_curr[[#This Row],[Rounding]]</f>
        <v>0</v>
      </c>
    </row>
    <row r="1116" spans="30:41" x14ac:dyDescent="0.25">
      <c r="AD1116" s="1067" t="str">
        <f t="shared" si="85"/>
        <v/>
      </c>
      <c r="AE1116" s="1063" t="str">
        <f>IF(ISNA(VLOOKUP(TB_curr[[#This Row],[Synt]],GL[[#Headers],[#Data],[subtotal label]],1,FALSE)),0,(VLOOKUP(TB_curr[[#This Row],[Synt]],GL[[#Headers],[#Data],[subtotal label]],1,FALSE)))</f>
        <v/>
      </c>
      <c r="AF1116" s="1063" t="e">
        <f>IF((TB_curr[[#This Row],[Synt]]-TB_curr[[#This Row],[Subtotal Y/N]])=0,0,VLOOKUP(TB_curr[[#This Row],[Synt]],GL[[Account]:[Line]],3,FALSE))</f>
        <v>#VALUE!</v>
      </c>
      <c r="AG1116" s="1063" t="e">
        <f>VLOOKUP(TB_curr[[#This Row],[Synt]],GL[[Account]:[B/P]],4,FALSE)</f>
        <v>#N/A</v>
      </c>
      <c r="AH1116" s="1066" t="e">
        <v>#VALUE!</v>
      </c>
      <c r="AI1116" s="1065" t="e">
        <f>TB_curr[[#This Row],[Synt]]&amp;TB_curr[[#This Row],[Line No. manual corr.]]</f>
        <v>#VALUE!</v>
      </c>
      <c r="AJ1116" s="1064">
        <f t="shared" si="86"/>
        <v>0</v>
      </c>
      <c r="AK1116" s="1064">
        <f t="shared" si="87"/>
        <v>0</v>
      </c>
      <c r="AL1116" s="1064">
        <f t="shared" si="88"/>
        <v>0</v>
      </c>
      <c r="AM1116" s="1064">
        <f t="shared" si="89"/>
        <v>0</v>
      </c>
      <c r="AN1116" s="1064"/>
      <c r="AO1116" s="1064">
        <f>TB_curr[[#This Row],[Closing balance]]+TB_curr[[#This Row],[Rounding]]</f>
        <v>0</v>
      </c>
    </row>
    <row r="1117" spans="30:41" x14ac:dyDescent="0.25">
      <c r="AD1117" s="1067" t="str">
        <f t="shared" si="85"/>
        <v/>
      </c>
      <c r="AE1117" s="1063" t="str">
        <f>IF(ISNA(VLOOKUP(TB_curr[[#This Row],[Synt]],GL[[#Headers],[#Data],[subtotal label]],1,FALSE)),0,(VLOOKUP(TB_curr[[#This Row],[Synt]],GL[[#Headers],[#Data],[subtotal label]],1,FALSE)))</f>
        <v/>
      </c>
      <c r="AF1117" s="1063" t="e">
        <f>IF((TB_curr[[#This Row],[Synt]]-TB_curr[[#This Row],[Subtotal Y/N]])=0,0,VLOOKUP(TB_curr[[#This Row],[Synt]],GL[[Account]:[Line]],3,FALSE))</f>
        <v>#VALUE!</v>
      </c>
      <c r="AG1117" s="1063" t="e">
        <f>VLOOKUP(TB_curr[[#This Row],[Synt]],GL[[Account]:[B/P]],4,FALSE)</f>
        <v>#N/A</v>
      </c>
      <c r="AH1117" s="1066" t="e">
        <v>#VALUE!</v>
      </c>
      <c r="AI1117" s="1065" t="e">
        <f>TB_curr[[#This Row],[Synt]]&amp;TB_curr[[#This Row],[Line No. manual corr.]]</f>
        <v>#VALUE!</v>
      </c>
      <c r="AJ1117" s="1064">
        <f t="shared" si="86"/>
        <v>0</v>
      </c>
      <c r="AK1117" s="1064">
        <f t="shared" si="87"/>
        <v>0</v>
      </c>
      <c r="AL1117" s="1064">
        <f t="shared" si="88"/>
        <v>0</v>
      </c>
      <c r="AM1117" s="1064">
        <f t="shared" si="89"/>
        <v>0</v>
      </c>
      <c r="AN1117" s="1064"/>
      <c r="AO1117" s="1064">
        <f>TB_curr[[#This Row],[Closing balance]]+TB_curr[[#This Row],[Rounding]]</f>
        <v>0</v>
      </c>
    </row>
    <row r="1118" spans="30:41" x14ac:dyDescent="0.25">
      <c r="AD1118" s="1067" t="str">
        <f t="shared" si="85"/>
        <v/>
      </c>
      <c r="AE1118" s="1063" t="str">
        <f>IF(ISNA(VLOOKUP(TB_curr[[#This Row],[Synt]],GL[[#Headers],[#Data],[subtotal label]],1,FALSE)),0,(VLOOKUP(TB_curr[[#This Row],[Synt]],GL[[#Headers],[#Data],[subtotal label]],1,FALSE)))</f>
        <v/>
      </c>
      <c r="AF1118" s="1063" t="e">
        <f>IF((TB_curr[[#This Row],[Synt]]-TB_curr[[#This Row],[Subtotal Y/N]])=0,0,VLOOKUP(TB_curr[[#This Row],[Synt]],GL[[Account]:[Line]],3,FALSE))</f>
        <v>#VALUE!</v>
      </c>
      <c r="AG1118" s="1063" t="e">
        <f>VLOOKUP(TB_curr[[#This Row],[Synt]],GL[[Account]:[B/P]],4,FALSE)</f>
        <v>#N/A</v>
      </c>
      <c r="AH1118" s="1066" t="e">
        <v>#VALUE!</v>
      </c>
      <c r="AI1118" s="1065" t="e">
        <f>TB_curr[[#This Row],[Synt]]&amp;TB_curr[[#This Row],[Line No. manual corr.]]</f>
        <v>#VALUE!</v>
      </c>
      <c r="AJ1118" s="1064">
        <f t="shared" si="86"/>
        <v>0</v>
      </c>
      <c r="AK1118" s="1064">
        <f t="shared" si="87"/>
        <v>0</v>
      </c>
      <c r="AL1118" s="1064">
        <f t="shared" si="88"/>
        <v>0</v>
      </c>
      <c r="AM1118" s="1064">
        <f t="shared" si="89"/>
        <v>0</v>
      </c>
      <c r="AN1118" s="1064"/>
      <c r="AO1118" s="1064">
        <f>TB_curr[[#This Row],[Closing balance]]+TB_curr[[#This Row],[Rounding]]</f>
        <v>0</v>
      </c>
    </row>
    <row r="1119" spans="30:41" x14ac:dyDescent="0.25">
      <c r="AD1119" s="1067" t="str">
        <f t="shared" si="85"/>
        <v/>
      </c>
      <c r="AE1119" s="1063" t="str">
        <f>IF(ISNA(VLOOKUP(TB_curr[[#This Row],[Synt]],GL[[#Headers],[#Data],[subtotal label]],1,FALSE)),0,(VLOOKUP(TB_curr[[#This Row],[Synt]],GL[[#Headers],[#Data],[subtotal label]],1,FALSE)))</f>
        <v/>
      </c>
      <c r="AF1119" s="1063" t="e">
        <f>IF((TB_curr[[#This Row],[Synt]]-TB_curr[[#This Row],[Subtotal Y/N]])=0,0,VLOOKUP(TB_curr[[#This Row],[Synt]],GL[[Account]:[Line]],3,FALSE))</f>
        <v>#VALUE!</v>
      </c>
      <c r="AG1119" s="1063" t="e">
        <f>VLOOKUP(TB_curr[[#This Row],[Synt]],GL[[Account]:[B/P]],4,FALSE)</f>
        <v>#N/A</v>
      </c>
      <c r="AH1119" s="1066" t="e">
        <v>#VALUE!</v>
      </c>
      <c r="AI1119" s="1065" t="e">
        <f>TB_curr[[#This Row],[Synt]]&amp;TB_curr[[#This Row],[Line No. manual corr.]]</f>
        <v>#VALUE!</v>
      </c>
      <c r="AJ1119" s="1064">
        <f t="shared" si="86"/>
        <v>0</v>
      </c>
      <c r="AK1119" s="1064">
        <f t="shared" si="87"/>
        <v>0</v>
      </c>
      <c r="AL1119" s="1064">
        <f t="shared" si="88"/>
        <v>0</v>
      </c>
      <c r="AM1119" s="1064">
        <f t="shared" si="89"/>
        <v>0</v>
      </c>
      <c r="AN1119" s="1064"/>
      <c r="AO1119" s="1064">
        <f>TB_curr[[#This Row],[Closing balance]]+TB_curr[[#This Row],[Rounding]]</f>
        <v>0</v>
      </c>
    </row>
    <row r="1120" spans="30:41" x14ac:dyDescent="0.25">
      <c r="AD1120" s="1067" t="str">
        <f t="shared" si="85"/>
        <v/>
      </c>
      <c r="AE1120" s="1063" t="str">
        <f>IF(ISNA(VLOOKUP(TB_curr[[#This Row],[Synt]],GL[[#Headers],[#Data],[subtotal label]],1,FALSE)),0,(VLOOKUP(TB_curr[[#This Row],[Synt]],GL[[#Headers],[#Data],[subtotal label]],1,FALSE)))</f>
        <v/>
      </c>
      <c r="AF1120" s="1063" t="e">
        <f>IF((TB_curr[[#This Row],[Synt]]-TB_curr[[#This Row],[Subtotal Y/N]])=0,0,VLOOKUP(TB_curr[[#This Row],[Synt]],GL[[Account]:[Line]],3,FALSE))</f>
        <v>#VALUE!</v>
      </c>
      <c r="AG1120" s="1063" t="e">
        <f>VLOOKUP(TB_curr[[#This Row],[Synt]],GL[[Account]:[B/P]],4,FALSE)</f>
        <v>#N/A</v>
      </c>
      <c r="AH1120" s="1066" t="e">
        <v>#VALUE!</v>
      </c>
      <c r="AI1120" s="1065" t="e">
        <f>TB_curr[[#This Row],[Synt]]&amp;TB_curr[[#This Row],[Line No. manual corr.]]</f>
        <v>#VALUE!</v>
      </c>
      <c r="AJ1120" s="1064">
        <f t="shared" si="86"/>
        <v>0</v>
      </c>
      <c r="AK1120" s="1064">
        <f t="shared" si="87"/>
        <v>0</v>
      </c>
      <c r="AL1120" s="1064">
        <f t="shared" si="88"/>
        <v>0</v>
      </c>
      <c r="AM1120" s="1064">
        <f t="shared" si="89"/>
        <v>0</v>
      </c>
      <c r="AN1120" s="1064"/>
      <c r="AO1120" s="1064">
        <f>TB_curr[[#This Row],[Closing balance]]+TB_curr[[#This Row],[Rounding]]</f>
        <v>0</v>
      </c>
    </row>
    <row r="1121" spans="30:41" x14ac:dyDescent="0.25">
      <c r="AD1121" s="1067" t="str">
        <f t="shared" si="85"/>
        <v/>
      </c>
      <c r="AE1121" s="1063" t="str">
        <f>IF(ISNA(VLOOKUP(TB_curr[[#This Row],[Synt]],GL[[#Headers],[#Data],[subtotal label]],1,FALSE)),0,(VLOOKUP(TB_curr[[#This Row],[Synt]],GL[[#Headers],[#Data],[subtotal label]],1,FALSE)))</f>
        <v/>
      </c>
      <c r="AF1121" s="1063" t="e">
        <f>IF((TB_curr[[#This Row],[Synt]]-TB_curr[[#This Row],[Subtotal Y/N]])=0,0,VLOOKUP(TB_curr[[#This Row],[Synt]],GL[[Account]:[Line]],3,FALSE))</f>
        <v>#VALUE!</v>
      </c>
      <c r="AG1121" s="1063" t="e">
        <f>VLOOKUP(TB_curr[[#This Row],[Synt]],GL[[Account]:[B/P]],4,FALSE)</f>
        <v>#N/A</v>
      </c>
      <c r="AH1121" s="1066" t="e">
        <v>#VALUE!</v>
      </c>
      <c r="AI1121" s="1065" t="e">
        <f>TB_curr[[#This Row],[Synt]]&amp;TB_curr[[#This Row],[Line No. manual corr.]]</f>
        <v>#VALUE!</v>
      </c>
      <c r="AJ1121" s="1064">
        <f t="shared" si="86"/>
        <v>0</v>
      </c>
      <c r="AK1121" s="1064">
        <f t="shared" si="87"/>
        <v>0</v>
      </c>
      <c r="AL1121" s="1064">
        <f t="shared" si="88"/>
        <v>0</v>
      </c>
      <c r="AM1121" s="1064">
        <f t="shared" si="89"/>
        <v>0</v>
      </c>
      <c r="AN1121" s="1064"/>
      <c r="AO1121" s="1064">
        <f>TB_curr[[#This Row],[Closing balance]]+TB_curr[[#This Row],[Rounding]]</f>
        <v>0</v>
      </c>
    </row>
    <row r="1122" spans="30:41" x14ac:dyDescent="0.25">
      <c r="AD1122" s="1067" t="str">
        <f t="shared" si="85"/>
        <v/>
      </c>
      <c r="AE1122" s="1063" t="str">
        <f>IF(ISNA(VLOOKUP(TB_curr[[#This Row],[Synt]],GL[[#Headers],[#Data],[subtotal label]],1,FALSE)),0,(VLOOKUP(TB_curr[[#This Row],[Synt]],GL[[#Headers],[#Data],[subtotal label]],1,FALSE)))</f>
        <v/>
      </c>
      <c r="AF1122" s="1063" t="e">
        <f>IF((TB_curr[[#This Row],[Synt]]-TB_curr[[#This Row],[Subtotal Y/N]])=0,0,VLOOKUP(TB_curr[[#This Row],[Synt]],GL[[Account]:[Line]],3,FALSE))</f>
        <v>#VALUE!</v>
      </c>
      <c r="AG1122" s="1063" t="e">
        <f>VLOOKUP(TB_curr[[#This Row],[Synt]],GL[[Account]:[B/P]],4,FALSE)</f>
        <v>#N/A</v>
      </c>
      <c r="AH1122" s="1066" t="e">
        <v>#VALUE!</v>
      </c>
      <c r="AI1122" s="1065" t="e">
        <f>TB_curr[[#This Row],[Synt]]&amp;TB_curr[[#This Row],[Line No. manual corr.]]</f>
        <v>#VALUE!</v>
      </c>
      <c r="AJ1122" s="1064">
        <f t="shared" si="86"/>
        <v>0</v>
      </c>
      <c r="AK1122" s="1064">
        <f t="shared" si="87"/>
        <v>0</v>
      </c>
      <c r="AL1122" s="1064">
        <f t="shared" si="88"/>
        <v>0</v>
      </c>
      <c r="AM1122" s="1064">
        <f t="shared" si="89"/>
        <v>0</v>
      </c>
      <c r="AN1122" s="1064"/>
      <c r="AO1122" s="1064">
        <f>TB_curr[[#This Row],[Closing balance]]+TB_curr[[#This Row],[Rounding]]</f>
        <v>0</v>
      </c>
    </row>
    <row r="1123" spans="30:41" x14ac:dyDescent="0.25">
      <c r="AD1123" s="1067" t="str">
        <f t="shared" si="85"/>
        <v/>
      </c>
      <c r="AE1123" s="1063" t="str">
        <f>IF(ISNA(VLOOKUP(TB_curr[[#This Row],[Synt]],GL[[#Headers],[#Data],[subtotal label]],1,FALSE)),0,(VLOOKUP(TB_curr[[#This Row],[Synt]],GL[[#Headers],[#Data],[subtotal label]],1,FALSE)))</f>
        <v/>
      </c>
      <c r="AF1123" s="1063" t="e">
        <f>IF((TB_curr[[#This Row],[Synt]]-TB_curr[[#This Row],[Subtotal Y/N]])=0,0,VLOOKUP(TB_curr[[#This Row],[Synt]],GL[[Account]:[Line]],3,FALSE))</f>
        <v>#VALUE!</v>
      </c>
      <c r="AG1123" s="1063" t="e">
        <f>VLOOKUP(TB_curr[[#This Row],[Synt]],GL[[Account]:[B/P]],4,FALSE)</f>
        <v>#N/A</v>
      </c>
      <c r="AH1123" s="1066" t="e">
        <v>#VALUE!</v>
      </c>
      <c r="AI1123" s="1065" t="e">
        <f>TB_curr[[#This Row],[Synt]]&amp;TB_curr[[#This Row],[Line No. manual corr.]]</f>
        <v>#VALUE!</v>
      </c>
      <c r="AJ1123" s="1064">
        <f t="shared" si="86"/>
        <v>0</v>
      </c>
      <c r="AK1123" s="1064">
        <f t="shared" si="87"/>
        <v>0</v>
      </c>
      <c r="AL1123" s="1064">
        <f t="shared" si="88"/>
        <v>0</v>
      </c>
      <c r="AM1123" s="1064">
        <f t="shared" si="89"/>
        <v>0</v>
      </c>
      <c r="AN1123" s="1064"/>
      <c r="AO1123" s="1064">
        <f>TB_curr[[#This Row],[Closing balance]]+TB_curr[[#This Row],[Rounding]]</f>
        <v>0</v>
      </c>
    </row>
    <row r="1124" spans="30:41" x14ac:dyDescent="0.25">
      <c r="AD1124" s="1067" t="str">
        <f t="shared" si="85"/>
        <v/>
      </c>
      <c r="AE1124" s="1063" t="str">
        <f>IF(ISNA(VLOOKUP(TB_curr[[#This Row],[Synt]],GL[[#Headers],[#Data],[subtotal label]],1,FALSE)),0,(VLOOKUP(TB_curr[[#This Row],[Synt]],GL[[#Headers],[#Data],[subtotal label]],1,FALSE)))</f>
        <v/>
      </c>
      <c r="AF1124" s="1063" t="e">
        <f>IF((TB_curr[[#This Row],[Synt]]-TB_curr[[#This Row],[Subtotal Y/N]])=0,0,VLOOKUP(TB_curr[[#This Row],[Synt]],GL[[Account]:[Line]],3,FALSE))</f>
        <v>#VALUE!</v>
      </c>
      <c r="AG1124" s="1063" t="e">
        <f>VLOOKUP(TB_curr[[#This Row],[Synt]],GL[[Account]:[B/P]],4,FALSE)</f>
        <v>#N/A</v>
      </c>
      <c r="AH1124" s="1066" t="e">
        <v>#VALUE!</v>
      </c>
      <c r="AI1124" s="1065" t="e">
        <f>TB_curr[[#This Row],[Synt]]&amp;TB_curr[[#This Row],[Line No. manual corr.]]</f>
        <v>#VALUE!</v>
      </c>
      <c r="AJ1124" s="1064">
        <f t="shared" si="86"/>
        <v>0</v>
      </c>
      <c r="AK1124" s="1064">
        <f t="shared" si="87"/>
        <v>0</v>
      </c>
      <c r="AL1124" s="1064">
        <f t="shared" si="88"/>
        <v>0</v>
      </c>
      <c r="AM1124" s="1064">
        <f t="shared" si="89"/>
        <v>0</v>
      </c>
      <c r="AN1124" s="1064"/>
      <c r="AO1124" s="1064">
        <f>TB_curr[[#This Row],[Closing balance]]+TB_curr[[#This Row],[Rounding]]</f>
        <v>0</v>
      </c>
    </row>
    <row r="1125" spans="30:41" x14ac:dyDescent="0.25">
      <c r="AD1125" s="1067" t="str">
        <f t="shared" si="85"/>
        <v/>
      </c>
      <c r="AE1125" s="1063" t="str">
        <f>IF(ISNA(VLOOKUP(TB_curr[[#This Row],[Synt]],GL[[#Headers],[#Data],[subtotal label]],1,FALSE)),0,(VLOOKUP(TB_curr[[#This Row],[Synt]],GL[[#Headers],[#Data],[subtotal label]],1,FALSE)))</f>
        <v/>
      </c>
      <c r="AF1125" s="1063" t="e">
        <f>IF((TB_curr[[#This Row],[Synt]]-TB_curr[[#This Row],[Subtotal Y/N]])=0,0,VLOOKUP(TB_curr[[#This Row],[Synt]],GL[[Account]:[Line]],3,FALSE))</f>
        <v>#VALUE!</v>
      </c>
      <c r="AG1125" s="1063" t="e">
        <f>VLOOKUP(TB_curr[[#This Row],[Synt]],GL[[Account]:[B/P]],4,FALSE)</f>
        <v>#N/A</v>
      </c>
      <c r="AH1125" s="1066" t="e">
        <v>#VALUE!</v>
      </c>
      <c r="AI1125" s="1065" t="e">
        <f>TB_curr[[#This Row],[Synt]]&amp;TB_curr[[#This Row],[Line No. manual corr.]]</f>
        <v>#VALUE!</v>
      </c>
      <c r="AJ1125" s="1064">
        <f t="shared" si="86"/>
        <v>0</v>
      </c>
      <c r="AK1125" s="1064">
        <f t="shared" si="87"/>
        <v>0</v>
      </c>
      <c r="AL1125" s="1064">
        <f t="shared" si="88"/>
        <v>0</v>
      </c>
      <c r="AM1125" s="1064">
        <f t="shared" si="89"/>
        <v>0</v>
      </c>
      <c r="AN1125" s="1064"/>
      <c r="AO1125" s="1064">
        <f>TB_curr[[#This Row],[Closing balance]]+TB_curr[[#This Row],[Rounding]]</f>
        <v>0</v>
      </c>
    </row>
    <row r="1126" spans="30:41" x14ac:dyDescent="0.25">
      <c r="AD1126" s="1067" t="str">
        <f t="shared" si="85"/>
        <v/>
      </c>
      <c r="AE1126" s="1063" t="str">
        <f>IF(ISNA(VLOOKUP(TB_curr[[#This Row],[Synt]],GL[[#Headers],[#Data],[subtotal label]],1,FALSE)),0,(VLOOKUP(TB_curr[[#This Row],[Synt]],GL[[#Headers],[#Data],[subtotal label]],1,FALSE)))</f>
        <v/>
      </c>
      <c r="AF1126" s="1063" t="e">
        <f>IF((TB_curr[[#This Row],[Synt]]-TB_curr[[#This Row],[Subtotal Y/N]])=0,0,VLOOKUP(TB_curr[[#This Row],[Synt]],GL[[Account]:[Line]],3,FALSE))</f>
        <v>#VALUE!</v>
      </c>
      <c r="AG1126" s="1063" t="e">
        <f>VLOOKUP(TB_curr[[#This Row],[Synt]],GL[[Account]:[B/P]],4,FALSE)</f>
        <v>#N/A</v>
      </c>
      <c r="AH1126" s="1066" t="e">
        <v>#VALUE!</v>
      </c>
      <c r="AI1126" s="1065" t="e">
        <f>TB_curr[[#This Row],[Synt]]&amp;TB_curr[[#This Row],[Line No. manual corr.]]</f>
        <v>#VALUE!</v>
      </c>
      <c r="AJ1126" s="1064">
        <f t="shared" si="86"/>
        <v>0</v>
      </c>
      <c r="AK1126" s="1064">
        <f t="shared" si="87"/>
        <v>0</v>
      </c>
      <c r="AL1126" s="1064">
        <f t="shared" si="88"/>
        <v>0</v>
      </c>
      <c r="AM1126" s="1064">
        <f t="shared" si="89"/>
        <v>0</v>
      </c>
      <c r="AN1126" s="1064"/>
      <c r="AO1126" s="1064">
        <f>TB_curr[[#This Row],[Closing balance]]+TB_curr[[#This Row],[Rounding]]</f>
        <v>0</v>
      </c>
    </row>
    <row r="1127" spans="30:41" x14ac:dyDescent="0.25">
      <c r="AD1127" s="1067" t="str">
        <f t="shared" si="85"/>
        <v/>
      </c>
      <c r="AE1127" s="1063" t="str">
        <f>IF(ISNA(VLOOKUP(TB_curr[[#This Row],[Synt]],GL[[#Headers],[#Data],[subtotal label]],1,FALSE)),0,(VLOOKUP(TB_curr[[#This Row],[Synt]],GL[[#Headers],[#Data],[subtotal label]],1,FALSE)))</f>
        <v/>
      </c>
      <c r="AF1127" s="1063" t="e">
        <f>IF((TB_curr[[#This Row],[Synt]]-TB_curr[[#This Row],[Subtotal Y/N]])=0,0,VLOOKUP(TB_curr[[#This Row],[Synt]],GL[[Account]:[Line]],3,FALSE))</f>
        <v>#VALUE!</v>
      </c>
      <c r="AG1127" s="1063" t="e">
        <f>VLOOKUP(TB_curr[[#This Row],[Synt]],GL[[Account]:[B/P]],4,FALSE)</f>
        <v>#N/A</v>
      </c>
      <c r="AH1127" s="1066" t="e">
        <v>#VALUE!</v>
      </c>
      <c r="AI1127" s="1065" t="e">
        <f>TB_curr[[#This Row],[Synt]]&amp;TB_curr[[#This Row],[Line No. manual corr.]]</f>
        <v>#VALUE!</v>
      </c>
      <c r="AJ1127" s="1064">
        <f t="shared" si="86"/>
        <v>0</v>
      </c>
      <c r="AK1127" s="1064">
        <f t="shared" si="87"/>
        <v>0</v>
      </c>
      <c r="AL1127" s="1064">
        <f t="shared" si="88"/>
        <v>0</v>
      </c>
      <c r="AM1127" s="1064">
        <f t="shared" si="89"/>
        <v>0</v>
      </c>
      <c r="AN1127" s="1064"/>
      <c r="AO1127" s="1064">
        <f>TB_curr[[#This Row],[Closing balance]]+TB_curr[[#This Row],[Rounding]]</f>
        <v>0</v>
      </c>
    </row>
    <row r="1128" spans="30:41" x14ac:dyDescent="0.25">
      <c r="AD1128" s="1067" t="str">
        <f t="shared" si="85"/>
        <v/>
      </c>
      <c r="AE1128" s="1063" t="str">
        <f>IF(ISNA(VLOOKUP(TB_curr[[#This Row],[Synt]],GL[[#Headers],[#Data],[subtotal label]],1,FALSE)),0,(VLOOKUP(TB_curr[[#This Row],[Synt]],GL[[#Headers],[#Data],[subtotal label]],1,FALSE)))</f>
        <v/>
      </c>
      <c r="AF1128" s="1063" t="e">
        <f>IF((TB_curr[[#This Row],[Synt]]-TB_curr[[#This Row],[Subtotal Y/N]])=0,0,VLOOKUP(TB_curr[[#This Row],[Synt]],GL[[Account]:[Line]],3,FALSE))</f>
        <v>#VALUE!</v>
      </c>
      <c r="AG1128" s="1063" t="e">
        <f>VLOOKUP(TB_curr[[#This Row],[Synt]],GL[[Account]:[B/P]],4,FALSE)</f>
        <v>#N/A</v>
      </c>
      <c r="AH1128" s="1066" t="e">
        <v>#VALUE!</v>
      </c>
      <c r="AI1128" s="1065" t="e">
        <f>TB_curr[[#This Row],[Synt]]&amp;TB_curr[[#This Row],[Line No. manual corr.]]</f>
        <v>#VALUE!</v>
      </c>
      <c r="AJ1128" s="1064">
        <f t="shared" si="86"/>
        <v>0</v>
      </c>
      <c r="AK1128" s="1064">
        <f t="shared" si="87"/>
        <v>0</v>
      </c>
      <c r="AL1128" s="1064">
        <f t="shared" si="88"/>
        <v>0</v>
      </c>
      <c r="AM1128" s="1064">
        <f t="shared" si="89"/>
        <v>0</v>
      </c>
      <c r="AN1128" s="1064"/>
      <c r="AO1128" s="1064">
        <f>TB_curr[[#This Row],[Closing balance]]+TB_curr[[#This Row],[Rounding]]</f>
        <v>0</v>
      </c>
    </row>
    <row r="1129" spans="30:41" x14ac:dyDescent="0.25">
      <c r="AD1129" s="1067" t="str">
        <f t="shared" si="85"/>
        <v/>
      </c>
      <c r="AE1129" s="1063" t="str">
        <f>IF(ISNA(VLOOKUP(TB_curr[[#This Row],[Synt]],GL[[#Headers],[#Data],[subtotal label]],1,FALSE)),0,(VLOOKUP(TB_curr[[#This Row],[Synt]],GL[[#Headers],[#Data],[subtotal label]],1,FALSE)))</f>
        <v/>
      </c>
      <c r="AF1129" s="1063" t="e">
        <f>IF((TB_curr[[#This Row],[Synt]]-TB_curr[[#This Row],[Subtotal Y/N]])=0,0,VLOOKUP(TB_curr[[#This Row],[Synt]],GL[[Account]:[Line]],3,FALSE))</f>
        <v>#VALUE!</v>
      </c>
      <c r="AG1129" s="1063" t="e">
        <f>VLOOKUP(TB_curr[[#This Row],[Synt]],GL[[Account]:[B/P]],4,FALSE)</f>
        <v>#N/A</v>
      </c>
      <c r="AH1129" s="1066" t="e">
        <v>#VALUE!</v>
      </c>
      <c r="AI1129" s="1065" t="e">
        <f>TB_curr[[#This Row],[Synt]]&amp;TB_curr[[#This Row],[Line No. manual corr.]]</f>
        <v>#VALUE!</v>
      </c>
      <c r="AJ1129" s="1064">
        <f t="shared" si="86"/>
        <v>0</v>
      </c>
      <c r="AK1129" s="1064">
        <f t="shared" si="87"/>
        <v>0</v>
      </c>
      <c r="AL1129" s="1064">
        <f t="shared" si="88"/>
        <v>0</v>
      </c>
      <c r="AM1129" s="1064">
        <f t="shared" si="89"/>
        <v>0</v>
      </c>
      <c r="AN1129" s="1064"/>
      <c r="AO1129" s="1064">
        <f>TB_curr[[#This Row],[Closing balance]]+TB_curr[[#This Row],[Rounding]]</f>
        <v>0</v>
      </c>
    </row>
    <row r="1130" spans="30:41" x14ac:dyDescent="0.25">
      <c r="AD1130" s="1067" t="str">
        <f t="shared" si="85"/>
        <v/>
      </c>
      <c r="AE1130" s="1063" t="str">
        <f>IF(ISNA(VLOOKUP(TB_curr[[#This Row],[Synt]],GL[[#Headers],[#Data],[subtotal label]],1,FALSE)),0,(VLOOKUP(TB_curr[[#This Row],[Synt]],GL[[#Headers],[#Data],[subtotal label]],1,FALSE)))</f>
        <v/>
      </c>
      <c r="AF1130" s="1063" t="e">
        <f>IF((TB_curr[[#This Row],[Synt]]-TB_curr[[#This Row],[Subtotal Y/N]])=0,0,VLOOKUP(TB_curr[[#This Row],[Synt]],GL[[Account]:[Line]],3,FALSE))</f>
        <v>#VALUE!</v>
      </c>
      <c r="AG1130" s="1063" t="e">
        <f>VLOOKUP(TB_curr[[#This Row],[Synt]],GL[[Account]:[B/P]],4,FALSE)</f>
        <v>#N/A</v>
      </c>
      <c r="AH1130" s="1066" t="e">
        <v>#VALUE!</v>
      </c>
      <c r="AI1130" s="1065" t="e">
        <f>TB_curr[[#This Row],[Synt]]&amp;TB_curr[[#This Row],[Line No. manual corr.]]</f>
        <v>#VALUE!</v>
      </c>
      <c r="AJ1130" s="1064">
        <f t="shared" si="86"/>
        <v>0</v>
      </c>
      <c r="AK1130" s="1064">
        <f t="shared" si="87"/>
        <v>0</v>
      </c>
      <c r="AL1130" s="1064">
        <f t="shared" si="88"/>
        <v>0</v>
      </c>
      <c r="AM1130" s="1064">
        <f t="shared" si="89"/>
        <v>0</v>
      </c>
      <c r="AN1130" s="1064"/>
      <c r="AO1130" s="1064">
        <f>TB_curr[[#This Row],[Closing balance]]+TB_curr[[#This Row],[Rounding]]</f>
        <v>0</v>
      </c>
    </row>
    <row r="1131" spans="30:41" x14ac:dyDescent="0.25">
      <c r="AD1131" s="1067" t="str">
        <f t="shared" si="85"/>
        <v/>
      </c>
      <c r="AE1131" s="1063" t="str">
        <f>IF(ISNA(VLOOKUP(TB_curr[[#This Row],[Synt]],GL[[#Headers],[#Data],[subtotal label]],1,FALSE)),0,(VLOOKUP(TB_curr[[#This Row],[Synt]],GL[[#Headers],[#Data],[subtotal label]],1,FALSE)))</f>
        <v/>
      </c>
      <c r="AF1131" s="1063" t="e">
        <f>IF((TB_curr[[#This Row],[Synt]]-TB_curr[[#This Row],[Subtotal Y/N]])=0,0,VLOOKUP(TB_curr[[#This Row],[Synt]],GL[[Account]:[Line]],3,FALSE))</f>
        <v>#VALUE!</v>
      </c>
      <c r="AG1131" s="1063" t="e">
        <f>VLOOKUP(TB_curr[[#This Row],[Synt]],GL[[Account]:[B/P]],4,FALSE)</f>
        <v>#N/A</v>
      </c>
      <c r="AH1131" s="1066" t="e">
        <v>#VALUE!</v>
      </c>
      <c r="AI1131" s="1065" t="e">
        <f>TB_curr[[#This Row],[Synt]]&amp;TB_curr[[#This Row],[Line No. manual corr.]]</f>
        <v>#VALUE!</v>
      </c>
      <c r="AJ1131" s="1064">
        <f t="shared" si="86"/>
        <v>0</v>
      </c>
      <c r="AK1131" s="1064">
        <f t="shared" si="87"/>
        <v>0</v>
      </c>
      <c r="AL1131" s="1064">
        <f t="shared" si="88"/>
        <v>0</v>
      </c>
      <c r="AM1131" s="1064">
        <f t="shared" si="89"/>
        <v>0</v>
      </c>
      <c r="AN1131" s="1064"/>
      <c r="AO1131" s="1064">
        <f>TB_curr[[#This Row],[Closing balance]]+TB_curr[[#This Row],[Rounding]]</f>
        <v>0</v>
      </c>
    </row>
    <row r="1132" spans="30:41" x14ac:dyDescent="0.25">
      <c r="AD1132" s="1067" t="str">
        <f t="shared" si="85"/>
        <v/>
      </c>
      <c r="AE1132" s="1063" t="str">
        <f>IF(ISNA(VLOOKUP(TB_curr[[#This Row],[Synt]],GL[[#Headers],[#Data],[subtotal label]],1,FALSE)),0,(VLOOKUP(TB_curr[[#This Row],[Synt]],GL[[#Headers],[#Data],[subtotal label]],1,FALSE)))</f>
        <v/>
      </c>
      <c r="AF1132" s="1063" t="e">
        <f>IF((TB_curr[[#This Row],[Synt]]-TB_curr[[#This Row],[Subtotal Y/N]])=0,0,VLOOKUP(TB_curr[[#This Row],[Synt]],GL[[Account]:[Line]],3,FALSE))</f>
        <v>#VALUE!</v>
      </c>
      <c r="AG1132" s="1063" t="e">
        <f>VLOOKUP(TB_curr[[#This Row],[Synt]],GL[[Account]:[B/P]],4,FALSE)</f>
        <v>#N/A</v>
      </c>
      <c r="AH1132" s="1066" t="e">
        <v>#VALUE!</v>
      </c>
      <c r="AI1132" s="1065" t="e">
        <f>TB_curr[[#This Row],[Synt]]&amp;TB_curr[[#This Row],[Line No. manual corr.]]</f>
        <v>#VALUE!</v>
      </c>
      <c r="AJ1132" s="1064">
        <f t="shared" si="86"/>
        <v>0</v>
      </c>
      <c r="AK1132" s="1064">
        <f t="shared" si="87"/>
        <v>0</v>
      </c>
      <c r="AL1132" s="1064">
        <f t="shared" si="88"/>
        <v>0</v>
      </c>
      <c r="AM1132" s="1064">
        <f t="shared" si="89"/>
        <v>0</v>
      </c>
      <c r="AN1132" s="1064"/>
      <c r="AO1132" s="1064">
        <f>TB_curr[[#This Row],[Closing balance]]+TB_curr[[#This Row],[Rounding]]</f>
        <v>0</v>
      </c>
    </row>
    <row r="1133" spans="30:41" x14ac:dyDescent="0.25">
      <c r="AD1133" s="1067" t="str">
        <f t="shared" si="85"/>
        <v/>
      </c>
      <c r="AE1133" s="1063" t="str">
        <f>IF(ISNA(VLOOKUP(TB_curr[[#This Row],[Synt]],GL[[#Headers],[#Data],[subtotal label]],1,FALSE)),0,(VLOOKUP(TB_curr[[#This Row],[Synt]],GL[[#Headers],[#Data],[subtotal label]],1,FALSE)))</f>
        <v/>
      </c>
      <c r="AF1133" s="1063" t="e">
        <f>IF((TB_curr[[#This Row],[Synt]]-TB_curr[[#This Row],[Subtotal Y/N]])=0,0,VLOOKUP(TB_curr[[#This Row],[Synt]],GL[[Account]:[Line]],3,FALSE))</f>
        <v>#VALUE!</v>
      </c>
      <c r="AG1133" s="1063" t="e">
        <f>VLOOKUP(TB_curr[[#This Row],[Synt]],GL[[Account]:[B/P]],4,FALSE)</f>
        <v>#N/A</v>
      </c>
      <c r="AH1133" s="1066" t="e">
        <v>#VALUE!</v>
      </c>
      <c r="AI1133" s="1065" t="e">
        <f>TB_curr[[#This Row],[Synt]]&amp;TB_curr[[#This Row],[Line No. manual corr.]]</f>
        <v>#VALUE!</v>
      </c>
      <c r="AJ1133" s="1064">
        <f t="shared" si="86"/>
        <v>0</v>
      </c>
      <c r="AK1133" s="1064">
        <f t="shared" si="87"/>
        <v>0</v>
      </c>
      <c r="AL1133" s="1064">
        <f t="shared" si="88"/>
        <v>0</v>
      </c>
      <c r="AM1133" s="1064">
        <f t="shared" si="89"/>
        <v>0</v>
      </c>
      <c r="AN1133" s="1064"/>
      <c r="AO1133" s="1064">
        <f>TB_curr[[#This Row],[Closing balance]]+TB_curr[[#This Row],[Rounding]]</f>
        <v>0</v>
      </c>
    </row>
    <row r="1134" spans="30:41" x14ac:dyDescent="0.25">
      <c r="AD1134" s="1067" t="str">
        <f t="shared" si="85"/>
        <v/>
      </c>
      <c r="AE1134" s="1063" t="str">
        <f>IF(ISNA(VLOOKUP(TB_curr[[#This Row],[Synt]],GL[[#Headers],[#Data],[subtotal label]],1,FALSE)),0,(VLOOKUP(TB_curr[[#This Row],[Synt]],GL[[#Headers],[#Data],[subtotal label]],1,FALSE)))</f>
        <v/>
      </c>
      <c r="AF1134" s="1063" t="e">
        <f>IF((TB_curr[[#This Row],[Synt]]-TB_curr[[#This Row],[Subtotal Y/N]])=0,0,VLOOKUP(TB_curr[[#This Row],[Synt]],GL[[Account]:[Line]],3,FALSE))</f>
        <v>#VALUE!</v>
      </c>
      <c r="AG1134" s="1063" t="e">
        <f>VLOOKUP(TB_curr[[#This Row],[Synt]],GL[[Account]:[B/P]],4,FALSE)</f>
        <v>#N/A</v>
      </c>
      <c r="AH1134" s="1066" t="e">
        <v>#VALUE!</v>
      </c>
      <c r="AI1134" s="1065" t="e">
        <f>TB_curr[[#This Row],[Synt]]&amp;TB_curr[[#This Row],[Line No. manual corr.]]</f>
        <v>#VALUE!</v>
      </c>
      <c r="AJ1134" s="1064">
        <f t="shared" si="86"/>
        <v>0</v>
      </c>
      <c r="AK1134" s="1064">
        <f t="shared" si="87"/>
        <v>0</v>
      </c>
      <c r="AL1134" s="1064">
        <f t="shared" si="88"/>
        <v>0</v>
      </c>
      <c r="AM1134" s="1064">
        <f t="shared" si="89"/>
        <v>0</v>
      </c>
      <c r="AN1134" s="1064"/>
      <c r="AO1134" s="1064">
        <f>TB_curr[[#This Row],[Closing balance]]+TB_curr[[#This Row],[Rounding]]</f>
        <v>0</v>
      </c>
    </row>
    <row r="1135" spans="30:41" x14ac:dyDescent="0.25">
      <c r="AD1135" s="1067" t="str">
        <f t="shared" si="85"/>
        <v/>
      </c>
      <c r="AE1135" s="1063" t="str">
        <f>IF(ISNA(VLOOKUP(TB_curr[[#This Row],[Synt]],GL[[#Headers],[#Data],[subtotal label]],1,FALSE)),0,(VLOOKUP(TB_curr[[#This Row],[Synt]],GL[[#Headers],[#Data],[subtotal label]],1,FALSE)))</f>
        <v/>
      </c>
      <c r="AF1135" s="1063" t="e">
        <f>IF((TB_curr[[#This Row],[Synt]]-TB_curr[[#This Row],[Subtotal Y/N]])=0,0,VLOOKUP(TB_curr[[#This Row],[Synt]],GL[[Account]:[Line]],3,FALSE))</f>
        <v>#VALUE!</v>
      </c>
      <c r="AG1135" s="1063" t="e">
        <f>VLOOKUP(TB_curr[[#This Row],[Synt]],GL[[Account]:[B/P]],4,FALSE)</f>
        <v>#N/A</v>
      </c>
      <c r="AH1135" s="1066" t="e">
        <v>#VALUE!</v>
      </c>
      <c r="AI1135" s="1065" t="e">
        <f>TB_curr[[#This Row],[Synt]]&amp;TB_curr[[#This Row],[Line No. manual corr.]]</f>
        <v>#VALUE!</v>
      </c>
      <c r="AJ1135" s="1064">
        <f t="shared" si="86"/>
        <v>0</v>
      </c>
      <c r="AK1135" s="1064">
        <f t="shared" si="87"/>
        <v>0</v>
      </c>
      <c r="AL1135" s="1064">
        <f t="shared" si="88"/>
        <v>0</v>
      </c>
      <c r="AM1135" s="1064">
        <f t="shared" si="89"/>
        <v>0</v>
      </c>
      <c r="AN1135" s="1064"/>
      <c r="AO1135" s="1064">
        <f>TB_curr[[#This Row],[Closing balance]]+TB_curr[[#This Row],[Rounding]]</f>
        <v>0</v>
      </c>
    </row>
    <row r="1136" spans="30:41" x14ac:dyDescent="0.25">
      <c r="AD1136" s="1067" t="str">
        <f t="shared" si="85"/>
        <v/>
      </c>
      <c r="AE1136" s="1063" t="str">
        <f>IF(ISNA(VLOOKUP(TB_curr[[#This Row],[Synt]],GL[[#Headers],[#Data],[subtotal label]],1,FALSE)),0,(VLOOKUP(TB_curr[[#This Row],[Synt]],GL[[#Headers],[#Data],[subtotal label]],1,FALSE)))</f>
        <v/>
      </c>
      <c r="AF1136" s="1063" t="e">
        <f>IF((TB_curr[[#This Row],[Synt]]-TB_curr[[#This Row],[Subtotal Y/N]])=0,0,VLOOKUP(TB_curr[[#This Row],[Synt]],GL[[Account]:[Line]],3,FALSE))</f>
        <v>#VALUE!</v>
      </c>
      <c r="AG1136" s="1063" t="e">
        <f>VLOOKUP(TB_curr[[#This Row],[Synt]],GL[[Account]:[B/P]],4,FALSE)</f>
        <v>#N/A</v>
      </c>
      <c r="AH1136" s="1066" t="e">
        <v>#VALUE!</v>
      </c>
      <c r="AI1136" s="1065" t="e">
        <f>TB_curr[[#This Row],[Synt]]&amp;TB_curr[[#This Row],[Line No. manual corr.]]</f>
        <v>#VALUE!</v>
      </c>
      <c r="AJ1136" s="1064">
        <f t="shared" si="86"/>
        <v>0</v>
      </c>
      <c r="AK1136" s="1064">
        <f t="shared" si="87"/>
        <v>0</v>
      </c>
      <c r="AL1136" s="1064">
        <f t="shared" si="88"/>
        <v>0</v>
      </c>
      <c r="AM1136" s="1064">
        <f t="shared" si="89"/>
        <v>0</v>
      </c>
      <c r="AN1136" s="1064"/>
      <c r="AO1136" s="1064">
        <f>TB_curr[[#This Row],[Closing balance]]+TB_curr[[#This Row],[Rounding]]</f>
        <v>0</v>
      </c>
    </row>
    <row r="1137" spans="30:41" x14ac:dyDescent="0.25">
      <c r="AD1137" s="1067" t="str">
        <f t="shared" si="85"/>
        <v/>
      </c>
      <c r="AE1137" s="1063" t="str">
        <f>IF(ISNA(VLOOKUP(TB_curr[[#This Row],[Synt]],GL[[#Headers],[#Data],[subtotal label]],1,FALSE)),0,(VLOOKUP(TB_curr[[#This Row],[Synt]],GL[[#Headers],[#Data],[subtotal label]],1,FALSE)))</f>
        <v/>
      </c>
      <c r="AF1137" s="1063" t="e">
        <f>IF((TB_curr[[#This Row],[Synt]]-TB_curr[[#This Row],[Subtotal Y/N]])=0,0,VLOOKUP(TB_curr[[#This Row],[Synt]],GL[[Account]:[Line]],3,FALSE))</f>
        <v>#VALUE!</v>
      </c>
      <c r="AG1137" s="1063" t="e">
        <f>VLOOKUP(TB_curr[[#This Row],[Synt]],GL[[Account]:[B/P]],4,FALSE)</f>
        <v>#N/A</v>
      </c>
      <c r="AH1137" s="1066" t="e">
        <v>#VALUE!</v>
      </c>
      <c r="AI1137" s="1065" t="e">
        <f>TB_curr[[#This Row],[Synt]]&amp;TB_curr[[#This Row],[Line No. manual corr.]]</f>
        <v>#VALUE!</v>
      </c>
      <c r="AJ1137" s="1064">
        <f t="shared" si="86"/>
        <v>0</v>
      </c>
      <c r="AK1137" s="1064">
        <f t="shared" si="87"/>
        <v>0</v>
      </c>
      <c r="AL1137" s="1064">
        <f t="shared" si="88"/>
        <v>0</v>
      </c>
      <c r="AM1137" s="1064">
        <f t="shared" si="89"/>
        <v>0</v>
      </c>
      <c r="AN1137" s="1064"/>
      <c r="AO1137" s="1064">
        <f>TB_curr[[#This Row],[Closing balance]]+TB_curr[[#This Row],[Rounding]]</f>
        <v>0</v>
      </c>
    </row>
    <row r="1138" spans="30:41" x14ac:dyDescent="0.25">
      <c r="AD1138" s="1067" t="str">
        <f t="shared" si="85"/>
        <v/>
      </c>
      <c r="AE1138" s="1063" t="str">
        <f>IF(ISNA(VLOOKUP(TB_curr[[#This Row],[Synt]],GL[[#Headers],[#Data],[subtotal label]],1,FALSE)),0,(VLOOKUP(TB_curr[[#This Row],[Synt]],GL[[#Headers],[#Data],[subtotal label]],1,FALSE)))</f>
        <v/>
      </c>
      <c r="AF1138" s="1063" t="e">
        <f>IF((TB_curr[[#This Row],[Synt]]-TB_curr[[#This Row],[Subtotal Y/N]])=0,0,VLOOKUP(TB_curr[[#This Row],[Synt]],GL[[Account]:[Line]],3,FALSE))</f>
        <v>#VALUE!</v>
      </c>
      <c r="AG1138" s="1063" t="e">
        <f>VLOOKUP(TB_curr[[#This Row],[Synt]],GL[[Account]:[B/P]],4,FALSE)</f>
        <v>#N/A</v>
      </c>
      <c r="AH1138" s="1066" t="e">
        <v>#VALUE!</v>
      </c>
      <c r="AI1138" s="1065" t="e">
        <f>TB_curr[[#This Row],[Synt]]&amp;TB_curr[[#This Row],[Line No. manual corr.]]</f>
        <v>#VALUE!</v>
      </c>
      <c r="AJ1138" s="1064">
        <f t="shared" si="86"/>
        <v>0</v>
      </c>
      <c r="AK1138" s="1064">
        <f t="shared" si="87"/>
        <v>0</v>
      </c>
      <c r="AL1138" s="1064">
        <f t="shared" si="88"/>
        <v>0</v>
      </c>
      <c r="AM1138" s="1064">
        <f t="shared" si="89"/>
        <v>0</v>
      </c>
      <c r="AN1138" s="1064"/>
      <c r="AO1138" s="1064">
        <f>TB_curr[[#This Row],[Closing balance]]+TB_curr[[#This Row],[Rounding]]</f>
        <v>0</v>
      </c>
    </row>
    <row r="1139" spans="30:41" x14ac:dyDescent="0.25">
      <c r="AD1139" s="1067" t="str">
        <f t="shared" si="85"/>
        <v/>
      </c>
      <c r="AE1139" s="1063" t="str">
        <f>IF(ISNA(VLOOKUP(TB_curr[[#This Row],[Synt]],GL[[#Headers],[#Data],[subtotal label]],1,FALSE)),0,(VLOOKUP(TB_curr[[#This Row],[Synt]],GL[[#Headers],[#Data],[subtotal label]],1,FALSE)))</f>
        <v/>
      </c>
      <c r="AF1139" s="1063" t="e">
        <f>IF((TB_curr[[#This Row],[Synt]]-TB_curr[[#This Row],[Subtotal Y/N]])=0,0,VLOOKUP(TB_curr[[#This Row],[Synt]],GL[[Account]:[Line]],3,FALSE))</f>
        <v>#VALUE!</v>
      </c>
      <c r="AG1139" s="1063" t="e">
        <f>VLOOKUP(TB_curr[[#This Row],[Synt]],GL[[Account]:[B/P]],4,FALSE)</f>
        <v>#N/A</v>
      </c>
      <c r="AH1139" s="1066" t="e">
        <v>#VALUE!</v>
      </c>
      <c r="AI1139" s="1065" t="e">
        <f>TB_curr[[#This Row],[Synt]]&amp;TB_curr[[#This Row],[Line No. manual corr.]]</f>
        <v>#VALUE!</v>
      </c>
      <c r="AJ1139" s="1064">
        <f t="shared" si="86"/>
        <v>0</v>
      </c>
      <c r="AK1139" s="1064">
        <f t="shared" si="87"/>
        <v>0</v>
      </c>
      <c r="AL1139" s="1064">
        <f t="shared" si="88"/>
        <v>0</v>
      </c>
      <c r="AM1139" s="1064">
        <f t="shared" si="89"/>
        <v>0</v>
      </c>
      <c r="AN1139" s="1064"/>
      <c r="AO1139" s="1064">
        <f>TB_curr[[#This Row],[Closing balance]]+TB_curr[[#This Row],[Rounding]]</f>
        <v>0</v>
      </c>
    </row>
    <row r="1140" spans="30:41" x14ac:dyDescent="0.25">
      <c r="AD1140" s="1067" t="str">
        <f t="shared" si="85"/>
        <v/>
      </c>
      <c r="AE1140" s="1063" t="str">
        <f>IF(ISNA(VLOOKUP(TB_curr[[#This Row],[Synt]],GL[[#Headers],[#Data],[subtotal label]],1,FALSE)),0,(VLOOKUP(TB_curr[[#This Row],[Synt]],GL[[#Headers],[#Data],[subtotal label]],1,FALSE)))</f>
        <v/>
      </c>
      <c r="AF1140" s="1063" t="e">
        <f>IF((TB_curr[[#This Row],[Synt]]-TB_curr[[#This Row],[Subtotal Y/N]])=0,0,VLOOKUP(TB_curr[[#This Row],[Synt]],GL[[Account]:[Line]],3,FALSE))</f>
        <v>#VALUE!</v>
      </c>
      <c r="AG1140" s="1063" t="e">
        <f>VLOOKUP(TB_curr[[#This Row],[Synt]],GL[[Account]:[B/P]],4,FALSE)</f>
        <v>#N/A</v>
      </c>
      <c r="AH1140" s="1066" t="e">
        <v>#VALUE!</v>
      </c>
      <c r="AI1140" s="1065" t="e">
        <f>TB_curr[[#This Row],[Synt]]&amp;TB_curr[[#This Row],[Line No. manual corr.]]</f>
        <v>#VALUE!</v>
      </c>
      <c r="AJ1140" s="1064">
        <f t="shared" si="86"/>
        <v>0</v>
      </c>
      <c r="AK1140" s="1064">
        <f t="shared" si="87"/>
        <v>0</v>
      </c>
      <c r="AL1140" s="1064">
        <f t="shared" si="88"/>
        <v>0</v>
      </c>
      <c r="AM1140" s="1064">
        <f t="shared" si="89"/>
        <v>0</v>
      </c>
      <c r="AN1140" s="1064"/>
      <c r="AO1140" s="1064">
        <f>TB_curr[[#This Row],[Closing balance]]+TB_curr[[#This Row],[Rounding]]</f>
        <v>0</v>
      </c>
    </row>
    <row r="1141" spans="30:41" x14ac:dyDescent="0.25">
      <c r="AD1141" s="1067" t="str">
        <f t="shared" si="85"/>
        <v/>
      </c>
      <c r="AE1141" s="1063" t="str">
        <f>IF(ISNA(VLOOKUP(TB_curr[[#This Row],[Synt]],GL[[#Headers],[#Data],[subtotal label]],1,FALSE)),0,(VLOOKUP(TB_curr[[#This Row],[Synt]],GL[[#Headers],[#Data],[subtotal label]],1,FALSE)))</f>
        <v/>
      </c>
      <c r="AF1141" s="1063" t="e">
        <f>IF((TB_curr[[#This Row],[Synt]]-TB_curr[[#This Row],[Subtotal Y/N]])=0,0,VLOOKUP(TB_curr[[#This Row],[Synt]],GL[[Account]:[Line]],3,FALSE))</f>
        <v>#VALUE!</v>
      </c>
      <c r="AG1141" s="1063" t="e">
        <f>VLOOKUP(TB_curr[[#This Row],[Synt]],GL[[Account]:[B/P]],4,FALSE)</f>
        <v>#N/A</v>
      </c>
      <c r="AH1141" s="1066" t="e">
        <v>#VALUE!</v>
      </c>
      <c r="AI1141" s="1065" t="e">
        <f>TB_curr[[#This Row],[Synt]]&amp;TB_curr[[#This Row],[Line No. manual corr.]]</f>
        <v>#VALUE!</v>
      </c>
      <c r="AJ1141" s="1064">
        <f t="shared" si="86"/>
        <v>0</v>
      </c>
      <c r="AK1141" s="1064">
        <f t="shared" si="87"/>
        <v>0</v>
      </c>
      <c r="AL1141" s="1064">
        <f t="shared" si="88"/>
        <v>0</v>
      </c>
      <c r="AM1141" s="1064">
        <f t="shared" si="89"/>
        <v>0</v>
      </c>
      <c r="AN1141" s="1064"/>
      <c r="AO1141" s="1064">
        <f>TB_curr[[#This Row],[Closing balance]]+TB_curr[[#This Row],[Rounding]]</f>
        <v>0</v>
      </c>
    </row>
    <row r="1142" spans="30:41" x14ac:dyDescent="0.25">
      <c r="AD1142" s="1067" t="str">
        <f t="shared" si="85"/>
        <v/>
      </c>
      <c r="AE1142" s="1063" t="str">
        <f>IF(ISNA(VLOOKUP(TB_curr[[#This Row],[Synt]],GL[[#Headers],[#Data],[subtotal label]],1,FALSE)),0,(VLOOKUP(TB_curr[[#This Row],[Synt]],GL[[#Headers],[#Data],[subtotal label]],1,FALSE)))</f>
        <v/>
      </c>
      <c r="AF1142" s="1063" t="e">
        <f>IF((TB_curr[[#This Row],[Synt]]-TB_curr[[#This Row],[Subtotal Y/N]])=0,0,VLOOKUP(TB_curr[[#This Row],[Synt]],GL[[Account]:[Line]],3,FALSE))</f>
        <v>#VALUE!</v>
      </c>
      <c r="AG1142" s="1063" t="e">
        <f>VLOOKUP(TB_curr[[#This Row],[Synt]],GL[[Account]:[B/P]],4,FALSE)</f>
        <v>#N/A</v>
      </c>
      <c r="AH1142" s="1066" t="e">
        <v>#VALUE!</v>
      </c>
      <c r="AI1142" s="1065" t="e">
        <f>TB_curr[[#This Row],[Synt]]&amp;TB_curr[[#This Row],[Line No. manual corr.]]</f>
        <v>#VALUE!</v>
      </c>
      <c r="AJ1142" s="1064">
        <f t="shared" si="86"/>
        <v>0</v>
      </c>
      <c r="AK1142" s="1064">
        <f t="shared" si="87"/>
        <v>0</v>
      </c>
      <c r="AL1142" s="1064">
        <f t="shared" si="88"/>
        <v>0</v>
      </c>
      <c r="AM1142" s="1064">
        <f t="shared" si="89"/>
        <v>0</v>
      </c>
      <c r="AN1142" s="1064"/>
      <c r="AO1142" s="1064">
        <f>TB_curr[[#This Row],[Closing balance]]+TB_curr[[#This Row],[Rounding]]</f>
        <v>0</v>
      </c>
    </row>
    <row r="1143" spans="30:41" x14ac:dyDescent="0.25">
      <c r="AD1143" s="1067" t="str">
        <f t="shared" si="85"/>
        <v/>
      </c>
      <c r="AE1143" s="1063" t="str">
        <f>IF(ISNA(VLOOKUP(TB_curr[[#This Row],[Synt]],GL[[#Headers],[#Data],[subtotal label]],1,FALSE)),0,(VLOOKUP(TB_curr[[#This Row],[Synt]],GL[[#Headers],[#Data],[subtotal label]],1,FALSE)))</f>
        <v/>
      </c>
      <c r="AF1143" s="1063" t="e">
        <f>IF((TB_curr[[#This Row],[Synt]]-TB_curr[[#This Row],[Subtotal Y/N]])=0,0,VLOOKUP(TB_curr[[#This Row],[Synt]],GL[[Account]:[Line]],3,FALSE))</f>
        <v>#VALUE!</v>
      </c>
      <c r="AG1143" s="1063" t="e">
        <f>VLOOKUP(TB_curr[[#This Row],[Synt]],GL[[Account]:[B/P]],4,FALSE)</f>
        <v>#N/A</v>
      </c>
      <c r="AH1143" s="1066" t="e">
        <v>#VALUE!</v>
      </c>
      <c r="AI1143" s="1065" t="e">
        <f>TB_curr[[#This Row],[Synt]]&amp;TB_curr[[#This Row],[Line No. manual corr.]]</f>
        <v>#VALUE!</v>
      </c>
      <c r="AJ1143" s="1064">
        <f t="shared" si="86"/>
        <v>0</v>
      </c>
      <c r="AK1143" s="1064">
        <f t="shared" si="87"/>
        <v>0</v>
      </c>
      <c r="AL1143" s="1064">
        <f t="shared" si="88"/>
        <v>0</v>
      </c>
      <c r="AM1143" s="1064">
        <f t="shared" si="89"/>
        <v>0</v>
      </c>
      <c r="AN1143" s="1064"/>
      <c r="AO1143" s="1064">
        <f>TB_curr[[#This Row],[Closing balance]]+TB_curr[[#This Row],[Rounding]]</f>
        <v>0</v>
      </c>
    </row>
    <row r="1144" spans="30:41" x14ac:dyDescent="0.25">
      <c r="AD1144" s="1067" t="str">
        <f t="shared" si="85"/>
        <v/>
      </c>
      <c r="AE1144" s="1063" t="str">
        <f>IF(ISNA(VLOOKUP(TB_curr[[#This Row],[Synt]],GL[[#Headers],[#Data],[subtotal label]],1,FALSE)),0,(VLOOKUP(TB_curr[[#This Row],[Synt]],GL[[#Headers],[#Data],[subtotal label]],1,FALSE)))</f>
        <v/>
      </c>
      <c r="AF1144" s="1063" t="e">
        <f>IF((TB_curr[[#This Row],[Synt]]-TB_curr[[#This Row],[Subtotal Y/N]])=0,0,VLOOKUP(TB_curr[[#This Row],[Synt]],GL[[Account]:[Line]],3,FALSE))</f>
        <v>#VALUE!</v>
      </c>
      <c r="AG1144" s="1063" t="e">
        <f>VLOOKUP(TB_curr[[#This Row],[Synt]],GL[[Account]:[B/P]],4,FALSE)</f>
        <v>#N/A</v>
      </c>
      <c r="AH1144" s="1066" t="e">
        <v>#VALUE!</v>
      </c>
      <c r="AI1144" s="1065" t="e">
        <f>TB_curr[[#This Row],[Synt]]&amp;TB_curr[[#This Row],[Line No. manual corr.]]</f>
        <v>#VALUE!</v>
      </c>
      <c r="AJ1144" s="1064">
        <f t="shared" si="86"/>
        <v>0</v>
      </c>
      <c r="AK1144" s="1064">
        <f t="shared" si="87"/>
        <v>0</v>
      </c>
      <c r="AL1144" s="1064">
        <f t="shared" si="88"/>
        <v>0</v>
      </c>
      <c r="AM1144" s="1064">
        <f t="shared" si="89"/>
        <v>0</v>
      </c>
      <c r="AN1144" s="1064"/>
      <c r="AO1144" s="1064">
        <f>TB_curr[[#This Row],[Closing balance]]+TB_curr[[#This Row],[Rounding]]</f>
        <v>0</v>
      </c>
    </row>
    <row r="1145" spans="30:41" x14ac:dyDescent="0.25">
      <c r="AD1145" s="1067" t="str">
        <f t="shared" si="85"/>
        <v/>
      </c>
      <c r="AE1145" s="1063" t="str">
        <f>IF(ISNA(VLOOKUP(TB_curr[[#This Row],[Synt]],GL[[#Headers],[#Data],[subtotal label]],1,FALSE)),0,(VLOOKUP(TB_curr[[#This Row],[Synt]],GL[[#Headers],[#Data],[subtotal label]],1,FALSE)))</f>
        <v/>
      </c>
      <c r="AF1145" s="1063" t="e">
        <f>IF((TB_curr[[#This Row],[Synt]]-TB_curr[[#This Row],[Subtotal Y/N]])=0,0,VLOOKUP(TB_curr[[#This Row],[Synt]],GL[[Account]:[Line]],3,FALSE))</f>
        <v>#VALUE!</v>
      </c>
      <c r="AG1145" s="1063" t="e">
        <f>VLOOKUP(TB_curr[[#This Row],[Synt]],GL[[Account]:[B/P]],4,FALSE)</f>
        <v>#N/A</v>
      </c>
      <c r="AH1145" s="1066" t="e">
        <v>#VALUE!</v>
      </c>
      <c r="AI1145" s="1065" t="e">
        <f>TB_curr[[#This Row],[Synt]]&amp;TB_curr[[#This Row],[Line No. manual corr.]]</f>
        <v>#VALUE!</v>
      </c>
      <c r="AJ1145" s="1064">
        <f t="shared" si="86"/>
        <v>0</v>
      </c>
      <c r="AK1145" s="1064">
        <f t="shared" si="87"/>
        <v>0</v>
      </c>
      <c r="AL1145" s="1064">
        <f t="shared" si="88"/>
        <v>0</v>
      </c>
      <c r="AM1145" s="1064">
        <f t="shared" si="89"/>
        <v>0</v>
      </c>
      <c r="AN1145" s="1064"/>
      <c r="AO1145" s="1064">
        <f>TB_curr[[#This Row],[Closing balance]]+TB_curr[[#This Row],[Rounding]]</f>
        <v>0</v>
      </c>
    </row>
    <row r="1146" spans="30:41" x14ac:dyDescent="0.25">
      <c r="AD1146" s="1067" t="str">
        <f t="shared" si="85"/>
        <v/>
      </c>
      <c r="AE1146" s="1063" t="str">
        <f>IF(ISNA(VLOOKUP(TB_curr[[#This Row],[Synt]],GL[[#Headers],[#Data],[subtotal label]],1,FALSE)),0,(VLOOKUP(TB_curr[[#This Row],[Synt]],GL[[#Headers],[#Data],[subtotal label]],1,FALSE)))</f>
        <v/>
      </c>
      <c r="AF1146" s="1063" t="e">
        <f>IF((TB_curr[[#This Row],[Synt]]-TB_curr[[#This Row],[Subtotal Y/N]])=0,0,VLOOKUP(TB_curr[[#This Row],[Synt]],GL[[Account]:[Line]],3,FALSE))</f>
        <v>#VALUE!</v>
      </c>
      <c r="AG1146" s="1063" t="e">
        <f>VLOOKUP(TB_curr[[#This Row],[Synt]],GL[[Account]:[B/P]],4,FALSE)</f>
        <v>#N/A</v>
      </c>
      <c r="AH1146" s="1066" t="e">
        <v>#VALUE!</v>
      </c>
      <c r="AI1146" s="1065" t="e">
        <f>TB_curr[[#This Row],[Synt]]&amp;TB_curr[[#This Row],[Line No. manual corr.]]</f>
        <v>#VALUE!</v>
      </c>
      <c r="AJ1146" s="1064">
        <f t="shared" si="86"/>
        <v>0</v>
      </c>
      <c r="AK1146" s="1064">
        <f t="shared" si="87"/>
        <v>0</v>
      </c>
      <c r="AL1146" s="1064">
        <f t="shared" si="88"/>
        <v>0</v>
      </c>
      <c r="AM1146" s="1064">
        <f t="shared" si="89"/>
        <v>0</v>
      </c>
      <c r="AN1146" s="1064"/>
      <c r="AO1146" s="1064">
        <f>TB_curr[[#This Row],[Closing balance]]+TB_curr[[#This Row],[Rounding]]</f>
        <v>0</v>
      </c>
    </row>
    <row r="1147" spans="30:41" x14ac:dyDescent="0.25">
      <c r="AD1147" s="1067" t="str">
        <f t="shared" si="85"/>
        <v/>
      </c>
      <c r="AE1147" s="1063" t="str">
        <f>IF(ISNA(VLOOKUP(TB_curr[[#This Row],[Synt]],GL[[#Headers],[#Data],[subtotal label]],1,FALSE)),0,(VLOOKUP(TB_curr[[#This Row],[Synt]],GL[[#Headers],[#Data],[subtotal label]],1,FALSE)))</f>
        <v/>
      </c>
      <c r="AF1147" s="1063" t="e">
        <f>IF((TB_curr[[#This Row],[Synt]]-TB_curr[[#This Row],[Subtotal Y/N]])=0,0,VLOOKUP(TB_curr[[#This Row],[Synt]],GL[[Account]:[Line]],3,FALSE))</f>
        <v>#VALUE!</v>
      </c>
      <c r="AG1147" s="1063" t="e">
        <f>VLOOKUP(TB_curr[[#This Row],[Synt]],GL[[Account]:[B/P]],4,FALSE)</f>
        <v>#N/A</v>
      </c>
      <c r="AH1147" s="1066" t="e">
        <v>#VALUE!</v>
      </c>
      <c r="AI1147" s="1065" t="e">
        <f>TB_curr[[#This Row],[Synt]]&amp;TB_curr[[#This Row],[Line No. manual corr.]]</f>
        <v>#VALUE!</v>
      </c>
      <c r="AJ1147" s="1064">
        <f t="shared" si="86"/>
        <v>0</v>
      </c>
      <c r="AK1147" s="1064">
        <f t="shared" si="87"/>
        <v>0</v>
      </c>
      <c r="AL1147" s="1064">
        <f t="shared" si="88"/>
        <v>0</v>
      </c>
      <c r="AM1147" s="1064">
        <f t="shared" si="89"/>
        <v>0</v>
      </c>
      <c r="AN1147" s="1064"/>
      <c r="AO1147" s="1064">
        <f>TB_curr[[#This Row],[Closing balance]]+TB_curr[[#This Row],[Rounding]]</f>
        <v>0</v>
      </c>
    </row>
    <row r="1148" spans="30:41" x14ac:dyDescent="0.25">
      <c r="AD1148" s="1067" t="str">
        <f t="shared" si="85"/>
        <v/>
      </c>
      <c r="AE1148" s="1063" t="str">
        <f>IF(ISNA(VLOOKUP(TB_curr[[#This Row],[Synt]],GL[[#Headers],[#Data],[subtotal label]],1,FALSE)),0,(VLOOKUP(TB_curr[[#This Row],[Synt]],GL[[#Headers],[#Data],[subtotal label]],1,FALSE)))</f>
        <v/>
      </c>
      <c r="AF1148" s="1063" t="e">
        <f>IF((TB_curr[[#This Row],[Synt]]-TB_curr[[#This Row],[Subtotal Y/N]])=0,0,VLOOKUP(TB_curr[[#This Row],[Synt]],GL[[Account]:[Line]],3,FALSE))</f>
        <v>#VALUE!</v>
      </c>
      <c r="AG1148" s="1063" t="e">
        <f>VLOOKUP(TB_curr[[#This Row],[Synt]],GL[[Account]:[B/P]],4,FALSE)</f>
        <v>#N/A</v>
      </c>
      <c r="AH1148" s="1066" t="e">
        <v>#VALUE!</v>
      </c>
      <c r="AI1148" s="1065" t="e">
        <f>TB_curr[[#This Row],[Synt]]&amp;TB_curr[[#This Row],[Line No. manual corr.]]</f>
        <v>#VALUE!</v>
      </c>
      <c r="AJ1148" s="1064">
        <f t="shared" si="86"/>
        <v>0</v>
      </c>
      <c r="AK1148" s="1064">
        <f t="shared" si="87"/>
        <v>0</v>
      </c>
      <c r="AL1148" s="1064">
        <f t="shared" si="88"/>
        <v>0</v>
      </c>
      <c r="AM1148" s="1064">
        <f t="shared" si="89"/>
        <v>0</v>
      </c>
      <c r="AN1148" s="1064"/>
      <c r="AO1148" s="1064">
        <f>TB_curr[[#This Row],[Closing balance]]+TB_curr[[#This Row],[Rounding]]</f>
        <v>0</v>
      </c>
    </row>
    <row r="1149" spans="30:41" x14ac:dyDescent="0.25">
      <c r="AD1149" s="1067" t="str">
        <f t="shared" si="85"/>
        <v/>
      </c>
      <c r="AE1149" s="1063" t="str">
        <f>IF(ISNA(VLOOKUP(TB_curr[[#This Row],[Synt]],GL[[#Headers],[#Data],[subtotal label]],1,FALSE)),0,(VLOOKUP(TB_curr[[#This Row],[Synt]],GL[[#Headers],[#Data],[subtotal label]],1,FALSE)))</f>
        <v/>
      </c>
      <c r="AF1149" s="1063" t="e">
        <f>IF((TB_curr[[#This Row],[Synt]]-TB_curr[[#This Row],[Subtotal Y/N]])=0,0,VLOOKUP(TB_curr[[#This Row],[Synt]],GL[[Account]:[Line]],3,FALSE))</f>
        <v>#VALUE!</v>
      </c>
      <c r="AG1149" s="1063" t="e">
        <f>VLOOKUP(TB_curr[[#This Row],[Synt]],GL[[Account]:[B/P]],4,FALSE)</f>
        <v>#N/A</v>
      </c>
      <c r="AH1149" s="1066" t="e">
        <v>#VALUE!</v>
      </c>
      <c r="AI1149" s="1065" t="e">
        <f>TB_curr[[#This Row],[Synt]]&amp;TB_curr[[#This Row],[Line No. manual corr.]]</f>
        <v>#VALUE!</v>
      </c>
      <c r="AJ1149" s="1064">
        <f t="shared" si="86"/>
        <v>0</v>
      </c>
      <c r="AK1149" s="1064">
        <f t="shared" si="87"/>
        <v>0</v>
      </c>
      <c r="AL1149" s="1064">
        <f t="shared" si="88"/>
        <v>0</v>
      </c>
      <c r="AM1149" s="1064">
        <f t="shared" si="89"/>
        <v>0</v>
      </c>
      <c r="AN1149" s="1064"/>
      <c r="AO1149" s="1064">
        <f>TB_curr[[#This Row],[Closing balance]]+TB_curr[[#This Row],[Rounding]]</f>
        <v>0</v>
      </c>
    </row>
    <row r="1150" spans="30:41" x14ac:dyDescent="0.25">
      <c r="AD1150" s="1067" t="str">
        <f t="shared" si="85"/>
        <v/>
      </c>
      <c r="AE1150" s="1063" t="str">
        <f>IF(ISNA(VLOOKUP(TB_curr[[#This Row],[Synt]],GL[[#Headers],[#Data],[subtotal label]],1,FALSE)),0,(VLOOKUP(TB_curr[[#This Row],[Synt]],GL[[#Headers],[#Data],[subtotal label]],1,FALSE)))</f>
        <v/>
      </c>
      <c r="AF1150" s="1063" t="e">
        <f>IF((TB_curr[[#This Row],[Synt]]-TB_curr[[#This Row],[Subtotal Y/N]])=0,0,VLOOKUP(TB_curr[[#This Row],[Synt]],GL[[Account]:[Line]],3,FALSE))</f>
        <v>#VALUE!</v>
      </c>
      <c r="AG1150" s="1063" t="e">
        <f>VLOOKUP(TB_curr[[#This Row],[Synt]],GL[[Account]:[B/P]],4,FALSE)</f>
        <v>#N/A</v>
      </c>
      <c r="AH1150" s="1066" t="e">
        <v>#VALUE!</v>
      </c>
      <c r="AI1150" s="1065" t="e">
        <f>TB_curr[[#This Row],[Synt]]&amp;TB_curr[[#This Row],[Line No. manual corr.]]</f>
        <v>#VALUE!</v>
      </c>
      <c r="AJ1150" s="1064">
        <f t="shared" si="86"/>
        <v>0</v>
      </c>
      <c r="AK1150" s="1064">
        <f t="shared" si="87"/>
        <v>0</v>
      </c>
      <c r="AL1150" s="1064">
        <f t="shared" si="88"/>
        <v>0</v>
      </c>
      <c r="AM1150" s="1064">
        <f t="shared" si="89"/>
        <v>0</v>
      </c>
      <c r="AN1150" s="1064"/>
      <c r="AO1150" s="1064">
        <f>TB_curr[[#This Row],[Closing balance]]+TB_curr[[#This Row],[Rounding]]</f>
        <v>0</v>
      </c>
    </row>
    <row r="1151" spans="30:41" x14ac:dyDescent="0.25">
      <c r="AD1151" s="1067" t="str">
        <f t="shared" si="85"/>
        <v/>
      </c>
      <c r="AE1151" s="1063" t="str">
        <f>IF(ISNA(VLOOKUP(TB_curr[[#This Row],[Synt]],GL[[#Headers],[#Data],[subtotal label]],1,FALSE)),0,(VLOOKUP(TB_curr[[#This Row],[Synt]],GL[[#Headers],[#Data],[subtotal label]],1,FALSE)))</f>
        <v/>
      </c>
      <c r="AF1151" s="1063" t="e">
        <f>IF((TB_curr[[#This Row],[Synt]]-TB_curr[[#This Row],[Subtotal Y/N]])=0,0,VLOOKUP(TB_curr[[#This Row],[Synt]],GL[[Account]:[Line]],3,FALSE))</f>
        <v>#VALUE!</v>
      </c>
      <c r="AG1151" s="1063" t="e">
        <f>VLOOKUP(TB_curr[[#This Row],[Synt]],GL[[Account]:[B/P]],4,FALSE)</f>
        <v>#N/A</v>
      </c>
      <c r="AH1151" s="1066" t="e">
        <v>#VALUE!</v>
      </c>
      <c r="AI1151" s="1065" t="e">
        <f>TB_curr[[#This Row],[Synt]]&amp;TB_curr[[#This Row],[Line No. manual corr.]]</f>
        <v>#VALUE!</v>
      </c>
      <c r="AJ1151" s="1064">
        <f t="shared" si="86"/>
        <v>0</v>
      </c>
      <c r="AK1151" s="1064">
        <f t="shared" si="87"/>
        <v>0</v>
      </c>
      <c r="AL1151" s="1064">
        <f t="shared" si="88"/>
        <v>0</v>
      </c>
      <c r="AM1151" s="1064">
        <f t="shared" si="89"/>
        <v>0</v>
      </c>
      <c r="AN1151" s="1064"/>
      <c r="AO1151" s="1064">
        <f>TB_curr[[#This Row],[Closing balance]]+TB_curr[[#This Row],[Rounding]]</f>
        <v>0</v>
      </c>
    </row>
    <row r="1152" spans="30:41" x14ac:dyDescent="0.25">
      <c r="AD1152" s="1067" t="str">
        <f t="shared" si="85"/>
        <v/>
      </c>
      <c r="AE1152" s="1063" t="str">
        <f>IF(ISNA(VLOOKUP(TB_curr[[#This Row],[Synt]],GL[[#Headers],[#Data],[subtotal label]],1,FALSE)),0,(VLOOKUP(TB_curr[[#This Row],[Synt]],GL[[#Headers],[#Data],[subtotal label]],1,FALSE)))</f>
        <v/>
      </c>
      <c r="AF1152" s="1063" t="e">
        <f>IF((TB_curr[[#This Row],[Synt]]-TB_curr[[#This Row],[Subtotal Y/N]])=0,0,VLOOKUP(TB_curr[[#This Row],[Synt]],GL[[Account]:[Line]],3,FALSE))</f>
        <v>#VALUE!</v>
      </c>
      <c r="AG1152" s="1063" t="e">
        <f>VLOOKUP(TB_curr[[#This Row],[Synt]],GL[[Account]:[B/P]],4,FALSE)</f>
        <v>#N/A</v>
      </c>
      <c r="AH1152" s="1066" t="e">
        <v>#VALUE!</v>
      </c>
      <c r="AI1152" s="1065" t="e">
        <f>TB_curr[[#This Row],[Synt]]&amp;TB_curr[[#This Row],[Line No. manual corr.]]</f>
        <v>#VALUE!</v>
      </c>
      <c r="AJ1152" s="1064">
        <f t="shared" si="86"/>
        <v>0</v>
      </c>
      <c r="AK1152" s="1064">
        <f t="shared" si="87"/>
        <v>0</v>
      </c>
      <c r="AL1152" s="1064">
        <f t="shared" si="88"/>
        <v>0</v>
      </c>
      <c r="AM1152" s="1064">
        <f t="shared" si="89"/>
        <v>0</v>
      </c>
      <c r="AN1152" s="1064"/>
      <c r="AO1152" s="1064">
        <f>TB_curr[[#This Row],[Closing balance]]+TB_curr[[#This Row],[Rounding]]</f>
        <v>0</v>
      </c>
    </row>
    <row r="1153" spans="30:41" x14ac:dyDescent="0.25">
      <c r="AD1153" s="1067" t="str">
        <f t="shared" si="85"/>
        <v/>
      </c>
      <c r="AE1153" s="1063" t="str">
        <f>IF(ISNA(VLOOKUP(TB_curr[[#This Row],[Synt]],GL[[#Headers],[#Data],[subtotal label]],1,FALSE)),0,(VLOOKUP(TB_curr[[#This Row],[Synt]],GL[[#Headers],[#Data],[subtotal label]],1,FALSE)))</f>
        <v/>
      </c>
      <c r="AF1153" s="1063" t="e">
        <f>IF((TB_curr[[#This Row],[Synt]]-TB_curr[[#This Row],[Subtotal Y/N]])=0,0,VLOOKUP(TB_curr[[#This Row],[Synt]],GL[[Account]:[Line]],3,FALSE))</f>
        <v>#VALUE!</v>
      </c>
      <c r="AG1153" s="1063" t="e">
        <f>VLOOKUP(TB_curr[[#This Row],[Synt]],GL[[Account]:[B/P]],4,FALSE)</f>
        <v>#N/A</v>
      </c>
      <c r="AH1153" s="1066" t="e">
        <v>#VALUE!</v>
      </c>
      <c r="AI1153" s="1065" t="e">
        <f>TB_curr[[#This Row],[Synt]]&amp;TB_curr[[#This Row],[Line No. manual corr.]]</f>
        <v>#VALUE!</v>
      </c>
      <c r="AJ1153" s="1064">
        <f t="shared" si="86"/>
        <v>0</v>
      </c>
      <c r="AK1153" s="1064">
        <f t="shared" si="87"/>
        <v>0</v>
      </c>
      <c r="AL1153" s="1064">
        <f t="shared" si="88"/>
        <v>0</v>
      </c>
      <c r="AM1153" s="1064">
        <f t="shared" si="89"/>
        <v>0</v>
      </c>
      <c r="AN1153" s="1064"/>
      <c r="AO1153" s="1064">
        <f>TB_curr[[#This Row],[Closing balance]]+TB_curr[[#This Row],[Rounding]]</f>
        <v>0</v>
      </c>
    </row>
    <row r="1154" spans="30:41" x14ac:dyDescent="0.25">
      <c r="AD1154" s="1067" t="str">
        <f t="shared" si="85"/>
        <v/>
      </c>
      <c r="AE1154" s="1063" t="str">
        <f>IF(ISNA(VLOOKUP(TB_curr[[#This Row],[Synt]],GL[[#Headers],[#Data],[subtotal label]],1,FALSE)),0,(VLOOKUP(TB_curr[[#This Row],[Synt]],GL[[#Headers],[#Data],[subtotal label]],1,FALSE)))</f>
        <v/>
      </c>
      <c r="AF1154" s="1063" t="e">
        <f>IF((TB_curr[[#This Row],[Synt]]-TB_curr[[#This Row],[Subtotal Y/N]])=0,0,VLOOKUP(TB_curr[[#This Row],[Synt]],GL[[Account]:[Line]],3,FALSE))</f>
        <v>#VALUE!</v>
      </c>
      <c r="AG1154" s="1063" t="e">
        <f>VLOOKUP(TB_curr[[#This Row],[Synt]],GL[[Account]:[B/P]],4,FALSE)</f>
        <v>#N/A</v>
      </c>
      <c r="AH1154" s="1066" t="e">
        <v>#VALUE!</v>
      </c>
      <c r="AI1154" s="1065" t="e">
        <f>TB_curr[[#This Row],[Synt]]&amp;TB_curr[[#This Row],[Line No. manual corr.]]</f>
        <v>#VALUE!</v>
      </c>
      <c r="AJ1154" s="1064">
        <f t="shared" si="86"/>
        <v>0</v>
      </c>
      <c r="AK1154" s="1064">
        <f t="shared" si="87"/>
        <v>0</v>
      </c>
      <c r="AL1154" s="1064">
        <f t="shared" si="88"/>
        <v>0</v>
      </c>
      <c r="AM1154" s="1064">
        <f t="shared" si="89"/>
        <v>0</v>
      </c>
      <c r="AN1154" s="1064"/>
      <c r="AO1154" s="1064">
        <f>TB_curr[[#This Row],[Closing balance]]+TB_curr[[#This Row],[Rounding]]</f>
        <v>0</v>
      </c>
    </row>
    <row r="1155" spans="30:41" x14ac:dyDescent="0.25">
      <c r="AD1155" s="1067" t="str">
        <f t="shared" si="85"/>
        <v/>
      </c>
      <c r="AE1155" s="1063" t="str">
        <f>IF(ISNA(VLOOKUP(TB_curr[[#This Row],[Synt]],GL[[#Headers],[#Data],[subtotal label]],1,FALSE)),0,(VLOOKUP(TB_curr[[#This Row],[Synt]],GL[[#Headers],[#Data],[subtotal label]],1,FALSE)))</f>
        <v/>
      </c>
      <c r="AF1155" s="1063" t="e">
        <f>IF((TB_curr[[#This Row],[Synt]]-TB_curr[[#This Row],[Subtotal Y/N]])=0,0,VLOOKUP(TB_curr[[#This Row],[Synt]],GL[[Account]:[Line]],3,FALSE))</f>
        <v>#VALUE!</v>
      </c>
      <c r="AG1155" s="1063" t="e">
        <f>VLOOKUP(TB_curr[[#This Row],[Synt]],GL[[Account]:[B/P]],4,FALSE)</f>
        <v>#N/A</v>
      </c>
      <c r="AH1155" s="1066" t="e">
        <v>#VALUE!</v>
      </c>
      <c r="AI1155" s="1065" t="e">
        <f>TB_curr[[#This Row],[Synt]]&amp;TB_curr[[#This Row],[Line No. manual corr.]]</f>
        <v>#VALUE!</v>
      </c>
      <c r="AJ1155" s="1064">
        <f t="shared" si="86"/>
        <v>0</v>
      </c>
      <c r="AK1155" s="1064">
        <f t="shared" si="87"/>
        <v>0</v>
      </c>
      <c r="AL1155" s="1064">
        <f t="shared" si="88"/>
        <v>0</v>
      </c>
      <c r="AM1155" s="1064">
        <f t="shared" si="89"/>
        <v>0</v>
      </c>
      <c r="AN1155" s="1064"/>
      <c r="AO1155" s="1064">
        <f>TB_curr[[#This Row],[Closing balance]]+TB_curr[[#This Row],[Rounding]]</f>
        <v>0</v>
      </c>
    </row>
    <row r="1156" spans="30:41" x14ac:dyDescent="0.25">
      <c r="AD1156" s="1067" t="str">
        <f t="shared" si="85"/>
        <v/>
      </c>
      <c r="AE1156" s="1063" t="str">
        <f>IF(ISNA(VLOOKUP(TB_curr[[#This Row],[Synt]],GL[[#Headers],[#Data],[subtotal label]],1,FALSE)),0,(VLOOKUP(TB_curr[[#This Row],[Synt]],GL[[#Headers],[#Data],[subtotal label]],1,FALSE)))</f>
        <v/>
      </c>
      <c r="AF1156" s="1063" t="e">
        <f>IF((TB_curr[[#This Row],[Synt]]-TB_curr[[#This Row],[Subtotal Y/N]])=0,0,VLOOKUP(TB_curr[[#This Row],[Synt]],GL[[Account]:[Line]],3,FALSE))</f>
        <v>#VALUE!</v>
      </c>
      <c r="AG1156" s="1063" t="e">
        <f>VLOOKUP(TB_curr[[#This Row],[Synt]],GL[[Account]:[B/P]],4,FALSE)</f>
        <v>#N/A</v>
      </c>
      <c r="AH1156" s="1066" t="e">
        <v>#VALUE!</v>
      </c>
      <c r="AI1156" s="1065" t="e">
        <f>TB_curr[[#This Row],[Synt]]&amp;TB_curr[[#This Row],[Line No. manual corr.]]</f>
        <v>#VALUE!</v>
      </c>
      <c r="AJ1156" s="1064">
        <f t="shared" si="86"/>
        <v>0</v>
      </c>
      <c r="AK1156" s="1064">
        <f t="shared" si="87"/>
        <v>0</v>
      </c>
      <c r="AL1156" s="1064">
        <f t="shared" si="88"/>
        <v>0</v>
      </c>
      <c r="AM1156" s="1064">
        <f t="shared" si="89"/>
        <v>0</v>
      </c>
      <c r="AN1156" s="1064"/>
      <c r="AO1156" s="1064">
        <f>TB_curr[[#This Row],[Closing balance]]+TB_curr[[#This Row],[Rounding]]</f>
        <v>0</v>
      </c>
    </row>
    <row r="1157" spans="30:41" x14ac:dyDescent="0.25">
      <c r="AD1157" s="1067" t="str">
        <f t="shared" si="85"/>
        <v/>
      </c>
      <c r="AE1157" s="1063" t="str">
        <f>IF(ISNA(VLOOKUP(TB_curr[[#This Row],[Synt]],GL[[#Headers],[#Data],[subtotal label]],1,FALSE)),0,(VLOOKUP(TB_curr[[#This Row],[Synt]],GL[[#Headers],[#Data],[subtotal label]],1,FALSE)))</f>
        <v/>
      </c>
      <c r="AF1157" s="1063" t="e">
        <f>IF((TB_curr[[#This Row],[Synt]]-TB_curr[[#This Row],[Subtotal Y/N]])=0,0,VLOOKUP(TB_curr[[#This Row],[Synt]],GL[[Account]:[Line]],3,FALSE))</f>
        <v>#VALUE!</v>
      </c>
      <c r="AG1157" s="1063" t="e">
        <f>VLOOKUP(TB_curr[[#This Row],[Synt]],GL[[Account]:[B/P]],4,FALSE)</f>
        <v>#N/A</v>
      </c>
      <c r="AH1157" s="1066" t="e">
        <v>#VALUE!</v>
      </c>
      <c r="AI1157" s="1065" t="e">
        <f>TB_curr[[#This Row],[Synt]]&amp;TB_curr[[#This Row],[Line No. manual corr.]]</f>
        <v>#VALUE!</v>
      </c>
      <c r="AJ1157" s="1064">
        <f t="shared" si="86"/>
        <v>0</v>
      </c>
      <c r="AK1157" s="1064">
        <f t="shared" si="87"/>
        <v>0</v>
      </c>
      <c r="AL1157" s="1064">
        <f t="shared" si="88"/>
        <v>0</v>
      </c>
      <c r="AM1157" s="1064">
        <f t="shared" si="89"/>
        <v>0</v>
      </c>
      <c r="AN1157" s="1064"/>
      <c r="AO1157" s="1064">
        <f>TB_curr[[#This Row],[Closing balance]]+TB_curr[[#This Row],[Rounding]]</f>
        <v>0</v>
      </c>
    </row>
    <row r="1158" spans="30:41" x14ac:dyDescent="0.25">
      <c r="AD1158" s="1067" t="str">
        <f t="shared" si="85"/>
        <v/>
      </c>
      <c r="AE1158" s="1063" t="str">
        <f>IF(ISNA(VLOOKUP(TB_curr[[#This Row],[Synt]],GL[[#Headers],[#Data],[subtotal label]],1,FALSE)),0,(VLOOKUP(TB_curr[[#This Row],[Synt]],GL[[#Headers],[#Data],[subtotal label]],1,FALSE)))</f>
        <v/>
      </c>
      <c r="AF1158" s="1063" t="e">
        <f>IF((TB_curr[[#This Row],[Synt]]-TB_curr[[#This Row],[Subtotal Y/N]])=0,0,VLOOKUP(TB_curr[[#This Row],[Synt]],GL[[Account]:[Line]],3,FALSE))</f>
        <v>#VALUE!</v>
      </c>
      <c r="AG1158" s="1063" t="e">
        <f>VLOOKUP(TB_curr[[#This Row],[Synt]],GL[[Account]:[B/P]],4,FALSE)</f>
        <v>#N/A</v>
      </c>
      <c r="AH1158" s="1066" t="e">
        <v>#VALUE!</v>
      </c>
      <c r="AI1158" s="1065" t="e">
        <f>TB_curr[[#This Row],[Synt]]&amp;TB_curr[[#This Row],[Line No. manual corr.]]</f>
        <v>#VALUE!</v>
      </c>
      <c r="AJ1158" s="1064">
        <f t="shared" si="86"/>
        <v>0</v>
      </c>
      <c r="AK1158" s="1064">
        <f t="shared" si="87"/>
        <v>0</v>
      </c>
      <c r="AL1158" s="1064">
        <f t="shared" si="88"/>
        <v>0</v>
      </c>
      <c r="AM1158" s="1064">
        <f t="shared" si="89"/>
        <v>0</v>
      </c>
      <c r="AN1158" s="1064"/>
      <c r="AO1158" s="1064">
        <f>TB_curr[[#This Row],[Closing balance]]+TB_curr[[#This Row],[Rounding]]</f>
        <v>0</v>
      </c>
    </row>
    <row r="1159" spans="30:41" x14ac:dyDescent="0.25">
      <c r="AD1159" s="1067" t="str">
        <f t="shared" si="85"/>
        <v/>
      </c>
      <c r="AE1159" s="1063" t="str">
        <f>IF(ISNA(VLOOKUP(TB_curr[[#This Row],[Synt]],GL[[#Headers],[#Data],[subtotal label]],1,FALSE)),0,(VLOOKUP(TB_curr[[#This Row],[Synt]],GL[[#Headers],[#Data],[subtotal label]],1,FALSE)))</f>
        <v/>
      </c>
      <c r="AF1159" s="1063" t="e">
        <f>IF((TB_curr[[#This Row],[Synt]]-TB_curr[[#This Row],[Subtotal Y/N]])=0,0,VLOOKUP(TB_curr[[#This Row],[Synt]],GL[[Account]:[Line]],3,FALSE))</f>
        <v>#VALUE!</v>
      </c>
      <c r="AG1159" s="1063" t="e">
        <f>VLOOKUP(TB_curr[[#This Row],[Synt]],GL[[Account]:[B/P]],4,FALSE)</f>
        <v>#N/A</v>
      </c>
      <c r="AH1159" s="1066" t="e">
        <v>#VALUE!</v>
      </c>
      <c r="AI1159" s="1065" t="e">
        <f>TB_curr[[#This Row],[Synt]]&amp;TB_curr[[#This Row],[Line No. manual corr.]]</f>
        <v>#VALUE!</v>
      </c>
      <c r="AJ1159" s="1064">
        <f t="shared" si="86"/>
        <v>0</v>
      </c>
      <c r="AK1159" s="1064">
        <f t="shared" si="87"/>
        <v>0</v>
      </c>
      <c r="AL1159" s="1064">
        <f t="shared" si="88"/>
        <v>0</v>
      </c>
      <c r="AM1159" s="1064">
        <f t="shared" si="89"/>
        <v>0</v>
      </c>
      <c r="AN1159" s="1064"/>
      <c r="AO1159" s="1064">
        <f>TB_curr[[#This Row],[Closing balance]]+TB_curr[[#This Row],[Rounding]]</f>
        <v>0</v>
      </c>
    </row>
    <row r="1160" spans="30:41" x14ac:dyDescent="0.25">
      <c r="AD1160" s="1067" t="str">
        <f t="shared" ref="AD1160:AD1223" si="90">LEFT(B1160,3)</f>
        <v/>
      </c>
      <c r="AE1160" s="1063" t="str">
        <f>IF(ISNA(VLOOKUP(TB_curr[[#This Row],[Synt]],GL[[#Headers],[#Data],[subtotal label]],1,FALSE)),0,(VLOOKUP(TB_curr[[#This Row],[Synt]],GL[[#Headers],[#Data],[subtotal label]],1,FALSE)))</f>
        <v/>
      </c>
      <c r="AF1160" s="1063" t="e">
        <f>IF((TB_curr[[#This Row],[Synt]]-TB_curr[[#This Row],[Subtotal Y/N]])=0,0,VLOOKUP(TB_curr[[#This Row],[Synt]],GL[[Account]:[Line]],3,FALSE))</f>
        <v>#VALUE!</v>
      </c>
      <c r="AG1160" s="1063" t="e">
        <f>VLOOKUP(TB_curr[[#This Row],[Synt]],GL[[Account]:[B/P]],4,FALSE)</f>
        <v>#N/A</v>
      </c>
      <c r="AH1160" s="1066" t="e">
        <v>#VALUE!</v>
      </c>
      <c r="AI1160" s="1065" t="e">
        <f>TB_curr[[#This Row],[Synt]]&amp;TB_curr[[#This Row],[Line No. manual corr.]]</f>
        <v>#VALUE!</v>
      </c>
      <c r="AJ1160" s="1064">
        <f t="shared" ref="AJ1160:AJ1223" si="91">K1160-N1160</f>
        <v>0</v>
      </c>
      <c r="AK1160" s="1064">
        <f t="shared" ref="AK1160:AK1223" si="92">Q1160</f>
        <v>0</v>
      </c>
      <c r="AL1160" s="1064">
        <f t="shared" ref="AL1160:AL1223" si="93">U1160</f>
        <v>0</v>
      </c>
      <c r="AM1160" s="1064">
        <f t="shared" ref="AM1160:AM1223" si="94">X1160-AB1160</f>
        <v>0</v>
      </c>
      <c r="AN1160" s="1064"/>
      <c r="AO1160" s="1064">
        <f>TB_curr[[#This Row],[Closing balance]]+TB_curr[[#This Row],[Rounding]]</f>
        <v>0</v>
      </c>
    </row>
    <row r="1161" spans="30:41" x14ac:dyDescent="0.25">
      <c r="AD1161" s="1067" t="str">
        <f t="shared" si="90"/>
        <v/>
      </c>
      <c r="AE1161" s="1063" t="str">
        <f>IF(ISNA(VLOOKUP(TB_curr[[#This Row],[Synt]],GL[[#Headers],[#Data],[subtotal label]],1,FALSE)),0,(VLOOKUP(TB_curr[[#This Row],[Synt]],GL[[#Headers],[#Data],[subtotal label]],1,FALSE)))</f>
        <v/>
      </c>
      <c r="AF1161" s="1063" t="e">
        <f>IF((TB_curr[[#This Row],[Synt]]-TB_curr[[#This Row],[Subtotal Y/N]])=0,0,VLOOKUP(TB_curr[[#This Row],[Synt]],GL[[Account]:[Line]],3,FALSE))</f>
        <v>#VALUE!</v>
      </c>
      <c r="AG1161" s="1063" t="e">
        <f>VLOOKUP(TB_curr[[#This Row],[Synt]],GL[[Account]:[B/P]],4,FALSE)</f>
        <v>#N/A</v>
      </c>
      <c r="AH1161" s="1066" t="e">
        <v>#VALUE!</v>
      </c>
      <c r="AI1161" s="1065" t="e">
        <f>TB_curr[[#This Row],[Synt]]&amp;TB_curr[[#This Row],[Line No. manual corr.]]</f>
        <v>#VALUE!</v>
      </c>
      <c r="AJ1161" s="1064">
        <f t="shared" si="91"/>
        <v>0</v>
      </c>
      <c r="AK1161" s="1064">
        <f t="shared" si="92"/>
        <v>0</v>
      </c>
      <c r="AL1161" s="1064">
        <f t="shared" si="93"/>
        <v>0</v>
      </c>
      <c r="AM1161" s="1064">
        <f t="shared" si="94"/>
        <v>0</v>
      </c>
      <c r="AN1161" s="1064"/>
      <c r="AO1161" s="1064">
        <f>TB_curr[[#This Row],[Closing balance]]+TB_curr[[#This Row],[Rounding]]</f>
        <v>0</v>
      </c>
    </row>
    <row r="1162" spans="30:41" x14ac:dyDescent="0.25">
      <c r="AD1162" s="1067" t="str">
        <f t="shared" si="90"/>
        <v/>
      </c>
      <c r="AE1162" s="1063" t="str">
        <f>IF(ISNA(VLOOKUP(TB_curr[[#This Row],[Synt]],GL[[#Headers],[#Data],[subtotal label]],1,FALSE)),0,(VLOOKUP(TB_curr[[#This Row],[Synt]],GL[[#Headers],[#Data],[subtotal label]],1,FALSE)))</f>
        <v/>
      </c>
      <c r="AF1162" s="1063" t="e">
        <f>IF((TB_curr[[#This Row],[Synt]]-TB_curr[[#This Row],[Subtotal Y/N]])=0,0,VLOOKUP(TB_curr[[#This Row],[Synt]],GL[[Account]:[Line]],3,FALSE))</f>
        <v>#VALUE!</v>
      </c>
      <c r="AG1162" s="1063" t="e">
        <f>VLOOKUP(TB_curr[[#This Row],[Synt]],GL[[Account]:[B/P]],4,FALSE)</f>
        <v>#N/A</v>
      </c>
      <c r="AH1162" s="1066" t="e">
        <v>#VALUE!</v>
      </c>
      <c r="AI1162" s="1065" t="e">
        <f>TB_curr[[#This Row],[Synt]]&amp;TB_curr[[#This Row],[Line No. manual corr.]]</f>
        <v>#VALUE!</v>
      </c>
      <c r="AJ1162" s="1064">
        <f t="shared" si="91"/>
        <v>0</v>
      </c>
      <c r="AK1162" s="1064">
        <f t="shared" si="92"/>
        <v>0</v>
      </c>
      <c r="AL1162" s="1064">
        <f t="shared" si="93"/>
        <v>0</v>
      </c>
      <c r="AM1162" s="1064">
        <f t="shared" si="94"/>
        <v>0</v>
      </c>
      <c r="AN1162" s="1064"/>
      <c r="AO1162" s="1064">
        <f>TB_curr[[#This Row],[Closing balance]]+TB_curr[[#This Row],[Rounding]]</f>
        <v>0</v>
      </c>
    </row>
    <row r="1163" spans="30:41" x14ac:dyDescent="0.25">
      <c r="AD1163" s="1067" t="str">
        <f t="shared" si="90"/>
        <v/>
      </c>
      <c r="AE1163" s="1063" t="str">
        <f>IF(ISNA(VLOOKUP(TB_curr[[#This Row],[Synt]],GL[[#Headers],[#Data],[subtotal label]],1,FALSE)),0,(VLOOKUP(TB_curr[[#This Row],[Synt]],GL[[#Headers],[#Data],[subtotal label]],1,FALSE)))</f>
        <v/>
      </c>
      <c r="AF1163" s="1063" t="e">
        <f>IF((TB_curr[[#This Row],[Synt]]-TB_curr[[#This Row],[Subtotal Y/N]])=0,0,VLOOKUP(TB_curr[[#This Row],[Synt]],GL[[Account]:[Line]],3,FALSE))</f>
        <v>#VALUE!</v>
      </c>
      <c r="AG1163" s="1063" t="e">
        <f>VLOOKUP(TB_curr[[#This Row],[Synt]],GL[[Account]:[B/P]],4,FALSE)</f>
        <v>#N/A</v>
      </c>
      <c r="AH1163" s="1066" t="e">
        <v>#VALUE!</v>
      </c>
      <c r="AI1163" s="1065" t="e">
        <f>TB_curr[[#This Row],[Synt]]&amp;TB_curr[[#This Row],[Line No. manual corr.]]</f>
        <v>#VALUE!</v>
      </c>
      <c r="AJ1163" s="1064">
        <f t="shared" si="91"/>
        <v>0</v>
      </c>
      <c r="AK1163" s="1064">
        <f t="shared" si="92"/>
        <v>0</v>
      </c>
      <c r="AL1163" s="1064">
        <f t="shared" si="93"/>
        <v>0</v>
      </c>
      <c r="AM1163" s="1064">
        <f t="shared" si="94"/>
        <v>0</v>
      </c>
      <c r="AN1163" s="1064"/>
      <c r="AO1163" s="1064">
        <f>TB_curr[[#This Row],[Closing balance]]+TB_curr[[#This Row],[Rounding]]</f>
        <v>0</v>
      </c>
    </row>
    <row r="1164" spans="30:41" x14ac:dyDescent="0.25">
      <c r="AD1164" s="1067" t="str">
        <f t="shared" si="90"/>
        <v/>
      </c>
      <c r="AE1164" s="1063" t="str">
        <f>IF(ISNA(VLOOKUP(TB_curr[[#This Row],[Synt]],GL[[#Headers],[#Data],[subtotal label]],1,FALSE)),0,(VLOOKUP(TB_curr[[#This Row],[Synt]],GL[[#Headers],[#Data],[subtotal label]],1,FALSE)))</f>
        <v/>
      </c>
      <c r="AF1164" s="1063" t="e">
        <f>IF((TB_curr[[#This Row],[Synt]]-TB_curr[[#This Row],[Subtotal Y/N]])=0,0,VLOOKUP(TB_curr[[#This Row],[Synt]],GL[[Account]:[Line]],3,FALSE))</f>
        <v>#VALUE!</v>
      </c>
      <c r="AG1164" s="1063" t="e">
        <f>VLOOKUP(TB_curr[[#This Row],[Synt]],GL[[Account]:[B/P]],4,FALSE)</f>
        <v>#N/A</v>
      </c>
      <c r="AH1164" s="1066" t="e">
        <v>#VALUE!</v>
      </c>
      <c r="AI1164" s="1065" t="e">
        <f>TB_curr[[#This Row],[Synt]]&amp;TB_curr[[#This Row],[Line No. manual corr.]]</f>
        <v>#VALUE!</v>
      </c>
      <c r="AJ1164" s="1064">
        <f t="shared" si="91"/>
        <v>0</v>
      </c>
      <c r="AK1164" s="1064">
        <f t="shared" si="92"/>
        <v>0</v>
      </c>
      <c r="AL1164" s="1064">
        <f t="shared" si="93"/>
        <v>0</v>
      </c>
      <c r="AM1164" s="1064">
        <f t="shared" si="94"/>
        <v>0</v>
      </c>
      <c r="AN1164" s="1064"/>
      <c r="AO1164" s="1064">
        <f>TB_curr[[#This Row],[Closing balance]]+TB_curr[[#This Row],[Rounding]]</f>
        <v>0</v>
      </c>
    </row>
    <row r="1165" spans="30:41" x14ac:dyDescent="0.25">
      <c r="AD1165" s="1067" t="str">
        <f t="shared" si="90"/>
        <v/>
      </c>
      <c r="AE1165" s="1063" t="str">
        <f>IF(ISNA(VLOOKUP(TB_curr[[#This Row],[Synt]],GL[[#Headers],[#Data],[subtotal label]],1,FALSE)),0,(VLOOKUP(TB_curr[[#This Row],[Synt]],GL[[#Headers],[#Data],[subtotal label]],1,FALSE)))</f>
        <v/>
      </c>
      <c r="AF1165" s="1063" t="e">
        <f>IF((TB_curr[[#This Row],[Synt]]-TB_curr[[#This Row],[Subtotal Y/N]])=0,0,VLOOKUP(TB_curr[[#This Row],[Synt]],GL[[Account]:[Line]],3,FALSE))</f>
        <v>#VALUE!</v>
      </c>
      <c r="AG1165" s="1063" t="e">
        <f>VLOOKUP(TB_curr[[#This Row],[Synt]],GL[[Account]:[B/P]],4,FALSE)</f>
        <v>#N/A</v>
      </c>
      <c r="AH1165" s="1066" t="e">
        <v>#VALUE!</v>
      </c>
      <c r="AI1165" s="1065" t="e">
        <f>TB_curr[[#This Row],[Synt]]&amp;TB_curr[[#This Row],[Line No. manual corr.]]</f>
        <v>#VALUE!</v>
      </c>
      <c r="AJ1165" s="1064">
        <f t="shared" si="91"/>
        <v>0</v>
      </c>
      <c r="AK1165" s="1064">
        <f t="shared" si="92"/>
        <v>0</v>
      </c>
      <c r="AL1165" s="1064">
        <f t="shared" si="93"/>
        <v>0</v>
      </c>
      <c r="AM1165" s="1064">
        <f t="shared" si="94"/>
        <v>0</v>
      </c>
      <c r="AN1165" s="1064"/>
      <c r="AO1165" s="1064">
        <f>TB_curr[[#This Row],[Closing balance]]+TB_curr[[#This Row],[Rounding]]</f>
        <v>0</v>
      </c>
    </row>
    <row r="1166" spans="30:41" x14ac:dyDescent="0.25">
      <c r="AD1166" s="1067" t="str">
        <f t="shared" si="90"/>
        <v/>
      </c>
      <c r="AE1166" s="1063" t="str">
        <f>IF(ISNA(VLOOKUP(TB_curr[[#This Row],[Synt]],GL[[#Headers],[#Data],[subtotal label]],1,FALSE)),0,(VLOOKUP(TB_curr[[#This Row],[Synt]],GL[[#Headers],[#Data],[subtotal label]],1,FALSE)))</f>
        <v/>
      </c>
      <c r="AF1166" s="1063" t="e">
        <f>IF((TB_curr[[#This Row],[Synt]]-TB_curr[[#This Row],[Subtotal Y/N]])=0,0,VLOOKUP(TB_curr[[#This Row],[Synt]],GL[[Account]:[Line]],3,FALSE))</f>
        <v>#VALUE!</v>
      </c>
      <c r="AG1166" s="1063" t="e">
        <f>VLOOKUP(TB_curr[[#This Row],[Synt]],GL[[Account]:[B/P]],4,FALSE)</f>
        <v>#N/A</v>
      </c>
      <c r="AH1166" s="1066" t="e">
        <v>#VALUE!</v>
      </c>
      <c r="AI1166" s="1065" t="e">
        <f>TB_curr[[#This Row],[Synt]]&amp;TB_curr[[#This Row],[Line No. manual corr.]]</f>
        <v>#VALUE!</v>
      </c>
      <c r="AJ1166" s="1064">
        <f t="shared" si="91"/>
        <v>0</v>
      </c>
      <c r="AK1166" s="1064">
        <f t="shared" si="92"/>
        <v>0</v>
      </c>
      <c r="AL1166" s="1064">
        <f t="shared" si="93"/>
        <v>0</v>
      </c>
      <c r="AM1166" s="1064">
        <f t="shared" si="94"/>
        <v>0</v>
      </c>
      <c r="AN1166" s="1064"/>
      <c r="AO1166" s="1064">
        <f>TB_curr[[#This Row],[Closing balance]]+TB_curr[[#This Row],[Rounding]]</f>
        <v>0</v>
      </c>
    </row>
    <row r="1167" spans="30:41" x14ac:dyDescent="0.25">
      <c r="AD1167" s="1067" t="str">
        <f t="shared" si="90"/>
        <v/>
      </c>
      <c r="AE1167" s="1063" t="str">
        <f>IF(ISNA(VLOOKUP(TB_curr[[#This Row],[Synt]],GL[[#Headers],[#Data],[subtotal label]],1,FALSE)),0,(VLOOKUP(TB_curr[[#This Row],[Synt]],GL[[#Headers],[#Data],[subtotal label]],1,FALSE)))</f>
        <v/>
      </c>
      <c r="AF1167" s="1063" t="e">
        <f>IF((TB_curr[[#This Row],[Synt]]-TB_curr[[#This Row],[Subtotal Y/N]])=0,0,VLOOKUP(TB_curr[[#This Row],[Synt]],GL[[Account]:[Line]],3,FALSE))</f>
        <v>#VALUE!</v>
      </c>
      <c r="AG1167" s="1063" t="e">
        <f>VLOOKUP(TB_curr[[#This Row],[Synt]],GL[[Account]:[B/P]],4,FALSE)</f>
        <v>#N/A</v>
      </c>
      <c r="AH1167" s="1066" t="e">
        <v>#VALUE!</v>
      </c>
      <c r="AI1167" s="1065" t="e">
        <f>TB_curr[[#This Row],[Synt]]&amp;TB_curr[[#This Row],[Line No. manual corr.]]</f>
        <v>#VALUE!</v>
      </c>
      <c r="AJ1167" s="1064">
        <f t="shared" si="91"/>
        <v>0</v>
      </c>
      <c r="AK1167" s="1064">
        <f t="shared" si="92"/>
        <v>0</v>
      </c>
      <c r="AL1167" s="1064">
        <f t="shared" si="93"/>
        <v>0</v>
      </c>
      <c r="AM1167" s="1064">
        <f t="shared" si="94"/>
        <v>0</v>
      </c>
      <c r="AN1167" s="1064"/>
      <c r="AO1167" s="1064">
        <f>TB_curr[[#This Row],[Closing balance]]+TB_curr[[#This Row],[Rounding]]</f>
        <v>0</v>
      </c>
    </row>
    <row r="1168" spans="30:41" x14ac:dyDescent="0.25">
      <c r="AD1168" s="1067" t="str">
        <f t="shared" si="90"/>
        <v/>
      </c>
      <c r="AE1168" s="1063" t="str">
        <f>IF(ISNA(VLOOKUP(TB_curr[[#This Row],[Synt]],GL[[#Headers],[#Data],[subtotal label]],1,FALSE)),0,(VLOOKUP(TB_curr[[#This Row],[Synt]],GL[[#Headers],[#Data],[subtotal label]],1,FALSE)))</f>
        <v/>
      </c>
      <c r="AF1168" s="1063" t="e">
        <f>IF((TB_curr[[#This Row],[Synt]]-TB_curr[[#This Row],[Subtotal Y/N]])=0,0,VLOOKUP(TB_curr[[#This Row],[Synt]],GL[[Account]:[Line]],3,FALSE))</f>
        <v>#VALUE!</v>
      </c>
      <c r="AG1168" s="1063" t="e">
        <f>VLOOKUP(TB_curr[[#This Row],[Synt]],GL[[Account]:[B/P]],4,FALSE)</f>
        <v>#N/A</v>
      </c>
      <c r="AH1168" s="1066" t="e">
        <v>#VALUE!</v>
      </c>
      <c r="AI1168" s="1065" t="e">
        <f>TB_curr[[#This Row],[Synt]]&amp;TB_curr[[#This Row],[Line No. manual corr.]]</f>
        <v>#VALUE!</v>
      </c>
      <c r="AJ1168" s="1064">
        <f t="shared" si="91"/>
        <v>0</v>
      </c>
      <c r="AK1168" s="1064">
        <f t="shared" si="92"/>
        <v>0</v>
      </c>
      <c r="AL1168" s="1064">
        <f t="shared" si="93"/>
        <v>0</v>
      </c>
      <c r="AM1168" s="1064">
        <f t="shared" si="94"/>
        <v>0</v>
      </c>
      <c r="AN1168" s="1064"/>
      <c r="AO1168" s="1064">
        <f>TB_curr[[#This Row],[Closing balance]]+TB_curr[[#This Row],[Rounding]]</f>
        <v>0</v>
      </c>
    </row>
    <row r="1169" spans="30:41" x14ac:dyDescent="0.25">
      <c r="AD1169" s="1067" t="str">
        <f t="shared" si="90"/>
        <v/>
      </c>
      <c r="AE1169" s="1063" t="str">
        <f>IF(ISNA(VLOOKUP(TB_curr[[#This Row],[Synt]],GL[[#Headers],[#Data],[subtotal label]],1,FALSE)),0,(VLOOKUP(TB_curr[[#This Row],[Synt]],GL[[#Headers],[#Data],[subtotal label]],1,FALSE)))</f>
        <v/>
      </c>
      <c r="AF1169" s="1063" t="e">
        <f>IF((TB_curr[[#This Row],[Synt]]-TB_curr[[#This Row],[Subtotal Y/N]])=0,0,VLOOKUP(TB_curr[[#This Row],[Synt]],GL[[Account]:[Line]],3,FALSE))</f>
        <v>#VALUE!</v>
      </c>
      <c r="AG1169" s="1063" t="e">
        <f>VLOOKUP(TB_curr[[#This Row],[Synt]],GL[[Account]:[B/P]],4,FALSE)</f>
        <v>#N/A</v>
      </c>
      <c r="AH1169" s="1066" t="e">
        <v>#VALUE!</v>
      </c>
      <c r="AI1169" s="1065" t="e">
        <f>TB_curr[[#This Row],[Synt]]&amp;TB_curr[[#This Row],[Line No. manual corr.]]</f>
        <v>#VALUE!</v>
      </c>
      <c r="AJ1169" s="1064">
        <f t="shared" si="91"/>
        <v>0</v>
      </c>
      <c r="AK1169" s="1064">
        <f t="shared" si="92"/>
        <v>0</v>
      </c>
      <c r="AL1169" s="1064">
        <f t="shared" si="93"/>
        <v>0</v>
      </c>
      <c r="AM1169" s="1064">
        <f t="shared" si="94"/>
        <v>0</v>
      </c>
      <c r="AN1169" s="1064"/>
      <c r="AO1169" s="1064">
        <f>TB_curr[[#This Row],[Closing balance]]+TB_curr[[#This Row],[Rounding]]</f>
        <v>0</v>
      </c>
    </row>
    <row r="1170" spans="30:41" x14ac:dyDescent="0.25">
      <c r="AD1170" s="1067" t="str">
        <f t="shared" si="90"/>
        <v/>
      </c>
      <c r="AE1170" s="1063" t="str">
        <f>IF(ISNA(VLOOKUP(TB_curr[[#This Row],[Synt]],GL[[#Headers],[#Data],[subtotal label]],1,FALSE)),0,(VLOOKUP(TB_curr[[#This Row],[Synt]],GL[[#Headers],[#Data],[subtotal label]],1,FALSE)))</f>
        <v/>
      </c>
      <c r="AF1170" s="1063" t="e">
        <f>IF((TB_curr[[#This Row],[Synt]]-TB_curr[[#This Row],[Subtotal Y/N]])=0,0,VLOOKUP(TB_curr[[#This Row],[Synt]],GL[[Account]:[Line]],3,FALSE))</f>
        <v>#VALUE!</v>
      </c>
      <c r="AG1170" s="1063" t="e">
        <f>VLOOKUP(TB_curr[[#This Row],[Synt]],GL[[Account]:[B/P]],4,FALSE)</f>
        <v>#N/A</v>
      </c>
      <c r="AH1170" s="1066" t="e">
        <v>#VALUE!</v>
      </c>
      <c r="AI1170" s="1065" t="e">
        <f>TB_curr[[#This Row],[Synt]]&amp;TB_curr[[#This Row],[Line No. manual corr.]]</f>
        <v>#VALUE!</v>
      </c>
      <c r="AJ1170" s="1064">
        <f t="shared" si="91"/>
        <v>0</v>
      </c>
      <c r="AK1170" s="1064">
        <f t="shared" si="92"/>
        <v>0</v>
      </c>
      <c r="AL1170" s="1064">
        <f t="shared" si="93"/>
        <v>0</v>
      </c>
      <c r="AM1170" s="1064">
        <f t="shared" si="94"/>
        <v>0</v>
      </c>
      <c r="AN1170" s="1064"/>
      <c r="AO1170" s="1064">
        <f>TB_curr[[#This Row],[Closing balance]]+TB_curr[[#This Row],[Rounding]]</f>
        <v>0</v>
      </c>
    </row>
    <row r="1171" spans="30:41" x14ac:dyDescent="0.25">
      <c r="AD1171" s="1067" t="str">
        <f t="shared" si="90"/>
        <v/>
      </c>
      <c r="AE1171" s="1063" t="str">
        <f>IF(ISNA(VLOOKUP(TB_curr[[#This Row],[Synt]],GL[[#Headers],[#Data],[subtotal label]],1,FALSE)),0,(VLOOKUP(TB_curr[[#This Row],[Synt]],GL[[#Headers],[#Data],[subtotal label]],1,FALSE)))</f>
        <v/>
      </c>
      <c r="AF1171" s="1063" t="e">
        <f>IF((TB_curr[[#This Row],[Synt]]-TB_curr[[#This Row],[Subtotal Y/N]])=0,0,VLOOKUP(TB_curr[[#This Row],[Synt]],GL[[Account]:[Line]],3,FALSE))</f>
        <v>#VALUE!</v>
      </c>
      <c r="AG1171" s="1063" t="e">
        <f>VLOOKUP(TB_curr[[#This Row],[Synt]],GL[[Account]:[B/P]],4,FALSE)</f>
        <v>#N/A</v>
      </c>
      <c r="AH1171" s="1066" t="e">
        <v>#VALUE!</v>
      </c>
      <c r="AI1171" s="1065" t="e">
        <f>TB_curr[[#This Row],[Synt]]&amp;TB_curr[[#This Row],[Line No. manual corr.]]</f>
        <v>#VALUE!</v>
      </c>
      <c r="AJ1171" s="1064">
        <f t="shared" si="91"/>
        <v>0</v>
      </c>
      <c r="AK1171" s="1064">
        <f t="shared" si="92"/>
        <v>0</v>
      </c>
      <c r="AL1171" s="1064">
        <f t="shared" si="93"/>
        <v>0</v>
      </c>
      <c r="AM1171" s="1064">
        <f t="shared" si="94"/>
        <v>0</v>
      </c>
      <c r="AN1171" s="1064"/>
      <c r="AO1171" s="1064">
        <f>TB_curr[[#This Row],[Closing balance]]+TB_curr[[#This Row],[Rounding]]</f>
        <v>0</v>
      </c>
    </row>
    <row r="1172" spans="30:41" x14ac:dyDescent="0.25">
      <c r="AD1172" s="1067" t="str">
        <f t="shared" si="90"/>
        <v/>
      </c>
      <c r="AE1172" s="1063" t="str">
        <f>IF(ISNA(VLOOKUP(TB_curr[[#This Row],[Synt]],GL[[#Headers],[#Data],[subtotal label]],1,FALSE)),0,(VLOOKUP(TB_curr[[#This Row],[Synt]],GL[[#Headers],[#Data],[subtotal label]],1,FALSE)))</f>
        <v/>
      </c>
      <c r="AF1172" s="1063" t="e">
        <f>IF((TB_curr[[#This Row],[Synt]]-TB_curr[[#This Row],[Subtotal Y/N]])=0,0,VLOOKUP(TB_curr[[#This Row],[Synt]],GL[[Account]:[Line]],3,FALSE))</f>
        <v>#VALUE!</v>
      </c>
      <c r="AG1172" s="1063" t="e">
        <f>VLOOKUP(TB_curr[[#This Row],[Synt]],GL[[Account]:[B/P]],4,FALSE)</f>
        <v>#N/A</v>
      </c>
      <c r="AH1172" s="1066" t="e">
        <v>#VALUE!</v>
      </c>
      <c r="AI1172" s="1065" t="e">
        <f>TB_curr[[#This Row],[Synt]]&amp;TB_curr[[#This Row],[Line No. manual corr.]]</f>
        <v>#VALUE!</v>
      </c>
      <c r="AJ1172" s="1064">
        <f t="shared" si="91"/>
        <v>0</v>
      </c>
      <c r="AK1172" s="1064">
        <f t="shared" si="92"/>
        <v>0</v>
      </c>
      <c r="AL1172" s="1064">
        <f t="shared" si="93"/>
        <v>0</v>
      </c>
      <c r="AM1172" s="1064">
        <f t="shared" si="94"/>
        <v>0</v>
      </c>
      <c r="AN1172" s="1064"/>
      <c r="AO1172" s="1064">
        <f>TB_curr[[#This Row],[Closing balance]]+TB_curr[[#This Row],[Rounding]]</f>
        <v>0</v>
      </c>
    </row>
    <row r="1173" spans="30:41" x14ac:dyDescent="0.25">
      <c r="AD1173" s="1067" t="str">
        <f t="shared" si="90"/>
        <v/>
      </c>
      <c r="AE1173" s="1063" t="str">
        <f>IF(ISNA(VLOOKUP(TB_curr[[#This Row],[Synt]],GL[[#Headers],[#Data],[subtotal label]],1,FALSE)),0,(VLOOKUP(TB_curr[[#This Row],[Synt]],GL[[#Headers],[#Data],[subtotal label]],1,FALSE)))</f>
        <v/>
      </c>
      <c r="AF1173" s="1063" t="e">
        <f>IF((TB_curr[[#This Row],[Synt]]-TB_curr[[#This Row],[Subtotal Y/N]])=0,0,VLOOKUP(TB_curr[[#This Row],[Synt]],GL[[Account]:[Line]],3,FALSE))</f>
        <v>#VALUE!</v>
      </c>
      <c r="AG1173" s="1063" t="e">
        <f>VLOOKUP(TB_curr[[#This Row],[Synt]],GL[[Account]:[B/P]],4,FALSE)</f>
        <v>#N/A</v>
      </c>
      <c r="AH1173" s="1066" t="e">
        <v>#VALUE!</v>
      </c>
      <c r="AI1173" s="1065" t="e">
        <f>TB_curr[[#This Row],[Synt]]&amp;TB_curr[[#This Row],[Line No. manual corr.]]</f>
        <v>#VALUE!</v>
      </c>
      <c r="AJ1173" s="1064">
        <f t="shared" si="91"/>
        <v>0</v>
      </c>
      <c r="AK1173" s="1064">
        <f t="shared" si="92"/>
        <v>0</v>
      </c>
      <c r="AL1173" s="1064">
        <f t="shared" si="93"/>
        <v>0</v>
      </c>
      <c r="AM1173" s="1064">
        <f t="shared" si="94"/>
        <v>0</v>
      </c>
      <c r="AN1173" s="1064"/>
      <c r="AO1173" s="1064">
        <f>TB_curr[[#This Row],[Closing balance]]+TB_curr[[#This Row],[Rounding]]</f>
        <v>0</v>
      </c>
    </row>
    <row r="1174" spans="30:41" x14ac:dyDescent="0.25">
      <c r="AD1174" s="1067" t="str">
        <f t="shared" si="90"/>
        <v/>
      </c>
      <c r="AE1174" s="1063" t="str">
        <f>IF(ISNA(VLOOKUP(TB_curr[[#This Row],[Synt]],GL[[#Headers],[#Data],[subtotal label]],1,FALSE)),0,(VLOOKUP(TB_curr[[#This Row],[Synt]],GL[[#Headers],[#Data],[subtotal label]],1,FALSE)))</f>
        <v/>
      </c>
      <c r="AF1174" s="1063" t="e">
        <f>IF((TB_curr[[#This Row],[Synt]]-TB_curr[[#This Row],[Subtotal Y/N]])=0,0,VLOOKUP(TB_curr[[#This Row],[Synt]],GL[[Account]:[Line]],3,FALSE))</f>
        <v>#VALUE!</v>
      </c>
      <c r="AG1174" s="1063" t="e">
        <f>VLOOKUP(TB_curr[[#This Row],[Synt]],GL[[Account]:[B/P]],4,FALSE)</f>
        <v>#N/A</v>
      </c>
      <c r="AH1174" s="1066" t="e">
        <v>#VALUE!</v>
      </c>
      <c r="AI1174" s="1065" t="e">
        <f>TB_curr[[#This Row],[Synt]]&amp;TB_curr[[#This Row],[Line No. manual corr.]]</f>
        <v>#VALUE!</v>
      </c>
      <c r="AJ1174" s="1064">
        <f t="shared" si="91"/>
        <v>0</v>
      </c>
      <c r="AK1174" s="1064">
        <f t="shared" si="92"/>
        <v>0</v>
      </c>
      <c r="AL1174" s="1064">
        <f t="shared" si="93"/>
        <v>0</v>
      </c>
      <c r="AM1174" s="1064">
        <f t="shared" si="94"/>
        <v>0</v>
      </c>
      <c r="AN1174" s="1064"/>
      <c r="AO1174" s="1064">
        <f>TB_curr[[#This Row],[Closing balance]]+TB_curr[[#This Row],[Rounding]]</f>
        <v>0</v>
      </c>
    </row>
    <row r="1175" spans="30:41" x14ac:dyDescent="0.25">
      <c r="AD1175" s="1067" t="str">
        <f t="shared" si="90"/>
        <v/>
      </c>
      <c r="AE1175" s="1063" t="str">
        <f>IF(ISNA(VLOOKUP(TB_curr[[#This Row],[Synt]],GL[[#Headers],[#Data],[subtotal label]],1,FALSE)),0,(VLOOKUP(TB_curr[[#This Row],[Synt]],GL[[#Headers],[#Data],[subtotal label]],1,FALSE)))</f>
        <v/>
      </c>
      <c r="AF1175" s="1063" t="e">
        <f>IF((TB_curr[[#This Row],[Synt]]-TB_curr[[#This Row],[Subtotal Y/N]])=0,0,VLOOKUP(TB_curr[[#This Row],[Synt]],GL[[Account]:[Line]],3,FALSE))</f>
        <v>#VALUE!</v>
      </c>
      <c r="AG1175" s="1063" t="e">
        <f>VLOOKUP(TB_curr[[#This Row],[Synt]],GL[[Account]:[B/P]],4,FALSE)</f>
        <v>#N/A</v>
      </c>
      <c r="AH1175" s="1066" t="e">
        <v>#VALUE!</v>
      </c>
      <c r="AI1175" s="1065" t="e">
        <f>TB_curr[[#This Row],[Synt]]&amp;TB_curr[[#This Row],[Line No. manual corr.]]</f>
        <v>#VALUE!</v>
      </c>
      <c r="AJ1175" s="1064">
        <f t="shared" si="91"/>
        <v>0</v>
      </c>
      <c r="AK1175" s="1064">
        <f t="shared" si="92"/>
        <v>0</v>
      </c>
      <c r="AL1175" s="1064">
        <f t="shared" si="93"/>
        <v>0</v>
      </c>
      <c r="AM1175" s="1064">
        <f t="shared" si="94"/>
        <v>0</v>
      </c>
      <c r="AN1175" s="1064"/>
      <c r="AO1175" s="1064">
        <f>TB_curr[[#This Row],[Closing balance]]+TB_curr[[#This Row],[Rounding]]</f>
        <v>0</v>
      </c>
    </row>
    <row r="1176" spans="30:41" x14ac:dyDescent="0.25">
      <c r="AD1176" s="1067" t="str">
        <f t="shared" si="90"/>
        <v/>
      </c>
      <c r="AE1176" s="1063" t="str">
        <f>IF(ISNA(VLOOKUP(TB_curr[[#This Row],[Synt]],GL[[#Headers],[#Data],[subtotal label]],1,FALSE)),0,(VLOOKUP(TB_curr[[#This Row],[Synt]],GL[[#Headers],[#Data],[subtotal label]],1,FALSE)))</f>
        <v/>
      </c>
      <c r="AF1176" s="1063" t="e">
        <f>IF((TB_curr[[#This Row],[Synt]]-TB_curr[[#This Row],[Subtotal Y/N]])=0,0,VLOOKUP(TB_curr[[#This Row],[Synt]],GL[[Account]:[Line]],3,FALSE))</f>
        <v>#VALUE!</v>
      </c>
      <c r="AG1176" s="1063" t="e">
        <f>VLOOKUP(TB_curr[[#This Row],[Synt]],GL[[Account]:[B/P]],4,FALSE)</f>
        <v>#N/A</v>
      </c>
      <c r="AH1176" s="1066" t="e">
        <v>#VALUE!</v>
      </c>
      <c r="AI1176" s="1065" t="e">
        <f>TB_curr[[#This Row],[Synt]]&amp;TB_curr[[#This Row],[Line No. manual corr.]]</f>
        <v>#VALUE!</v>
      </c>
      <c r="AJ1176" s="1064">
        <f t="shared" si="91"/>
        <v>0</v>
      </c>
      <c r="AK1176" s="1064">
        <f t="shared" si="92"/>
        <v>0</v>
      </c>
      <c r="AL1176" s="1064">
        <f t="shared" si="93"/>
        <v>0</v>
      </c>
      <c r="AM1176" s="1064">
        <f t="shared" si="94"/>
        <v>0</v>
      </c>
      <c r="AN1176" s="1064"/>
      <c r="AO1176" s="1064">
        <f>TB_curr[[#This Row],[Closing balance]]+TB_curr[[#This Row],[Rounding]]</f>
        <v>0</v>
      </c>
    </row>
    <row r="1177" spans="30:41" x14ac:dyDescent="0.25">
      <c r="AD1177" s="1067" t="str">
        <f t="shared" si="90"/>
        <v/>
      </c>
      <c r="AE1177" s="1063" t="str">
        <f>IF(ISNA(VLOOKUP(TB_curr[[#This Row],[Synt]],GL[[#Headers],[#Data],[subtotal label]],1,FALSE)),0,(VLOOKUP(TB_curr[[#This Row],[Synt]],GL[[#Headers],[#Data],[subtotal label]],1,FALSE)))</f>
        <v/>
      </c>
      <c r="AF1177" s="1063" t="e">
        <f>IF((TB_curr[[#This Row],[Synt]]-TB_curr[[#This Row],[Subtotal Y/N]])=0,0,VLOOKUP(TB_curr[[#This Row],[Synt]],GL[[Account]:[Line]],3,FALSE))</f>
        <v>#VALUE!</v>
      </c>
      <c r="AG1177" s="1063" t="e">
        <f>VLOOKUP(TB_curr[[#This Row],[Synt]],GL[[Account]:[B/P]],4,FALSE)</f>
        <v>#N/A</v>
      </c>
      <c r="AH1177" s="1066" t="e">
        <v>#VALUE!</v>
      </c>
      <c r="AI1177" s="1065" t="e">
        <f>TB_curr[[#This Row],[Synt]]&amp;TB_curr[[#This Row],[Line No. manual corr.]]</f>
        <v>#VALUE!</v>
      </c>
      <c r="AJ1177" s="1064">
        <f t="shared" si="91"/>
        <v>0</v>
      </c>
      <c r="AK1177" s="1064">
        <f t="shared" si="92"/>
        <v>0</v>
      </c>
      <c r="AL1177" s="1064">
        <f t="shared" si="93"/>
        <v>0</v>
      </c>
      <c r="AM1177" s="1064">
        <f t="shared" si="94"/>
        <v>0</v>
      </c>
      <c r="AN1177" s="1064"/>
      <c r="AO1177" s="1064">
        <f>TB_curr[[#This Row],[Closing balance]]+TB_curr[[#This Row],[Rounding]]</f>
        <v>0</v>
      </c>
    </row>
    <row r="1178" spans="30:41" x14ac:dyDescent="0.25">
      <c r="AD1178" s="1067" t="str">
        <f t="shared" si="90"/>
        <v/>
      </c>
      <c r="AE1178" s="1063" t="str">
        <f>IF(ISNA(VLOOKUP(TB_curr[[#This Row],[Synt]],GL[[#Headers],[#Data],[subtotal label]],1,FALSE)),0,(VLOOKUP(TB_curr[[#This Row],[Synt]],GL[[#Headers],[#Data],[subtotal label]],1,FALSE)))</f>
        <v/>
      </c>
      <c r="AF1178" s="1063" t="e">
        <f>IF((TB_curr[[#This Row],[Synt]]-TB_curr[[#This Row],[Subtotal Y/N]])=0,0,VLOOKUP(TB_curr[[#This Row],[Synt]],GL[[Account]:[Line]],3,FALSE))</f>
        <v>#VALUE!</v>
      </c>
      <c r="AG1178" s="1063" t="e">
        <f>VLOOKUP(TB_curr[[#This Row],[Synt]],GL[[Account]:[B/P]],4,FALSE)</f>
        <v>#N/A</v>
      </c>
      <c r="AH1178" s="1066" t="e">
        <v>#VALUE!</v>
      </c>
      <c r="AI1178" s="1065" t="e">
        <f>TB_curr[[#This Row],[Synt]]&amp;TB_curr[[#This Row],[Line No. manual corr.]]</f>
        <v>#VALUE!</v>
      </c>
      <c r="AJ1178" s="1064">
        <f t="shared" si="91"/>
        <v>0</v>
      </c>
      <c r="AK1178" s="1064">
        <f t="shared" si="92"/>
        <v>0</v>
      </c>
      <c r="AL1178" s="1064">
        <f t="shared" si="93"/>
        <v>0</v>
      </c>
      <c r="AM1178" s="1064">
        <f t="shared" si="94"/>
        <v>0</v>
      </c>
      <c r="AN1178" s="1064"/>
      <c r="AO1178" s="1064">
        <f>TB_curr[[#This Row],[Closing balance]]+TB_curr[[#This Row],[Rounding]]</f>
        <v>0</v>
      </c>
    </row>
    <row r="1179" spans="30:41" x14ac:dyDescent="0.25">
      <c r="AD1179" s="1067" t="str">
        <f t="shared" si="90"/>
        <v/>
      </c>
      <c r="AE1179" s="1063" t="str">
        <f>IF(ISNA(VLOOKUP(TB_curr[[#This Row],[Synt]],GL[[#Headers],[#Data],[subtotal label]],1,FALSE)),0,(VLOOKUP(TB_curr[[#This Row],[Synt]],GL[[#Headers],[#Data],[subtotal label]],1,FALSE)))</f>
        <v/>
      </c>
      <c r="AF1179" s="1063" t="e">
        <f>IF((TB_curr[[#This Row],[Synt]]-TB_curr[[#This Row],[Subtotal Y/N]])=0,0,VLOOKUP(TB_curr[[#This Row],[Synt]],GL[[Account]:[Line]],3,FALSE))</f>
        <v>#VALUE!</v>
      </c>
      <c r="AG1179" s="1063" t="e">
        <f>VLOOKUP(TB_curr[[#This Row],[Synt]],GL[[Account]:[B/P]],4,FALSE)</f>
        <v>#N/A</v>
      </c>
      <c r="AH1179" s="1066" t="e">
        <v>#VALUE!</v>
      </c>
      <c r="AI1179" s="1065" t="e">
        <f>TB_curr[[#This Row],[Synt]]&amp;TB_curr[[#This Row],[Line No. manual corr.]]</f>
        <v>#VALUE!</v>
      </c>
      <c r="AJ1179" s="1064">
        <f t="shared" si="91"/>
        <v>0</v>
      </c>
      <c r="AK1179" s="1064">
        <f t="shared" si="92"/>
        <v>0</v>
      </c>
      <c r="AL1179" s="1064">
        <f t="shared" si="93"/>
        <v>0</v>
      </c>
      <c r="AM1179" s="1064">
        <f t="shared" si="94"/>
        <v>0</v>
      </c>
      <c r="AN1179" s="1064"/>
      <c r="AO1179" s="1064">
        <f>TB_curr[[#This Row],[Closing balance]]+TB_curr[[#This Row],[Rounding]]</f>
        <v>0</v>
      </c>
    </row>
    <row r="1180" spans="30:41" x14ac:dyDescent="0.25">
      <c r="AD1180" s="1067" t="str">
        <f t="shared" si="90"/>
        <v/>
      </c>
      <c r="AE1180" s="1063" t="str">
        <f>IF(ISNA(VLOOKUP(TB_curr[[#This Row],[Synt]],GL[[#Headers],[#Data],[subtotal label]],1,FALSE)),0,(VLOOKUP(TB_curr[[#This Row],[Synt]],GL[[#Headers],[#Data],[subtotal label]],1,FALSE)))</f>
        <v/>
      </c>
      <c r="AF1180" s="1063" t="e">
        <f>IF((TB_curr[[#This Row],[Synt]]-TB_curr[[#This Row],[Subtotal Y/N]])=0,0,VLOOKUP(TB_curr[[#This Row],[Synt]],GL[[Account]:[Line]],3,FALSE))</f>
        <v>#VALUE!</v>
      </c>
      <c r="AG1180" s="1063" t="e">
        <f>VLOOKUP(TB_curr[[#This Row],[Synt]],GL[[Account]:[B/P]],4,FALSE)</f>
        <v>#N/A</v>
      </c>
      <c r="AH1180" s="1066" t="e">
        <v>#VALUE!</v>
      </c>
      <c r="AI1180" s="1065" t="e">
        <f>TB_curr[[#This Row],[Synt]]&amp;TB_curr[[#This Row],[Line No. manual corr.]]</f>
        <v>#VALUE!</v>
      </c>
      <c r="AJ1180" s="1064">
        <f t="shared" si="91"/>
        <v>0</v>
      </c>
      <c r="AK1180" s="1064">
        <f t="shared" si="92"/>
        <v>0</v>
      </c>
      <c r="AL1180" s="1064">
        <f t="shared" si="93"/>
        <v>0</v>
      </c>
      <c r="AM1180" s="1064">
        <f t="shared" si="94"/>
        <v>0</v>
      </c>
      <c r="AN1180" s="1064"/>
      <c r="AO1180" s="1064">
        <f>TB_curr[[#This Row],[Closing balance]]+TB_curr[[#This Row],[Rounding]]</f>
        <v>0</v>
      </c>
    </row>
    <row r="1181" spans="30:41" x14ac:dyDescent="0.25">
      <c r="AD1181" s="1067" t="str">
        <f t="shared" si="90"/>
        <v/>
      </c>
      <c r="AE1181" s="1063" t="str">
        <f>IF(ISNA(VLOOKUP(TB_curr[[#This Row],[Synt]],GL[[#Headers],[#Data],[subtotal label]],1,FALSE)),0,(VLOOKUP(TB_curr[[#This Row],[Synt]],GL[[#Headers],[#Data],[subtotal label]],1,FALSE)))</f>
        <v/>
      </c>
      <c r="AF1181" s="1063" t="e">
        <f>IF((TB_curr[[#This Row],[Synt]]-TB_curr[[#This Row],[Subtotal Y/N]])=0,0,VLOOKUP(TB_curr[[#This Row],[Synt]],GL[[Account]:[Line]],3,FALSE))</f>
        <v>#VALUE!</v>
      </c>
      <c r="AG1181" s="1063" t="e">
        <f>VLOOKUP(TB_curr[[#This Row],[Synt]],GL[[Account]:[B/P]],4,FALSE)</f>
        <v>#N/A</v>
      </c>
      <c r="AH1181" s="1066" t="e">
        <v>#VALUE!</v>
      </c>
      <c r="AI1181" s="1065" t="e">
        <f>TB_curr[[#This Row],[Synt]]&amp;TB_curr[[#This Row],[Line No. manual corr.]]</f>
        <v>#VALUE!</v>
      </c>
      <c r="AJ1181" s="1064">
        <f t="shared" si="91"/>
        <v>0</v>
      </c>
      <c r="AK1181" s="1064">
        <f t="shared" si="92"/>
        <v>0</v>
      </c>
      <c r="AL1181" s="1064">
        <f t="shared" si="93"/>
        <v>0</v>
      </c>
      <c r="AM1181" s="1064">
        <f t="shared" si="94"/>
        <v>0</v>
      </c>
      <c r="AN1181" s="1064"/>
      <c r="AO1181" s="1064">
        <f>TB_curr[[#This Row],[Closing balance]]+TB_curr[[#This Row],[Rounding]]</f>
        <v>0</v>
      </c>
    </row>
    <row r="1182" spans="30:41" x14ac:dyDescent="0.25">
      <c r="AD1182" s="1067" t="str">
        <f t="shared" si="90"/>
        <v/>
      </c>
      <c r="AE1182" s="1063" t="str">
        <f>IF(ISNA(VLOOKUP(TB_curr[[#This Row],[Synt]],GL[[#Headers],[#Data],[subtotal label]],1,FALSE)),0,(VLOOKUP(TB_curr[[#This Row],[Synt]],GL[[#Headers],[#Data],[subtotal label]],1,FALSE)))</f>
        <v/>
      </c>
      <c r="AF1182" s="1063" t="e">
        <f>IF((TB_curr[[#This Row],[Synt]]-TB_curr[[#This Row],[Subtotal Y/N]])=0,0,VLOOKUP(TB_curr[[#This Row],[Synt]],GL[[Account]:[Line]],3,FALSE))</f>
        <v>#VALUE!</v>
      </c>
      <c r="AG1182" s="1063" t="e">
        <f>VLOOKUP(TB_curr[[#This Row],[Synt]],GL[[Account]:[B/P]],4,FALSE)</f>
        <v>#N/A</v>
      </c>
      <c r="AH1182" s="1066" t="e">
        <v>#VALUE!</v>
      </c>
      <c r="AI1182" s="1065" t="e">
        <f>TB_curr[[#This Row],[Synt]]&amp;TB_curr[[#This Row],[Line No. manual corr.]]</f>
        <v>#VALUE!</v>
      </c>
      <c r="AJ1182" s="1064">
        <f t="shared" si="91"/>
        <v>0</v>
      </c>
      <c r="AK1182" s="1064">
        <f t="shared" si="92"/>
        <v>0</v>
      </c>
      <c r="AL1182" s="1064">
        <f t="shared" si="93"/>
        <v>0</v>
      </c>
      <c r="AM1182" s="1064">
        <f t="shared" si="94"/>
        <v>0</v>
      </c>
      <c r="AN1182" s="1064"/>
      <c r="AO1182" s="1064">
        <f>TB_curr[[#This Row],[Closing balance]]+TB_curr[[#This Row],[Rounding]]</f>
        <v>0</v>
      </c>
    </row>
    <row r="1183" spans="30:41" x14ac:dyDescent="0.25">
      <c r="AD1183" s="1067" t="str">
        <f t="shared" si="90"/>
        <v/>
      </c>
      <c r="AE1183" s="1063" t="str">
        <f>IF(ISNA(VLOOKUP(TB_curr[[#This Row],[Synt]],GL[[#Headers],[#Data],[subtotal label]],1,FALSE)),0,(VLOOKUP(TB_curr[[#This Row],[Synt]],GL[[#Headers],[#Data],[subtotal label]],1,FALSE)))</f>
        <v/>
      </c>
      <c r="AF1183" s="1063" t="e">
        <f>IF((TB_curr[[#This Row],[Synt]]-TB_curr[[#This Row],[Subtotal Y/N]])=0,0,VLOOKUP(TB_curr[[#This Row],[Synt]],GL[[Account]:[Line]],3,FALSE))</f>
        <v>#VALUE!</v>
      </c>
      <c r="AG1183" s="1063" t="e">
        <f>VLOOKUP(TB_curr[[#This Row],[Synt]],GL[[Account]:[B/P]],4,FALSE)</f>
        <v>#N/A</v>
      </c>
      <c r="AH1183" s="1066" t="e">
        <v>#VALUE!</v>
      </c>
      <c r="AI1183" s="1065" t="e">
        <f>TB_curr[[#This Row],[Synt]]&amp;TB_curr[[#This Row],[Line No. manual corr.]]</f>
        <v>#VALUE!</v>
      </c>
      <c r="AJ1183" s="1064">
        <f t="shared" si="91"/>
        <v>0</v>
      </c>
      <c r="AK1183" s="1064">
        <f t="shared" si="92"/>
        <v>0</v>
      </c>
      <c r="AL1183" s="1064">
        <f t="shared" si="93"/>
        <v>0</v>
      </c>
      <c r="AM1183" s="1064">
        <f t="shared" si="94"/>
        <v>0</v>
      </c>
      <c r="AN1183" s="1064"/>
      <c r="AO1183" s="1064">
        <f>TB_curr[[#This Row],[Closing balance]]+TB_curr[[#This Row],[Rounding]]</f>
        <v>0</v>
      </c>
    </row>
    <row r="1184" spans="30:41" x14ac:dyDescent="0.25">
      <c r="AD1184" s="1067" t="str">
        <f t="shared" si="90"/>
        <v/>
      </c>
      <c r="AE1184" s="1063" t="str">
        <f>IF(ISNA(VLOOKUP(TB_curr[[#This Row],[Synt]],GL[[#Headers],[#Data],[subtotal label]],1,FALSE)),0,(VLOOKUP(TB_curr[[#This Row],[Synt]],GL[[#Headers],[#Data],[subtotal label]],1,FALSE)))</f>
        <v/>
      </c>
      <c r="AF1184" s="1063" t="e">
        <f>IF((TB_curr[[#This Row],[Synt]]-TB_curr[[#This Row],[Subtotal Y/N]])=0,0,VLOOKUP(TB_curr[[#This Row],[Synt]],GL[[Account]:[Line]],3,FALSE))</f>
        <v>#VALUE!</v>
      </c>
      <c r="AG1184" s="1063" t="e">
        <f>VLOOKUP(TB_curr[[#This Row],[Synt]],GL[[Account]:[B/P]],4,FALSE)</f>
        <v>#N/A</v>
      </c>
      <c r="AH1184" s="1066" t="e">
        <v>#VALUE!</v>
      </c>
      <c r="AI1184" s="1065" t="e">
        <f>TB_curr[[#This Row],[Synt]]&amp;TB_curr[[#This Row],[Line No. manual corr.]]</f>
        <v>#VALUE!</v>
      </c>
      <c r="AJ1184" s="1064">
        <f t="shared" si="91"/>
        <v>0</v>
      </c>
      <c r="AK1184" s="1064">
        <f t="shared" si="92"/>
        <v>0</v>
      </c>
      <c r="AL1184" s="1064">
        <f t="shared" si="93"/>
        <v>0</v>
      </c>
      <c r="AM1184" s="1064">
        <f t="shared" si="94"/>
        <v>0</v>
      </c>
      <c r="AN1184" s="1064"/>
      <c r="AO1184" s="1064">
        <f>TB_curr[[#This Row],[Closing balance]]+TB_curr[[#This Row],[Rounding]]</f>
        <v>0</v>
      </c>
    </row>
    <row r="1185" spans="30:41" x14ac:dyDescent="0.25">
      <c r="AD1185" s="1067" t="str">
        <f t="shared" si="90"/>
        <v/>
      </c>
      <c r="AE1185" s="1063" t="str">
        <f>IF(ISNA(VLOOKUP(TB_curr[[#This Row],[Synt]],GL[[#Headers],[#Data],[subtotal label]],1,FALSE)),0,(VLOOKUP(TB_curr[[#This Row],[Synt]],GL[[#Headers],[#Data],[subtotal label]],1,FALSE)))</f>
        <v/>
      </c>
      <c r="AF1185" s="1063" t="e">
        <f>IF((TB_curr[[#This Row],[Synt]]-TB_curr[[#This Row],[Subtotal Y/N]])=0,0,VLOOKUP(TB_curr[[#This Row],[Synt]],GL[[Account]:[Line]],3,FALSE))</f>
        <v>#VALUE!</v>
      </c>
      <c r="AG1185" s="1063" t="e">
        <f>VLOOKUP(TB_curr[[#This Row],[Synt]],GL[[Account]:[B/P]],4,FALSE)</f>
        <v>#N/A</v>
      </c>
      <c r="AH1185" s="1066" t="e">
        <v>#VALUE!</v>
      </c>
      <c r="AI1185" s="1065" t="e">
        <f>TB_curr[[#This Row],[Synt]]&amp;TB_curr[[#This Row],[Line No. manual corr.]]</f>
        <v>#VALUE!</v>
      </c>
      <c r="AJ1185" s="1064">
        <f t="shared" si="91"/>
        <v>0</v>
      </c>
      <c r="AK1185" s="1064">
        <f t="shared" si="92"/>
        <v>0</v>
      </c>
      <c r="AL1185" s="1064">
        <f t="shared" si="93"/>
        <v>0</v>
      </c>
      <c r="AM1185" s="1064">
        <f t="shared" si="94"/>
        <v>0</v>
      </c>
      <c r="AN1185" s="1064"/>
      <c r="AO1185" s="1064">
        <f>TB_curr[[#This Row],[Closing balance]]+TB_curr[[#This Row],[Rounding]]</f>
        <v>0</v>
      </c>
    </row>
    <row r="1186" spans="30:41" x14ac:dyDescent="0.25">
      <c r="AD1186" s="1067" t="str">
        <f t="shared" si="90"/>
        <v/>
      </c>
      <c r="AE1186" s="1063" t="str">
        <f>IF(ISNA(VLOOKUP(TB_curr[[#This Row],[Synt]],GL[[#Headers],[#Data],[subtotal label]],1,FALSE)),0,(VLOOKUP(TB_curr[[#This Row],[Synt]],GL[[#Headers],[#Data],[subtotal label]],1,FALSE)))</f>
        <v/>
      </c>
      <c r="AF1186" s="1063" t="e">
        <f>IF((TB_curr[[#This Row],[Synt]]-TB_curr[[#This Row],[Subtotal Y/N]])=0,0,VLOOKUP(TB_curr[[#This Row],[Synt]],GL[[Account]:[Line]],3,FALSE))</f>
        <v>#VALUE!</v>
      </c>
      <c r="AG1186" s="1063" t="e">
        <f>VLOOKUP(TB_curr[[#This Row],[Synt]],GL[[Account]:[B/P]],4,FALSE)</f>
        <v>#N/A</v>
      </c>
      <c r="AH1186" s="1066" t="e">
        <v>#VALUE!</v>
      </c>
      <c r="AI1186" s="1065" t="e">
        <f>TB_curr[[#This Row],[Synt]]&amp;TB_curr[[#This Row],[Line No. manual corr.]]</f>
        <v>#VALUE!</v>
      </c>
      <c r="AJ1186" s="1064">
        <f t="shared" si="91"/>
        <v>0</v>
      </c>
      <c r="AK1186" s="1064">
        <f t="shared" si="92"/>
        <v>0</v>
      </c>
      <c r="AL1186" s="1064">
        <f t="shared" si="93"/>
        <v>0</v>
      </c>
      <c r="AM1186" s="1064">
        <f t="shared" si="94"/>
        <v>0</v>
      </c>
      <c r="AN1186" s="1064"/>
      <c r="AO1186" s="1064">
        <f>TB_curr[[#This Row],[Closing balance]]+TB_curr[[#This Row],[Rounding]]</f>
        <v>0</v>
      </c>
    </row>
    <row r="1187" spans="30:41" x14ac:dyDescent="0.25">
      <c r="AD1187" s="1067" t="str">
        <f t="shared" si="90"/>
        <v/>
      </c>
      <c r="AE1187" s="1063" t="str">
        <f>IF(ISNA(VLOOKUP(TB_curr[[#This Row],[Synt]],GL[[#Headers],[#Data],[subtotal label]],1,FALSE)),0,(VLOOKUP(TB_curr[[#This Row],[Synt]],GL[[#Headers],[#Data],[subtotal label]],1,FALSE)))</f>
        <v/>
      </c>
      <c r="AF1187" s="1063" t="e">
        <f>IF((TB_curr[[#This Row],[Synt]]-TB_curr[[#This Row],[Subtotal Y/N]])=0,0,VLOOKUP(TB_curr[[#This Row],[Synt]],GL[[Account]:[Line]],3,FALSE))</f>
        <v>#VALUE!</v>
      </c>
      <c r="AG1187" s="1063" t="e">
        <f>VLOOKUP(TB_curr[[#This Row],[Synt]],GL[[Account]:[B/P]],4,FALSE)</f>
        <v>#N/A</v>
      </c>
      <c r="AH1187" s="1066" t="e">
        <v>#VALUE!</v>
      </c>
      <c r="AI1187" s="1065" t="e">
        <f>TB_curr[[#This Row],[Synt]]&amp;TB_curr[[#This Row],[Line No. manual corr.]]</f>
        <v>#VALUE!</v>
      </c>
      <c r="AJ1187" s="1064">
        <f t="shared" si="91"/>
        <v>0</v>
      </c>
      <c r="AK1187" s="1064">
        <f t="shared" si="92"/>
        <v>0</v>
      </c>
      <c r="AL1187" s="1064">
        <f t="shared" si="93"/>
        <v>0</v>
      </c>
      <c r="AM1187" s="1064">
        <f t="shared" si="94"/>
        <v>0</v>
      </c>
      <c r="AN1187" s="1064"/>
      <c r="AO1187" s="1064">
        <f>TB_curr[[#This Row],[Closing balance]]+TB_curr[[#This Row],[Rounding]]</f>
        <v>0</v>
      </c>
    </row>
    <row r="1188" spans="30:41" x14ac:dyDescent="0.25">
      <c r="AD1188" s="1067" t="str">
        <f t="shared" si="90"/>
        <v/>
      </c>
      <c r="AE1188" s="1063" t="str">
        <f>IF(ISNA(VLOOKUP(TB_curr[[#This Row],[Synt]],GL[[#Headers],[#Data],[subtotal label]],1,FALSE)),0,(VLOOKUP(TB_curr[[#This Row],[Synt]],GL[[#Headers],[#Data],[subtotal label]],1,FALSE)))</f>
        <v/>
      </c>
      <c r="AF1188" s="1063" t="e">
        <f>IF((TB_curr[[#This Row],[Synt]]-TB_curr[[#This Row],[Subtotal Y/N]])=0,0,VLOOKUP(TB_curr[[#This Row],[Synt]],GL[[Account]:[Line]],3,FALSE))</f>
        <v>#VALUE!</v>
      </c>
      <c r="AG1188" s="1063" t="e">
        <f>VLOOKUP(TB_curr[[#This Row],[Synt]],GL[[Account]:[B/P]],4,FALSE)</f>
        <v>#N/A</v>
      </c>
      <c r="AH1188" s="1066" t="e">
        <v>#VALUE!</v>
      </c>
      <c r="AI1188" s="1065" t="e">
        <f>TB_curr[[#This Row],[Synt]]&amp;TB_curr[[#This Row],[Line No. manual corr.]]</f>
        <v>#VALUE!</v>
      </c>
      <c r="AJ1188" s="1064">
        <f t="shared" si="91"/>
        <v>0</v>
      </c>
      <c r="AK1188" s="1064">
        <f t="shared" si="92"/>
        <v>0</v>
      </c>
      <c r="AL1188" s="1064">
        <f t="shared" si="93"/>
        <v>0</v>
      </c>
      <c r="AM1188" s="1064">
        <f t="shared" si="94"/>
        <v>0</v>
      </c>
      <c r="AN1188" s="1064"/>
      <c r="AO1188" s="1064">
        <f>TB_curr[[#This Row],[Closing balance]]+TB_curr[[#This Row],[Rounding]]</f>
        <v>0</v>
      </c>
    </row>
    <row r="1189" spans="30:41" x14ac:dyDescent="0.25">
      <c r="AD1189" s="1067" t="str">
        <f t="shared" si="90"/>
        <v/>
      </c>
      <c r="AE1189" s="1063" t="str">
        <f>IF(ISNA(VLOOKUP(TB_curr[[#This Row],[Synt]],GL[[#Headers],[#Data],[subtotal label]],1,FALSE)),0,(VLOOKUP(TB_curr[[#This Row],[Synt]],GL[[#Headers],[#Data],[subtotal label]],1,FALSE)))</f>
        <v/>
      </c>
      <c r="AF1189" s="1063" t="e">
        <f>IF((TB_curr[[#This Row],[Synt]]-TB_curr[[#This Row],[Subtotal Y/N]])=0,0,VLOOKUP(TB_curr[[#This Row],[Synt]],GL[[Account]:[Line]],3,FALSE))</f>
        <v>#VALUE!</v>
      </c>
      <c r="AG1189" s="1063" t="e">
        <f>VLOOKUP(TB_curr[[#This Row],[Synt]],GL[[Account]:[B/P]],4,FALSE)</f>
        <v>#N/A</v>
      </c>
      <c r="AH1189" s="1066" t="e">
        <v>#VALUE!</v>
      </c>
      <c r="AI1189" s="1065" t="e">
        <f>TB_curr[[#This Row],[Synt]]&amp;TB_curr[[#This Row],[Line No. manual corr.]]</f>
        <v>#VALUE!</v>
      </c>
      <c r="AJ1189" s="1064">
        <f t="shared" si="91"/>
        <v>0</v>
      </c>
      <c r="AK1189" s="1064">
        <f t="shared" si="92"/>
        <v>0</v>
      </c>
      <c r="AL1189" s="1064">
        <f t="shared" si="93"/>
        <v>0</v>
      </c>
      <c r="AM1189" s="1064">
        <f t="shared" si="94"/>
        <v>0</v>
      </c>
      <c r="AN1189" s="1064"/>
      <c r="AO1189" s="1064">
        <f>TB_curr[[#This Row],[Closing balance]]+TB_curr[[#This Row],[Rounding]]</f>
        <v>0</v>
      </c>
    </row>
    <row r="1190" spans="30:41" x14ac:dyDescent="0.25">
      <c r="AD1190" s="1067" t="str">
        <f t="shared" si="90"/>
        <v/>
      </c>
      <c r="AE1190" s="1063" t="str">
        <f>IF(ISNA(VLOOKUP(TB_curr[[#This Row],[Synt]],GL[[#Headers],[#Data],[subtotal label]],1,FALSE)),0,(VLOOKUP(TB_curr[[#This Row],[Synt]],GL[[#Headers],[#Data],[subtotal label]],1,FALSE)))</f>
        <v/>
      </c>
      <c r="AF1190" s="1063" t="e">
        <f>IF((TB_curr[[#This Row],[Synt]]-TB_curr[[#This Row],[Subtotal Y/N]])=0,0,VLOOKUP(TB_curr[[#This Row],[Synt]],GL[[Account]:[Line]],3,FALSE))</f>
        <v>#VALUE!</v>
      </c>
      <c r="AG1190" s="1063" t="e">
        <f>VLOOKUP(TB_curr[[#This Row],[Synt]],GL[[Account]:[B/P]],4,FALSE)</f>
        <v>#N/A</v>
      </c>
      <c r="AH1190" s="1066" t="e">
        <v>#VALUE!</v>
      </c>
      <c r="AI1190" s="1065" t="e">
        <f>TB_curr[[#This Row],[Synt]]&amp;TB_curr[[#This Row],[Line No. manual corr.]]</f>
        <v>#VALUE!</v>
      </c>
      <c r="AJ1190" s="1064">
        <f t="shared" si="91"/>
        <v>0</v>
      </c>
      <c r="AK1190" s="1064">
        <f t="shared" si="92"/>
        <v>0</v>
      </c>
      <c r="AL1190" s="1064">
        <f t="shared" si="93"/>
        <v>0</v>
      </c>
      <c r="AM1190" s="1064">
        <f t="shared" si="94"/>
        <v>0</v>
      </c>
      <c r="AN1190" s="1064"/>
      <c r="AO1190" s="1064">
        <f>TB_curr[[#This Row],[Closing balance]]+TB_curr[[#This Row],[Rounding]]</f>
        <v>0</v>
      </c>
    </row>
    <row r="1191" spans="30:41" x14ac:dyDescent="0.25">
      <c r="AD1191" s="1067" t="str">
        <f t="shared" si="90"/>
        <v/>
      </c>
      <c r="AE1191" s="1063" t="str">
        <f>IF(ISNA(VLOOKUP(TB_curr[[#This Row],[Synt]],GL[[#Headers],[#Data],[subtotal label]],1,FALSE)),0,(VLOOKUP(TB_curr[[#This Row],[Synt]],GL[[#Headers],[#Data],[subtotal label]],1,FALSE)))</f>
        <v/>
      </c>
      <c r="AF1191" s="1063" t="e">
        <f>IF((TB_curr[[#This Row],[Synt]]-TB_curr[[#This Row],[Subtotal Y/N]])=0,0,VLOOKUP(TB_curr[[#This Row],[Synt]],GL[[Account]:[Line]],3,FALSE))</f>
        <v>#VALUE!</v>
      </c>
      <c r="AG1191" s="1063" t="e">
        <f>VLOOKUP(TB_curr[[#This Row],[Synt]],GL[[Account]:[B/P]],4,FALSE)</f>
        <v>#N/A</v>
      </c>
      <c r="AH1191" s="1066" t="e">
        <v>#VALUE!</v>
      </c>
      <c r="AI1191" s="1065" t="e">
        <f>TB_curr[[#This Row],[Synt]]&amp;TB_curr[[#This Row],[Line No. manual corr.]]</f>
        <v>#VALUE!</v>
      </c>
      <c r="AJ1191" s="1064">
        <f t="shared" si="91"/>
        <v>0</v>
      </c>
      <c r="AK1191" s="1064">
        <f t="shared" si="92"/>
        <v>0</v>
      </c>
      <c r="AL1191" s="1064">
        <f t="shared" si="93"/>
        <v>0</v>
      </c>
      <c r="AM1191" s="1064">
        <f t="shared" si="94"/>
        <v>0</v>
      </c>
      <c r="AN1191" s="1064"/>
      <c r="AO1191" s="1064">
        <f>TB_curr[[#This Row],[Closing balance]]+TB_curr[[#This Row],[Rounding]]</f>
        <v>0</v>
      </c>
    </row>
    <row r="1192" spans="30:41" x14ac:dyDescent="0.25">
      <c r="AD1192" s="1067" t="str">
        <f t="shared" si="90"/>
        <v/>
      </c>
      <c r="AE1192" s="1063" t="str">
        <f>IF(ISNA(VLOOKUP(TB_curr[[#This Row],[Synt]],GL[[#Headers],[#Data],[subtotal label]],1,FALSE)),0,(VLOOKUP(TB_curr[[#This Row],[Synt]],GL[[#Headers],[#Data],[subtotal label]],1,FALSE)))</f>
        <v/>
      </c>
      <c r="AF1192" s="1063" t="e">
        <f>IF((TB_curr[[#This Row],[Synt]]-TB_curr[[#This Row],[Subtotal Y/N]])=0,0,VLOOKUP(TB_curr[[#This Row],[Synt]],GL[[Account]:[Line]],3,FALSE))</f>
        <v>#VALUE!</v>
      </c>
      <c r="AG1192" s="1063" t="e">
        <f>VLOOKUP(TB_curr[[#This Row],[Synt]],GL[[Account]:[B/P]],4,FALSE)</f>
        <v>#N/A</v>
      </c>
      <c r="AH1192" s="1066" t="e">
        <v>#VALUE!</v>
      </c>
      <c r="AI1192" s="1065" t="e">
        <f>TB_curr[[#This Row],[Synt]]&amp;TB_curr[[#This Row],[Line No. manual corr.]]</f>
        <v>#VALUE!</v>
      </c>
      <c r="AJ1192" s="1064">
        <f t="shared" si="91"/>
        <v>0</v>
      </c>
      <c r="AK1192" s="1064">
        <f t="shared" si="92"/>
        <v>0</v>
      </c>
      <c r="AL1192" s="1064">
        <f t="shared" si="93"/>
        <v>0</v>
      </c>
      <c r="AM1192" s="1064">
        <f t="shared" si="94"/>
        <v>0</v>
      </c>
      <c r="AN1192" s="1064"/>
      <c r="AO1192" s="1064">
        <f>TB_curr[[#This Row],[Closing balance]]+TB_curr[[#This Row],[Rounding]]</f>
        <v>0</v>
      </c>
    </row>
    <row r="1193" spans="30:41" x14ac:dyDescent="0.25">
      <c r="AD1193" s="1067" t="str">
        <f t="shared" si="90"/>
        <v/>
      </c>
      <c r="AE1193" s="1063" t="str">
        <f>IF(ISNA(VLOOKUP(TB_curr[[#This Row],[Synt]],GL[[#Headers],[#Data],[subtotal label]],1,FALSE)),0,(VLOOKUP(TB_curr[[#This Row],[Synt]],GL[[#Headers],[#Data],[subtotal label]],1,FALSE)))</f>
        <v/>
      </c>
      <c r="AF1193" s="1063" t="e">
        <f>IF((TB_curr[[#This Row],[Synt]]-TB_curr[[#This Row],[Subtotal Y/N]])=0,0,VLOOKUP(TB_curr[[#This Row],[Synt]],GL[[Account]:[Line]],3,FALSE))</f>
        <v>#VALUE!</v>
      </c>
      <c r="AG1193" s="1063" t="e">
        <f>VLOOKUP(TB_curr[[#This Row],[Synt]],GL[[Account]:[B/P]],4,FALSE)</f>
        <v>#N/A</v>
      </c>
      <c r="AH1193" s="1066" t="e">
        <v>#VALUE!</v>
      </c>
      <c r="AI1193" s="1065" t="e">
        <f>TB_curr[[#This Row],[Synt]]&amp;TB_curr[[#This Row],[Line No. manual corr.]]</f>
        <v>#VALUE!</v>
      </c>
      <c r="AJ1193" s="1064">
        <f t="shared" si="91"/>
        <v>0</v>
      </c>
      <c r="AK1193" s="1064">
        <f t="shared" si="92"/>
        <v>0</v>
      </c>
      <c r="AL1193" s="1064">
        <f t="shared" si="93"/>
        <v>0</v>
      </c>
      <c r="AM1193" s="1064">
        <f t="shared" si="94"/>
        <v>0</v>
      </c>
      <c r="AN1193" s="1064"/>
      <c r="AO1193" s="1064">
        <f>TB_curr[[#This Row],[Closing balance]]+TB_curr[[#This Row],[Rounding]]</f>
        <v>0</v>
      </c>
    </row>
    <row r="1194" spans="30:41" x14ac:dyDescent="0.25">
      <c r="AD1194" s="1067" t="str">
        <f t="shared" si="90"/>
        <v/>
      </c>
      <c r="AE1194" s="1063" t="str">
        <f>IF(ISNA(VLOOKUP(TB_curr[[#This Row],[Synt]],GL[[#Headers],[#Data],[subtotal label]],1,FALSE)),0,(VLOOKUP(TB_curr[[#This Row],[Synt]],GL[[#Headers],[#Data],[subtotal label]],1,FALSE)))</f>
        <v/>
      </c>
      <c r="AF1194" s="1063" t="e">
        <f>IF((TB_curr[[#This Row],[Synt]]-TB_curr[[#This Row],[Subtotal Y/N]])=0,0,VLOOKUP(TB_curr[[#This Row],[Synt]],GL[[Account]:[Line]],3,FALSE))</f>
        <v>#VALUE!</v>
      </c>
      <c r="AG1194" s="1063" t="e">
        <f>VLOOKUP(TB_curr[[#This Row],[Synt]],GL[[Account]:[B/P]],4,FALSE)</f>
        <v>#N/A</v>
      </c>
      <c r="AH1194" s="1066" t="e">
        <v>#VALUE!</v>
      </c>
      <c r="AI1194" s="1065" t="e">
        <f>TB_curr[[#This Row],[Synt]]&amp;TB_curr[[#This Row],[Line No. manual corr.]]</f>
        <v>#VALUE!</v>
      </c>
      <c r="AJ1194" s="1064">
        <f t="shared" si="91"/>
        <v>0</v>
      </c>
      <c r="AK1194" s="1064">
        <f t="shared" si="92"/>
        <v>0</v>
      </c>
      <c r="AL1194" s="1064">
        <f t="shared" si="93"/>
        <v>0</v>
      </c>
      <c r="AM1194" s="1064">
        <f t="shared" si="94"/>
        <v>0</v>
      </c>
      <c r="AN1194" s="1064"/>
      <c r="AO1194" s="1064">
        <f>TB_curr[[#This Row],[Closing balance]]+TB_curr[[#This Row],[Rounding]]</f>
        <v>0</v>
      </c>
    </row>
    <row r="1195" spans="30:41" x14ac:dyDescent="0.25">
      <c r="AD1195" s="1067" t="str">
        <f t="shared" si="90"/>
        <v/>
      </c>
      <c r="AE1195" s="1063" t="str">
        <f>IF(ISNA(VLOOKUP(TB_curr[[#This Row],[Synt]],GL[[#Headers],[#Data],[subtotal label]],1,FALSE)),0,(VLOOKUP(TB_curr[[#This Row],[Synt]],GL[[#Headers],[#Data],[subtotal label]],1,FALSE)))</f>
        <v/>
      </c>
      <c r="AF1195" s="1063" t="e">
        <f>IF((TB_curr[[#This Row],[Synt]]-TB_curr[[#This Row],[Subtotal Y/N]])=0,0,VLOOKUP(TB_curr[[#This Row],[Synt]],GL[[Account]:[Line]],3,FALSE))</f>
        <v>#VALUE!</v>
      </c>
      <c r="AG1195" s="1063" t="e">
        <f>VLOOKUP(TB_curr[[#This Row],[Synt]],GL[[Account]:[B/P]],4,FALSE)</f>
        <v>#N/A</v>
      </c>
      <c r="AH1195" s="1066" t="e">
        <v>#VALUE!</v>
      </c>
      <c r="AI1195" s="1065" t="e">
        <f>TB_curr[[#This Row],[Synt]]&amp;TB_curr[[#This Row],[Line No. manual corr.]]</f>
        <v>#VALUE!</v>
      </c>
      <c r="AJ1195" s="1064">
        <f t="shared" si="91"/>
        <v>0</v>
      </c>
      <c r="AK1195" s="1064">
        <f t="shared" si="92"/>
        <v>0</v>
      </c>
      <c r="AL1195" s="1064">
        <f t="shared" si="93"/>
        <v>0</v>
      </c>
      <c r="AM1195" s="1064">
        <f t="shared" si="94"/>
        <v>0</v>
      </c>
      <c r="AN1195" s="1064"/>
      <c r="AO1195" s="1064">
        <f>TB_curr[[#This Row],[Closing balance]]+TB_curr[[#This Row],[Rounding]]</f>
        <v>0</v>
      </c>
    </row>
    <row r="1196" spans="30:41" x14ac:dyDescent="0.25">
      <c r="AD1196" s="1067" t="str">
        <f t="shared" si="90"/>
        <v/>
      </c>
      <c r="AE1196" s="1063" t="str">
        <f>IF(ISNA(VLOOKUP(TB_curr[[#This Row],[Synt]],GL[[#Headers],[#Data],[subtotal label]],1,FALSE)),0,(VLOOKUP(TB_curr[[#This Row],[Synt]],GL[[#Headers],[#Data],[subtotal label]],1,FALSE)))</f>
        <v/>
      </c>
      <c r="AF1196" s="1063" t="e">
        <f>IF((TB_curr[[#This Row],[Synt]]-TB_curr[[#This Row],[Subtotal Y/N]])=0,0,VLOOKUP(TB_curr[[#This Row],[Synt]],GL[[Account]:[Line]],3,FALSE))</f>
        <v>#VALUE!</v>
      </c>
      <c r="AG1196" s="1063" t="e">
        <f>VLOOKUP(TB_curr[[#This Row],[Synt]],GL[[Account]:[B/P]],4,FALSE)</f>
        <v>#N/A</v>
      </c>
      <c r="AH1196" s="1066" t="e">
        <v>#VALUE!</v>
      </c>
      <c r="AI1196" s="1065" t="e">
        <f>TB_curr[[#This Row],[Synt]]&amp;TB_curr[[#This Row],[Line No. manual corr.]]</f>
        <v>#VALUE!</v>
      </c>
      <c r="AJ1196" s="1064">
        <f t="shared" si="91"/>
        <v>0</v>
      </c>
      <c r="AK1196" s="1064">
        <f t="shared" si="92"/>
        <v>0</v>
      </c>
      <c r="AL1196" s="1064">
        <f t="shared" si="93"/>
        <v>0</v>
      </c>
      <c r="AM1196" s="1064">
        <f t="shared" si="94"/>
        <v>0</v>
      </c>
      <c r="AN1196" s="1064"/>
      <c r="AO1196" s="1064">
        <f>TB_curr[[#This Row],[Closing balance]]+TB_curr[[#This Row],[Rounding]]</f>
        <v>0</v>
      </c>
    </row>
    <row r="1197" spans="30:41" x14ac:dyDescent="0.25">
      <c r="AD1197" s="1067" t="str">
        <f t="shared" si="90"/>
        <v/>
      </c>
      <c r="AE1197" s="1063" t="str">
        <f>IF(ISNA(VLOOKUP(TB_curr[[#This Row],[Synt]],GL[[#Headers],[#Data],[subtotal label]],1,FALSE)),0,(VLOOKUP(TB_curr[[#This Row],[Synt]],GL[[#Headers],[#Data],[subtotal label]],1,FALSE)))</f>
        <v/>
      </c>
      <c r="AF1197" s="1063" t="e">
        <f>IF((TB_curr[[#This Row],[Synt]]-TB_curr[[#This Row],[Subtotal Y/N]])=0,0,VLOOKUP(TB_curr[[#This Row],[Synt]],GL[[Account]:[Line]],3,FALSE))</f>
        <v>#VALUE!</v>
      </c>
      <c r="AG1197" s="1063" t="e">
        <f>VLOOKUP(TB_curr[[#This Row],[Synt]],GL[[Account]:[B/P]],4,FALSE)</f>
        <v>#N/A</v>
      </c>
      <c r="AH1197" s="1066" t="e">
        <v>#VALUE!</v>
      </c>
      <c r="AI1197" s="1065" t="e">
        <f>TB_curr[[#This Row],[Synt]]&amp;TB_curr[[#This Row],[Line No. manual corr.]]</f>
        <v>#VALUE!</v>
      </c>
      <c r="AJ1197" s="1064">
        <f t="shared" si="91"/>
        <v>0</v>
      </c>
      <c r="AK1197" s="1064">
        <f t="shared" si="92"/>
        <v>0</v>
      </c>
      <c r="AL1197" s="1064">
        <f t="shared" si="93"/>
        <v>0</v>
      </c>
      <c r="AM1197" s="1064">
        <f t="shared" si="94"/>
        <v>0</v>
      </c>
      <c r="AN1197" s="1064"/>
      <c r="AO1197" s="1064">
        <f>TB_curr[[#This Row],[Closing balance]]+TB_curr[[#This Row],[Rounding]]</f>
        <v>0</v>
      </c>
    </row>
    <row r="1198" spans="30:41" x14ac:dyDescent="0.25">
      <c r="AD1198" s="1067" t="str">
        <f t="shared" si="90"/>
        <v/>
      </c>
      <c r="AE1198" s="1063" t="str">
        <f>IF(ISNA(VLOOKUP(TB_curr[[#This Row],[Synt]],GL[[#Headers],[#Data],[subtotal label]],1,FALSE)),0,(VLOOKUP(TB_curr[[#This Row],[Synt]],GL[[#Headers],[#Data],[subtotal label]],1,FALSE)))</f>
        <v/>
      </c>
      <c r="AF1198" s="1063" t="e">
        <f>IF((TB_curr[[#This Row],[Synt]]-TB_curr[[#This Row],[Subtotal Y/N]])=0,0,VLOOKUP(TB_curr[[#This Row],[Synt]],GL[[Account]:[Line]],3,FALSE))</f>
        <v>#VALUE!</v>
      </c>
      <c r="AG1198" s="1063" t="e">
        <f>VLOOKUP(TB_curr[[#This Row],[Synt]],GL[[Account]:[B/P]],4,FALSE)</f>
        <v>#N/A</v>
      </c>
      <c r="AH1198" s="1066" t="e">
        <v>#VALUE!</v>
      </c>
      <c r="AI1198" s="1065" t="e">
        <f>TB_curr[[#This Row],[Synt]]&amp;TB_curr[[#This Row],[Line No. manual corr.]]</f>
        <v>#VALUE!</v>
      </c>
      <c r="AJ1198" s="1064">
        <f t="shared" si="91"/>
        <v>0</v>
      </c>
      <c r="AK1198" s="1064">
        <f t="shared" si="92"/>
        <v>0</v>
      </c>
      <c r="AL1198" s="1064">
        <f t="shared" si="93"/>
        <v>0</v>
      </c>
      <c r="AM1198" s="1064">
        <f t="shared" si="94"/>
        <v>0</v>
      </c>
      <c r="AN1198" s="1064"/>
      <c r="AO1198" s="1064">
        <f>TB_curr[[#This Row],[Closing balance]]+TB_curr[[#This Row],[Rounding]]</f>
        <v>0</v>
      </c>
    </row>
    <row r="1199" spans="30:41" x14ac:dyDescent="0.25">
      <c r="AD1199" s="1067" t="str">
        <f t="shared" si="90"/>
        <v/>
      </c>
      <c r="AE1199" s="1063" t="str">
        <f>IF(ISNA(VLOOKUP(TB_curr[[#This Row],[Synt]],GL[[#Headers],[#Data],[subtotal label]],1,FALSE)),0,(VLOOKUP(TB_curr[[#This Row],[Synt]],GL[[#Headers],[#Data],[subtotal label]],1,FALSE)))</f>
        <v/>
      </c>
      <c r="AF1199" s="1063" t="e">
        <f>IF((TB_curr[[#This Row],[Synt]]-TB_curr[[#This Row],[Subtotal Y/N]])=0,0,VLOOKUP(TB_curr[[#This Row],[Synt]],GL[[Account]:[Line]],3,FALSE))</f>
        <v>#VALUE!</v>
      </c>
      <c r="AG1199" s="1063" t="e">
        <f>VLOOKUP(TB_curr[[#This Row],[Synt]],GL[[Account]:[B/P]],4,FALSE)</f>
        <v>#N/A</v>
      </c>
      <c r="AH1199" s="1066" t="e">
        <v>#VALUE!</v>
      </c>
      <c r="AI1199" s="1065" t="e">
        <f>TB_curr[[#This Row],[Synt]]&amp;TB_curr[[#This Row],[Line No. manual corr.]]</f>
        <v>#VALUE!</v>
      </c>
      <c r="AJ1199" s="1064">
        <f t="shared" si="91"/>
        <v>0</v>
      </c>
      <c r="AK1199" s="1064">
        <f t="shared" si="92"/>
        <v>0</v>
      </c>
      <c r="AL1199" s="1064">
        <f t="shared" si="93"/>
        <v>0</v>
      </c>
      <c r="AM1199" s="1064">
        <f t="shared" si="94"/>
        <v>0</v>
      </c>
      <c r="AN1199" s="1064"/>
      <c r="AO1199" s="1064">
        <f>TB_curr[[#This Row],[Closing balance]]+TB_curr[[#This Row],[Rounding]]</f>
        <v>0</v>
      </c>
    </row>
    <row r="1200" spans="30:41" x14ac:dyDescent="0.25">
      <c r="AD1200" s="1067" t="str">
        <f t="shared" si="90"/>
        <v/>
      </c>
      <c r="AE1200" s="1063" t="str">
        <f>IF(ISNA(VLOOKUP(TB_curr[[#This Row],[Synt]],GL[[#Headers],[#Data],[subtotal label]],1,FALSE)),0,(VLOOKUP(TB_curr[[#This Row],[Synt]],GL[[#Headers],[#Data],[subtotal label]],1,FALSE)))</f>
        <v/>
      </c>
      <c r="AF1200" s="1063" t="e">
        <f>IF((TB_curr[[#This Row],[Synt]]-TB_curr[[#This Row],[Subtotal Y/N]])=0,0,VLOOKUP(TB_curr[[#This Row],[Synt]],GL[[Account]:[Line]],3,FALSE))</f>
        <v>#VALUE!</v>
      </c>
      <c r="AG1200" s="1063" t="e">
        <f>VLOOKUP(TB_curr[[#This Row],[Synt]],GL[[Account]:[B/P]],4,FALSE)</f>
        <v>#N/A</v>
      </c>
      <c r="AH1200" s="1066" t="e">
        <v>#VALUE!</v>
      </c>
      <c r="AI1200" s="1065" t="e">
        <f>TB_curr[[#This Row],[Synt]]&amp;TB_curr[[#This Row],[Line No. manual corr.]]</f>
        <v>#VALUE!</v>
      </c>
      <c r="AJ1200" s="1064">
        <f t="shared" si="91"/>
        <v>0</v>
      </c>
      <c r="AK1200" s="1064">
        <f t="shared" si="92"/>
        <v>0</v>
      </c>
      <c r="AL1200" s="1064">
        <f t="shared" si="93"/>
        <v>0</v>
      </c>
      <c r="AM1200" s="1064">
        <f t="shared" si="94"/>
        <v>0</v>
      </c>
      <c r="AN1200" s="1064"/>
      <c r="AO1200" s="1064">
        <f>TB_curr[[#This Row],[Closing balance]]+TB_curr[[#This Row],[Rounding]]</f>
        <v>0</v>
      </c>
    </row>
    <row r="1201" spans="30:41" x14ac:dyDescent="0.25">
      <c r="AD1201" s="1067" t="str">
        <f t="shared" si="90"/>
        <v/>
      </c>
      <c r="AE1201" s="1063" t="str">
        <f>IF(ISNA(VLOOKUP(TB_curr[[#This Row],[Synt]],GL[[#Headers],[#Data],[subtotal label]],1,FALSE)),0,(VLOOKUP(TB_curr[[#This Row],[Synt]],GL[[#Headers],[#Data],[subtotal label]],1,FALSE)))</f>
        <v/>
      </c>
      <c r="AF1201" s="1063" t="e">
        <f>IF((TB_curr[[#This Row],[Synt]]-TB_curr[[#This Row],[Subtotal Y/N]])=0,0,VLOOKUP(TB_curr[[#This Row],[Synt]],GL[[Account]:[Line]],3,FALSE))</f>
        <v>#VALUE!</v>
      </c>
      <c r="AG1201" s="1063" t="e">
        <f>VLOOKUP(TB_curr[[#This Row],[Synt]],GL[[Account]:[B/P]],4,FALSE)</f>
        <v>#N/A</v>
      </c>
      <c r="AH1201" s="1066" t="e">
        <v>#VALUE!</v>
      </c>
      <c r="AI1201" s="1065" t="e">
        <f>TB_curr[[#This Row],[Synt]]&amp;TB_curr[[#This Row],[Line No. manual corr.]]</f>
        <v>#VALUE!</v>
      </c>
      <c r="AJ1201" s="1064">
        <f t="shared" si="91"/>
        <v>0</v>
      </c>
      <c r="AK1201" s="1064">
        <f t="shared" si="92"/>
        <v>0</v>
      </c>
      <c r="AL1201" s="1064">
        <f t="shared" si="93"/>
        <v>0</v>
      </c>
      <c r="AM1201" s="1064">
        <f t="shared" si="94"/>
        <v>0</v>
      </c>
      <c r="AN1201" s="1064"/>
      <c r="AO1201" s="1064">
        <f>TB_curr[[#This Row],[Closing balance]]+TB_curr[[#This Row],[Rounding]]</f>
        <v>0</v>
      </c>
    </row>
    <row r="1202" spans="30:41" x14ac:dyDescent="0.25">
      <c r="AD1202" s="1067" t="str">
        <f t="shared" si="90"/>
        <v/>
      </c>
      <c r="AE1202" s="1063" t="str">
        <f>IF(ISNA(VLOOKUP(TB_curr[[#This Row],[Synt]],GL[[#Headers],[#Data],[subtotal label]],1,FALSE)),0,(VLOOKUP(TB_curr[[#This Row],[Synt]],GL[[#Headers],[#Data],[subtotal label]],1,FALSE)))</f>
        <v/>
      </c>
      <c r="AF1202" s="1063" t="e">
        <f>IF((TB_curr[[#This Row],[Synt]]-TB_curr[[#This Row],[Subtotal Y/N]])=0,0,VLOOKUP(TB_curr[[#This Row],[Synt]],GL[[Account]:[Line]],3,FALSE))</f>
        <v>#VALUE!</v>
      </c>
      <c r="AG1202" s="1063" t="e">
        <f>VLOOKUP(TB_curr[[#This Row],[Synt]],GL[[Account]:[B/P]],4,FALSE)</f>
        <v>#N/A</v>
      </c>
      <c r="AH1202" s="1066" t="e">
        <v>#VALUE!</v>
      </c>
      <c r="AI1202" s="1065" t="e">
        <f>TB_curr[[#This Row],[Synt]]&amp;TB_curr[[#This Row],[Line No. manual corr.]]</f>
        <v>#VALUE!</v>
      </c>
      <c r="AJ1202" s="1064">
        <f t="shared" si="91"/>
        <v>0</v>
      </c>
      <c r="AK1202" s="1064">
        <f t="shared" si="92"/>
        <v>0</v>
      </c>
      <c r="AL1202" s="1064">
        <f t="shared" si="93"/>
        <v>0</v>
      </c>
      <c r="AM1202" s="1064">
        <f t="shared" si="94"/>
        <v>0</v>
      </c>
      <c r="AN1202" s="1064"/>
      <c r="AO1202" s="1064">
        <f>TB_curr[[#This Row],[Closing balance]]+TB_curr[[#This Row],[Rounding]]</f>
        <v>0</v>
      </c>
    </row>
    <row r="1203" spans="30:41" x14ac:dyDescent="0.25">
      <c r="AD1203" s="1067" t="str">
        <f t="shared" si="90"/>
        <v/>
      </c>
      <c r="AE1203" s="1063" t="str">
        <f>IF(ISNA(VLOOKUP(TB_curr[[#This Row],[Synt]],GL[[#Headers],[#Data],[subtotal label]],1,FALSE)),0,(VLOOKUP(TB_curr[[#This Row],[Synt]],GL[[#Headers],[#Data],[subtotal label]],1,FALSE)))</f>
        <v/>
      </c>
      <c r="AF1203" s="1063" t="e">
        <f>IF((TB_curr[[#This Row],[Synt]]-TB_curr[[#This Row],[Subtotal Y/N]])=0,0,VLOOKUP(TB_curr[[#This Row],[Synt]],GL[[Account]:[Line]],3,FALSE))</f>
        <v>#VALUE!</v>
      </c>
      <c r="AG1203" s="1063" t="e">
        <f>VLOOKUP(TB_curr[[#This Row],[Synt]],GL[[Account]:[B/P]],4,FALSE)</f>
        <v>#N/A</v>
      </c>
      <c r="AH1203" s="1066" t="e">
        <v>#VALUE!</v>
      </c>
      <c r="AI1203" s="1065" t="e">
        <f>TB_curr[[#This Row],[Synt]]&amp;TB_curr[[#This Row],[Line No. manual corr.]]</f>
        <v>#VALUE!</v>
      </c>
      <c r="AJ1203" s="1064">
        <f t="shared" si="91"/>
        <v>0</v>
      </c>
      <c r="AK1203" s="1064">
        <f t="shared" si="92"/>
        <v>0</v>
      </c>
      <c r="AL1203" s="1064">
        <f t="shared" si="93"/>
        <v>0</v>
      </c>
      <c r="AM1203" s="1064">
        <f t="shared" si="94"/>
        <v>0</v>
      </c>
      <c r="AN1203" s="1064"/>
      <c r="AO1203" s="1064">
        <f>TB_curr[[#This Row],[Closing balance]]+TB_curr[[#This Row],[Rounding]]</f>
        <v>0</v>
      </c>
    </row>
    <row r="1204" spans="30:41" x14ac:dyDescent="0.25">
      <c r="AD1204" s="1067" t="str">
        <f t="shared" si="90"/>
        <v/>
      </c>
      <c r="AE1204" s="1063" t="str">
        <f>IF(ISNA(VLOOKUP(TB_curr[[#This Row],[Synt]],GL[[#Headers],[#Data],[subtotal label]],1,FALSE)),0,(VLOOKUP(TB_curr[[#This Row],[Synt]],GL[[#Headers],[#Data],[subtotal label]],1,FALSE)))</f>
        <v/>
      </c>
      <c r="AF1204" s="1063" t="e">
        <f>IF((TB_curr[[#This Row],[Synt]]-TB_curr[[#This Row],[Subtotal Y/N]])=0,0,VLOOKUP(TB_curr[[#This Row],[Synt]],GL[[Account]:[Line]],3,FALSE))</f>
        <v>#VALUE!</v>
      </c>
      <c r="AG1204" s="1063" t="e">
        <f>VLOOKUP(TB_curr[[#This Row],[Synt]],GL[[Account]:[B/P]],4,FALSE)</f>
        <v>#N/A</v>
      </c>
      <c r="AH1204" s="1066" t="e">
        <v>#VALUE!</v>
      </c>
      <c r="AI1204" s="1065" t="e">
        <f>TB_curr[[#This Row],[Synt]]&amp;TB_curr[[#This Row],[Line No. manual corr.]]</f>
        <v>#VALUE!</v>
      </c>
      <c r="AJ1204" s="1064">
        <f t="shared" si="91"/>
        <v>0</v>
      </c>
      <c r="AK1204" s="1064">
        <f t="shared" si="92"/>
        <v>0</v>
      </c>
      <c r="AL1204" s="1064">
        <f t="shared" si="93"/>
        <v>0</v>
      </c>
      <c r="AM1204" s="1064">
        <f t="shared" si="94"/>
        <v>0</v>
      </c>
      <c r="AN1204" s="1064"/>
      <c r="AO1204" s="1064">
        <f>TB_curr[[#This Row],[Closing balance]]+TB_curr[[#This Row],[Rounding]]</f>
        <v>0</v>
      </c>
    </row>
    <row r="1205" spans="30:41" x14ac:dyDescent="0.25">
      <c r="AD1205" s="1067" t="str">
        <f t="shared" si="90"/>
        <v/>
      </c>
      <c r="AE1205" s="1063" t="str">
        <f>IF(ISNA(VLOOKUP(TB_curr[[#This Row],[Synt]],GL[[#Headers],[#Data],[subtotal label]],1,FALSE)),0,(VLOOKUP(TB_curr[[#This Row],[Synt]],GL[[#Headers],[#Data],[subtotal label]],1,FALSE)))</f>
        <v/>
      </c>
      <c r="AF1205" s="1063" t="e">
        <f>IF((TB_curr[[#This Row],[Synt]]-TB_curr[[#This Row],[Subtotal Y/N]])=0,0,VLOOKUP(TB_curr[[#This Row],[Synt]],GL[[Account]:[Line]],3,FALSE))</f>
        <v>#VALUE!</v>
      </c>
      <c r="AG1205" s="1063" t="e">
        <f>VLOOKUP(TB_curr[[#This Row],[Synt]],GL[[Account]:[B/P]],4,FALSE)</f>
        <v>#N/A</v>
      </c>
      <c r="AH1205" s="1066" t="e">
        <v>#VALUE!</v>
      </c>
      <c r="AI1205" s="1065" t="e">
        <f>TB_curr[[#This Row],[Synt]]&amp;TB_curr[[#This Row],[Line No. manual corr.]]</f>
        <v>#VALUE!</v>
      </c>
      <c r="AJ1205" s="1064">
        <f t="shared" si="91"/>
        <v>0</v>
      </c>
      <c r="AK1205" s="1064">
        <f t="shared" si="92"/>
        <v>0</v>
      </c>
      <c r="AL1205" s="1064">
        <f t="shared" si="93"/>
        <v>0</v>
      </c>
      <c r="AM1205" s="1064">
        <f t="shared" si="94"/>
        <v>0</v>
      </c>
      <c r="AN1205" s="1064"/>
      <c r="AO1205" s="1064">
        <f>TB_curr[[#This Row],[Closing balance]]+TB_curr[[#This Row],[Rounding]]</f>
        <v>0</v>
      </c>
    </row>
    <row r="1206" spans="30:41" x14ac:dyDescent="0.25">
      <c r="AD1206" s="1067" t="str">
        <f t="shared" si="90"/>
        <v/>
      </c>
      <c r="AE1206" s="1063" t="str">
        <f>IF(ISNA(VLOOKUP(TB_curr[[#This Row],[Synt]],GL[[#Headers],[#Data],[subtotal label]],1,FALSE)),0,(VLOOKUP(TB_curr[[#This Row],[Synt]],GL[[#Headers],[#Data],[subtotal label]],1,FALSE)))</f>
        <v/>
      </c>
      <c r="AF1206" s="1063" t="e">
        <f>IF((TB_curr[[#This Row],[Synt]]-TB_curr[[#This Row],[Subtotal Y/N]])=0,0,VLOOKUP(TB_curr[[#This Row],[Synt]],GL[[Account]:[Line]],3,FALSE))</f>
        <v>#VALUE!</v>
      </c>
      <c r="AG1206" s="1063" t="e">
        <f>VLOOKUP(TB_curr[[#This Row],[Synt]],GL[[Account]:[B/P]],4,FALSE)</f>
        <v>#N/A</v>
      </c>
      <c r="AH1206" s="1066" t="e">
        <v>#VALUE!</v>
      </c>
      <c r="AI1206" s="1065" t="e">
        <f>TB_curr[[#This Row],[Synt]]&amp;TB_curr[[#This Row],[Line No. manual corr.]]</f>
        <v>#VALUE!</v>
      </c>
      <c r="AJ1206" s="1064">
        <f t="shared" si="91"/>
        <v>0</v>
      </c>
      <c r="AK1206" s="1064">
        <f t="shared" si="92"/>
        <v>0</v>
      </c>
      <c r="AL1206" s="1064">
        <f t="shared" si="93"/>
        <v>0</v>
      </c>
      <c r="AM1206" s="1064">
        <f t="shared" si="94"/>
        <v>0</v>
      </c>
      <c r="AN1206" s="1064"/>
      <c r="AO1206" s="1064">
        <f>TB_curr[[#This Row],[Closing balance]]+TB_curr[[#This Row],[Rounding]]</f>
        <v>0</v>
      </c>
    </row>
    <row r="1207" spans="30:41" x14ac:dyDescent="0.25">
      <c r="AD1207" s="1067" t="str">
        <f t="shared" si="90"/>
        <v/>
      </c>
      <c r="AE1207" s="1063" t="str">
        <f>IF(ISNA(VLOOKUP(TB_curr[[#This Row],[Synt]],GL[[#Headers],[#Data],[subtotal label]],1,FALSE)),0,(VLOOKUP(TB_curr[[#This Row],[Synt]],GL[[#Headers],[#Data],[subtotal label]],1,FALSE)))</f>
        <v/>
      </c>
      <c r="AF1207" s="1063" t="e">
        <f>IF((TB_curr[[#This Row],[Synt]]-TB_curr[[#This Row],[Subtotal Y/N]])=0,0,VLOOKUP(TB_curr[[#This Row],[Synt]],GL[[Account]:[Line]],3,FALSE))</f>
        <v>#VALUE!</v>
      </c>
      <c r="AG1207" s="1063" t="e">
        <f>VLOOKUP(TB_curr[[#This Row],[Synt]],GL[[Account]:[B/P]],4,FALSE)</f>
        <v>#N/A</v>
      </c>
      <c r="AH1207" s="1066" t="e">
        <v>#VALUE!</v>
      </c>
      <c r="AI1207" s="1065" t="e">
        <f>TB_curr[[#This Row],[Synt]]&amp;TB_curr[[#This Row],[Line No. manual corr.]]</f>
        <v>#VALUE!</v>
      </c>
      <c r="AJ1207" s="1064">
        <f t="shared" si="91"/>
        <v>0</v>
      </c>
      <c r="AK1207" s="1064">
        <f t="shared" si="92"/>
        <v>0</v>
      </c>
      <c r="AL1207" s="1064">
        <f t="shared" si="93"/>
        <v>0</v>
      </c>
      <c r="AM1207" s="1064">
        <f t="shared" si="94"/>
        <v>0</v>
      </c>
      <c r="AN1207" s="1064"/>
      <c r="AO1207" s="1064">
        <f>TB_curr[[#This Row],[Closing balance]]+TB_curr[[#This Row],[Rounding]]</f>
        <v>0</v>
      </c>
    </row>
    <row r="1208" spans="30:41" x14ac:dyDescent="0.25">
      <c r="AD1208" s="1067" t="str">
        <f t="shared" si="90"/>
        <v/>
      </c>
      <c r="AE1208" s="1063" t="str">
        <f>IF(ISNA(VLOOKUP(TB_curr[[#This Row],[Synt]],GL[[#Headers],[#Data],[subtotal label]],1,FALSE)),0,(VLOOKUP(TB_curr[[#This Row],[Synt]],GL[[#Headers],[#Data],[subtotal label]],1,FALSE)))</f>
        <v/>
      </c>
      <c r="AF1208" s="1063" t="e">
        <f>IF((TB_curr[[#This Row],[Synt]]-TB_curr[[#This Row],[Subtotal Y/N]])=0,0,VLOOKUP(TB_curr[[#This Row],[Synt]],GL[[Account]:[Line]],3,FALSE))</f>
        <v>#VALUE!</v>
      </c>
      <c r="AG1208" s="1063" t="e">
        <f>VLOOKUP(TB_curr[[#This Row],[Synt]],GL[[Account]:[B/P]],4,FALSE)</f>
        <v>#N/A</v>
      </c>
      <c r="AH1208" s="1066" t="e">
        <v>#VALUE!</v>
      </c>
      <c r="AI1208" s="1065" t="e">
        <f>TB_curr[[#This Row],[Synt]]&amp;TB_curr[[#This Row],[Line No. manual corr.]]</f>
        <v>#VALUE!</v>
      </c>
      <c r="AJ1208" s="1064">
        <f t="shared" si="91"/>
        <v>0</v>
      </c>
      <c r="AK1208" s="1064">
        <f t="shared" si="92"/>
        <v>0</v>
      </c>
      <c r="AL1208" s="1064">
        <f t="shared" si="93"/>
        <v>0</v>
      </c>
      <c r="AM1208" s="1064">
        <f t="shared" si="94"/>
        <v>0</v>
      </c>
      <c r="AN1208" s="1064"/>
      <c r="AO1208" s="1064">
        <f>TB_curr[[#This Row],[Closing balance]]+TB_curr[[#This Row],[Rounding]]</f>
        <v>0</v>
      </c>
    </row>
    <row r="1209" spans="30:41" x14ac:dyDescent="0.25">
      <c r="AD1209" s="1067" t="str">
        <f t="shared" si="90"/>
        <v/>
      </c>
      <c r="AE1209" s="1063" t="str">
        <f>IF(ISNA(VLOOKUP(TB_curr[[#This Row],[Synt]],GL[[#Headers],[#Data],[subtotal label]],1,FALSE)),0,(VLOOKUP(TB_curr[[#This Row],[Synt]],GL[[#Headers],[#Data],[subtotal label]],1,FALSE)))</f>
        <v/>
      </c>
      <c r="AF1209" s="1063" t="e">
        <f>IF((TB_curr[[#This Row],[Synt]]-TB_curr[[#This Row],[Subtotal Y/N]])=0,0,VLOOKUP(TB_curr[[#This Row],[Synt]],GL[[Account]:[Line]],3,FALSE))</f>
        <v>#VALUE!</v>
      </c>
      <c r="AG1209" s="1063" t="e">
        <f>VLOOKUP(TB_curr[[#This Row],[Synt]],GL[[Account]:[B/P]],4,FALSE)</f>
        <v>#N/A</v>
      </c>
      <c r="AH1209" s="1066" t="e">
        <v>#VALUE!</v>
      </c>
      <c r="AI1209" s="1065" t="e">
        <f>TB_curr[[#This Row],[Synt]]&amp;TB_curr[[#This Row],[Line No. manual corr.]]</f>
        <v>#VALUE!</v>
      </c>
      <c r="AJ1209" s="1064">
        <f t="shared" si="91"/>
        <v>0</v>
      </c>
      <c r="AK1209" s="1064">
        <f t="shared" si="92"/>
        <v>0</v>
      </c>
      <c r="AL1209" s="1064">
        <f t="shared" si="93"/>
        <v>0</v>
      </c>
      <c r="AM1209" s="1064">
        <f t="shared" si="94"/>
        <v>0</v>
      </c>
      <c r="AN1209" s="1064"/>
      <c r="AO1209" s="1064">
        <f>TB_curr[[#This Row],[Closing balance]]+TB_curr[[#This Row],[Rounding]]</f>
        <v>0</v>
      </c>
    </row>
    <row r="1210" spans="30:41" x14ac:dyDescent="0.25">
      <c r="AD1210" s="1067" t="str">
        <f t="shared" si="90"/>
        <v/>
      </c>
      <c r="AE1210" s="1063" t="str">
        <f>IF(ISNA(VLOOKUP(TB_curr[[#This Row],[Synt]],GL[[#Headers],[#Data],[subtotal label]],1,FALSE)),0,(VLOOKUP(TB_curr[[#This Row],[Synt]],GL[[#Headers],[#Data],[subtotal label]],1,FALSE)))</f>
        <v/>
      </c>
      <c r="AF1210" s="1063" t="e">
        <f>IF((TB_curr[[#This Row],[Synt]]-TB_curr[[#This Row],[Subtotal Y/N]])=0,0,VLOOKUP(TB_curr[[#This Row],[Synt]],GL[[Account]:[Line]],3,FALSE))</f>
        <v>#VALUE!</v>
      </c>
      <c r="AG1210" s="1063" t="e">
        <f>VLOOKUP(TB_curr[[#This Row],[Synt]],GL[[Account]:[B/P]],4,FALSE)</f>
        <v>#N/A</v>
      </c>
      <c r="AH1210" s="1066" t="e">
        <v>#VALUE!</v>
      </c>
      <c r="AI1210" s="1065" t="e">
        <f>TB_curr[[#This Row],[Synt]]&amp;TB_curr[[#This Row],[Line No. manual corr.]]</f>
        <v>#VALUE!</v>
      </c>
      <c r="AJ1210" s="1064">
        <f t="shared" si="91"/>
        <v>0</v>
      </c>
      <c r="AK1210" s="1064">
        <f t="shared" si="92"/>
        <v>0</v>
      </c>
      <c r="AL1210" s="1064">
        <f t="shared" si="93"/>
        <v>0</v>
      </c>
      <c r="AM1210" s="1064">
        <f t="shared" si="94"/>
        <v>0</v>
      </c>
      <c r="AN1210" s="1064"/>
      <c r="AO1210" s="1064">
        <f>TB_curr[[#This Row],[Closing balance]]+TB_curr[[#This Row],[Rounding]]</f>
        <v>0</v>
      </c>
    </row>
    <row r="1211" spans="30:41" x14ac:dyDescent="0.25">
      <c r="AD1211" s="1067" t="str">
        <f t="shared" si="90"/>
        <v/>
      </c>
      <c r="AE1211" s="1063" t="str">
        <f>IF(ISNA(VLOOKUP(TB_curr[[#This Row],[Synt]],GL[[#Headers],[#Data],[subtotal label]],1,FALSE)),0,(VLOOKUP(TB_curr[[#This Row],[Synt]],GL[[#Headers],[#Data],[subtotal label]],1,FALSE)))</f>
        <v/>
      </c>
      <c r="AF1211" s="1063" t="e">
        <f>IF((TB_curr[[#This Row],[Synt]]-TB_curr[[#This Row],[Subtotal Y/N]])=0,0,VLOOKUP(TB_curr[[#This Row],[Synt]],GL[[Account]:[Line]],3,FALSE))</f>
        <v>#VALUE!</v>
      </c>
      <c r="AG1211" s="1063" t="e">
        <f>VLOOKUP(TB_curr[[#This Row],[Synt]],GL[[Account]:[B/P]],4,FALSE)</f>
        <v>#N/A</v>
      </c>
      <c r="AH1211" s="1066" t="e">
        <v>#VALUE!</v>
      </c>
      <c r="AI1211" s="1065" t="e">
        <f>TB_curr[[#This Row],[Synt]]&amp;TB_curr[[#This Row],[Line No. manual corr.]]</f>
        <v>#VALUE!</v>
      </c>
      <c r="AJ1211" s="1064">
        <f t="shared" si="91"/>
        <v>0</v>
      </c>
      <c r="AK1211" s="1064">
        <f t="shared" si="92"/>
        <v>0</v>
      </c>
      <c r="AL1211" s="1064">
        <f t="shared" si="93"/>
        <v>0</v>
      </c>
      <c r="AM1211" s="1064">
        <f t="shared" si="94"/>
        <v>0</v>
      </c>
      <c r="AN1211" s="1064"/>
      <c r="AO1211" s="1064">
        <f>TB_curr[[#This Row],[Closing balance]]+TB_curr[[#This Row],[Rounding]]</f>
        <v>0</v>
      </c>
    </row>
    <row r="1212" spans="30:41" x14ac:dyDescent="0.25">
      <c r="AD1212" s="1067" t="str">
        <f t="shared" si="90"/>
        <v/>
      </c>
      <c r="AE1212" s="1063" t="str">
        <f>IF(ISNA(VLOOKUP(TB_curr[[#This Row],[Synt]],GL[[#Headers],[#Data],[subtotal label]],1,FALSE)),0,(VLOOKUP(TB_curr[[#This Row],[Synt]],GL[[#Headers],[#Data],[subtotal label]],1,FALSE)))</f>
        <v/>
      </c>
      <c r="AF1212" s="1063" t="e">
        <f>IF((TB_curr[[#This Row],[Synt]]-TB_curr[[#This Row],[Subtotal Y/N]])=0,0,VLOOKUP(TB_curr[[#This Row],[Synt]],GL[[Account]:[Line]],3,FALSE))</f>
        <v>#VALUE!</v>
      </c>
      <c r="AG1212" s="1063" t="e">
        <f>VLOOKUP(TB_curr[[#This Row],[Synt]],GL[[Account]:[B/P]],4,FALSE)</f>
        <v>#N/A</v>
      </c>
      <c r="AH1212" s="1066" t="e">
        <v>#VALUE!</v>
      </c>
      <c r="AI1212" s="1065" t="e">
        <f>TB_curr[[#This Row],[Synt]]&amp;TB_curr[[#This Row],[Line No. manual corr.]]</f>
        <v>#VALUE!</v>
      </c>
      <c r="AJ1212" s="1064">
        <f t="shared" si="91"/>
        <v>0</v>
      </c>
      <c r="AK1212" s="1064">
        <f t="shared" si="92"/>
        <v>0</v>
      </c>
      <c r="AL1212" s="1064">
        <f t="shared" si="93"/>
        <v>0</v>
      </c>
      <c r="AM1212" s="1064">
        <f t="shared" si="94"/>
        <v>0</v>
      </c>
      <c r="AN1212" s="1064"/>
      <c r="AO1212" s="1064">
        <f>TB_curr[[#This Row],[Closing balance]]+TB_curr[[#This Row],[Rounding]]</f>
        <v>0</v>
      </c>
    </row>
    <row r="1213" spans="30:41" x14ac:dyDescent="0.25">
      <c r="AD1213" s="1067" t="str">
        <f t="shared" si="90"/>
        <v/>
      </c>
      <c r="AE1213" s="1063" t="str">
        <f>IF(ISNA(VLOOKUP(TB_curr[[#This Row],[Synt]],GL[[#Headers],[#Data],[subtotal label]],1,FALSE)),0,(VLOOKUP(TB_curr[[#This Row],[Synt]],GL[[#Headers],[#Data],[subtotal label]],1,FALSE)))</f>
        <v/>
      </c>
      <c r="AF1213" s="1063" t="e">
        <f>IF((TB_curr[[#This Row],[Synt]]-TB_curr[[#This Row],[Subtotal Y/N]])=0,0,VLOOKUP(TB_curr[[#This Row],[Synt]],GL[[Account]:[Line]],3,FALSE))</f>
        <v>#VALUE!</v>
      </c>
      <c r="AG1213" s="1063" t="e">
        <f>VLOOKUP(TB_curr[[#This Row],[Synt]],GL[[Account]:[B/P]],4,FALSE)</f>
        <v>#N/A</v>
      </c>
      <c r="AH1213" s="1066" t="e">
        <v>#VALUE!</v>
      </c>
      <c r="AI1213" s="1065" t="e">
        <f>TB_curr[[#This Row],[Synt]]&amp;TB_curr[[#This Row],[Line No. manual corr.]]</f>
        <v>#VALUE!</v>
      </c>
      <c r="AJ1213" s="1064">
        <f t="shared" si="91"/>
        <v>0</v>
      </c>
      <c r="AK1213" s="1064">
        <f t="shared" si="92"/>
        <v>0</v>
      </c>
      <c r="AL1213" s="1064">
        <f t="shared" si="93"/>
        <v>0</v>
      </c>
      <c r="AM1213" s="1064">
        <f t="shared" si="94"/>
        <v>0</v>
      </c>
      <c r="AN1213" s="1064"/>
      <c r="AO1213" s="1064">
        <f>TB_curr[[#This Row],[Closing balance]]+TB_curr[[#This Row],[Rounding]]</f>
        <v>0</v>
      </c>
    </row>
    <row r="1214" spans="30:41" x14ac:dyDescent="0.25">
      <c r="AD1214" s="1067" t="str">
        <f t="shared" si="90"/>
        <v/>
      </c>
      <c r="AE1214" s="1063" t="str">
        <f>IF(ISNA(VLOOKUP(TB_curr[[#This Row],[Synt]],GL[[#Headers],[#Data],[subtotal label]],1,FALSE)),0,(VLOOKUP(TB_curr[[#This Row],[Synt]],GL[[#Headers],[#Data],[subtotal label]],1,FALSE)))</f>
        <v/>
      </c>
      <c r="AF1214" s="1063" t="e">
        <f>IF((TB_curr[[#This Row],[Synt]]-TB_curr[[#This Row],[Subtotal Y/N]])=0,0,VLOOKUP(TB_curr[[#This Row],[Synt]],GL[[Account]:[Line]],3,FALSE))</f>
        <v>#VALUE!</v>
      </c>
      <c r="AG1214" s="1063" t="e">
        <f>VLOOKUP(TB_curr[[#This Row],[Synt]],GL[[Account]:[B/P]],4,FALSE)</f>
        <v>#N/A</v>
      </c>
      <c r="AH1214" s="1066" t="e">
        <v>#VALUE!</v>
      </c>
      <c r="AI1214" s="1065" t="e">
        <f>TB_curr[[#This Row],[Synt]]&amp;TB_curr[[#This Row],[Line No. manual corr.]]</f>
        <v>#VALUE!</v>
      </c>
      <c r="AJ1214" s="1064">
        <f t="shared" si="91"/>
        <v>0</v>
      </c>
      <c r="AK1214" s="1064">
        <f t="shared" si="92"/>
        <v>0</v>
      </c>
      <c r="AL1214" s="1064">
        <f t="shared" si="93"/>
        <v>0</v>
      </c>
      <c r="AM1214" s="1064">
        <f t="shared" si="94"/>
        <v>0</v>
      </c>
      <c r="AN1214" s="1064"/>
      <c r="AO1214" s="1064">
        <f>TB_curr[[#This Row],[Closing balance]]+TB_curr[[#This Row],[Rounding]]</f>
        <v>0</v>
      </c>
    </row>
    <row r="1215" spans="30:41" x14ac:dyDescent="0.25">
      <c r="AD1215" s="1067" t="str">
        <f t="shared" si="90"/>
        <v/>
      </c>
      <c r="AE1215" s="1063" t="str">
        <f>IF(ISNA(VLOOKUP(TB_curr[[#This Row],[Synt]],GL[[#Headers],[#Data],[subtotal label]],1,FALSE)),0,(VLOOKUP(TB_curr[[#This Row],[Synt]],GL[[#Headers],[#Data],[subtotal label]],1,FALSE)))</f>
        <v/>
      </c>
      <c r="AF1215" s="1063" t="e">
        <f>IF((TB_curr[[#This Row],[Synt]]-TB_curr[[#This Row],[Subtotal Y/N]])=0,0,VLOOKUP(TB_curr[[#This Row],[Synt]],GL[[Account]:[Line]],3,FALSE))</f>
        <v>#VALUE!</v>
      </c>
      <c r="AG1215" s="1063" t="e">
        <f>VLOOKUP(TB_curr[[#This Row],[Synt]],GL[[Account]:[B/P]],4,FALSE)</f>
        <v>#N/A</v>
      </c>
      <c r="AH1215" s="1066" t="e">
        <v>#VALUE!</v>
      </c>
      <c r="AI1215" s="1065" t="e">
        <f>TB_curr[[#This Row],[Synt]]&amp;TB_curr[[#This Row],[Line No. manual corr.]]</f>
        <v>#VALUE!</v>
      </c>
      <c r="AJ1215" s="1064">
        <f t="shared" si="91"/>
        <v>0</v>
      </c>
      <c r="AK1215" s="1064">
        <f t="shared" si="92"/>
        <v>0</v>
      </c>
      <c r="AL1215" s="1064">
        <f t="shared" si="93"/>
        <v>0</v>
      </c>
      <c r="AM1215" s="1064">
        <f t="shared" si="94"/>
        <v>0</v>
      </c>
      <c r="AN1215" s="1064"/>
      <c r="AO1215" s="1064">
        <f>TB_curr[[#This Row],[Closing balance]]+TB_curr[[#This Row],[Rounding]]</f>
        <v>0</v>
      </c>
    </row>
    <row r="1216" spans="30:41" x14ac:dyDescent="0.25">
      <c r="AD1216" s="1067" t="str">
        <f t="shared" si="90"/>
        <v/>
      </c>
      <c r="AE1216" s="1063" t="str">
        <f>IF(ISNA(VLOOKUP(TB_curr[[#This Row],[Synt]],GL[[#Headers],[#Data],[subtotal label]],1,FALSE)),0,(VLOOKUP(TB_curr[[#This Row],[Synt]],GL[[#Headers],[#Data],[subtotal label]],1,FALSE)))</f>
        <v/>
      </c>
      <c r="AF1216" s="1063" t="e">
        <f>IF((TB_curr[[#This Row],[Synt]]-TB_curr[[#This Row],[Subtotal Y/N]])=0,0,VLOOKUP(TB_curr[[#This Row],[Synt]],GL[[Account]:[Line]],3,FALSE))</f>
        <v>#VALUE!</v>
      </c>
      <c r="AG1216" s="1063" t="e">
        <f>VLOOKUP(TB_curr[[#This Row],[Synt]],GL[[Account]:[B/P]],4,FALSE)</f>
        <v>#N/A</v>
      </c>
      <c r="AH1216" s="1066" t="e">
        <v>#VALUE!</v>
      </c>
      <c r="AI1216" s="1065" t="e">
        <f>TB_curr[[#This Row],[Synt]]&amp;TB_curr[[#This Row],[Line No. manual corr.]]</f>
        <v>#VALUE!</v>
      </c>
      <c r="AJ1216" s="1064">
        <f t="shared" si="91"/>
        <v>0</v>
      </c>
      <c r="AK1216" s="1064">
        <f t="shared" si="92"/>
        <v>0</v>
      </c>
      <c r="AL1216" s="1064">
        <f t="shared" si="93"/>
        <v>0</v>
      </c>
      <c r="AM1216" s="1064">
        <f t="shared" si="94"/>
        <v>0</v>
      </c>
      <c r="AN1216" s="1064"/>
      <c r="AO1216" s="1064">
        <f>TB_curr[[#This Row],[Closing balance]]+TB_curr[[#This Row],[Rounding]]</f>
        <v>0</v>
      </c>
    </row>
    <row r="1217" spans="30:41" x14ac:dyDescent="0.25">
      <c r="AD1217" s="1067" t="str">
        <f t="shared" si="90"/>
        <v/>
      </c>
      <c r="AE1217" s="1063" t="str">
        <f>IF(ISNA(VLOOKUP(TB_curr[[#This Row],[Synt]],GL[[#Headers],[#Data],[subtotal label]],1,FALSE)),0,(VLOOKUP(TB_curr[[#This Row],[Synt]],GL[[#Headers],[#Data],[subtotal label]],1,FALSE)))</f>
        <v/>
      </c>
      <c r="AF1217" s="1063" t="e">
        <f>IF((TB_curr[[#This Row],[Synt]]-TB_curr[[#This Row],[Subtotal Y/N]])=0,0,VLOOKUP(TB_curr[[#This Row],[Synt]],GL[[Account]:[Line]],3,FALSE))</f>
        <v>#VALUE!</v>
      </c>
      <c r="AG1217" s="1063" t="e">
        <f>VLOOKUP(TB_curr[[#This Row],[Synt]],GL[[Account]:[B/P]],4,FALSE)</f>
        <v>#N/A</v>
      </c>
      <c r="AH1217" s="1066" t="e">
        <v>#VALUE!</v>
      </c>
      <c r="AI1217" s="1065" t="e">
        <f>TB_curr[[#This Row],[Synt]]&amp;TB_curr[[#This Row],[Line No. manual corr.]]</f>
        <v>#VALUE!</v>
      </c>
      <c r="AJ1217" s="1064">
        <f t="shared" si="91"/>
        <v>0</v>
      </c>
      <c r="AK1217" s="1064">
        <f t="shared" si="92"/>
        <v>0</v>
      </c>
      <c r="AL1217" s="1064">
        <f t="shared" si="93"/>
        <v>0</v>
      </c>
      <c r="AM1217" s="1064">
        <f t="shared" si="94"/>
        <v>0</v>
      </c>
      <c r="AN1217" s="1064"/>
      <c r="AO1217" s="1064">
        <f>TB_curr[[#This Row],[Closing balance]]+TB_curr[[#This Row],[Rounding]]</f>
        <v>0</v>
      </c>
    </row>
    <row r="1218" spans="30:41" x14ac:dyDescent="0.25">
      <c r="AD1218" s="1067" t="str">
        <f t="shared" si="90"/>
        <v/>
      </c>
      <c r="AE1218" s="1063" t="str">
        <f>IF(ISNA(VLOOKUP(TB_curr[[#This Row],[Synt]],GL[[#Headers],[#Data],[subtotal label]],1,FALSE)),0,(VLOOKUP(TB_curr[[#This Row],[Synt]],GL[[#Headers],[#Data],[subtotal label]],1,FALSE)))</f>
        <v/>
      </c>
      <c r="AF1218" s="1063" t="e">
        <f>IF((TB_curr[[#This Row],[Synt]]-TB_curr[[#This Row],[Subtotal Y/N]])=0,0,VLOOKUP(TB_curr[[#This Row],[Synt]],GL[[Account]:[Line]],3,FALSE))</f>
        <v>#VALUE!</v>
      </c>
      <c r="AG1218" s="1063" t="e">
        <f>VLOOKUP(TB_curr[[#This Row],[Synt]],GL[[Account]:[B/P]],4,FALSE)</f>
        <v>#N/A</v>
      </c>
      <c r="AH1218" s="1066" t="e">
        <v>#VALUE!</v>
      </c>
      <c r="AI1218" s="1065" t="e">
        <f>TB_curr[[#This Row],[Synt]]&amp;TB_curr[[#This Row],[Line No. manual corr.]]</f>
        <v>#VALUE!</v>
      </c>
      <c r="AJ1218" s="1064">
        <f t="shared" si="91"/>
        <v>0</v>
      </c>
      <c r="AK1218" s="1064">
        <f t="shared" si="92"/>
        <v>0</v>
      </c>
      <c r="AL1218" s="1064">
        <f t="shared" si="93"/>
        <v>0</v>
      </c>
      <c r="AM1218" s="1064">
        <f t="shared" si="94"/>
        <v>0</v>
      </c>
      <c r="AN1218" s="1064"/>
      <c r="AO1218" s="1064">
        <f>TB_curr[[#This Row],[Closing balance]]+TB_curr[[#This Row],[Rounding]]</f>
        <v>0</v>
      </c>
    </row>
    <row r="1219" spans="30:41" x14ac:dyDescent="0.25">
      <c r="AD1219" s="1067" t="str">
        <f t="shared" si="90"/>
        <v/>
      </c>
      <c r="AE1219" s="1063" t="str">
        <f>IF(ISNA(VLOOKUP(TB_curr[[#This Row],[Synt]],GL[[#Headers],[#Data],[subtotal label]],1,FALSE)),0,(VLOOKUP(TB_curr[[#This Row],[Synt]],GL[[#Headers],[#Data],[subtotal label]],1,FALSE)))</f>
        <v/>
      </c>
      <c r="AF1219" s="1063" t="e">
        <f>IF((TB_curr[[#This Row],[Synt]]-TB_curr[[#This Row],[Subtotal Y/N]])=0,0,VLOOKUP(TB_curr[[#This Row],[Synt]],GL[[Account]:[Line]],3,FALSE))</f>
        <v>#VALUE!</v>
      </c>
      <c r="AG1219" s="1063" t="e">
        <f>VLOOKUP(TB_curr[[#This Row],[Synt]],GL[[Account]:[B/P]],4,FALSE)</f>
        <v>#N/A</v>
      </c>
      <c r="AH1219" s="1066" t="e">
        <v>#VALUE!</v>
      </c>
      <c r="AI1219" s="1065" t="e">
        <f>TB_curr[[#This Row],[Synt]]&amp;TB_curr[[#This Row],[Line No. manual corr.]]</f>
        <v>#VALUE!</v>
      </c>
      <c r="AJ1219" s="1064">
        <f t="shared" si="91"/>
        <v>0</v>
      </c>
      <c r="AK1219" s="1064">
        <f t="shared" si="92"/>
        <v>0</v>
      </c>
      <c r="AL1219" s="1064">
        <f t="shared" si="93"/>
        <v>0</v>
      </c>
      <c r="AM1219" s="1064">
        <f t="shared" si="94"/>
        <v>0</v>
      </c>
      <c r="AN1219" s="1064"/>
      <c r="AO1219" s="1064">
        <f>TB_curr[[#This Row],[Closing balance]]+TB_curr[[#This Row],[Rounding]]</f>
        <v>0</v>
      </c>
    </row>
    <row r="1220" spans="30:41" x14ac:dyDescent="0.25">
      <c r="AD1220" s="1067" t="str">
        <f t="shared" si="90"/>
        <v/>
      </c>
      <c r="AE1220" s="1063" t="str">
        <f>IF(ISNA(VLOOKUP(TB_curr[[#This Row],[Synt]],GL[[#Headers],[#Data],[subtotal label]],1,FALSE)),0,(VLOOKUP(TB_curr[[#This Row],[Synt]],GL[[#Headers],[#Data],[subtotal label]],1,FALSE)))</f>
        <v/>
      </c>
      <c r="AF1220" s="1063" t="e">
        <f>IF((TB_curr[[#This Row],[Synt]]-TB_curr[[#This Row],[Subtotal Y/N]])=0,0,VLOOKUP(TB_curr[[#This Row],[Synt]],GL[[Account]:[Line]],3,FALSE))</f>
        <v>#VALUE!</v>
      </c>
      <c r="AG1220" s="1063" t="e">
        <f>VLOOKUP(TB_curr[[#This Row],[Synt]],GL[[Account]:[B/P]],4,FALSE)</f>
        <v>#N/A</v>
      </c>
      <c r="AH1220" s="1066" t="e">
        <v>#VALUE!</v>
      </c>
      <c r="AI1220" s="1065" t="e">
        <f>TB_curr[[#This Row],[Synt]]&amp;TB_curr[[#This Row],[Line No. manual corr.]]</f>
        <v>#VALUE!</v>
      </c>
      <c r="AJ1220" s="1064">
        <f t="shared" si="91"/>
        <v>0</v>
      </c>
      <c r="AK1220" s="1064">
        <f t="shared" si="92"/>
        <v>0</v>
      </c>
      <c r="AL1220" s="1064">
        <f t="shared" si="93"/>
        <v>0</v>
      </c>
      <c r="AM1220" s="1064">
        <f t="shared" si="94"/>
        <v>0</v>
      </c>
      <c r="AN1220" s="1064"/>
      <c r="AO1220" s="1064">
        <f>TB_curr[[#This Row],[Closing balance]]+TB_curr[[#This Row],[Rounding]]</f>
        <v>0</v>
      </c>
    </row>
    <row r="1221" spans="30:41" x14ac:dyDescent="0.25">
      <c r="AD1221" s="1067" t="str">
        <f t="shared" si="90"/>
        <v/>
      </c>
      <c r="AE1221" s="1063" t="str">
        <f>IF(ISNA(VLOOKUP(TB_curr[[#This Row],[Synt]],GL[[#Headers],[#Data],[subtotal label]],1,FALSE)),0,(VLOOKUP(TB_curr[[#This Row],[Synt]],GL[[#Headers],[#Data],[subtotal label]],1,FALSE)))</f>
        <v/>
      </c>
      <c r="AF1221" s="1063" t="e">
        <f>IF((TB_curr[[#This Row],[Synt]]-TB_curr[[#This Row],[Subtotal Y/N]])=0,0,VLOOKUP(TB_curr[[#This Row],[Synt]],GL[[Account]:[Line]],3,FALSE))</f>
        <v>#VALUE!</v>
      </c>
      <c r="AG1221" s="1063" t="e">
        <f>VLOOKUP(TB_curr[[#This Row],[Synt]],GL[[Account]:[B/P]],4,FALSE)</f>
        <v>#N/A</v>
      </c>
      <c r="AH1221" s="1066" t="e">
        <v>#VALUE!</v>
      </c>
      <c r="AI1221" s="1065" t="e">
        <f>TB_curr[[#This Row],[Synt]]&amp;TB_curr[[#This Row],[Line No. manual corr.]]</f>
        <v>#VALUE!</v>
      </c>
      <c r="AJ1221" s="1064">
        <f t="shared" si="91"/>
        <v>0</v>
      </c>
      <c r="AK1221" s="1064">
        <f t="shared" si="92"/>
        <v>0</v>
      </c>
      <c r="AL1221" s="1064">
        <f t="shared" si="93"/>
        <v>0</v>
      </c>
      <c r="AM1221" s="1064">
        <f t="shared" si="94"/>
        <v>0</v>
      </c>
      <c r="AN1221" s="1064"/>
      <c r="AO1221" s="1064">
        <f>TB_curr[[#This Row],[Closing balance]]+TB_curr[[#This Row],[Rounding]]</f>
        <v>0</v>
      </c>
    </row>
    <row r="1222" spans="30:41" x14ac:dyDescent="0.25">
      <c r="AD1222" s="1067" t="str">
        <f t="shared" si="90"/>
        <v/>
      </c>
      <c r="AE1222" s="1063" t="str">
        <f>IF(ISNA(VLOOKUP(TB_curr[[#This Row],[Synt]],GL[[#Headers],[#Data],[subtotal label]],1,FALSE)),0,(VLOOKUP(TB_curr[[#This Row],[Synt]],GL[[#Headers],[#Data],[subtotal label]],1,FALSE)))</f>
        <v/>
      </c>
      <c r="AF1222" s="1063" t="e">
        <f>IF((TB_curr[[#This Row],[Synt]]-TB_curr[[#This Row],[Subtotal Y/N]])=0,0,VLOOKUP(TB_curr[[#This Row],[Synt]],GL[[Account]:[Line]],3,FALSE))</f>
        <v>#VALUE!</v>
      </c>
      <c r="AG1222" s="1063" t="e">
        <f>VLOOKUP(TB_curr[[#This Row],[Synt]],GL[[Account]:[B/P]],4,FALSE)</f>
        <v>#N/A</v>
      </c>
      <c r="AH1222" s="1066" t="e">
        <v>#VALUE!</v>
      </c>
      <c r="AI1222" s="1065" t="e">
        <f>TB_curr[[#This Row],[Synt]]&amp;TB_curr[[#This Row],[Line No. manual corr.]]</f>
        <v>#VALUE!</v>
      </c>
      <c r="AJ1222" s="1064">
        <f t="shared" si="91"/>
        <v>0</v>
      </c>
      <c r="AK1222" s="1064">
        <f t="shared" si="92"/>
        <v>0</v>
      </c>
      <c r="AL1222" s="1064">
        <f t="shared" si="93"/>
        <v>0</v>
      </c>
      <c r="AM1222" s="1064">
        <f t="shared" si="94"/>
        <v>0</v>
      </c>
      <c r="AN1222" s="1064"/>
      <c r="AO1222" s="1064">
        <f>TB_curr[[#This Row],[Closing balance]]+TB_curr[[#This Row],[Rounding]]</f>
        <v>0</v>
      </c>
    </row>
    <row r="1223" spans="30:41" x14ac:dyDescent="0.25">
      <c r="AD1223" s="1067" t="str">
        <f t="shared" si="90"/>
        <v/>
      </c>
      <c r="AE1223" s="1063" t="str">
        <f>IF(ISNA(VLOOKUP(TB_curr[[#This Row],[Synt]],GL[[#Headers],[#Data],[subtotal label]],1,FALSE)),0,(VLOOKUP(TB_curr[[#This Row],[Synt]],GL[[#Headers],[#Data],[subtotal label]],1,FALSE)))</f>
        <v/>
      </c>
      <c r="AF1223" s="1063" t="e">
        <f>IF((TB_curr[[#This Row],[Synt]]-TB_curr[[#This Row],[Subtotal Y/N]])=0,0,VLOOKUP(TB_curr[[#This Row],[Synt]],GL[[Account]:[Line]],3,FALSE))</f>
        <v>#VALUE!</v>
      </c>
      <c r="AG1223" s="1063" t="e">
        <f>VLOOKUP(TB_curr[[#This Row],[Synt]],GL[[Account]:[B/P]],4,FALSE)</f>
        <v>#N/A</v>
      </c>
      <c r="AH1223" s="1066" t="e">
        <v>#VALUE!</v>
      </c>
      <c r="AI1223" s="1065" t="e">
        <f>TB_curr[[#This Row],[Synt]]&amp;TB_curr[[#This Row],[Line No. manual corr.]]</f>
        <v>#VALUE!</v>
      </c>
      <c r="AJ1223" s="1064">
        <f t="shared" si="91"/>
        <v>0</v>
      </c>
      <c r="AK1223" s="1064">
        <f t="shared" si="92"/>
        <v>0</v>
      </c>
      <c r="AL1223" s="1064">
        <f t="shared" si="93"/>
        <v>0</v>
      </c>
      <c r="AM1223" s="1064">
        <f t="shared" si="94"/>
        <v>0</v>
      </c>
      <c r="AN1223" s="1064"/>
      <c r="AO1223" s="1064">
        <f>TB_curr[[#This Row],[Closing balance]]+TB_curr[[#This Row],[Rounding]]</f>
        <v>0</v>
      </c>
    </row>
    <row r="1224" spans="30:41" x14ac:dyDescent="0.25">
      <c r="AD1224" s="1067" t="str">
        <f t="shared" ref="AD1224:AD1287" si="95">LEFT(B1224,3)</f>
        <v/>
      </c>
      <c r="AE1224" s="1063" t="str">
        <f>IF(ISNA(VLOOKUP(TB_curr[[#This Row],[Synt]],GL[[#Headers],[#Data],[subtotal label]],1,FALSE)),0,(VLOOKUP(TB_curr[[#This Row],[Synt]],GL[[#Headers],[#Data],[subtotal label]],1,FALSE)))</f>
        <v/>
      </c>
      <c r="AF1224" s="1063" t="e">
        <f>IF((TB_curr[[#This Row],[Synt]]-TB_curr[[#This Row],[Subtotal Y/N]])=0,0,VLOOKUP(TB_curr[[#This Row],[Synt]],GL[[Account]:[Line]],3,FALSE))</f>
        <v>#VALUE!</v>
      </c>
      <c r="AG1224" s="1063" t="e">
        <f>VLOOKUP(TB_curr[[#This Row],[Synt]],GL[[Account]:[B/P]],4,FALSE)</f>
        <v>#N/A</v>
      </c>
      <c r="AH1224" s="1066" t="e">
        <v>#VALUE!</v>
      </c>
      <c r="AI1224" s="1065" t="e">
        <f>TB_curr[[#This Row],[Synt]]&amp;TB_curr[[#This Row],[Line No. manual corr.]]</f>
        <v>#VALUE!</v>
      </c>
      <c r="AJ1224" s="1064">
        <f t="shared" ref="AJ1224:AJ1287" si="96">K1224-N1224</f>
        <v>0</v>
      </c>
      <c r="AK1224" s="1064">
        <f t="shared" ref="AK1224:AK1287" si="97">Q1224</f>
        <v>0</v>
      </c>
      <c r="AL1224" s="1064">
        <f t="shared" ref="AL1224:AL1287" si="98">U1224</f>
        <v>0</v>
      </c>
      <c r="AM1224" s="1064">
        <f t="shared" ref="AM1224:AM1287" si="99">X1224-AB1224</f>
        <v>0</v>
      </c>
      <c r="AN1224" s="1064"/>
      <c r="AO1224" s="1064">
        <f>TB_curr[[#This Row],[Closing balance]]+TB_curr[[#This Row],[Rounding]]</f>
        <v>0</v>
      </c>
    </row>
    <row r="1225" spans="30:41" x14ac:dyDescent="0.25">
      <c r="AD1225" s="1067" t="str">
        <f t="shared" si="95"/>
        <v/>
      </c>
      <c r="AE1225" s="1063" t="str">
        <f>IF(ISNA(VLOOKUP(TB_curr[[#This Row],[Synt]],GL[[#Headers],[#Data],[subtotal label]],1,FALSE)),0,(VLOOKUP(TB_curr[[#This Row],[Synt]],GL[[#Headers],[#Data],[subtotal label]],1,FALSE)))</f>
        <v/>
      </c>
      <c r="AF1225" s="1063" t="e">
        <f>IF((TB_curr[[#This Row],[Synt]]-TB_curr[[#This Row],[Subtotal Y/N]])=0,0,VLOOKUP(TB_curr[[#This Row],[Synt]],GL[[Account]:[Line]],3,FALSE))</f>
        <v>#VALUE!</v>
      </c>
      <c r="AG1225" s="1063" t="e">
        <f>VLOOKUP(TB_curr[[#This Row],[Synt]],GL[[Account]:[B/P]],4,FALSE)</f>
        <v>#N/A</v>
      </c>
      <c r="AH1225" s="1066" t="e">
        <v>#VALUE!</v>
      </c>
      <c r="AI1225" s="1065" t="e">
        <f>TB_curr[[#This Row],[Synt]]&amp;TB_curr[[#This Row],[Line No. manual corr.]]</f>
        <v>#VALUE!</v>
      </c>
      <c r="AJ1225" s="1064">
        <f t="shared" si="96"/>
        <v>0</v>
      </c>
      <c r="AK1225" s="1064">
        <f t="shared" si="97"/>
        <v>0</v>
      </c>
      <c r="AL1225" s="1064">
        <f t="shared" si="98"/>
        <v>0</v>
      </c>
      <c r="AM1225" s="1064">
        <f t="shared" si="99"/>
        <v>0</v>
      </c>
      <c r="AN1225" s="1064"/>
      <c r="AO1225" s="1064">
        <f>TB_curr[[#This Row],[Closing balance]]+TB_curr[[#This Row],[Rounding]]</f>
        <v>0</v>
      </c>
    </row>
    <row r="1226" spans="30:41" x14ac:dyDescent="0.25">
      <c r="AD1226" s="1067" t="str">
        <f t="shared" si="95"/>
        <v/>
      </c>
      <c r="AE1226" s="1063" t="str">
        <f>IF(ISNA(VLOOKUP(TB_curr[[#This Row],[Synt]],GL[[#Headers],[#Data],[subtotal label]],1,FALSE)),0,(VLOOKUP(TB_curr[[#This Row],[Synt]],GL[[#Headers],[#Data],[subtotal label]],1,FALSE)))</f>
        <v/>
      </c>
      <c r="AF1226" s="1063" t="e">
        <f>IF((TB_curr[[#This Row],[Synt]]-TB_curr[[#This Row],[Subtotal Y/N]])=0,0,VLOOKUP(TB_curr[[#This Row],[Synt]],GL[[Account]:[Line]],3,FALSE))</f>
        <v>#VALUE!</v>
      </c>
      <c r="AG1226" s="1063" t="e">
        <f>VLOOKUP(TB_curr[[#This Row],[Synt]],GL[[Account]:[B/P]],4,FALSE)</f>
        <v>#N/A</v>
      </c>
      <c r="AH1226" s="1066" t="e">
        <v>#VALUE!</v>
      </c>
      <c r="AI1226" s="1065" t="e">
        <f>TB_curr[[#This Row],[Synt]]&amp;TB_curr[[#This Row],[Line No. manual corr.]]</f>
        <v>#VALUE!</v>
      </c>
      <c r="AJ1226" s="1064">
        <f t="shared" si="96"/>
        <v>0</v>
      </c>
      <c r="AK1226" s="1064">
        <f t="shared" si="97"/>
        <v>0</v>
      </c>
      <c r="AL1226" s="1064">
        <f t="shared" si="98"/>
        <v>0</v>
      </c>
      <c r="AM1226" s="1064">
        <f t="shared" si="99"/>
        <v>0</v>
      </c>
      <c r="AN1226" s="1064"/>
      <c r="AO1226" s="1064">
        <f>TB_curr[[#This Row],[Closing balance]]+TB_curr[[#This Row],[Rounding]]</f>
        <v>0</v>
      </c>
    </row>
    <row r="1227" spans="30:41" x14ac:dyDescent="0.25">
      <c r="AD1227" s="1067" t="str">
        <f t="shared" si="95"/>
        <v/>
      </c>
      <c r="AE1227" s="1063" t="str">
        <f>IF(ISNA(VLOOKUP(TB_curr[[#This Row],[Synt]],GL[[#Headers],[#Data],[subtotal label]],1,FALSE)),0,(VLOOKUP(TB_curr[[#This Row],[Synt]],GL[[#Headers],[#Data],[subtotal label]],1,FALSE)))</f>
        <v/>
      </c>
      <c r="AF1227" s="1063" t="e">
        <f>IF((TB_curr[[#This Row],[Synt]]-TB_curr[[#This Row],[Subtotal Y/N]])=0,0,VLOOKUP(TB_curr[[#This Row],[Synt]],GL[[Account]:[Line]],3,FALSE))</f>
        <v>#VALUE!</v>
      </c>
      <c r="AG1227" s="1063" t="e">
        <f>VLOOKUP(TB_curr[[#This Row],[Synt]],GL[[Account]:[B/P]],4,FALSE)</f>
        <v>#N/A</v>
      </c>
      <c r="AH1227" s="1066" t="e">
        <v>#VALUE!</v>
      </c>
      <c r="AI1227" s="1065" t="e">
        <f>TB_curr[[#This Row],[Synt]]&amp;TB_curr[[#This Row],[Line No. manual corr.]]</f>
        <v>#VALUE!</v>
      </c>
      <c r="AJ1227" s="1064">
        <f t="shared" si="96"/>
        <v>0</v>
      </c>
      <c r="AK1227" s="1064">
        <f t="shared" si="97"/>
        <v>0</v>
      </c>
      <c r="AL1227" s="1064">
        <f t="shared" si="98"/>
        <v>0</v>
      </c>
      <c r="AM1227" s="1064">
        <f t="shared" si="99"/>
        <v>0</v>
      </c>
      <c r="AN1227" s="1064"/>
      <c r="AO1227" s="1064">
        <f>TB_curr[[#This Row],[Closing balance]]+TB_curr[[#This Row],[Rounding]]</f>
        <v>0</v>
      </c>
    </row>
    <row r="1228" spans="30:41" x14ac:dyDescent="0.25">
      <c r="AD1228" s="1067" t="str">
        <f t="shared" si="95"/>
        <v/>
      </c>
      <c r="AE1228" s="1063" t="str">
        <f>IF(ISNA(VLOOKUP(TB_curr[[#This Row],[Synt]],GL[[#Headers],[#Data],[subtotal label]],1,FALSE)),0,(VLOOKUP(TB_curr[[#This Row],[Synt]],GL[[#Headers],[#Data],[subtotal label]],1,FALSE)))</f>
        <v/>
      </c>
      <c r="AF1228" s="1063" t="e">
        <f>IF((TB_curr[[#This Row],[Synt]]-TB_curr[[#This Row],[Subtotal Y/N]])=0,0,VLOOKUP(TB_curr[[#This Row],[Synt]],GL[[Account]:[Line]],3,FALSE))</f>
        <v>#VALUE!</v>
      </c>
      <c r="AG1228" s="1063" t="e">
        <f>VLOOKUP(TB_curr[[#This Row],[Synt]],GL[[Account]:[B/P]],4,FALSE)</f>
        <v>#N/A</v>
      </c>
      <c r="AH1228" s="1066" t="e">
        <v>#VALUE!</v>
      </c>
      <c r="AI1228" s="1065" t="e">
        <f>TB_curr[[#This Row],[Synt]]&amp;TB_curr[[#This Row],[Line No. manual corr.]]</f>
        <v>#VALUE!</v>
      </c>
      <c r="AJ1228" s="1064">
        <f t="shared" si="96"/>
        <v>0</v>
      </c>
      <c r="AK1228" s="1064">
        <f t="shared" si="97"/>
        <v>0</v>
      </c>
      <c r="AL1228" s="1064">
        <f t="shared" si="98"/>
        <v>0</v>
      </c>
      <c r="AM1228" s="1064">
        <f t="shared" si="99"/>
        <v>0</v>
      </c>
      <c r="AN1228" s="1064"/>
      <c r="AO1228" s="1064">
        <f>TB_curr[[#This Row],[Closing balance]]+TB_curr[[#This Row],[Rounding]]</f>
        <v>0</v>
      </c>
    </row>
    <row r="1229" spans="30:41" x14ac:dyDescent="0.25">
      <c r="AD1229" s="1067" t="str">
        <f t="shared" si="95"/>
        <v/>
      </c>
      <c r="AE1229" s="1063" t="str">
        <f>IF(ISNA(VLOOKUP(TB_curr[[#This Row],[Synt]],GL[[#Headers],[#Data],[subtotal label]],1,FALSE)),0,(VLOOKUP(TB_curr[[#This Row],[Synt]],GL[[#Headers],[#Data],[subtotal label]],1,FALSE)))</f>
        <v/>
      </c>
      <c r="AF1229" s="1063" t="e">
        <f>IF((TB_curr[[#This Row],[Synt]]-TB_curr[[#This Row],[Subtotal Y/N]])=0,0,VLOOKUP(TB_curr[[#This Row],[Synt]],GL[[Account]:[Line]],3,FALSE))</f>
        <v>#VALUE!</v>
      </c>
      <c r="AG1229" s="1063" t="e">
        <f>VLOOKUP(TB_curr[[#This Row],[Synt]],GL[[Account]:[B/P]],4,FALSE)</f>
        <v>#N/A</v>
      </c>
      <c r="AH1229" s="1066" t="e">
        <v>#VALUE!</v>
      </c>
      <c r="AI1229" s="1065" t="e">
        <f>TB_curr[[#This Row],[Synt]]&amp;TB_curr[[#This Row],[Line No. manual corr.]]</f>
        <v>#VALUE!</v>
      </c>
      <c r="AJ1229" s="1064">
        <f t="shared" si="96"/>
        <v>0</v>
      </c>
      <c r="AK1229" s="1064">
        <f t="shared" si="97"/>
        <v>0</v>
      </c>
      <c r="AL1229" s="1064">
        <f t="shared" si="98"/>
        <v>0</v>
      </c>
      <c r="AM1229" s="1064">
        <f t="shared" si="99"/>
        <v>0</v>
      </c>
      <c r="AN1229" s="1064"/>
      <c r="AO1229" s="1064">
        <f>TB_curr[[#This Row],[Closing balance]]+TB_curr[[#This Row],[Rounding]]</f>
        <v>0</v>
      </c>
    </row>
    <row r="1230" spans="30:41" x14ac:dyDescent="0.25">
      <c r="AD1230" s="1067" t="str">
        <f t="shared" si="95"/>
        <v/>
      </c>
      <c r="AE1230" s="1063" t="str">
        <f>IF(ISNA(VLOOKUP(TB_curr[[#This Row],[Synt]],GL[[#Headers],[#Data],[subtotal label]],1,FALSE)),0,(VLOOKUP(TB_curr[[#This Row],[Synt]],GL[[#Headers],[#Data],[subtotal label]],1,FALSE)))</f>
        <v/>
      </c>
      <c r="AF1230" s="1063" t="e">
        <f>IF((TB_curr[[#This Row],[Synt]]-TB_curr[[#This Row],[Subtotal Y/N]])=0,0,VLOOKUP(TB_curr[[#This Row],[Synt]],GL[[Account]:[Line]],3,FALSE))</f>
        <v>#VALUE!</v>
      </c>
      <c r="AG1230" s="1063" t="e">
        <f>VLOOKUP(TB_curr[[#This Row],[Synt]],GL[[Account]:[B/P]],4,FALSE)</f>
        <v>#N/A</v>
      </c>
      <c r="AH1230" s="1066" t="e">
        <v>#VALUE!</v>
      </c>
      <c r="AI1230" s="1065" t="e">
        <f>TB_curr[[#This Row],[Synt]]&amp;TB_curr[[#This Row],[Line No. manual corr.]]</f>
        <v>#VALUE!</v>
      </c>
      <c r="AJ1230" s="1064">
        <f t="shared" si="96"/>
        <v>0</v>
      </c>
      <c r="AK1230" s="1064">
        <f t="shared" si="97"/>
        <v>0</v>
      </c>
      <c r="AL1230" s="1064">
        <f t="shared" si="98"/>
        <v>0</v>
      </c>
      <c r="AM1230" s="1064">
        <f t="shared" si="99"/>
        <v>0</v>
      </c>
      <c r="AN1230" s="1064"/>
      <c r="AO1230" s="1064">
        <f>TB_curr[[#This Row],[Closing balance]]+TB_curr[[#This Row],[Rounding]]</f>
        <v>0</v>
      </c>
    </row>
    <row r="1231" spans="30:41" x14ac:dyDescent="0.25">
      <c r="AD1231" s="1067" t="str">
        <f t="shared" si="95"/>
        <v/>
      </c>
      <c r="AE1231" s="1063" t="str">
        <f>IF(ISNA(VLOOKUP(TB_curr[[#This Row],[Synt]],GL[[#Headers],[#Data],[subtotal label]],1,FALSE)),0,(VLOOKUP(TB_curr[[#This Row],[Synt]],GL[[#Headers],[#Data],[subtotal label]],1,FALSE)))</f>
        <v/>
      </c>
      <c r="AF1231" s="1063" t="e">
        <f>IF((TB_curr[[#This Row],[Synt]]-TB_curr[[#This Row],[Subtotal Y/N]])=0,0,VLOOKUP(TB_curr[[#This Row],[Synt]],GL[[Account]:[Line]],3,FALSE))</f>
        <v>#VALUE!</v>
      </c>
      <c r="AG1231" s="1063" t="e">
        <f>VLOOKUP(TB_curr[[#This Row],[Synt]],GL[[Account]:[B/P]],4,FALSE)</f>
        <v>#N/A</v>
      </c>
      <c r="AH1231" s="1066" t="e">
        <v>#VALUE!</v>
      </c>
      <c r="AI1231" s="1065" t="e">
        <f>TB_curr[[#This Row],[Synt]]&amp;TB_curr[[#This Row],[Line No. manual corr.]]</f>
        <v>#VALUE!</v>
      </c>
      <c r="AJ1231" s="1064">
        <f t="shared" si="96"/>
        <v>0</v>
      </c>
      <c r="AK1231" s="1064">
        <f t="shared" si="97"/>
        <v>0</v>
      </c>
      <c r="AL1231" s="1064">
        <f t="shared" si="98"/>
        <v>0</v>
      </c>
      <c r="AM1231" s="1064">
        <f t="shared" si="99"/>
        <v>0</v>
      </c>
      <c r="AN1231" s="1064"/>
      <c r="AO1231" s="1064">
        <f>TB_curr[[#This Row],[Closing balance]]+TB_curr[[#This Row],[Rounding]]</f>
        <v>0</v>
      </c>
    </row>
    <row r="1232" spans="30:41" x14ac:dyDescent="0.25">
      <c r="AD1232" s="1067" t="str">
        <f t="shared" si="95"/>
        <v/>
      </c>
      <c r="AE1232" s="1063" t="str">
        <f>IF(ISNA(VLOOKUP(TB_curr[[#This Row],[Synt]],GL[[#Headers],[#Data],[subtotal label]],1,FALSE)),0,(VLOOKUP(TB_curr[[#This Row],[Synt]],GL[[#Headers],[#Data],[subtotal label]],1,FALSE)))</f>
        <v/>
      </c>
      <c r="AF1232" s="1063" t="e">
        <f>IF((TB_curr[[#This Row],[Synt]]-TB_curr[[#This Row],[Subtotal Y/N]])=0,0,VLOOKUP(TB_curr[[#This Row],[Synt]],GL[[Account]:[Line]],3,FALSE))</f>
        <v>#VALUE!</v>
      </c>
      <c r="AG1232" s="1063" t="e">
        <f>VLOOKUP(TB_curr[[#This Row],[Synt]],GL[[Account]:[B/P]],4,FALSE)</f>
        <v>#N/A</v>
      </c>
      <c r="AH1232" s="1066" t="e">
        <v>#VALUE!</v>
      </c>
      <c r="AI1232" s="1065" t="e">
        <f>TB_curr[[#This Row],[Synt]]&amp;TB_curr[[#This Row],[Line No. manual corr.]]</f>
        <v>#VALUE!</v>
      </c>
      <c r="AJ1232" s="1064">
        <f t="shared" si="96"/>
        <v>0</v>
      </c>
      <c r="AK1232" s="1064">
        <f t="shared" si="97"/>
        <v>0</v>
      </c>
      <c r="AL1232" s="1064">
        <f t="shared" si="98"/>
        <v>0</v>
      </c>
      <c r="AM1232" s="1064">
        <f t="shared" si="99"/>
        <v>0</v>
      </c>
      <c r="AN1232" s="1064"/>
      <c r="AO1232" s="1064">
        <f>TB_curr[[#This Row],[Closing balance]]+TB_curr[[#This Row],[Rounding]]</f>
        <v>0</v>
      </c>
    </row>
    <row r="1233" spans="30:41" x14ac:dyDescent="0.25">
      <c r="AD1233" s="1067" t="str">
        <f t="shared" si="95"/>
        <v/>
      </c>
      <c r="AE1233" s="1063" t="str">
        <f>IF(ISNA(VLOOKUP(TB_curr[[#This Row],[Synt]],GL[[#Headers],[#Data],[subtotal label]],1,FALSE)),0,(VLOOKUP(TB_curr[[#This Row],[Synt]],GL[[#Headers],[#Data],[subtotal label]],1,FALSE)))</f>
        <v/>
      </c>
      <c r="AF1233" s="1063" t="e">
        <f>IF((TB_curr[[#This Row],[Synt]]-TB_curr[[#This Row],[Subtotal Y/N]])=0,0,VLOOKUP(TB_curr[[#This Row],[Synt]],GL[[Account]:[Line]],3,FALSE))</f>
        <v>#VALUE!</v>
      </c>
      <c r="AG1233" s="1063" t="e">
        <f>VLOOKUP(TB_curr[[#This Row],[Synt]],GL[[Account]:[B/P]],4,FALSE)</f>
        <v>#N/A</v>
      </c>
      <c r="AH1233" s="1066" t="e">
        <v>#VALUE!</v>
      </c>
      <c r="AI1233" s="1065" t="e">
        <f>TB_curr[[#This Row],[Synt]]&amp;TB_curr[[#This Row],[Line No. manual corr.]]</f>
        <v>#VALUE!</v>
      </c>
      <c r="AJ1233" s="1064">
        <f t="shared" si="96"/>
        <v>0</v>
      </c>
      <c r="AK1233" s="1064">
        <f t="shared" si="97"/>
        <v>0</v>
      </c>
      <c r="AL1233" s="1064">
        <f t="shared" si="98"/>
        <v>0</v>
      </c>
      <c r="AM1233" s="1064">
        <f t="shared" si="99"/>
        <v>0</v>
      </c>
      <c r="AN1233" s="1064"/>
      <c r="AO1233" s="1064">
        <f>TB_curr[[#This Row],[Closing balance]]+TB_curr[[#This Row],[Rounding]]</f>
        <v>0</v>
      </c>
    </row>
    <row r="1234" spans="30:41" x14ac:dyDescent="0.25">
      <c r="AD1234" s="1067" t="str">
        <f t="shared" si="95"/>
        <v/>
      </c>
      <c r="AE1234" s="1063" t="str">
        <f>IF(ISNA(VLOOKUP(TB_curr[[#This Row],[Synt]],GL[[#Headers],[#Data],[subtotal label]],1,FALSE)),0,(VLOOKUP(TB_curr[[#This Row],[Synt]],GL[[#Headers],[#Data],[subtotal label]],1,FALSE)))</f>
        <v/>
      </c>
      <c r="AF1234" s="1063" t="e">
        <f>IF((TB_curr[[#This Row],[Synt]]-TB_curr[[#This Row],[Subtotal Y/N]])=0,0,VLOOKUP(TB_curr[[#This Row],[Synt]],GL[[Account]:[Line]],3,FALSE))</f>
        <v>#VALUE!</v>
      </c>
      <c r="AG1234" s="1063" t="e">
        <f>VLOOKUP(TB_curr[[#This Row],[Synt]],GL[[Account]:[B/P]],4,FALSE)</f>
        <v>#N/A</v>
      </c>
      <c r="AH1234" s="1066" t="e">
        <v>#VALUE!</v>
      </c>
      <c r="AI1234" s="1065" t="e">
        <f>TB_curr[[#This Row],[Synt]]&amp;TB_curr[[#This Row],[Line No. manual corr.]]</f>
        <v>#VALUE!</v>
      </c>
      <c r="AJ1234" s="1064">
        <f t="shared" si="96"/>
        <v>0</v>
      </c>
      <c r="AK1234" s="1064">
        <f t="shared" si="97"/>
        <v>0</v>
      </c>
      <c r="AL1234" s="1064">
        <f t="shared" si="98"/>
        <v>0</v>
      </c>
      <c r="AM1234" s="1064">
        <f t="shared" si="99"/>
        <v>0</v>
      </c>
      <c r="AN1234" s="1064"/>
      <c r="AO1234" s="1064">
        <f>TB_curr[[#This Row],[Closing balance]]+TB_curr[[#This Row],[Rounding]]</f>
        <v>0</v>
      </c>
    </row>
    <row r="1235" spans="30:41" x14ac:dyDescent="0.25">
      <c r="AD1235" s="1067" t="str">
        <f t="shared" si="95"/>
        <v/>
      </c>
      <c r="AE1235" s="1063" t="str">
        <f>IF(ISNA(VLOOKUP(TB_curr[[#This Row],[Synt]],GL[[#Headers],[#Data],[subtotal label]],1,FALSE)),0,(VLOOKUP(TB_curr[[#This Row],[Synt]],GL[[#Headers],[#Data],[subtotal label]],1,FALSE)))</f>
        <v/>
      </c>
      <c r="AF1235" s="1063" t="e">
        <f>IF((TB_curr[[#This Row],[Synt]]-TB_curr[[#This Row],[Subtotal Y/N]])=0,0,VLOOKUP(TB_curr[[#This Row],[Synt]],GL[[Account]:[Line]],3,FALSE))</f>
        <v>#VALUE!</v>
      </c>
      <c r="AG1235" s="1063" t="e">
        <f>VLOOKUP(TB_curr[[#This Row],[Synt]],GL[[Account]:[B/P]],4,FALSE)</f>
        <v>#N/A</v>
      </c>
      <c r="AH1235" s="1066" t="e">
        <v>#VALUE!</v>
      </c>
      <c r="AI1235" s="1065" t="e">
        <f>TB_curr[[#This Row],[Synt]]&amp;TB_curr[[#This Row],[Line No. manual corr.]]</f>
        <v>#VALUE!</v>
      </c>
      <c r="AJ1235" s="1064">
        <f t="shared" si="96"/>
        <v>0</v>
      </c>
      <c r="AK1235" s="1064">
        <f t="shared" si="97"/>
        <v>0</v>
      </c>
      <c r="AL1235" s="1064">
        <f t="shared" si="98"/>
        <v>0</v>
      </c>
      <c r="AM1235" s="1064">
        <f t="shared" si="99"/>
        <v>0</v>
      </c>
      <c r="AN1235" s="1064"/>
      <c r="AO1235" s="1064">
        <f>TB_curr[[#This Row],[Closing balance]]+TB_curr[[#This Row],[Rounding]]</f>
        <v>0</v>
      </c>
    </row>
    <row r="1236" spans="30:41" x14ac:dyDescent="0.25">
      <c r="AD1236" s="1067" t="str">
        <f t="shared" si="95"/>
        <v/>
      </c>
      <c r="AE1236" s="1063" t="str">
        <f>IF(ISNA(VLOOKUP(TB_curr[[#This Row],[Synt]],GL[[#Headers],[#Data],[subtotal label]],1,FALSE)),0,(VLOOKUP(TB_curr[[#This Row],[Synt]],GL[[#Headers],[#Data],[subtotal label]],1,FALSE)))</f>
        <v/>
      </c>
      <c r="AF1236" s="1063" t="e">
        <f>IF((TB_curr[[#This Row],[Synt]]-TB_curr[[#This Row],[Subtotal Y/N]])=0,0,VLOOKUP(TB_curr[[#This Row],[Synt]],GL[[Account]:[Line]],3,FALSE))</f>
        <v>#VALUE!</v>
      </c>
      <c r="AG1236" s="1063" t="e">
        <f>VLOOKUP(TB_curr[[#This Row],[Synt]],GL[[Account]:[B/P]],4,FALSE)</f>
        <v>#N/A</v>
      </c>
      <c r="AH1236" s="1066" t="e">
        <v>#VALUE!</v>
      </c>
      <c r="AI1236" s="1065" t="e">
        <f>TB_curr[[#This Row],[Synt]]&amp;TB_curr[[#This Row],[Line No. manual corr.]]</f>
        <v>#VALUE!</v>
      </c>
      <c r="AJ1236" s="1064">
        <f t="shared" si="96"/>
        <v>0</v>
      </c>
      <c r="AK1236" s="1064">
        <f t="shared" si="97"/>
        <v>0</v>
      </c>
      <c r="AL1236" s="1064">
        <f t="shared" si="98"/>
        <v>0</v>
      </c>
      <c r="AM1236" s="1064">
        <f t="shared" si="99"/>
        <v>0</v>
      </c>
      <c r="AN1236" s="1064"/>
      <c r="AO1236" s="1064">
        <f>TB_curr[[#This Row],[Closing balance]]+TB_curr[[#This Row],[Rounding]]</f>
        <v>0</v>
      </c>
    </row>
    <row r="1237" spans="30:41" x14ac:dyDescent="0.25">
      <c r="AD1237" s="1067" t="str">
        <f t="shared" si="95"/>
        <v/>
      </c>
      <c r="AE1237" s="1063" t="str">
        <f>IF(ISNA(VLOOKUP(TB_curr[[#This Row],[Synt]],GL[[#Headers],[#Data],[subtotal label]],1,FALSE)),0,(VLOOKUP(TB_curr[[#This Row],[Synt]],GL[[#Headers],[#Data],[subtotal label]],1,FALSE)))</f>
        <v/>
      </c>
      <c r="AF1237" s="1063" t="e">
        <f>IF((TB_curr[[#This Row],[Synt]]-TB_curr[[#This Row],[Subtotal Y/N]])=0,0,VLOOKUP(TB_curr[[#This Row],[Synt]],GL[[Account]:[Line]],3,FALSE))</f>
        <v>#VALUE!</v>
      </c>
      <c r="AG1237" s="1063" t="e">
        <f>VLOOKUP(TB_curr[[#This Row],[Synt]],GL[[Account]:[B/P]],4,FALSE)</f>
        <v>#N/A</v>
      </c>
      <c r="AH1237" s="1066" t="e">
        <v>#VALUE!</v>
      </c>
      <c r="AI1237" s="1065" t="e">
        <f>TB_curr[[#This Row],[Synt]]&amp;TB_curr[[#This Row],[Line No. manual corr.]]</f>
        <v>#VALUE!</v>
      </c>
      <c r="AJ1237" s="1064">
        <f t="shared" si="96"/>
        <v>0</v>
      </c>
      <c r="AK1237" s="1064">
        <f t="shared" si="97"/>
        <v>0</v>
      </c>
      <c r="AL1237" s="1064">
        <f t="shared" si="98"/>
        <v>0</v>
      </c>
      <c r="AM1237" s="1064">
        <f t="shared" si="99"/>
        <v>0</v>
      </c>
      <c r="AN1237" s="1064"/>
      <c r="AO1237" s="1064">
        <f>TB_curr[[#This Row],[Closing balance]]+TB_curr[[#This Row],[Rounding]]</f>
        <v>0</v>
      </c>
    </row>
    <row r="1238" spans="30:41" x14ac:dyDescent="0.25">
      <c r="AD1238" s="1067" t="str">
        <f t="shared" si="95"/>
        <v/>
      </c>
      <c r="AE1238" s="1063" t="str">
        <f>IF(ISNA(VLOOKUP(TB_curr[[#This Row],[Synt]],GL[[#Headers],[#Data],[subtotal label]],1,FALSE)),0,(VLOOKUP(TB_curr[[#This Row],[Synt]],GL[[#Headers],[#Data],[subtotal label]],1,FALSE)))</f>
        <v/>
      </c>
      <c r="AF1238" s="1063" t="e">
        <f>IF((TB_curr[[#This Row],[Synt]]-TB_curr[[#This Row],[Subtotal Y/N]])=0,0,VLOOKUP(TB_curr[[#This Row],[Synt]],GL[[Account]:[Line]],3,FALSE))</f>
        <v>#VALUE!</v>
      </c>
      <c r="AG1238" s="1063" t="e">
        <f>VLOOKUP(TB_curr[[#This Row],[Synt]],GL[[Account]:[B/P]],4,FALSE)</f>
        <v>#N/A</v>
      </c>
      <c r="AH1238" s="1066" t="e">
        <v>#VALUE!</v>
      </c>
      <c r="AI1238" s="1065" t="e">
        <f>TB_curr[[#This Row],[Synt]]&amp;TB_curr[[#This Row],[Line No. manual corr.]]</f>
        <v>#VALUE!</v>
      </c>
      <c r="AJ1238" s="1064">
        <f t="shared" si="96"/>
        <v>0</v>
      </c>
      <c r="AK1238" s="1064">
        <f t="shared" si="97"/>
        <v>0</v>
      </c>
      <c r="AL1238" s="1064">
        <f t="shared" si="98"/>
        <v>0</v>
      </c>
      <c r="AM1238" s="1064">
        <f t="shared" si="99"/>
        <v>0</v>
      </c>
      <c r="AN1238" s="1064"/>
      <c r="AO1238" s="1064">
        <f>TB_curr[[#This Row],[Closing balance]]+TB_curr[[#This Row],[Rounding]]</f>
        <v>0</v>
      </c>
    </row>
    <row r="1239" spans="30:41" x14ac:dyDescent="0.25">
      <c r="AD1239" s="1067" t="str">
        <f t="shared" si="95"/>
        <v/>
      </c>
      <c r="AE1239" s="1063" t="str">
        <f>IF(ISNA(VLOOKUP(TB_curr[[#This Row],[Synt]],GL[[#Headers],[#Data],[subtotal label]],1,FALSE)),0,(VLOOKUP(TB_curr[[#This Row],[Synt]],GL[[#Headers],[#Data],[subtotal label]],1,FALSE)))</f>
        <v/>
      </c>
      <c r="AF1239" s="1063" t="e">
        <f>IF((TB_curr[[#This Row],[Synt]]-TB_curr[[#This Row],[Subtotal Y/N]])=0,0,VLOOKUP(TB_curr[[#This Row],[Synt]],GL[[Account]:[Line]],3,FALSE))</f>
        <v>#VALUE!</v>
      </c>
      <c r="AG1239" s="1063" t="e">
        <f>VLOOKUP(TB_curr[[#This Row],[Synt]],GL[[Account]:[B/P]],4,FALSE)</f>
        <v>#N/A</v>
      </c>
      <c r="AH1239" s="1066" t="e">
        <v>#VALUE!</v>
      </c>
      <c r="AI1239" s="1065" t="e">
        <f>TB_curr[[#This Row],[Synt]]&amp;TB_curr[[#This Row],[Line No. manual corr.]]</f>
        <v>#VALUE!</v>
      </c>
      <c r="AJ1239" s="1064">
        <f t="shared" si="96"/>
        <v>0</v>
      </c>
      <c r="AK1239" s="1064">
        <f t="shared" si="97"/>
        <v>0</v>
      </c>
      <c r="AL1239" s="1064">
        <f t="shared" si="98"/>
        <v>0</v>
      </c>
      <c r="AM1239" s="1064">
        <f t="shared" si="99"/>
        <v>0</v>
      </c>
      <c r="AN1239" s="1064"/>
      <c r="AO1239" s="1064">
        <f>TB_curr[[#This Row],[Closing balance]]+TB_curr[[#This Row],[Rounding]]</f>
        <v>0</v>
      </c>
    </row>
    <row r="1240" spans="30:41" x14ac:dyDescent="0.25">
      <c r="AD1240" s="1067" t="str">
        <f t="shared" si="95"/>
        <v/>
      </c>
      <c r="AE1240" s="1063" t="str">
        <f>IF(ISNA(VLOOKUP(TB_curr[[#This Row],[Synt]],GL[[#Headers],[#Data],[subtotal label]],1,FALSE)),0,(VLOOKUP(TB_curr[[#This Row],[Synt]],GL[[#Headers],[#Data],[subtotal label]],1,FALSE)))</f>
        <v/>
      </c>
      <c r="AF1240" s="1063" t="e">
        <f>IF((TB_curr[[#This Row],[Synt]]-TB_curr[[#This Row],[Subtotal Y/N]])=0,0,VLOOKUP(TB_curr[[#This Row],[Synt]],GL[[Account]:[Line]],3,FALSE))</f>
        <v>#VALUE!</v>
      </c>
      <c r="AG1240" s="1063" t="e">
        <f>VLOOKUP(TB_curr[[#This Row],[Synt]],GL[[Account]:[B/P]],4,FALSE)</f>
        <v>#N/A</v>
      </c>
      <c r="AH1240" s="1066" t="e">
        <v>#VALUE!</v>
      </c>
      <c r="AI1240" s="1065" t="e">
        <f>TB_curr[[#This Row],[Synt]]&amp;TB_curr[[#This Row],[Line No. manual corr.]]</f>
        <v>#VALUE!</v>
      </c>
      <c r="AJ1240" s="1064">
        <f t="shared" si="96"/>
        <v>0</v>
      </c>
      <c r="AK1240" s="1064">
        <f t="shared" si="97"/>
        <v>0</v>
      </c>
      <c r="AL1240" s="1064">
        <f t="shared" si="98"/>
        <v>0</v>
      </c>
      <c r="AM1240" s="1064">
        <f t="shared" si="99"/>
        <v>0</v>
      </c>
      <c r="AN1240" s="1064"/>
      <c r="AO1240" s="1064">
        <f>TB_curr[[#This Row],[Closing balance]]+TB_curr[[#This Row],[Rounding]]</f>
        <v>0</v>
      </c>
    </row>
    <row r="1241" spans="30:41" x14ac:dyDescent="0.25">
      <c r="AD1241" s="1067" t="str">
        <f t="shared" si="95"/>
        <v/>
      </c>
      <c r="AE1241" s="1063" t="str">
        <f>IF(ISNA(VLOOKUP(TB_curr[[#This Row],[Synt]],GL[[#Headers],[#Data],[subtotal label]],1,FALSE)),0,(VLOOKUP(TB_curr[[#This Row],[Synt]],GL[[#Headers],[#Data],[subtotal label]],1,FALSE)))</f>
        <v/>
      </c>
      <c r="AF1241" s="1063" t="e">
        <f>IF((TB_curr[[#This Row],[Synt]]-TB_curr[[#This Row],[Subtotal Y/N]])=0,0,VLOOKUP(TB_curr[[#This Row],[Synt]],GL[[Account]:[Line]],3,FALSE))</f>
        <v>#VALUE!</v>
      </c>
      <c r="AG1241" s="1063" t="e">
        <f>VLOOKUP(TB_curr[[#This Row],[Synt]],GL[[Account]:[B/P]],4,FALSE)</f>
        <v>#N/A</v>
      </c>
      <c r="AH1241" s="1066" t="e">
        <v>#VALUE!</v>
      </c>
      <c r="AI1241" s="1065" t="e">
        <f>TB_curr[[#This Row],[Synt]]&amp;TB_curr[[#This Row],[Line No. manual corr.]]</f>
        <v>#VALUE!</v>
      </c>
      <c r="AJ1241" s="1064">
        <f t="shared" si="96"/>
        <v>0</v>
      </c>
      <c r="AK1241" s="1064">
        <f t="shared" si="97"/>
        <v>0</v>
      </c>
      <c r="AL1241" s="1064">
        <f t="shared" si="98"/>
        <v>0</v>
      </c>
      <c r="AM1241" s="1064">
        <f t="shared" si="99"/>
        <v>0</v>
      </c>
      <c r="AN1241" s="1064"/>
      <c r="AO1241" s="1064">
        <f>TB_curr[[#This Row],[Closing balance]]+TB_curr[[#This Row],[Rounding]]</f>
        <v>0</v>
      </c>
    </row>
    <row r="1242" spans="30:41" x14ac:dyDescent="0.25">
      <c r="AD1242" s="1067" t="str">
        <f t="shared" si="95"/>
        <v/>
      </c>
      <c r="AE1242" s="1063" t="str">
        <f>IF(ISNA(VLOOKUP(TB_curr[[#This Row],[Synt]],GL[[#Headers],[#Data],[subtotal label]],1,FALSE)),0,(VLOOKUP(TB_curr[[#This Row],[Synt]],GL[[#Headers],[#Data],[subtotal label]],1,FALSE)))</f>
        <v/>
      </c>
      <c r="AF1242" s="1063" t="e">
        <f>IF((TB_curr[[#This Row],[Synt]]-TB_curr[[#This Row],[Subtotal Y/N]])=0,0,VLOOKUP(TB_curr[[#This Row],[Synt]],GL[[Account]:[Line]],3,FALSE))</f>
        <v>#VALUE!</v>
      </c>
      <c r="AG1242" s="1063" t="e">
        <f>VLOOKUP(TB_curr[[#This Row],[Synt]],GL[[Account]:[B/P]],4,FALSE)</f>
        <v>#N/A</v>
      </c>
      <c r="AH1242" s="1066" t="e">
        <v>#VALUE!</v>
      </c>
      <c r="AI1242" s="1065" t="e">
        <f>TB_curr[[#This Row],[Synt]]&amp;TB_curr[[#This Row],[Line No. manual corr.]]</f>
        <v>#VALUE!</v>
      </c>
      <c r="AJ1242" s="1064">
        <f t="shared" si="96"/>
        <v>0</v>
      </c>
      <c r="AK1242" s="1064">
        <f t="shared" si="97"/>
        <v>0</v>
      </c>
      <c r="AL1242" s="1064">
        <f t="shared" si="98"/>
        <v>0</v>
      </c>
      <c r="AM1242" s="1064">
        <f t="shared" si="99"/>
        <v>0</v>
      </c>
      <c r="AN1242" s="1064"/>
      <c r="AO1242" s="1064">
        <f>TB_curr[[#This Row],[Closing balance]]+TB_curr[[#This Row],[Rounding]]</f>
        <v>0</v>
      </c>
    </row>
    <row r="1243" spans="30:41" x14ac:dyDescent="0.25">
      <c r="AD1243" s="1067" t="str">
        <f t="shared" si="95"/>
        <v/>
      </c>
      <c r="AE1243" s="1063" t="str">
        <f>IF(ISNA(VLOOKUP(TB_curr[[#This Row],[Synt]],GL[[#Headers],[#Data],[subtotal label]],1,FALSE)),0,(VLOOKUP(TB_curr[[#This Row],[Synt]],GL[[#Headers],[#Data],[subtotal label]],1,FALSE)))</f>
        <v/>
      </c>
      <c r="AF1243" s="1063" t="e">
        <f>IF((TB_curr[[#This Row],[Synt]]-TB_curr[[#This Row],[Subtotal Y/N]])=0,0,VLOOKUP(TB_curr[[#This Row],[Synt]],GL[[Account]:[Line]],3,FALSE))</f>
        <v>#VALUE!</v>
      </c>
      <c r="AG1243" s="1063" t="e">
        <f>VLOOKUP(TB_curr[[#This Row],[Synt]],GL[[Account]:[B/P]],4,FALSE)</f>
        <v>#N/A</v>
      </c>
      <c r="AH1243" s="1066" t="e">
        <v>#VALUE!</v>
      </c>
      <c r="AI1243" s="1065" t="e">
        <f>TB_curr[[#This Row],[Synt]]&amp;TB_curr[[#This Row],[Line No. manual corr.]]</f>
        <v>#VALUE!</v>
      </c>
      <c r="AJ1243" s="1064">
        <f t="shared" si="96"/>
        <v>0</v>
      </c>
      <c r="AK1243" s="1064">
        <f t="shared" si="97"/>
        <v>0</v>
      </c>
      <c r="AL1243" s="1064">
        <f t="shared" si="98"/>
        <v>0</v>
      </c>
      <c r="AM1243" s="1064">
        <f t="shared" si="99"/>
        <v>0</v>
      </c>
      <c r="AN1243" s="1064"/>
      <c r="AO1243" s="1064">
        <f>TB_curr[[#This Row],[Closing balance]]+TB_curr[[#This Row],[Rounding]]</f>
        <v>0</v>
      </c>
    </row>
    <row r="1244" spans="30:41" x14ac:dyDescent="0.25">
      <c r="AD1244" s="1067" t="str">
        <f t="shared" si="95"/>
        <v/>
      </c>
      <c r="AE1244" s="1063" t="str">
        <f>IF(ISNA(VLOOKUP(TB_curr[[#This Row],[Synt]],GL[[#Headers],[#Data],[subtotal label]],1,FALSE)),0,(VLOOKUP(TB_curr[[#This Row],[Synt]],GL[[#Headers],[#Data],[subtotal label]],1,FALSE)))</f>
        <v/>
      </c>
      <c r="AF1244" s="1063" t="e">
        <f>IF((TB_curr[[#This Row],[Synt]]-TB_curr[[#This Row],[Subtotal Y/N]])=0,0,VLOOKUP(TB_curr[[#This Row],[Synt]],GL[[Account]:[Line]],3,FALSE))</f>
        <v>#VALUE!</v>
      </c>
      <c r="AG1244" s="1063" t="e">
        <f>VLOOKUP(TB_curr[[#This Row],[Synt]],GL[[Account]:[B/P]],4,FALSE)</f>
        <v>#N/A</v>
      </c>
      <c r="AH1244" s="1066" t="e">
        <v>#VALUE!</v>
      </c>
      <c r="AI1244" s="1065" t="e">
        <f>TB_curr[[#This Row],[Synt]]&amp;TB_curr[[#This Row],[Line No. manual corr.]]</f>
        <v>#VALUE!</v>
      </c>
      <c r="AJ1244" s="1064">
        <f t="shared" si="96"/>
        <v>0</v>
      </c>
      <c r="AK1244" s="1064">
        <f t="shared" si="97"/>
        <v>0</v>
      </c>
      <c r="AL1244" s="1064">
        <f t="shared" si="98"/>
        <v>0</v>
      </c>
      <c r="AM1244" s="1064">
        <f t="shared" si="99"/>
        <v>0</v>
      </c>
      <c r="AN1244" s="1064"/>
      <c r="AO1244" s="1064">
        <f>TB_curr[[#This Row],[Closing balance]]+TB_curr[[#This Row],[Rounding]]</f>
        <v>0</v>
      </c>
    </row>
    <row r="1245" spans="30:41" x14ac:dyDescent="0.25">
      <c r="AD1245" s="1067" t="str">
        <f t="shared" si="95"/>
        <v/>
      </c>
      <c r="AE1245" s="1063" t="str">
        <f>IF(ISNA(VLOOKUP(TB_curr[[#This Row],[Synt]],GL[[#Headers],[#Data],[subtotal label]],1,FALSE)),0,(VLOOKUP(TB_curr[[#This Row],[Synt]],GL[[#Headers],[#Data],[subtotal label]],1,FALSE)))</f>
        <v/>
      </c>
      <c r="AF1245" s="1063" t="e">
        <f>IF((TB_curr[[#This Row],[Synt]]-TB_curr[[#This Row],[Subtotal Y/N]])=0,0,VLOOKUP(TB_curr[[#This Row],[Synt]],GL[[Account]:[Line]],3,FALSE))</f>
        <v>#VALUE!</v>
      </c>
      <c r="AG1245" s="1063" t="e">
        <f>VLOOKUP(TB_curr[[#This Row],[Synt]],GL[[Account]:[B/P]],4,FALSE)</f>
        <v>#N/A</v>
      </c>
      <c r="AH1245" s="1066" t="e">
        <v>#VALUE!</v>
      </c>
      <c r="AI1245" s="1065" t="e">
        <f>TB_curr[[#This Row],[Synt]]&amp;TB_curr[[#This Row],[Line No. manual corr.]]</f>
        <v>#VALUE!</v>
      </c>
      <c r="AJ1245" s="1064">
        <f t="shared" si="96"/>
        <v>0</v>
      </c>
      <c r="AK1245" s="1064">
        <f t="shared" si="97"/>
        <v>0</v>
      </c>
      <c r="AL1245" s="1064">
        <f t="shared" si="98"/>
        <v>0</v>
      </c>
      <c r="AM1245" s="1064">
        <f t="shared" si="99"/>
        <v>0</v>
      </c>
      <c r="AN1245" s="1064"/>
      <c r="AO1245" s="1064">
        <f>TB_curr[[#This Row],[Closing balance]]+TB_curr[[#This Row],[Rounding]]</f>
        <v>0</v>
      </c>
    </row>
    <row r="1246" spans="30:41" x14ac:dyDescent="0.25">
      <c r="AD1246" s="1067" t="str">
        <f t="shared" si="95"/>
        <v/>
      </c>
      <c r="AE1246" s="1063" t="str">
        <f>IF(ISNA(VLOOKUP(TB_curr[[#This Row],[Synt]],GL[[#Headers],[#Data],[subtotal label]],1,FALSE)),0,(VLOOKUP(TB_curr[[#This Row],[Synt]],GL[[#Headers],[#Data],[subtotal label]],1,FALSE)))</f>
        <v/>
      </c>
      <c r="AF1246" s="1063" t="e">
        <f>IF((TB_curr[[#This Row],[Synt]]-TB_curr[[#This Row],[Subtotal Y/N]])=0,0,VLOOKUP(TB_curr[[#This Row],[Synt]],GL[[Account]:[Line]],3,FALSE))</f>
        <v>#VALUE!</v>
      </c>
      <c r="AG1246" s="1063" t="e">
        <f>VLOOKUP(TB_curr[[#This Row],[Synt]],GL[[Account]:[B/P]],4,FALSE)</f>
        <v>#N/A</v>
      </c>
      <c r="AH1246" s="1066" t="e">
        <v>#VALUE!</v>
      </c>
      <c r="AI1246" s="1065" t="e">
        <f>TB_curr[[#This Row],[Synt]]&amp;TB_curr[[#This Row],[Line No. manual corr.]]</f>
        <v>#VALUE!</v>
      </c>
      <c r="AJ1246" s="1064">
        <f t="shared" si="96"/>
        <v>0</v>
      </c>
      <c r="AK1246" s="1064">
        <f t="shared" si="97"/>
        <v>0</v>
      </c>
      <c r="AL1246" s="1064">
        <f t="shared" si="98"/>
        <v>0</v>
      </c>
      <c r="AM1246" s="1064">
        <f t="shared" si="99"/>
        <v>0</v>
      </c>
      <c r="AN1246" s="1064"/>
      <c r="AO1246" s="1064">
        <f>TB_curr[[#This Row],[Closing balance]]+TB_curr[[#This Row],[Rounding]]</f>
        <v>0</v>
      </c>
    </row>
    <row r="1247" spans="30:41" x14ac:dyDescent="0.25">
      <c r="AD1247" s="1067" t="str">
        <f t="shared" si="95"/>
        <v/>
      </c>
      <c r="AE1247" s="1063" t="str">
        <f>IF(ISNA(VLOOKUP(TB_curr[[#This Row],[Synt]],GL[[#Headers],[#Data],[subtotal label]],1,FALSE)),0,(VLOOKUP(TB_curr[[#This Row],[Synt]],GL[[#Headers],[#Data],[subtotal label]],1,FALSE)))</f>
        <v/>
      </c>
      <c r="AF1247" s="1063" t="e">
        <f>IF((TB_curr[[#This Row],[Synt]]-TB_curr[[#This Row],[Subtotal Y/N]])=0,0,VLOOKUP(TB_curr[[#This Row],[Synt]],GL[[Account]:[Line]],3,FALSE))</f>
        <v>#VALUE!</v>
      </c>
      <c r="AG1247" s="1063" t="e">
        <f>VLOOKUP(TB_curr[[#This Row],[Synt]],GL[[Account]:[B/P]],4,FALSE)</f>
        <v>#N/A</v>
      </c>
      <c r="AH1247" s="1066" t="e">
        <v>#VALUE!</v>
      </c>
      <c r="AI1247" s="1065" t="e">
        <f>TB_curr[[#This Row],[Synt]]&amp;TB_curr[[#This Row],[Line No. manual corr.]]</f>
        <v>#VALUE!</v>
      </c>
      <c r="AJ1247" s="1064">
        <f t="shared" si="96"/>
        <v>0</v>
      </c>
      <c r="AK1247" s="1064">
        <f t="shared" si="97"/>
        <v>0</v>
      </c>
      <c r="AL1247" s="1064">
        <f t="shared" si="98"/>
        <v>0</v>
      </c>
      <c r="AM1247" s="1064">
        <f t="shared" si="99"/>
        <v>0</v>
      </c>
      <c r="AN1247" s="1064"/>
      <c r="AO1247" s="1064">
        <f>TB_curr[[#This Row],[Closing balance]]+TB_curr[[#This Row],[Rounding]]</f>
        <v>0</v>
      </c>
    </row>
    <row r="1248" spans="30:41" x14ac:dyDescent="0.25">
      <c r="AD1248" s="1067" t="str">
        <f t="shared" si="95"/>
        <v/>
      </c>
      <c r="AE1248" s="1063" t="str">
        <f>IF(ISNA(VLOOKUP(TB_curr[[#This Row],[Synt]],GL[[#Headers],[#Data],[subtotal label]],1,FALSE)),0,(VLOOKUP(TB_curr[[#This Row],[Synt]],GL[[#Headers],[#Data],[subtotal label]],1,FALSE)))</f>
        <v/>
      </c>
      <c r="AF1248" s="1063" t="e">
        <f>IF((TB_curr[[#This Row],[Synt]]-TB_curr[[#This Row],[Subtotal Y/N]])=0,0,VLOOKUP(TB_curr[[#This Row],[Synt]],GL[[Account]:[Line]],3,FALSE))</f>
        <v>#VALUE!</v>
      </c>
      <c r="AG1248" s="1063" t="e">
        <f>VLOOKUP(TB_curr[[#This Row],[Synt]],GL[[Account]:[B/P]],4,FALSE)</f>
        <v>#N/A</v>
      </c>
      <c r="AH1248" s="1066" t="e">
        <v>#VALUE!</v>
      </c>
      <c r="AI1248" s="1065" t="e">
        <f>TB_curr[[#This Row],[Synt]]&amp;TB_curr[[#This Row],[Line No. manual corr.]]</f>
        <v>#VALUE!</v>
      </c>
      <c r="AJ1248" s="1064">
        <f t="shared" si="96"/>
        <v>0</v>
      </c>
      <c r="AK1248" s="1064">
        <f t="shared" si="97"/>
        <v>0</v>
      </c>
      <c r="AL1248" s="1064">
        <f t="shared" si="98"/>
        <v>0</v>
      </c>
      <c r="AM1248" s="1064">
        <f t="shared" si="99"/>
        <v>0</v>
      </c>
      <c r="AN1248" s="1064"/>
      <c r="AO1248" s="1064">
        <f>TB_curr[[#This Row],[Closing balance]]+TB_curr[[#This Row],[Rounding]]</f>
        <v>0</v>
      </c>
    </row>
    <row r="1249" spans="30:41" x14ac:dyDescent="0.25">
      <c r="AD1249" s="1067" t="str">
        <f t="shared" si="95"/>
        <v/>
      </c>
      <c r="AE1249" s="1063" t="str">
        <f>IF(ISNA(VLOOKUP(TB_curr[[#This Row],[Synt]],GL[[#Headers],[#Data],[subtotal label]],1,FALSE)),0,(VLOOKUP(TB_curr[[#This Row],[Synt]],GL[[#Headers],[#Data],[subtotal label]],1,FALSE)))</f>
        <v/>
      </c>
      <c r="AF1249" s="1063" t="e">
        <f>IF((TB_curr[[#This Row],[Synt]]-TB_curr[[#This Row],[Subtotal Y/N]])=0,0,VLOOKUP(TB_curr[[#This Row],[Synt]],GL[[Account]:[Line]],3,FALSE))</f>
        <v>#VALUE!</v>
      </c>
      <c r="AG1249" s="1063" t="e">
        <f>VLOOKUP(TB_curr[[#This Row],[Synt]],GL[[Account]:[B/P]],4,FALSE)</f>
        <v>#N/A</v>
      </c>
      <c r="AH1249" s="1066" t="e">
        <v>#VALUE!</v>
      </c>
      <c r="AI1249" s="1065" t="e">
        <f>TB_curr[[#This Row],[Synt]]&amp;TB_curr[[#This Row],[Line No. manual corr.]]</f>
        <v>#VALUE!</v>
      </c>
      <c r="AJ1249" s="1064">
        <f t="shared" si="96"/>
        <v>0</v>
      </c>
      <c r="AK1249" s="1064">
        <f t="shared" si="97"/>
        <v>0</v>
      </c>
      <c r="AL1249" s="1064">
        <f t="shared" si="98"/>
        <v>0</v>
      </c>
      <c r="AM1249" s="1064">
        <f t="shared" si="99"/>
        <v>0</v>
      </c>
      <c r="AN1249" s="1064"/>
      <c r="AO1249" s="1064">
        <f>TB_curr[[#This Row],[Closing balance]]+TB_curr[[#This Row],[Rounding]]</f>
        <v>0</v>
      </c>
    </row>
    <row r="1250" spans="30:41" x14ac:dyDescent="0.25">
      <c r="AD1250" s="1067" t="str">
        <f t="shared" si="95"/>
        <v/>
      </c>
      <c r="AE1250" s="1063" t="str">
        <f>IF(ISNA(VLOOKUP(TB_curr[[#This Row],[Synt]],GL[[#Headers],[#Data],[subtotal label]],1,FALSE)),0,(VLOOKUP(TB_curr[[#This Row],[Synt]],GL[[#Headers],[#Data],[subtotal label]],1,FALSE)))</f>
        <v/>
      </c>
      <c r="AF1250" s="1063" t="e">
        <f>IF((TB_curr[[#This Row],[Synt]]-TB_curr[[#This Row],[Subtotal Y/N]])=0,0,VLOOKUP(TB_curr[[#This Row],[Synt]],GL[[Account]:[Line]],3,FALSE))</f>
        <v>#VALUE!</v>
      </c>
      <c r="AG1250" s="1063" t="e">
        <f>VLOOKUP(TB_curr[[#This Row],[Synt]],GL[[Account]:[B/P]],4,FALSE)</f>
        <v>#N/A</v>
      </c>
      <c r="AH1250" s="1066" t="e">
        <v>#VALUE!</v>
      </c>
      <c r="AI1250" s="1065" t="e">
        <f>TB_curr[[#This Row],[Synt]]&amp;TB_curr[[#This Row],[Line No. manual corr.]]</f>
        <v>#VALUE!</v>
      </c>
      <c r="AJ1250" s="1064">
        <f t="shared" si="96"/>
        <v>0</v>
      </c>
      <c r="AK1250" s="1064">
        <f t="shared" si="97"/>
        <v>0</v>
      </c>
      <c r="AL1250" s="1064">
        <f t="shared" si="98"/>
        <v>0</v>
      </c>
      <c r="AM1250" s="1064">
        <f t="shared" si="99"/>
        <v>0</v>
      </c>
      <c r="AN1250" s="1064"/>
      <c r="AO1250" s="1064">
        <f>TB_curr[[#This Row],[Closing balance]]+TB_curr[[#This Row],[Rounding]]</f>
        <v>0</v>
      </c>
    </row>
    <row r="1251" spans="30:41" x14ac:dyDescent="0.25">
      <c r="AD1251" s="1067" t="str">
        <f t="shared" si="95"/>
        <v/>
      </c>
      <c r="AE1251" s="1063" t="str">
        <f>IF(ISNA(VLOOKUP(TB_curr[[#This Row],[Synt]],GL[[#Headers],[#Data],[subtotal label]],1,FALSE)),0,(VLOOKUP(TB_curr[[#This Row],[Synt]],GL[[#Headers],[#Data],[subtotal label]],1,FALSE)))</f>
        <v/>
      </c>
      <c r="AF1251" s="1063" t="e">
        <f>IF((TB_curr[[#This Row],[Synt]]-TB_curr[[#This Row],[Subtotal Y/N]])=0,0,VLOOKUP(TB_curr[[#This Row],[Synt]],GL[[Account]:[Line]],3,FALSE))</f>
        <v>#VALUE!</v>
      </c>
      <c r="AG1251" s="1063" t="e">
        <f>VLOOKUP(TB_curr[[#This Row],[Synt]],GL[[Account]:[B/P]],4,FALSE)</f>
        <v>#N/A</v>
      </c>
      <c r="AH1251" s="1066" t="e">
        <v>#VALUE!</v>
      </c>
      <c r="AI1251" s="1065" t="e">
        <f>TB_curr[[#This Row],[Synt]]&amp;TB_curr[[#This Row],[Line No. manual corr.]]</f>
        <v>#VALUE!</v>
      </c>
      <c r="AJ1251" s="1064">
        <f t="shared" si="96"/>
        <v>0</v>
      </c>
      <c r="AK1251" s="1064">
        <f t="shared" si="97"/>
        <v>0</v>
      </c>
      <c r="AL1251" s="1064">
        <f t="shared" si="98"/>
        <v>0</v>
      </c>
      <c r="AM1251" s="1064">
        <f t="shared" si="99"/>
        <v>0</v>
      </c>
      <c r="AN1251" s="1064"/>
      <c r="AO1251" s="1064">
        <f>TB_curr[[#This Row],[Closing balance]]+TB_curr[[#This Row],[Rounding]]</f>
        <v>0</v>
      </c>
    </row>
    <row r="1252" spans="30:41" x14ac:dyDescent="0.25">
      <c r="AD1252" s="1067" t="str">
        <f t="shared" si="95"/>
        <v/>
      </c>
      <c r="AE1252" s="1063" t="str">
        <f>IF(ISNA(VLOOKUP(TB_curr[[#This Row],[Synt]],GL[[#Headers],[#Data],[subtotal label]],1,FALSE)),0,(VLOOKUP(TB_curr[[#This Row],[Synt]],GL[[#Headers],[#Data],[subtotal label]],1,FALSE)))</f>
        <v/>
      </c>
      <c r="AF1252" s="1063" t="e">
        <f>IF((TB_curr[[#This Row],[Synt]]-TB_curr[[#This Row],[Subtotal Y/N]])=0,0,VLOOKUP(TB_curr[[#This Row],[Synt]],GL[[Account]:[Line]],3,FALSE))</f>
        <v>#VALUE!</v>
      </c>
      <c r="AG1252" s="1063" t="e">
        <f>VLOOKUP(TB_curr[[#This Row],[Synt]],GL[[Account]:[B/P]],4,FALSE)</f>
        <v>#N/A</v>
      </c>
      <c r="AH1252" s="1066" t="e">
        <v>#VALUE!</v>
      </c>
      <c r="AI1252" s="1065" t="e">
        <f>TB_curr[[#This Row],[Synt]]&amp;TB_curr[[#This Row],[Line No. manual corr.]]</f>
        <v>#VALUE!</v>
      </c>
      <c r="AJ1252" s="1064">
        <f t="shared" si="96"/>
        <v>0</v>
      </c>
      <c r="AK1252" s="1064">
        <f t="shared" si="97"/>
        <v>0</v>
      </c>
      <c r="AL1252" s="1064">
        <f t="shared" si="98"/>
        <v>0</v>
      </c>
      <c r="AM1252" s="1064">
        <f t="shared" si="99"/>
        <v>0</v>
      </c>
      <c r="AN1252" s="1064"/>
      <c r="AO1252" s="1064">
        <f>TB_curr[[#This Row],[Closing balance]]+TB_curr[[#This Row],[Rounding]]</f>
        <v>0</v>
      </c>
    </row>
    <row r="1253" spans="30:41" x14ac:dyDescent="0.25">
      <c r="AD1253" s="1067" t="str">
        <f t="shared" si="95"/>
        <v/>
      </c>
      <c r="AE1253" s="1063" t="str">
        <f>IF(ISNA(VLOOKUP(TB_curr[[#This Row],[Synt]],GL[[#Headers],[#Data],[subtotal label]],1,FALSE)),0,(VLOOKUP(TB_curr[[#This Row],[Synt]],GL[[#Headers],[#Data],[subtotal label]],1,FALSE)))</f>
        <v/>
      </c>
      <c r="AF1253" s="1063" t="e">
        <f>IF((TB_curr[[#This Row],[Synt]]-TB_curr[[#This Row],[Subtotal Y/N]])=0,0,VLOOKUP(TB_curr[[#This Row],[Synt]],GL[[Account]:[Line]],3,FALSE))</f>
        <v>#VALUE!</v>
      </c>
      <c r="AG1253" s="1063" t="e">
        <f>VLOOKUP(TB_curr[[#This Row],[Synt]],GL[[Account]:[B/P]],4,FALSE)</f>
        <v>#N/A</v>
      </c>
      <c r="AH1253" s="1066" t="e">
        <v>#VALUE!</v>
      </c>
      <c r="AI1253" s="1065" t="e">
        <f>TB_curr[[#This Row],[Synt]]&amp;TB_curr[[#This Row],[Line No. manual corr.]]</f>
        <v>#VALUE!</v>
      </c>
      <c r="AJ1253" s="1064">
        <f t="shared" si="96"/>
        <v>0</v>
      </c>
      <c r="AK1253" s="1064">
        <f t="shared" si="97"/>
        <v>0</v>
      </c>
      <c r="AL1253" s="1064">
        <f t="shared" si="98"/>
        <v>0</v>
      </c>
      <c r="AM1253" s="1064">
        <f t="shared" si="99"/>
        <v>0</v>
      </c>
      <c r="AN1253" s="1064"/>
      <c r="AO1253" s="1064">
        <f>TB_curr[[#This Row],[Closing balance]]+TB_curr[[#This Row],[Rounding]]</f>
        <v>0</v>
      </c>
    </row>
    <row r="1254" spans="30:41" x14ac:dyDescent="0.25">
      <c r="AD1254" s="1067" t="str">
        <f t="shared" si="95"/>
        <v/>
      </c>
      <c r="AE1254" s="1063" t="str">
        <f>IF(ISNA(VLOOKUP(TB_curr[[#This Row],[Synt]],GL[[#Headers],[#Data],[subtotal label]],1,FALSE)),0,(VLOOKUP(TB_curr[[#This Row],[Synt]],GL[[#Headers],[#Data],[subtotal label]],1,FALSE)))</f>
        <v/>
      </c>
      <c r="AF1254" s="1063" t="e">
        <f>IF((TB_curr[[#This Row],[Synt]]-TB_curr[[#This Row],[Subtotal Y/N]])=0,0,VLOOKUP(TB_curr[[#This Row],[Synt]],GL[[Account]:[Line]],3,FALSE))</f>
        <v>#VALUE!</v>
      </c>
      <c r="AG1254" s="1063" t="e">
        <f>VLOOKUP(TB_curr[[#This Row],[Synt]],GL[[Account]:[B/P]],4,FALSE)</f>
        <v>#N/A</v>
      </c>
      <c r="AH1254" s="1066" t="e">
        <v>#VALUE!</v>
      </c>
      <c r="AI1254" s="1065" t="e">
        <f>TB_curr[[#This Row],[Synt]]&amp;TB_curr[[#This Row],[Line No. manual corr.]]</f>
        <v>#VALUE!</v>
      </c>
      <c r="AJ1254" s="1064">
        <f t="shared" si="96"/>
        <v>0</v>
      </c>
      <c r="AK1254" s="1064">
        <f t="shared" si="97"/>
        <v>0</v>
      </c>
      <c r="AL1254" s="1064">
        <f t="shared" si="98"/>
        <v>0</v>
      </c>
      <c r="AM1254" s="1064">
        <f t="shared" si="99"/>
        <v>0</v>
      </c>
      <c r="AN1254" s="1064"/>
      <c r="AO1254" s="1064">
        <f>TB_curr[[#This Row],[Closing balance]]+TB_curr[[#This Row],[Rounding]]</f>
        <v>0</v>
      </c>
    </row>
    <row r="1255" spans="30:41" x14ac:dyDescent="0.25">
      <c r="AD1255" s="1067" t="str">
        <f t="shared" si="95"/>
        <v/>
      </c>
      <c r="AE1255" s="1063" t="str">
        <f>IF(ISNA(VLOOKUP(TB_curr[[#This Row],[Synt]],GL[[#Headers],[#Data],[subtotal label]],1,FALSE)),0,(VLOOKUP(TB_curr[[#This Row],[Synt]],GL[[#Headers],[#Data],[subtotal label]],1,FALSE)))</f>
        <v/>
      </c>
      <c r="AF1255" s="1063" t="e">
        <f>IF((TB_curr[[#This Row],[Synt]]-TB_curr[[#This Row],[Subtotal Y/N]])=0,0,VLOOKUP(TB_curr[[#This Row],[Synt]],GL[[Account]:[Line]],3,FALSE))</f>
        <v>#VALUE!</v>
      </c>
      <c r="AG1255" s="1063" t="e">
        <f>VLOOKUP(TB_curr[[#This Row],[Synt]],GL[[Account]:[B/P]],4,FALSE)</f>
        <v>#N/A</v>
      </c>
      <c r="AH1255" s="1066" t="e">
        <v>#VALUE!</v>
      </c>
      <c r="AI1255" s="1065" t="e">
        <f>TB_curr[[#This Row],[Synt]]&amp;TB_curr[[#This Row],[Line No. manual corr.]]</f>
        <v>#VALUE!</v>
      </c>
      <c r="AJ1255" s="1064">
        <f t="shared" si="96"/>
        <v>0</v>
      </c>
      <c r="AK1255" s="1064">
        <f t="shared" si="97"/>
        <v>0</v>
      </c>
      <c r="AL1255" s="1064">
        <f t="shared" si="98"/>
        <v>0</v>
      </c>
      <c r="AM1255" s="1064">
        <f t="shared" si="99"/>
        <v>0</v>
      </c>
      <c r="AN1255" s="1064"/>
      <c r="AO1255" s="1064">
        <f>TB_curr[[#This Row],[Closing balance]]+TB_curr[[#This Row],[Rounding]]</f>
        <v>0</v>
      </c>
    </row>
    <row r="1256" spans="30:41" x14ac:dyDescent="0.25">
      <c r="AD1256" s="1067" t="str">
        <f t="shared" si="95"/>
        <v/>
      </c>
      <c r="AE1256" s="1063" t="str">
        <f>IF(ISNA(VLOOKUP(TB_curr[[#This Row],[Synt]],GL[[#Headers],[#Data],[subtotal label]],1,FALSE)),0,(VLOOKUP(TB_curr[[#This Row],[Synt]],GL[[#Headers],[#Data],[subtotal label]],1,FALSE)))</f>
        <v/>
      </c>
      <c r="AF1256" s="1063" t="e">
        <f>IF((TB_curr[[#This Row],[Synt]]-TB_curr[[#This Row],[Subtotal Y/N]])=0,0,VLOOKUP(TB_curr[[#This Row],[Synt]],GL[[Account]:[Line]],3,FALSE))</f>
        <v>#VALUE!</v>
      </c>
      <c r="AG1256" s="1063" t="e">
        <f>VLOOKUP(TB_curr[[#This Row],[Synt]],GL[[Account]:[B/P]],4,FALSE)</f>
        <v>#N/A</v>
      </c>
      <c r="AH1256" s="1066" t="e">
        <v>#VALUE!</v>
      </c>
      <c r="AI1256" s="1065" t="e">
        <f>TB_curr[[#This Row],[Synt]]&amp;TB_curr[[#This Row],[Line No. manual corr.]]</f>
        <v>#VALUE!</v>
      </c>
      <c r="AJ1256" s="1064">
        <f t="shared" si="96"/>
        <v>0</v>
      </c>
      <c r="AK1256" s="1064">
        <f t="shared" si="97"/>
        <v>0</v>
      </c>
      <c r="AL1256" s="1064">
        <f t="shared" si="98"/>
        <v>0</v>
      </c>
      <c r="AM1256" s="1064">
        <f t="shared" si="99"/>
        <v>0</v>
      </c>
      <c r="AN1256" s="1064"/>
      <c r="AO1256" s="1064">
        <f>TB_curr[[#This Row],[Closing balance]]+TB_curr[[#This Row],[Rounding]]</f>
        <v>0</v>
      </c>
    </row>
    <row r="1257" spans="30:41" x14ac:dyDescent="0.25">
      <c r="AD1257" s="1067" t="str">
        <f t="shared" si="95"/>
        <v/>
      </c>
      <c r="AE1257" s="1063" t="str">
        <f>IF(ISNA(VLOOKUP(TB_curr[[#This Row],[Synt]],GL[[#Headers],[#Data],[subtotal label]],1,FALSE)),0,(VLOOKUP(TB_curr[[#This Row],[Synt]],GL[[#Headers],[#Data],[subtotal label]],1,FALSE)))</f>
        <v/>
      </c>
      <c r="AF1257" s="1063" t="e">
        <f>IF((TB_curr[[#This Row],[Synt]]-TB_curr[[#This Row],[Subtotal Y/N]])=0,0,VLOOKUP(TB_curr[[#This Row],[Synt]],GL[[Account]:[Line]],3,FALSE))</f>
        <v>#VALUE!</v>
      </c>
      <c r="AG1257" s="1063" t="e">
        <f>VLOOKUP(TB_curr[[#This Row],[Synt]],GL[[Account]:[B/P]],4,FALSE)</f>
        <v>#N/A</v>
      </c>
      <c r="AH1257" s="1066" t="e">
        <v>#VALUE!</v>
      </c>
      <c r="AI1257" s="1065" t="e">
        <f>TB_curr[[#This Row],[Synt]]&amp;TB_curr[[#This Row],[Line No. manual corr.]]</f>
        <v>#VALUE!</v>
      </c>
      <c r="AJ1257" s="1064">
        <f t="shared" si="96"/>
        <v>0</v>
      </c>
      <c r="AK1257" s="1064">
        <f t="shared" si="97"/>
        <v>0</v>
      </c>
      <c r="AL1257" s="1064">
        <f t="shared" si="98"/>
        <v>0</v>
      </c>
      <c r="AM1257" s="1064">
        <f t="shared" si="99"/>
        <v>0</v>
      </c>
      <c r="AN1257" s="1064"/>
      <c r="AO1257" s="1064">
        <f>TB_curr[[#This Row],[Closing balance]]+TB_curr[[#This Row],[Rounding]]</f>
        <v>0</v>
      </c>
    </row>
    <row r="1258" spans="30:41" x14ac:dyDescent="0.25">
      <c r="AD1258" s="1067" t="str">
        <f t="shared" si="95"/>
        <v/>
      </c>
      <c r="AE1258" s="1063" t="str">
        <f>IF(ISNA(VLOOKUP(TB_curr[[#This Row],[Synt]],GL[[#Headers],[#Data],[subtotal label]],1,FALSE)),0,(VLOOKUP(TB_curr[[#This Row],[Synt]],GL[[#Headers],[#Data],[subtotal label]],1,FALSE)))</f>
        <v/>
      </c>
      <c r="AF1258" s="1063" t="e">
        <f>IF((TB_curr[[#This Row],[Synt]]-TB_curr[[#This Row],[Subtotal Y/N]])=0,0,VLOOKUP(TB_curr[[#This Row],[Synt]],GL[[Account]:[Line]],3,FALSE))</f>
        <v>#VALUE!</v>
      </c>
      <c r="AG1258" s="1063" t="e">
        <f>VLOOKUP(TB_curr[[#This Row],[Synt]],GL[[Account]:[B/P]],4,FALSE)</f>
        <v>#N/A</v>
      </c>
      <c r="AH1258" s="1066" t="e">
        <v>#VALUE!</v>
      </c>
      <c r="AI1258" s="1065" t="e">
        <f>TB_curr[[#This Row],[Synt]]&amp;TB_curr[[#This Row],[Line No. manual corr.]]</f>
        <v>#VALUE!</v>
      </c>
      <c r="AJ1258" s="1064">
        <f t="shared" si="96"/>
        <v>0</v>
      </c>
      <c r="AK1258" s="1064">
        <f t="shared" si="97"/>
        <v>0</v>
      </c>
      <c r="AL1258" s="1064">
        <f t="shared" si="98"/>
        <v>0</v>
      </c>
      <c r="AM1258" s="1064">
        <f t="shared" si="99"/>
        <v>0</v>
      </c>
      <c r="AN1258" s="1064"/>
      <c r="AO1258" s="1064">
        <f>TB_curr[[#This Row],[Closing balance]]+TB_curr[[#This Row],[Rounding]]</f>
        <v>0</v>
      </c>
    </row>
    <row r="1259" spans="30:41" x14ac:dyDescent="0.25">
      <c r="AD1259" s="1067" t="str">
        <f t="shared" si="95"/>
        <v/>
      </c>
      <c r="AE1259" s="1063" t="str">
        <f>IF(ISNA(VLOOKUP(TB_curr[[#This Row],[Synt]],GL[[#Headers],[#Data],[subtotal label]],1,FALSE)),0,(VLOOKUP(TB_curr[[#This Row],[Synt]],GL[[#Headers],[#Data],[subtotal label]],1,FALSE)))</f>
        <v/>
      </c>
      <c r="AF1259" s="1063" t="e">
        <f>IF((TB_curr[[#This Row],[Synt]]-TB_curr[[#This Row],[Subtotal Y/N]])=0,0,VLOOKUP(TB_curr[[#This Row],[Synt]],GL[[Account]:[Line]],3,FALSE))</f>
        <v>#VALUE!</v>
      </c>
      <c r="AG1259" s="1063" t="e">
        <f>VLOOKUP(TB_curr[[#This Row],[Synt]],GL[[Account]:[B/P]],4,FALSE)</f>
        <v>#N/A</v>
      </c>
      <c r="AH1259" s="1066" t="e">
        <v>#VALUE!</v>
      </c>
      <c r="AI1259" s="1065" t="e">
        <f>TB_curr[[#This Row],[Synt]]&amp;TB_curr[[#This Row],[Line No. manual corr.]]</f>
        <v>#VALUE!</v>
      </c>
      <c r="AJ1259" s="1064">
        <f t="shared" si="96"/>
        <v>0</v>
      </c>
      <c r="AK1259" s="1064">
        <f t="shared" si="97"/>
        <v>0</v>
      </c>
      <c r="AL1259" s="1064">
        <f t="shared" si="98"/>
        <v>0</v>
      </c>
      <c r="AM1259" s="1064">
        <f t="shared" si="99"/>
        <v>0</v>
      </c>
      <c r="AN1259" s="1064"/>
      <c r="AO1259" s="1064">
        <f>TB_curr[[#This Row],[Closing balance]]+TB_curr[[#This Row],[Rounding]]</f>
        <v>0</v>
      </c>
    </row>
    <row r="1260" spans="30:41" x14ac:dyDescent="0.25">
      <c r="AD1260" s="1067" t="str">
        <f t="shared" si="95"/>
        <v/>
      </c>
      <c r="AE1260" s="1063" t="str">
        <f>IF(ISNA(VLOOKUP(TB_curr[[#This Row],[Synt]],GL[[#Headers],[#Data],[subtotal label]],1,FALSE)),0,(VLOOKUP(TB_curr[[#This Row],[Synt]],GL[[#Headers],[#Data],[subtotal label]],1,FALSE)))</f>
        <v/>
      </c>
      <c r="AF1260" s="1063" t="e">
        <f>IF((TB_curr[[#This Row],[Synt]]-TB_curr[[#This Row],[Subtotal Y/N]])=0,0,VLOOKUP(TB_curr[[#This Row],[Synt]],GL[[Account]:[Line]],3,FALSE))</f>
        <v>#VALUE!</v>
      </c>
      <c r="AG1260" s="1063" t="e">
        <f>VLOOKUP(TB_curr[[#This Row],[Synt]],GL[[Account]:[B/P]],4,FALSE)</f>
        <v>#N/A</v>
      </c>
      <c r="AH1260" s="1066" t="e">
        <v>#VALUE!</v>
      </c>
      <c r="AI1260" s="1065" t="e">
        <f>TB_curr[[#This Row],[Synt]]&amp;TB_curr[[#This Row],[Line No. manual corr.]]</f>
        <v>#VALUE!</v>
      </c>
      <c r="AJ1260" s="1064">
        <f t="shared" si="96"/>
        <v>0</v>
      </c>
      <c r="AK1260" s="1064">
        <f t="shared" si="97"/>
        <v>0</v>
      </c>
      <c r="AL1260" s="1064">
        <f t="shared" si="98"/>
        <v>0</v>
      </c>
      <c r="AM1260" s="1064">
        <f t="shared" si="99"/>
        <v>0</v>
      </c>
      <c r="AN1260" s="1064"/>
      <c r="AO1260" s="1064">
        <f>TB_curr[[#This Row],[Closing balance]]+TB_curr[[#This Row],[Rounding]]</f>
        <v>0</v>
      </c>
    </row>
    <row r="1261" spans="30:41" x14ac:dyDescent="0.25">
      <c r="AD1261" s="1067" t="str">
        <f t="shared" si="95"/>
        <v/>
      </c>
      <c r="AE1261" s="1063" t="str">
        <f>IF(ISNA(VLOOKUP(TB_curr[[#This Row],[Synt]],GL[[#Headers],[#Data],[subtotal label]],1,FALSE)),0,(VLOOKUP(TB_curr[[#This Row],[Synt]],GL[[#Headers],[#Data],[subtotal label]],1,FALSE)))</f>
        <v/>
      </c>
      <c r="AF1261" s="1063" t="e">
        <f>IF((TB_curr[[#This Row],[Synt]]-TB_curr[[#This Row],[Subtotal Y/N]])=0,0,VLOOKUP(TB_curr[[#This Row],[Synt]],GL[[Account]:[Line]],3,FALSE))</f>
        <v>#VALUE!</v>
      </c>
      <c r="AG1261" s="1063" t="e">
        <f>VLOOKUP(TB_curr[[#This Row],[Synt]],GL[[Account]:[B/P]],4,FALSE)</f>
        <v>#N/A</v>
      </c>
      <c r="AH1261" s="1066" t="e">
        <v>#VALUE!</v>
      </c>
      <c r="AI1261" s="1065" t="e">
        <f>TB_curr[[#This Row],[Synt]]&amp;TB_curr[[#This Row],[Line No. manual corr.]]</f>
        <v>#VALUE!</v>
      </c>
      <c r="AJ1261" s="1064">
        <f t="shared" si="96"/>
        <v>0</v>
      </c>
      <c r="AK1261" s="1064">
        <f t="shared" si="97"/>
        <v>0</v>
      </c>
      <c r="AL1261" s="1064">
        <f t="shared" si="98"/>
        <v>0</v>
      </c>
      <c r="AM1261" s="1064">
        <f t="shared" si="99"/>
        <v>0</v>
      </c>
      <c r="AN1261" s="1064"/>
      <c r="AO1261" s="1064">
        <f>TB_curr[[#This Row],[Closing balance]]+TB_curr[[#This Row],[Rounding]]</f>
        <v>0</v>
      </c>
    </row>
    <row r="1262" spans="30:41" x14ac:dyDescent="0.25">
      <c r="AD1262" s="1067" t="str">
        <f t="shared" si="95"/>
        <v/>
      </c>
      <c r="AE1262" s="1063" t="str">
        <f>IF(ISNA(VLOOKUP(TB_curr[[#This Row],[Synt]],GL[[#Headers],[#Data],[subtotal label]],1,FALSE)),0,(VLOOKUP(TB_curr[[#This Row],[Synt]],GL[[#Headers],[#Data],[subtotal label]],1,FALSE)))</f>
        <v/>
      </c>
      <c r="AF1262" s="1063" t="e">
        <f>IF((TB_curr[[#This Row],[Synt]]-TB_curr[[#This Row],[Subtotal Y/N]])=0,0,VLOOKUP(TB_curr[[#This Row],[Synt]],GL[[Account]:[Line]],3,FALSE))</f>
        <v>#VALUE!</v>
      </c>
      <c r="AG1262" s="1063" t="e">
        <f>VLOOKUP(TB_curr[[#This Row],[Synt]],GL[[Account]:[B/P]],4,FALSE)</f>
        <v>#N/A</v>
      </c>
      <c r="AH1262" s="1066" t="e">
        <v>#VALUE!</v>
      </c>
      <c r="AI1262" s="1065" t="e">
        <f>TB_curr[[#This Row],[Synt]]&amp;TB_curr[[#This Row],[Line No. manual corr.]]</f>
        <v>#VALUE!</v>
      </c>
      <c r="AJ1262" s="1064">
        <f t="shared" si="96"/>
        <v>0</v>
      </c>
      <c r="AK1262" s="1064">
        <f t="shared" si="97"/>
        <v>0</v>
      </c>
      <c r="AL1262" s="1064">
        <f t="shared" si="98"/>
        <v>0</v>
      </c>
      <c r="AM1262" s="1064">
        <f t="shared" si="99"/>
        <v>0</v>
      </c>
      <c r="AN1262" s="1064"/>
      <c r="AO1262" s="1064">
        <f>TB_curr[[#This Row],[Closing balance]]+TB_curr[[#This Row],[Rounding]]</f>
        <v>0</v>
      </c>
    </row>
    <row r="1263" spans="30:41" x14ac:dyDescent="0.25">
      <c r="AD1263" s="1067" t="str">
        <f t="shared" si="95"/>
        <v/>
      </c>
      <c r="AE1263" s="1063" t="str">
        <f>IF(ISNA(VLOOKUP(TB_curr[[#This Row],[Synt]],GL[[#Headers],[#Data],[subtotal label]],1,FALSE)),0,(VLOOKUP(TB_curr[[#This Row],[Synt]],GL[[#Headers],[#Data],[subtotal label]],1,FALSE)))</f>
        <v/>
      </c>
      <c r="AF1263" s="1063" t="e">
        <f>IF((TB_curr[[#This Row],[Synt]]-TB_curr[[#This Row],[Subtotal Y/N]])=0,0,VLOOKUP(TB_curr[[#This Row],[Synt]],GL[[Account]:[Line]],3,FALSE))</f>
        <v>#VALUE!</v>
      </c>
      <c r="AG1263" s="1063" t="e">
        <f>VLOOKUP(TB_curr[[#This Row],[Synt]],GL[[Account]:[B/P]],4,FALSE)</f>
        <v>#N/A</v>
      </c>
      <c r="AH1263" s="1066" t="e">
        <v>#VALUE!</v>
      </c>
      <c r="AI1263" s="1065" t="e">
        <f>TB_curr[[#This Row],[Synt]]&amp;TB_curr[[#This Row],[Line No. manual corr.]]</f>
        <v>#VALUE!</v>
      </c>
      <c r="AJ1263" s="1064">
        <f t="shared" si="96"/>
        <v>0</v>
      </c>
      <c r="AK1263" s="1064">
        <f t="shared" si="97"/>
        <v>0</v>
      </c>
      <c r="AL1263" s="1064">
        <f t="shared" si="98"/>
        <v>0</v>
      </c>
      <c r="AM1263" s="1064">
        <f t="shared" si="99"/>
        <v>0</v>
      </c>
      <c r="AN1263" s="1064"/>
      <c r="AO1263" s="1064">
        <f>TB_curr[[#This Row],[Closing balance]]+TB_curr[[#This Row],[Rounding]]</f>
        <v>0</v>
      </c>
    </row>
    <row r="1264" spans="30:41" x14ac:dyDescent="0.25">
      <c r="AD1264" s="1067" t="str">
        <f t="shared" si="95"/>
        <v/>
      </c>
      <c r="AE1264" s="1063" t="str">
        <f>IF(ISNA(VLOOKUP(TB_curr[[#This Row],[Synt]],GL[[#Headers],[#Data],[subtotal label]],1,FALSE)),0,(VLOOKUP(TB_curr[[#This Row],[Synt]],GL[[#Headers],[#Data],[subtotal label]],1,FALSE)))</f>
        <v/>
      </c>
      <c r="AF1264" s="1063" t="e">
        <f>IF((TB_curr[[#This Row],[Synt]]-TB_curr[[#This Row],[Subtotal Y/N]])=0,0,VLOOKUP(TB_curr[[#This Row],[Synt]],GL[[Account]:[Line]],3,FALSE))</f>
        <v>#VALUE!</v>
      </c>
      <c r="AG1264" s="1063" t="e">
        <f>VLOOKUP(TB_curr[[#This Row],[Synt]],GL[[Account]:[B/P]],4,FALSE)</f>
        <v>#N/A</v>
      </c>
      <c r="AH1264" s="1066" t="e">
        <v>#VALUE!</v>
      </c>
      <c r="AI1264" s="1065" t="e">
        <f>TB_curr[[#This Row],[Synt]]&amp;TB_curr[[#This Row],[Line No. manual corr.]]</f>
        <v>#VALUE!</v>
      </c>
      <c r="AJ1264" s="1064">
        <f t="shared" si="96"/>
        <v>0</v>
      </c>
      <c r="AK1264" s="1064">
        <f t="shared" si="97"/>
        <v>0</v>
      </c>
      <c r="AL1264" s="1064">
        <f t="shared" si="98"/>
        <v>0</v>
      </c>
      <c r="AM1264" s="1064">
        <f t="shared" si="99"/>
        <v>0</v>
      </c>
      <c r="AN1264" s="1064"/>
      <c r="AO1264" s="1064">
        <f>TB_curr[[#This Row],[Closing balance]]+TB_curr[[#This Row],[Rounding]]</f>
        <v>0</v>
      </c>
    </row>
    <row r="1265" spans="30:41" x14ac:dyDescent="0.25">
      <c r="AD1265" s="1067" t="str">
        <f t="shared" si="95"/>
        <v/>
      </c>
      <c r="AE1265" s="1063" t="str">
        <f>IF(ISNA(VLOOKUP(TB_curr[[#This Row],[Synt]],GL[[#Headers],[#Data],[subtotal label]],1,FALSE)),0,(VLOOKUP(TB_curr[[#This Row],[Synt]],GL[[#Headers],[#Data],[subtotal label]],1,FALSE)))</f>
        <v/>
      </c>
      <c r="AF1265" s="1063" t="e">
        <f>IF((TB_curr[[#This Row],[Synt]]-TB_curr[[#This Row],[Subtotal Y/N]])=0,0,VLOOKUP(TB_curr[[#This Row],[Synt]],GL[[Account]:[Line]],3,FALSE))</f>
        <v>#VALUE!</v>
      </c>
      <c r="AG1265" s="1063" t="e">
        <f>VLOOKUP(TB_curr[[#This Row],[Synt]],GL[[Account]:[B/P]],4,FALSE)</f>
        <v>#N/A</v>
      </c>
      <c r="AH1265" s="1066" t="e">
        <v>#VALUE!</v>
      </c>
      <c r="AI1265" s="1065" t="e">
        <f>TB_curr[[#This Row],[Synt]]&amp;TB_curr[[#This Row],[Line No. manual corr.]]</f>
        <v>#VALUE!</v>
      </c>
      <c r="AJ1265" s="1064">
        <f t="shared" si="96"/>
        <v>0</v>
      </c>
      <c r="AK1265" s="1064">
        <f t="shared" si="97"/>
        <v>0</v>
      </c>
      <c r="AL1265" s="1064">
        <f t="shared" si="98"/>
        <v>0</v>
      </c>
      <c r="AM1265" s="1064">
        <f t="shared" si="99"/>
        <v>0</v>
      </c>
      <c r="AN1265" s="1064"/>
      <c r="AO1265" s="1064">
        <f>TB_curr[[#This Row],[Closing balance]]+TB_curr[[#This Row],[Rounding]]</f>
        <v>0</v>
      </c>
    </row>
    <row r="1266" spans="30:41" x14ac:dyDescent="0.25">
      <c r="AD1266" s="1067" t="str">
        <f t="shared" si="95"/>
        <v/>
      </c>
      <c r="AE1266" s="1063" t="str">
        <f>IF(ISNA(VLOOKUP(TB_curr[[#This Row],[Synt]],GL[[#Headers],[#Data],[subtotal label]],1,FALSE)),0,(VLOOKUP(TB_curr[[#This Row],[Synt]],GL[[#Headers],[#Data],[subtotal label]],1,FALSE)))</f>
        <v/>
      </c>
      <c r="AF1266" s="1063" t="e">
        <f>IF((TB_curr[[#This Row],[Synt]]-TB_curr[[#This Row],[Subtotal Y/N]])=0,0,VLOOKUP(TB_curr[[#This Row],[Synt]],GL[[Account]:[Line]],3,FALSE))</f>
        <v>#VALUE!</v>
      </c>
      <c r="AG1266" s="1063" t="e">
        <f>VLOOKUP(TB_curr[[#This Row],[Synt]],GL[[Account]:[B/P]],4,FALSE)</f>
        <v>#N/A</v>
      </c>
      <c r="AH1266" s="1066" t="e">
        <v>#VALUE!</v>
      </c>
      <c r="AI1266" s="1065" t="e">
        <f>TB_curr[[#This Row],[Synt]]&amp;TB_curr[[#This Row],[Line No. manual corr.]]</f>
        <v>#VALUE!</v>
      </c>
      <c r="AJ1266" s="1064">
        <f t="shared" si="96"/>
        <v>0</v>
      </c>
      <c r="AK1266" s="1064">
        <f t="shared" si="97"/>
        <v>0</v>
      </c>
      <c r="AL1266" s="1064">
        <f t="shared" si="98"/>
        <v>0</v>
      </c>
      <c r="AM1266" s="1064">
        <f t="shared" si="99"/>
        <v>0</v>
      </c>
      <c r="AN1266" s="1064"/>
      <c r="AO1266" s="1064">
        <f>TB_curr[[#This Row],[Closing balance]]+TB_curr[[#This Row],[Rounding]]</f>
        <v>0</v>
      </c>
    </row>
    <row r="1267" spans="30:41" x14ac:dyDescent="0.25">
      <c r="AD1267" s="1067" t="str">
        <f t="shared" si="95"/>
        <v/>
      </c>
      <c r="AE1267" s="1063" t="str">
        <f>IF(ISNA(VLOOKUP(TB_curr[[#This Row],[Synt]],GL[[#Headers],[#Data],[subtotal label]],1,FALSE)),0,(VLOOKUP(TB_curr[[#This Row],[Synt]],GL[[#Headers],[#Data],[subtotal label]],1,FALSE)))</f>
        <v/>
      </c>
      <c r="AF1267" s="1063" t="e">
        <f>IF((TB_curr[[#This Row],[Synt]]-TB_curr[[#This Row],[Subtotal Y/N]])=0,0,VLOOKUP(TB_curr[[#This Row],[Synt]],GL[[Account]:[Line]],3,FALSE))</f>
        <v>#VALUE!</v>
      </c>
      <c r="AG1267" s="1063" t="e">
        <f>VLOOKUP(TB_curr[[#This Row],[Synt]],GL[[Account]:[B/P]],4,FALSE)</f>
        <v>#N/A</v>
      </c>
      <c r="AH1267" s="1066" t="e">
        <v>#VALUE!</v>
      </c>
      <c r="AI1267" s="1065" t="e">
        <f>TB_curr[[#This Row],[Synt]]&amp;TB_curr[[#This Row],[Line No. manual corr.]]</f>
        <v>#VALUE!</v>
      </c>
      <c r="AJ1267" s="1064">
        <f t="shared" si="96"/>
        <v>0</v>
      </c>
      <c r="AK1267" s="1064">
        <f t="shared" si="97"/>
        <v>0</v>
      </c>
      <c r="AL1267" s="1064">
        <f t="shared" si="98"/>
        <v>0</v>
      </c>
      <c r="AM1267" s="1064">
        <f t="shared" si="99"/>
        <v>0</v>
      </c>
      <c r="AN1267" s="1064"/>
      <c r="AO1267" s="1064">
        <f>TB_curr[[#This Row],[Closing balance]]+TB_curr[[#This Row],[Rounding]]</f>
        <v>0</v>
      </c>
    </row>
    <row r="1268" spans="30:41" x14ac:dyDescent="0.25">
      <c r="AD1268" s="1067" t="str">
        <f t="shared" si="95"/>
        <v/>
      </c>
      <c r="AE1268" s="1063" t="str">
        <f>IF(ISNA(VLOOKUP(TB_curr[[#This Row],[Synt]],GL[[#Headers],[#Data],[subtotal label]],1,FALSE)),0,(VLOOKUP(TB_curr[[#This Row],[Synt]],GL[[#Headers],[#Data],[subtotal label]],1,FALSE)))</f>
        <v/>
      </c>
      <c r="AF1268" s="1063" t="e">
        <f>IF((TB_curr[[#This Row],[Synt]]-TB_curr[[#This Row],[Subtotal Y/N]])=0,0,VLOOKUP(TB_curr[[#This Row],[Synt]],GL[[Account]:[Line]],3,FALSE))</f>
        <v>#VALUE!</v>
      </c>
      <c r="AG1268" s="1063" t="e">
        <f>VLOOKUP(TB_curr[[#This Row],[Synt]],GL[[Account]:[B/P]],4,FALSE)</f>
        <v>#N/A</v>
      </c>
      <c r="AH1268" s="1066" t="e">
        <v>#VALUE!</v>
      </c>
      <c r="AI1268" s="1065" t="e">
        <f>TB_curr[[#This Row],[Synt]]&amp;TB_curr[[#This Row],[Line No. manual corr.]]</f>
        <v>#VALUE!</v>
      </c>
      <c r="AJ1268" s="1064">
        <f t="shared" si="96"/>
        <v>0</v>
      </c>
      <c r="AK1268" s="1064">
        <f t="shared" si="97"/>
        <v>0</v>
      </c>
      <c r="AL1268" s="1064">
        <f t="shared" si="98"/>
        <v>0</v>
      </c>
      <c r="AM1268" s="1064">
        <f t="shared" si="99"/>
        <v>0</v>
      </c>
      <c r="AN1268" s="1064"/>
      <c r="AO1268" s="1064">
        <f>TB_curr[[#This Row],[Closing balance]]+TB_curr[[#This Row],[Rounding]]</f>
        <v>0</v>
      </c>
    </row>
    <row r="1269" spans="30:41" x14ac:dyDescent="0.25">
      <c r="AD1269" s="1067" t="str">
        <f t="shared" si="95"/>
        <v/>
      </c>
      <c r="AE1269" s="1063" t="str">
        <f>IF(ISNA(VLOOKUP(TB_curr[[#This Row],[Synt]],GL[[#Headers],[#Data],[subtotal label]],1,FALSE)),0,(VLOOKUP(TB_curr[[#This Row],[Synt]],GL[[#Headers],[#Data],[subtotal label]],1,FALSE)))</f>
        <v/>
      </c>
      <c r="AF1269" s="1063" t="e">
        <f>IF((TB_curr[[#This Row],[Synt]]-TB_curr[[#This Row],[Subtotal Y/N]])=0,0,VLOOKUP(TB_curr[[#This Row],[Synt]],GL[[Account]:[Line]],3,FALSE))</f>
        <v>#VALUE!</v>
      </c>
      <c r="AG1269" s="1063" t="e">
        <f>VLOOKUP(TB_curr[[#This Row],[Synt]],GL[[Account]:[B/P]],4,FALSE)</f>
        <v>#N/A</v>
      </c>
      <c r="AH1269" s="1066" t="e">
        <v>#VALUE!</v>
      </c>
      <c r="AI1269" s="1065" t="e">
        <f>TB_curr[[#This Row],[Synt]]&amp;TB_curr[[#This Row],[Line No. manual corr.]]</f>
        <v>#VALUE!</v>
      </c>
      <c r="AJ1269" s="1064">
        <f t="shared" si="96"/>
        <v>0</v>
      </c>
      <c r="AK1269" s="1064">
        <f t="shared" si="97"/>
        <v>0</v>
      </c>
      <c r="AL1269" s="1064">
        <f t="shared" si="98"/>
        <v>0</v>
      </c>
      <c r="AM1269" s="1064">
        <f t="shared" si="99"/>
        <v>0</v>
      </c>
      <c r="AN1269" s="1064"/>
      <c r="AO1269" s="1064">
        <f>TB_curr[[#This Row],[Closing balance]]+TB_curr[[#This Row],[Rounding]]</f>
        <v>0</v>
      </c>
    </row>
    <row r="1270" spans="30:41" x14ac:dyDescent="0.25">
      <c r="AD1270" s="1067" t="str">
        <f t="shared" si="95"/>
        <v/>
      </c>
      <c r="AE1270" s="1063" t="str">
        <f>IF(ISNA(VLOOKUP(TB_curr[[#This Row],[Synt]],GL[[#Headers],[#Data],[subtotal label]],1,FALSE)),0,(VLOOKUP(TB_curr[[#This Row],[Synt]],GL[[#Headers],[#Data],[subtotal label]],1,FALSE)))</f>
        <v/>
      </c>
      <c r="AF1270" s="1063" t="e">
        <f>IF((TB_curr[[#This Row],[Synt]]-TB_curr[[#This Row],[Subtotal Y/N]])=0,0,VLOOKUP(TB_curr[[#This Row],[Synt]],GL[[Account]:[Line]],3,FALSE))</f>
        <v>#VALUE!</v>
      </c>
      <c r="AG1270" s="1063" t="e">
        <f>VLOOKUP(TB_curr[[#This Row],[Synt]],GL[[Account]:[B/P]],4,FALSE)</f>
        <v>#N/A</v>
      </c>
      <c r="AH1270" s="1066" t="e">
        <v>#VALUE!</v>
      </c>
      <c r="AI1270" s="1065" t="e">
        <f>TB_curr[[#This Row],[Synt]]&amp;TB_curr[[#This Row],[Line No. manual corr.]]</f>
        <v>#VALUE!</v>
      </c>
      <c r="AJ1270" s="1064">
        <f t="shared" si="96"/>
        <v>0</v>
      </c>
      <c r="AK1270" s="1064">
        <f t="shared" si="97"/>
        <v>0</v>
      </c>
      <c r="AL1270" s="1064">
        <f t="shared" si="98"/>
        <v>0</v>
      </c>
      <c r="AM1270" s="1064">
        <f t="shared" si="99"/>
        <v>0</v>
      </c>
      <c r="AN1270" s="1064"/>
      <c r="AO1270" s="1064">
        <f>TB_curr[[#This Row],[Closing balance]]+TB_curr[[#This Row],[Rounding]]</f>
        <v>0</v>
      </c>
    </row>
    <row r="1271" spans="30:41" x14ac:dyDescent="0.25">
      <c r="AD1271" s="1067" t="str">
        <f t="shared" si="95"/>
        <v/>
      </c>
      <c r="AE1271" s="1063" t="str">
        <f>IF(ISNA(VLOOKUP(TB_curr[[#This Row],[Synt]],GL[[#Headers],[#Data],[subtotal label]],1,FALSE)),0,(VLOOKUP(TB_curr[[#This Row],[Synt]],GL[[#Headers],[#Data],[subtotal label]],1,FALSE)))</f>
        <v/>
      </c>
      <c r="AF1271" s="1063" t="e">
        <f>IF((TB_curr[[#This Row],[Synt]]-TB_curr[[#This Row],[Subtotal Y/N]])=0,0,VLOOKUP(TB_curr[[#This Row],[Synt]],GL[[Account]:[Line]],3,FALSE))</f>
        <v>#VALUE!</v>
      </c>
      <c r="AG1271" s="1063" t="e">
        <f>VLOOKUP(TB_curr[[#This Row],[Synt]],GL[[Account]:[B/P]],4,FALSE)</f>
        <v>#N/A</v>
      </c>
      <c r="AH1271" s="1066" t="e">
        <v>#VALUE!</v>
      </c>
      <c r="AI1271" s="1065" t="e">
        <f>TB_curr[[#This Row],[Synt]]&amp;TB_curr[[#This Row],[Line No. manual corr.]]</f>
        <v>#VALUE!</v>
      </c>
      <c r="AJ1271" s="1064">
        <f t="shared" si="96"/>
        <v>0</v>
      </c>
      <c r="AK1271" s="1064">
        <f t="shared" si="97"/>
        <v>0</v>
      </c>
      <c r="AL1271" s="1064">
        <f t="shared" si="98"/>
        <v>0</v>
      </c>
      <c r="AM1271" s="1064">
        <f t="shared" si="99"/>
        <v>0</v>
      </c>
      <c r="AN1271" s="1064"/>
      <c r="AO1271" s="1064">
        <f>TB_curr[[#This Row],[Closing balance]]+TB_curr[[#This Row],[Rounding]]</f>
        <v>0</v>
      </c>
    </row>
    <row r="1272" spans="30:41" x14ac:dyDescent="0.25">
      <c r="AD1272" s="1067" t="str">
        <f t="shared" si="95"/>
        <v/>
      </c>
      <c r="AE1272" s="1063" t="str">
        <f>IF(ISNA(VLOOKUP(TB_curr[[#This Row],[Synt]],GL[[#Headers],[#Data],[subtotal label]],1,FALSE)),0,(VLOOKUP(TB_curr[[#This Row],[Synt]],GL[[#Headers],[#Data],[subtotal label]],1,FALSE)))</f>
        <v/>
      </c>
      <c r="AF1272" s="1063" t="e">
        <f>IF((TB_curr[[#This Row],[Synt]]-TB_curr[[#This Row],[Subtotal Y/N]])=0,0,VLOOKUP(TB_curr[[#This Row],[Synt]],GL[[Account]:[Line]],3,FALSE))</f>
        <v>#VALUE!</v>
      </c>
      <c r="AG1272" s="1063" t="e">
        <f>VLOOKUP(TB_curr[[#This Row],[Synt]],GL[[Account]:[B/P]],4,FALSE)</f>
        <v>#N/A</v>
      </c>
      <c r="AH1272" s="1066" t="e">
        <v>#VALUE!</v>
      </c>
      <c r="AI1272" s="1065" t="e">
        <f>TB_curr[[#This Row],[Synt]]&amp;TB_curr[[#This Row],[Line No. manual corr.]]</f>
        <v>#VALUE!</v>
      </c>
      <c r="AJ1272" s="1064">
        <f t="shared" si="96"/>
        <v>0</v>
      </c>
      <c r="AK1272" s="1064">
        <f t="shared" si="97"/>
        <v>0</v>
      </c>
      <c r="AL1272" s="1064">
        <f t="shared" si="98"/>
        <v>0</v>
      </c>
      <c r="AM1272" s="1064">
        <f t="shared" si="99"/>
        <v>0</v>
      </c>
      <c r="AN1272" s="1064"/>
      <c r="AO1272" s="1064">
        <f>TB_curr[[#This Row],[Closing balance]]+TB_curr[[#This Row],[Rounding]]</f>
        <v>0</v>
      </c>
    </row>
    <row r="1273" spans="30:41" x14ac:dyDescent="0.25">
      <c r="AD1273" s="1067" t="str">
        <f t="shared" si="95"/>
        <v/>
      </c>
      <c r="AE1273" s="1063" t="str">
        <f>IF(ISNA(VLOOKUP(TB_curr[[#This Row],[Synt]],GL[[#Headers],[#Data],[subtotal label]],1,FALSE)),0,(VLOOKUP(TB_curr[[#This Row],[Synt]],GL[[#Headers],[#Data],[subtotal label]],1,FALSE)))</f>
        <v/>
      </c>
      <c r="AF1273" s="1063" t="e">
        <f>IF((TB_curr[[#This Row],[Synt]]-TB_curr[[#This Row],[Subtotal Y/N]])=0,0,VLOOKUP(TB_curr[[#This Row],[Synt]],GL[[Account]:[Line]],3,FALSE))</f>
        <v>#VALUE!</v>
      </c>
      <c r="AG1273" s="1063" t="e">
        <f>VLOOKUP(TB_curr[[#This Row],[Synt]],GL[[Account]:[B/P]],4,FALSE)</f>
        <v>#N/A</v>
      </c>
      <c r="AH1273" s="1066" t="e">
        <v>#VALUE!</v>
      </c>
      <c r="AI1273" s="1065" t="e">
        <f>TB_curr[[#This Row],[Synt]]&amp;TB_curr[[#This Row],[Line No. manual corr.]]</f>
        <v>#VALUE!</v>
      </c>
      <c r="AJ1273" s="1064">
        <f t="shared" si="96"/>
        <v>0</v>
      </c>
      <c r="AK1273" s="1064">
        <f t="shared" si="97"/>
        <v>0</v>
      </c>
      <c r="AL1273" s="1064">
        <f t="shared" si="98"/>
        <v>0</v>
      </c>
      <c r="AM1273" s="1064">
        <f t="shared" si="99"/>
        <v>0</v>
      </c>
      <c r="AN1273" s="1064"/>
      <c r="AO1273" s="1064">
        <f>TB_curr[[#This Row],[Closing balance]]+TB_curr[[#This Row],[Rounding]]</f>
        <v>0</v>
      </c>
    </row>
    <row r="1274" spans="30:41" x14ac:dyDescent="0.25">
      <c r="AD1274" s="1067" t="str">
        <f t="shared" si="95"/>
        <v/>
      </c>
      <c r="AE1274" s="1063" t="str">
        <f>IF(ISNA(VLOOKUP(TB_curr[[#This Row],[Synt]],GL[[#Headers],[#Data],[subtotal label]],1,FALSE)),0,(VLOOKUP(TB_curr[[#This Row],[Synt]],GL[[#Headers],[#Data],[subtotal label]],1,FALSE)))</f>
        <v/>
      </c>
      <c r="AF1274" s="1063" t="e">
        <f>IF((TB_curr[[#This Row],[Synt]]-TB_curr[[#This Row],[Subtotal Y/N]])=0,0,VLOOKUP(TB_curr[[#This Row],[Synt]],GL[[Account]:[Line]],3,FALSE))</f>
        <v>#VALUE!</v>
      </c>
      <c r="AG1274" s="1063" t="e">
        <f>VLOOKUP(TB_curr[[#This Row],[Synt]],GL[[Account]:[B/P]],4,FALSE)</f>
        <v>#N/A</v>
      </c>
      <c r="AH1274" s="1066" t="e">
        <v>#VALUE!</v>
      </c>
      <c r="AI1274" s="1065" t="e">
        <f>TB_curr[[#This Row],[Synt]]&amp;TB_curr[[#This Row],[Line No. manual corr.]]</f>
        <v>#VALUE!</v>
      </c>
      <c r="AJ1274" s="1064">
        <f t="shared" si="96"/>
        <v>0</v>
      </c>
      <c r="AK1274" s="1064">
        <f t="shared" si="97"/>
        <v>0</v>
      </c>
      <c r="AL1274" s="1064">
        <f t="shared" si="98"/>
        <v>0</v>
      </c>
      <c r="AM1274" s="1064">
        <f t="shared" si="99"/>
        <v>0</v>
      </c>
      <c r="AN1274" s="1064"/>
      <c r="AO1274" s="1064">
        <f>TB_curr[[#This Row],[Closing balance]]+TB_curr[[#This Row],[Rounding]]</f>
        <v>0</v>
      </c>
    </row>
    <row r="1275" spans="30:41" x14ac:dyDescent="0.25">
      <c r="AD1275" s="1067" t="str">
        <f t="shared" si="95"/>
        <v/>
      </c>
      <c r="AE1275" s="1063" t="str">
        <f>IF(ISNA(VLOOKUP(TB_curr[[#This Row],[Synt]],GL[[#Headers],[#Data],[subtotal label]],1,FALSE)),0,(VLOOKUP(TB_curr[[#This Row],[Synt]],GL[[#Headers],[#Data],[subtotal label]],1,FALSE)))</f>
        <v/>
      </c>
      <c r="AF1275" s="1063" t="e">
        <f>IF((TB_curr[[#This Row],[Synt]]-TB_curr[[#This Row],[Subtotal Y/N]])=0,0,VLOOKUP(TB_curr[[#This Row],[Synt]],GL[[Account]:[Line]],3,FALSE))</f>
        <v>#VALUE!</v>
      </c>
      <c r="AG1275" s="1063" t="e">
        <f>VLOOKUP(TB_curr[[#This Row],[Synt]],GL[[Account]:[B/P]],4,FALSE)</f>
        <v>#N/A</v>
      </c>
      <c r="AH1275" s="1066" t="e">
        <v>#VALUE!</v>
      </c>
      <c r="AI1275" s="1065" t="e">
        <f>TB_curr[[#This Row],[Synt]]&amp;TB_curr[[#This Row],[Line No. manual corr.]]</f>
        <v>#VALUE!</v>
      </c>
      <c r="AJ1275" s="1064">
        <f t="shared" si="96"/>
        <v>0</v>
      </c>
      <c r="AK1275" s="1064">
        <f t="shared" si="97"/>
        <v>0</v>
      </c>
      <c r="AL1275" s="1064">
        <f t="shared" si="98"/>
        <v>0</v>
      </c>
      <c r="AM1275" s="1064">
        <f t="shared" si="99"/>
        <v>0</v>
      </c>
      <c r="AN1275" s="1064"/>
      <c r="AO1275" s="1064">
        <f>TB_curr[[#This Row],[Closing balance]]+TB_curr[[#This Row],[Rounding]]</f>
        <v>0</v>
      </c>
    </row>
    <row r="1276" spans="30:41" x14ac:dyDescent="0.25">
      <c r="AD1276" s="1067" t="str">
        <f t="shared" si="95"/>
        <v/>
      </c>
      <c r="AE1276" s="1063" t="str">
        <f>IF(ISNA(VLOOKUP(TB_curr[[#This Row],[Synt]],GL[[#Headers],[#Data],[subtotal label]],1,FALSE)),0,(VLOOKUP(TB_curr[[#This Row],[Synt]],GL[[#Headers],[#Data],[subtotal label]],1,FALSE)))</f>
        <v/>
      </c>
      <c r="AF1276" s="1063" t="e">
        <f>IF((TB_curr[[#This Row],[Synt]]-TB_curr[[#This Row],[Subtotal Y/N]])=0,0,VLOOKUP(TB_curr[[#This Row],[Synt]],GL[[Account]:[Line]],3,FALSE))</f>
        <v>#VALUE!</v>
      </c>
      <c r="AG1276" s="1063" t="e">
        <f>VLOOKUP(TB_curr[[#This Row],[Synt]],GL[[Account]:[B/P]],4,FALSE)</f>
        <v>#N/A</v>
      </c>
      <c r="AH1276" s="1066" t="e">
        <v>#VALUE!</v>
      </c>
      <c r="AI1276" s="1065" t="e">
        <f>TB_curr[[#This Row],[Synt]]&amp;TB_curr[[#This Row],[Line No. manual corr.]]</f>
        <v>#VALUE!</v>
      </c>
      <c r="AJ1276" s="1064">
        <f t="shared" si="96"/>
        <v>0</v>
      </c>
      <c r="AK1276" s="1064">
        <f t="shared" si="97"/>
        <v>0</v>
      </c>
      <c r="AL1276" s="1064">
        <f t="shared" si="98"/>
        <v>0</v>
      </c>
      <c r="AM1276" s="1064">
        <f t="shared" si="99"/>
        <v>0</v>
      </c>
      <c r="AN1276" s="1064"/>
      <c r="AO1276" s="1064">
        <f>TB_curr[[#This Row],[Closing balance]]+TB_curr[[#This Row],[Rounding]]</f>
        <v>0</v>
      </c>
    </row>
    <row r="1277" spans="30:41" x14ac:dyDescent="0.25">
      <c r="AD1277" s="1067" t="str">
        <f t="shared" si="95"/>
        <v/>
      </c>
      <c r="AE1277" s="1063" t="str">
        <f>IF(ISNA(VLOOKUP(TB_curr[[#This Row],[Synt]],GL[[#Headers],[#Data],[subtotal label]],1,FALSE)),0,(VLOOKUP(TB_curr[[#This Row],[Synt]],GL[[#Headers],[#Data],[subtotal label]],1,FALSE)))</f>
        <v/>
      </c>
      <c r="AF1277" s="1063" t="e">
        <f>IF((TB_curr[[#This Row],[Synt]]-TB_curr[[#This Row],[Subtotal Y/N]])=0,0,VLOOKUP(TB_curr[[#This Row],[Synt]],GL[[Account]:[Line]],3,FALSE))</f>
        <v>#VALUE!</v>
      </c>
      <c r="AG1277" s="1063" t="e">
        <f>VLOOKUP(TB_curr[[#This Row],[Synt]],GL[[Account]:[B/P]],4,FALSE)</f>
        <v>#N/A</v>
      </c>
      <c r="AH1277" s="1066" t="e">
        <v>#VALUE!</v>
      </c>
      <c r="AI1277" s="1065" t="e">
        <f>TB_curr[[#This Row],[Synt]]&amp;TB_curr[[#This Row],[Line No. manual corr.]]</f>
        <v>#VALUE!</v>
      </c>
      <c r="AJ1277" s="1064">
        <f t="shared" si="96"/>
        <v>0</v>
      </c>
      <c r="AK1277" s="1064">
        <f t="shared" si="97"/>
        <v>0</v>
      </c>
      <c r="AL1277" s="1064">
        <f t="shared" si="98"/>
        <v>0</v>
      </c>
      <c r="AM1277" s="1064">
        <f t="shared" si="99"/>
        <v>0</v>
      </c>
      <c r="AN1277" s="1064"/>
      <c r="AO1277" s="1064">
        <f>TB_curr[[#This Row],[Closing balance]]+TB_curr[[#This Row],[Rounding]]</f>
        <v>0</v>
      </c>
    </row>
    <row r="1278" spans="30:41" x14ac:dyDescent="0.25">
      <c r="AD1278" s="1067" t="str">
        <f t="shared" si="95"/>
        <v/>
      </c>
      <c r="AE1278" s="1063" t="str">
        <f>IF(ISNA(VLOOKUP(TB_curr[[#This Row],[Synt]],GL[[#Headers],[#Data],[subtotal label]],1,FALSE)),0,(VLOOKUP(TB_curr[[#This Row],[Synt]],GL[[#Headers],[#Data],[subtotal label]],1,FALSE)))</f>
        <v/>
      </c>
      <c r="AF1278" s="1063" t="e">
        <f>IF((TB_curr[[#This Row],[Synt]]-TB_curr[[#This Row],[Subtotal Y/N]])=0,0,VLOOKUP(TB_curr[[#This Row],[Synt]],GL[[Account]:[Line]],3,FALSE))</f>
        <v>#VALUE!</v>
      </c>
      <c r="AG1278" s="1063" t="e">
        <f>VLOOKUP(TB_curr[[#This Row],[Synt]],GL[[Account]:[B/P]],4,FALSE)</f>
        <v>#N/A</v>
      </c>
      <c r="AH1278" s="1066" t="e">
        <v>#VALUE!</v>
      </c>
      <c r="AI1278" s="1065" t="e">
        <f>TB_curr[[#This Row],[Synt]]&amp;TB_curr[[#This Row],[Line No. manual corr.]]</f>
        <v>#VALUE!</v>
      </c>
      <c r="AJ1278" s="1064">
        <f t="shared" si="96"/>
        <v>0</v>
      </c>
      <c r="AK1278" s="1064">
        <f t="shared" si="97"/>
        <v>0</v>
      </c>
      <c r="AL1278" s="1064">
        <f t="shared" si="98"/>
        <v>0</v>
      </c>
      <c r="AM1278" s="1064">
        <f t="shared" si="99"/>
        <v>0</v>
      </c>
      <c r="AN1278" s="1064"/>
      <c r="AO1278" s="1064">
        <f>TB_curr[[#This Row],[Closing balance]]+TB_curr[[#This Row],[Rounding]]</f>
        <v>0</v>
      </c>
    </row>
    <row r="1279" spans="30:41" x14ac:dyDescent="0.25">
      <c r="AD1279" s="1067" t="str">
        <f t="shared" si="95"/>
        <v/>
      </c>
      <c r="AE1279" s="1063" t="str">
        <f>IF(ISNA(VLOOKUP(TB_curr[[#This Row],[Synt]],GL[[#Headers],[#Data],[subtotal label]],1,FALSE)),0,(VLOOKUP(TB_curr[[#This Row],[Synt]],GL[[#Headers],[#Data],[subtotal label]],1,FALSE)))</f>
        <v/>
      </c>
      <c r="AF1279" s="1063" t="e">
        <f>IF((TB_curr[[#This Row],[Synt]]-TB_curr[[#This Row],[Subtotal Y/N]])=0,0,VLOOKUP(TB_curr[[#This Row],[Synt]],GL[[Account]:[Line]],3,FALSE))</f>
        <v>#VALUE!</v>
      </c>
      <c r="AG1279" s="1063" t="e">
        <f>VLOOKUP(TB_curr[[#This Row],[Synt]],GL[[Account]:[B/P]],4,FALSE)</f>
        <v>#N/A</v>
      </c>
      <c r="AH1279" s="1066" t="e">
        <v>#VALUE!</v>
      </c>
      <c r="AI1279" s="1065" t="e">
        <f>TB_curr[[#This Row],[Synt]]&amp;TB_curr[[#This Row],[Line No. manual corr.]]</f>
        <v>#VALUE!</v>
      </c>
      <c r="AJ1279" s="1064">
        <f t="shared" si="96"/>
        <v>0</v>
      </c>
      <c r="AK1279" s="1064">
        <f t="shared" si="97"/>
        <v>0</v>
      </c>
      <c r="AL1279" s="1064">
        <f t="shared" si="98"/>
        <v>0</v>
      </c>
      <c r="AM1279" s="1064">
        <f t="shared" si="99"/>
        <v>0</v>
      </c>
      <c r="AN1279" s="1064"/>
      <c r="AO1279" s="1064">
        <f>TB_curr[[#This Row],[Closing balance]]+TB_curr[[#This Row],[Rounding]]</f>
        <v>0</v>
      </c>
    </row>
    <row r="1280" spans="30:41" x14ac:dyDescent="0.25">
      <c r="AD1280" s="1067" t="str">
        <f t="shared" si="95"/>
        <v/>
      </c>
      <c r="AE1280" s="1063" t="str">
        <f>IF(ISNA(VLOOKUP(TB_curr[[#This Row],[Synt]],GL[[#Headers],[#Data],[subtotal label]],1,FALSE)),0,(VLOOKUP(TB_curr[[#This Row],[Synt]],GL[[#Headers],[#Data],[subtotal label]],1,FALSE)))</f>
        <v/>
      </c>
      <c r="AF1280" s="1063" t="e">
        <f>IF((TB_curr[[#This Row],[Synt]]-TB_curr[[#This Row],[Subtotal Y/N]])=0,0,VLOOKUP(TB_curr[[#This Row],[Synt]],GL[[Account]:[Line]],3,FALSE))</f>
        <v>#VALUE!</v>
      </c>
      <c r="AG1280" s="1063" t="e">
        <f>VLOOKUP(TB_curr[[#This Row],[Synt]],GL[[Account]:[B/P]],4,FALSE)</f>
        <v>#N/A</v>
      </c>
      <c r="AH1280" s="1066" t="e">
        <v>#VALUE!</v>
      </c>
      <c r="AI1280" s="1065" t="e">
        <f>TB_curr[[#This Row],[Synt]]&amp;TB_curr[[#This Row],[Line No. manual corr.]]</f>
        <v>#VALUE!</v>
      </c>
      <c r="AJ1280" s="1064">
        <f t="shared" si="96"/>
        <v>0</v>
      </c>
      <c r="AK1280" s="1064">
        <f t="shared" si="97"/>
        <v>0</v>
      </c>
      <c r="AL1280" s="1064">
        <f t="shared" si="98"/>
        <v>0</v>
      </c>
      <c r="AM1280" s="1064">
        <f t="shared" si="99"/>
        <v>0</v>
      </c>
      <c r="AN1280" s="1064"/>
      <c r="AO1280" s="1064">
        <f>TB_curr[[#This Row],[Closing balance]]+TB_curr[[#This Row],[Rounding]]</f>
        <v>0</v>
      </c>
    </row>
    <row r="1281" spans="30:41" x14ac:dyDescent="0.25">
      <c r="AD1281" s="1067" t="str">
        <f t="shared" si="95"/>
        <v/>
      </c>
      <c r="AE1281" s="1063" t="str">
        <f>IF(ISNA(VLOOKUP(TB_curr[[#This Row],[Synt]],GL[[#Headers],[#Data],[subtotal label]],1,FALSE)),0,(VLOOKUP(TB_curr[[#This Row],[Synt]],GL[[#Headers],[#Data],[subtotal label]],1,FALSE)))</f>
        <v/>
      </c>
      <c r="AF1281" s="1063" t="e">
        <f>IF((TB_curr[[#This Row],[Synt]]-TB_curr[[#This Row],[Subtotal Y/N]])=0,0,VLOOKUP(TB_curr[[#This Row],[Synt]],GL[[Account]:[Line]],3,FALSE))</f>
        <v>#VALUE!</v>
      </c>
      <c r="AG1281" s="1063" t="e">
        <f>VLOOKUP(TB_curr[[#This Row],[Synt]],GL[[Account]:[B/P]],4,FALSE)</f>
        <v>#N/A</v>
      </c>
      <c r="AH1281" s="1066" t="e">
        <v>#VALUE!</v>
      </c>
      <c r="AI1281" s="1065" t="e">
        <f>TB_curr[[#This Row],[Synt]]&amp;TB_curr[[#This Row],[Line No. manual corr.]]</f>
        <v>#VALUE!</v>
      </c>
      <c r="AJ1281" s="1064">
        <f t="shared" si="96"/>
        <v>0</v>
      </c>
      <c r="AK1281" s="1064">
        <f t="shared" si="97"/>
        <v>0</v>
      </c>
      <c r="AL1281" s="1064">
        <f t="shared" si="98"/>
        <v>0</v>
      </c>
      <c r="AM1281" s="1064">
        <f t="shared" si="99"/>
        <v>0</v>
      </c>
      <c r="AN1281" s="1064"/>
      <c r="AO1281" s="1064">
        <f>TB_curr[[#This Row],[Closing balance]]+TB_curr[[#This Row],[Rounding]]</f>
        <v>0</v>
      </c>
    </row>
    <row r="1282" spans="30:41" x14ac:dyDescent="0.25">
      <c r="AD1282" s="1067" t="str">
        <f t="shared" si="95"/>
        <v/>
      </c>
      <c r="AE1282" s="1063" t="str">
        <f>IF(ISNA(VLOOKUP(TB_curr[[#This Row],[Synt]],GL[[#Headers],[#Data],[subtotal label]],1,FALSE)),0,(VLOOKUP(TB_curr[[#This Row],[Synt]],GL[[#Headers],[#Data],[subtotal label]],1,FALSE)))</f>
        <v/>
      </c>
      <c r="AF1282" s="1063" t="e">
        <f>IF((TB_curr[[#This Row],[Synt]]-TB_curr[[#This Row],[Subtotal Y/N]])=0,0,VLOOKUP(TB_curr[[#This Row],[Synt]],GL[[Account]:[Line]],3,FALSE))</f>
        <v>#VALUE!</v>
      </c>
      <c r="AG1282" s="1063" t="e">
        <f>VLOOKUP(TB_curr[[#This Row],[Synt]],GL[[Account]:[B/P]],4,FALSE)</f>
        <v>#N/A</v>
      </c>
      <c r="AH1282" s="1066" t="e">
        <v>#VALUE!</v>
      </c>
      <c r="AI1282" s="1065" t="e">
        <f>TB_curr[[#This Row],[Synt]]&amp;TB_curr[[#This Row],[Line No. manual corr.]]</f>
        <v>#VALUE!</v>
      </c>
      <c r="AJ1282" s="1064">
        <f t="shared" si="96"/>
        <v>0</v>
      </c>
      <c r="AK1282" s="1064">
        <f t="shared" si="97"/>
        <v>0</v>
      </c>
      <c r="AL1282" s="1064">
        <f t="shared" si="98"/>
        <v>0</v>
      </c>
      <c r="AM1282" s="1064">
        <f t="shared" si="99"/>
        <v>0</v>
      </c>
      <c r="AN1282" s="1064"/>
      <c r="AO1282" s="1064">
        <f>TB_curr[[#This Row],[Closing balance]]+TB_curr[[#This Row],[Rounding]]</f>
        <v>0</v>
      </c>
    </row>
    <row r="1283" spans="30:41" x14ac:dyDescent="0.25">
      <c r="AD1283" s="1067" t="str">
        <f t="shared" si="95"/>
        <v/>
      </c>
      <c r="AE1283" s="1063" t="str">
        <f>IF(ISNA(VLOOKUP(TB_curr[[#This Row],[Synt]],GL[[#Headers],[#Data],[subtotal label]],1,FALSE)),0,(VLOOKUP(TB_curr[[#This Row],[Synt]],GL[[#Headers],[#Data],[subtotal label]],1,FALSE)))</f>
        <v/>
      </c>
      <c r="AF1283" s="1063" t="e">
        <f>IF((TB_curr[[#This Row],[Synt]]-TB_curr[[#This Row],[Subtotal Y/N]])=0,0,VLOOKUP(TB_curr[[#This Row],[Synt]],GL[[Account]:[Line]],3,FALSE))</f>
        <v>#VALUE!</v>
      </c>
      <c r="AG1283" s="1063" t="e">
        <f>VLOOKUP(TB_curr[[#This Row],[Synt]],GL[[Account]:[B/P]],4,FALSE)</f>
        <v>#N/A</v>
      </c>
      <c r="AH1283" s="1066" t="e">
        <v>#VALUE!</v>
      </c>
      <c r="AI1283" s="1065" t="e">
        <f>TB_curr[[#This Row],[Synt]]&amp;TB_curr[[#This Row],[Line No. manual corr.]]</f>
        <v>#VALUE!</v>
      </c>
      <c r="AJ1283" s="1064">
        <f t="shared" si="96"/>
        <v>0</v>
      </c>
      <c r="AK1283" s="1064">
        <f t="shared" si="97"/>
        <v>0</v>
      </c>
      <c r="AL1283" s="1064">
        <f t="shared" si="98"/>
        <v>0</v>
      </c>
      <c r="AM1283" s="1064">
        <f t="shared" si="99"/>
        <v>0</v>
      </c>
      <c r="AN1283" s="1064"/>
      <c r="AO1283" s="1064">
        <f>TB_curr[[#This Row],[Closing balance]]+TB_curr[[#This Row],[Rounding]]</f>
        <v>0</v>
      </c>
    </row>
    <row r="1284" spans="30:41" x14ac:dyDescent="0.25">
      <c r="AD1284" s="1067" t="str">
        <f t="shared" si="95"/>
        <v/>
      </c>
      <c r="AE1284" s="1063" t="str">
        <f>IF(ISNA(VLOOKUP(TB_curr[[#This Row],[Synt]],GL[[#Headers],[#Data],[subtotal label]],1,FALSE)),0,(VLOOKUP(TB_curr[[#This Row],[Synt]],GL[[#Headers],[#Data],[subtotal label]],1,FALSE)))</f>
        <v/>
      </c>
      <c r="AF1284" s="1063" t="e">
        <f>IF((TB_curr[[#This Row],[Synt]]-TB_curr[[#This Row],[Subtotal Y/N]])=0,0,VLOOKUP(TB_curr[[#This Row],[Synt]],GL[[Account]:[Line]],3,FALSE))</f>
        <v>#VALUE!</v>
      </c>
      <c r="AG1284" s="1063" t="e">
        <f>VLOOKUP(TB_curr[[#This Row],[Synt]],GL[[Account]:[B/P]],4,FALSE)</f>
        <v>#N/A</v>
      </c>
      <c r="AH1284" s="1066" t="e">
        <v>#VALUE!</v>
      </c>
      <c r="AI1284" s="1065" t="e">
        <f>TB_curr[[#This Row],[Synt]]&amp;TB_curr[[#This Row],[Line No. manual corr.]]</f>
        <v>#VALUE!</v>
      </c>
      <c r="AJ1284" s="1064">
        <f t="shared" si="96"/>
        <v>0</v>
      </c>
      <c r="AK1284" s="1064">
        <f t="shared" si="97"/>
        <v>0</v>
      </c>
      <c r="AL1284" s="1064">
        <f t="shared" si="98"/>
        <v>0</v>
      </c>
      <c r="AM1284" s="1064">
        <f t="shared" si="99"/>
        <v>0</v>
      </c>
      <c r="AN1284" s="1064"/>
      <c r="AO1284" s="1064">
        <f>TB_curr[[#This Row],[Closing balance]]+TB_curr[[#This Row],[Rounding]]</f>
        <v>0</v>
      </c>
    </row>
    <row r="1285" spans="30:41" x14ac:dyDescent="0.25">
      <c r="AD1285" s="1067" t="str">
        <f t="shared" si="95"/>
        <v/>
      </c>
      <c r="AE1285" s="1063" t="str">
        <f>IF(ISNA(VLOOKUP(TB_curr[[#This Row],[Synt]],GL[[#Headers],[#Data],[subtotal label]],1,FALSE)),0,(VLOOKUP(TB_curr[[#This Row],[Synt]],GL[[#Headers],[#Data],[subtotal label]],1,FALSE)))</f>
        <v/>
      </c>
      <c r="AF1285" s="1063" t="e">
        <f>IF((TB_curr[[#This Row],[Synt]]-TB_curr[[#This Row],[Subtotal Y/N]])=0,0,VLOOKUP(TB_curr[[#This Row],[Synt]],GL[[Account]:[Line]],3,FALSE))</f>
        <v>#VALUE!</v>
      </c>
      <c r="AG1285" s="1063" t="e">
        <f>VLOOKUP(TB_curr[[#This Row],[Synt]],GL[[Account]:[B/P]],4,FALSE)</f>
        <v>#N/A</v>
      </c>
      <c r="AH1285" s="1066" t="e">
        <v>#VALUE!</v>
      </c>
      <c r="AI1285" s="1065" t="e">
        <f>TB_curr[[#This Row],[Synt]]&amp;TB_curr[[#This Row],[Line No. manual corr.]]</f>
        <v>#VALUE!</v>
      </c>
      <c r="AJ1285" s="1064">
        <f t="shared" si="96"/>
        <v>0</v>
      </c>
      <c r="AK1285" s="1064">
        <f t="shared" si="97"/>
        <v>0</v>
      </c>
      <c r="AL1285" s="1064">
        <f t="shared" si="98"/>
        <v>0</v>
      </c>
      <c r="AM1285" s="1064">
        <f t="shared" si="99"/>
        <v>0</v>
      </c>
      <c r="AN1285" s="1064"/>
      <c r="AO1285" s="1064">
        <f>TB_curr[[#This Row],[Closing balance]]+TB_curr[[#This Row],[Rounding]]</f>
        <v>0</v>
      </c>
    </row>
    <row r="1286" spans="30:41" x14ac:dyDescent="0.25">
      <c r="AD1286" s="1067" t="str">
        <f t="shared" si="95"/>
        <v/>
      </c>
      <c r="AE1286" s="1063" t="str">
        <f>IF(ISNA(VLOOKUP(TB_curr[[#This Row],[Synt]],GL[[#Headers],[#Data],[subtotal label]],1,FALSE)),0,(VLOOKUP(TB_curr[[#This Row],[Synt]],GL[[#Headers],[#Data],[subtotal label]],1,FALSE)))</f>
        <v/>
      </c>
      <c r="AF1286" s="1063" t="e">
        <f>IF((TB_curr[[#This Row],[Synt]]-TB_curr[[#This Row],[Subtotal Y/N]])=0,0,VLOOKUP(TB_curr[[#This Row],[Synt]],GL[[Account]:[Line]],3,FALSE))</f>
        <v>#VALUE!</v>
      </c>
      <c r="AG1286" s="1063" t="e">
        <f>VLOOKUP(TB_curr[[#This Row],[Synt]],GL[[Account]:[B/P]],4,FALSE)</f>
        <v>#N/A</v>
      </c>
      <c r="AH1286" s="1066" t="e">
        <v>#VALUE!</v>
      </c>
      <c r="AI1286" s="1065" t="e">
        <f>TB_curr[[#This Row],[Synt]]&amp;TB_curr[[#This Row],[Line No. manual corr.]]</f>
        <v>#VALUE!</v>
      </c>
      <c r="AJ1286" s="1064">
        <f t="shared" si="96"/>
        <v>0</v>
      </c>
      <c r="AK1286" s="1064">
        <f t="shared" si="97"/>
        <v>0</v>
      </c>
      <c r="AL1286" s="1064">
        <f t="shared" si="98"/>
        <v>0</v>
      </c>
      <c r="AM1286" s="1064">
        <f t="shared" si="99"/>
        <v>0</v>
      </c>
      <c r="AN1286" s="1064"/>
      <c r="AO1286" s="1064">
        <f>TB_curr[[#This Row],[Closing balance]]+TB_curr[[#This Row],[Rounding]]</f>
        <v>0</v>
      </c>
    </row>
    <row r="1287" spans="30:41" x14ac:dyDescent="0.25">
      <c r="AD1287" s="1067" t="str">
        <f t="shared" si="95"/>
        <v/>
      </c>
      <c r="AE1287" s="1063" t="str">
        <f>IF(ISNA(VLOOKUP(TB_curr[[#This Row],[Synt]],GL[[#Headers],[#Data],[subtotal label]],1,FALSE)),0,(VLOOKUP(TB_curr[[#This Row],[Synt]],GL[[#Headers],[#Data],[subtotal label]],1,FALSE)))</f>
        <v/>
      </c>
      <c r="AF1287" s="1063" t="e">
        <f>IF((TB_curr[[#This Row],[Synt]]-TB_curr[[#This Row],[Subtotal Y/N]])=0,0,VLOOKUP(TB_curr[[#This Row],[Synt]],GL[[Account]:[Line]],3,FALSE))</f>
        <v>#VALUE!</v>
      </c>
      <c r="AG1287" s="1063" t="e">
        <f>VLOOKUP(TB_curr[[#This Row],[Synt]],GL[[Account]:[B/P]],4,FALSE)</f>
        <v>#N/A</v>
      </c>
      <c r="AH1287" s="1066" t="e">
        <v>#VALUE!</v>
      </c>
      <c r="AI1287" s="1065" t="e">
        <f>TB_curr[[#This Row],[Synt]]&amp;TB_curr[[#This Row],[Line No. manual corr.]]</f>
        <v>#VALUE!</v>
      </c>
      <c r="AJ1287" s="1064">
        <f t="shared" si="96"/>
        <v>0</v>
      </c>
      <c r="AK1287" s="1064">
        <f t="shared" si="97"/>
        <v>0</v>
      </c>
      <c r="AL1287" s="1064">
        <f t="shared" si="98"/>
        <v>0</v>
      </c>
      <c r="AM1287" s="1064">
        <f t="shared" si="99"/>
        <v>0</v>
      </c>
      <c r="AN1287" s="1064"/>
      <c r="AO1287" s="1064">
        <f>TB_curr[[#This Row],[Closing balance]]+TB_curr[[#This Row],[Rounding]]</f>
        <v>0</v>
      </c>
    </row>
    <row r="1288" spans="30:41" x14ac:dyDescent="0.25">
      <c r="AD1288" s="1067" t="str">
        <f t="shared" ref="AD1288:AD1351" si="100">LEFT(B1288,3)</f>
        <v/>
      </c>
      <c r="AE1288" s="1063" t="str">
        <f>IF(ISNA(VLOOKUP(TB_curr[[#This Row],[Synt]],GL[[#Headers],[#Data],[subtotal label]],1,FALSE)),0,(VLOOKUP(TB_curr[[#This Row],[Synt]],GL[[#Headers],[#Data],[subtotal label]],1,FALSE)))</f>
        <v/>
      </c>
      <c r="AF1288" s="1063" t="e">
        <f>IF((TB_curr[[#This Row],[Synt]]-TB_curr[[#This Row],[Subtotal Y/N]])=0,0,VLOOKUP(TB_curr[[#This Row],[Synt]],GL[[Account]:[Line]],3,FALSE))</f>
        <v>#VALUE!</v>
      </c>
      <c r="AG1288" s="1063" t="e">
        <f>VLOOKUP(TB_curr[[#This Row],[Synt]],GL[[Account]:[B/P]],4,FALSE)</f>
        <v>#N/A</v>
      </c>
      <c r="AH1288" s="1066" t="e">
        <v>#VALUE!</v>
      </c>
      <c r="AI1288" s="1065" t="e">
        <f>TB_curr[[#This Row],[Synt]]&amp;TB_curr[[#This Row],[Line No. manual corr.]]</f>
        <v>#VALUE!</v>
      </c>
      <c r="AJ1288" s="1064">
        <f t="shared" ref="AJ1288:AJ1351" si="101">K1288-N1288</f>
        <v>0</v>
      </c>
      <c r="AK1288" s="1064">
        <f t="shared" ref="AK1288:AK1351" si="102">Q1288</f>
        <v>0</v>
      </c>
      <c r="AL1288" s="1064">
        <f t="shared" ref="AL1288:AL1351" si="103">U1288</f>
        <v>0</v>
      </c>
      <c r="AM1288" s="1064">
        <f t="shared" ref="AM1288:AM1351" si="104">X1288-AB1288</f>
        <v>0</v>
      </c>
      <c r="AN1288" s="1064"/>
      <c r="AO1288" s="1064">
        <f>TB_curr[[#This Row],[Closing balance]]+TB_curr[[#This Row],[Rounding]]</f>
        <v>0</v>
      </c>
    </row>
    <row r="1289" spans="30:41" x14ac:dyDescent="0.25">
      <c r="AD1289" s="1067" t="str">
        <f t="shared" si="100"/>
        <v/>
      </c>
      <c r="AE1289" s="1063" t="str">
        <f>IF(ISNA(VLOOKUP(TB_curr[[#This Row],[Synt]],GL[[#Headers],[#Data],[subtotal label]],1,FALSE)),0,(VLOOKUP(TB_curr[[#This Row],[Synt]],GL[[#Headers],[#Data],[subtotal label]],1,FALSE)))</f>
        <v/>
      </c>
      <c r="AF1289" s="1063" t="e">
        <f>IF((TB_curr[[#This Row],[Synt]]-TB_curr[[#This Row],[Subtotal Y/N]])=0,0,VLOOKUP(TB_curr[[#This Row],[Synt]],GL[[Account]:[Line]],3,FALSE))</f>
        <v>#VALUE!</v>
      </c>
      <c r="AG1289" s="1063" t="e">
        <f>VLOOKUP(TB_curr[[#This Row],[Synt]],GL[[Account]:[B/P]],4,FALSE)</f>
        <v>#N/A</v>
      </c>
      <c r="AH1289" s="1066" t="e">
        <v>#VALUE!</v>
      </c>
      <c r="AI1289" s="1065" t="e">
        <f>TB_curr[[#This Row],[Synt]]&amp;TB_curr[[#This Row],[Line No. manual corr.]]</f>
        <v>#VALUE!</v>
      </c>
      <c r="AJ1289" s="1064">
        <f t="shared" si="101"/>
        <v>0</v>
      </c>
      <c r="AK1289" s="1064">
        <f t="shared" si="102"/>
        <v>0</v>
      </c>
      <c r="AL1289" s="1064">
        <f t="shared" si="103"/>
        <v>0</v>
      </c>
      <c r="AM1289" s="1064">
        <f t="shared" si="104"/>
        <v>0</v>
      </c>
      <c r="AN1289" s="1064"/>
      <c r="AO1289" s="1064">
        <f>TB_curr[[#This Row],[Closing balance]]+TB_curr[[#This Row],[Rounding]]</f>
        <v>0</v>
      </c>
    </row>
    <row r="1290" spans="30:41" x14ac:dyDescent="0.25">
      <c r="AD1290" s="1067" t="str">
        <f t="shared" si="100"/>
        <v/>
      </c>
      <c r="AE1290" s="1063" t="str">
        <f>IF(ISNA(VLOOKUP(TB_curr[[#This Row],[Synt]],GL[[#Headers],[#Data],[subtotal label]],1,FALSE)),0,(VLOOKUP(TB_curr[[#This Row],[Synt]],GL[[#Headers],[#Data],[subtotal label]],1,FALSE)))</f>
        <v/>
      </c>
      <c r="AF1290" s="1063" t="e">
        <f>IF((TB_curr[[#This Row],[Synt]]-TB_curr[[#This Row],[Subtotal Y/N]])=0,0,VLOOKUP(TB_curr[[#This Row],[Synt]],GL[[Account]:[Line]],3,FALSE))</f>
        <v>#VALUE!</v>
      </c>
      <c r="AG1290" s="1063" t="e">
        <f>VLOOKUP(TB_curr[[#This Row],[Synt]],GL[[Account]:[B/P]],4,FALSE)</f>
        <v>#N/A</v>
      </c>
      <c r="AH1290" s="1066" t="e">
        <v>#VALUE!</v>
      </c>
      <c r="AI1290" s="1065" t="e">
        <f>TB_curr[[#This Row],[Synt]]&amp;TB_curr[[#This Row],[Line No. manual corr.]]</f>
        <v>#VALUE!</v>
      </c>
      <c r="AJ1290" s="1064">
        <f t="shared" si="101"/>
        <v>0</v>
      </c>
      <c r="AK1290" s="1064">
        <f t="shared" si="102"/>
        <v>0</v>
      </c>
      <c r="AL1290" s="1064">
        <f t="shared" si="103"/>
        <v>0</v>
      </c>
      <c r="AM1290" s="1064">
        <f t="shared" si="104"/>
        <v>0</v>
      </c>
      <c r="AN1290" s="1064"/>
      <c r="AO1290" s="1064">
        <f>TB_curr[[#This Row],[Closing balance]]+TB_curr[[#This Row],[Rounding]]</f>
        <v>0</v>
      </c>
    </row>
    <row r="1291" spans="30:41" x14ac:dyDescent="0.25">
      <c r="AD1291" s="1067" t="str">
        <f t="shared" si="100"/>
        <v/>
      </c>
      <c r="AE1291" s="1063" t="str">
        <f>IF(ISNA(VLOOKUP(TB_curr[[#This Row],[Synt]],GL[[#Headers],[#Data],[subtotal label]],1,FALSE)),0,(VLOOKUP(TB_curr[[#This Row],[Synt]],GL[[#Headers],[#Data],[subtotal label]],1,FALSE)))</f>
        <v/>
      </c>
      <c r="AF1291" s="1063" t="e">
        <f>IF((TB_curr[[#This Row],[Synt]]-TB_curr[[#This Row],[Subtotal Y/N]])=0,0,VLOOKUP(TB_curr[[#This Row],[Synt]],GL[[Account]:[Line]],3,FALSE))</f>
        <v>#VALUE!</v>
      </c>
      <c r="AG1291" s="1063" t="e">
        <f>VLOOKUP(TB_curr[[#This Row],[Synt]],GL[[Account]:[B/P]],4,FALSE)</f>
        <v>#N/A</v>
      </c>
      <c r="AH1291" s="1066" t="e">
        <v>#VALUE!</v>
      </c>
      <c r="AI1291" s="1065" t="e">
        <f>TB_curr[[#This Row],[Synt]]&amp;TB_curr[[#This Row],[Line No. manual corr.]]</f>
        <v>#VALUE!</v>
      </c>
      <c r="AJ1291" s="1064">
        <f t="shared" si="101"/>
        <v>0</v>
      </c>
      <c r="AK1291" s="1064">
        <f t="shared" si="102"/>
        <v>0</v>
      </c>
      <c r="AL1291" s="1064">
        <f t="shared" si="103"/>
        <v>0</v>
      </c>
      <c r="AM1291" s="1064">
        <f t="shared" si="104"/>
        <v>0</v>
      </c>
      <c r="AN1291" s="1064"/>
      <c r="AO1291" s="1064">
        <f>TB_curr[[#This Row],[Closing balance]]+TB_curr[[#This Row],[Rounding]]</f>
        <v>0</v>
      </c>
    </row>
    <row r="1292" spans="30:41" x14ac:dyDescent="0.25">
      <c r="AD1292" s="1067" t="str">
        <f t="shared" si="100"/>
        <v/>
      </c>
      <c r="AE1292" s="1063" t="str">
        <f>IF(ISNA(VLOOKUP(TB_curr[[#This Row],[Synt]],GL[[#Headers],[#Data],[subtotal label]],1,FALSE)),0,(VLOOKUP(TB_curr[[#This Row],[Synt]],GL[[#Headers],[#Data],[subtotal label]],1,FALSE)))</f>
        <v/>
      </c>
      <c r="AF1292" s="1063" t="e">
        <f>IF((TB_curr[[#This Row],[Synt]]-TB_curr[[#This Row],[Subtotal Y/N]])=0,0,VLOOKUP(TB_curr[[#This Row],[Synt]],GL[[Account]:[Line]],3,FALSE))</f>
        <v>#VALUE!</v>
      </c>
      <c r="AG1292" s="1063" t="e">
        <f>VLOOKUP(TB_curr[[#This Row],[Synt]],GL[[Account]:[B/P]],4,FALSE)</f>
        <v>#N/A</v>
      </c>
      <c r="AH1292" s="1066" t="e">
        <v>#VALUE!</v>
      </c>
      <c r="AI1292" s="1065" t="e">
        <f>TB_curr[[#This Row],[Synt]]&amp;TB_curr[[#This Row],[Line No. manual corr.]]</f>
        <v>#VALUE!</v>
      </c>
      <c r="AJ1292" s="1064">
        <f t="shared" si="101"/>
        <v>0</v>
      </c>
      <c r="AK1292" s="1064">
        <f t="shared" si="102"/>
        <v>0</v>
      </c>
      <c r="AL1292" s="1064">
        <f t="shared" si="103"/>
        <v>0</v>
      </c>
      <c r="AM1292" s="1064">
        <f t="shared" si="104"/>
        <v>0</v>
      </c>
      <c r="AN1292" s="1064"/>
      <c r="AO1292" s="1064">
        <f>TB_curr[[#This Row],[Closing balance]]+TB_curr[[#This Row],[Rounding]]</f>
        <v>0</v>
      </c>
    </row>
    <row r="1293" spans="30:41" x14ac:dyDescent="0.25">
      <c r="AD1293" s="1067" t="str">
        <f t="shared" si="100"/>
        <v/>
      </c>
      <c r="AE1293" s="1063" t="str">
        <f>IF(ISNA(VLOOKUP(TB_curr[[#This Row],[Synt]],GL[[#Headers],[#Data],[subtotal label]],1,FALSE)),0,(VLOOKUP(TB_curr[[#This Row],[Synt]],GL[[#Headers],[#Data],[subtotal label]],1,FALSE)))</f>
        <v/>
      </c>
      <c r="AF1293" s="1063" t="e">
        <f>IF((TB_curr[[#This Row],[Synt]]-TB_curr[[#This Row],[Subtotal Y/N]])=0,0,VLOOKUP(TB_curr[[#This Row],[Synt]],GL[[Account]:[Line]],3,FALSE))</f>
        <v>#VALUE!</v>
      </c>
      <c r="AG1293" s="1063" t="e">
        <f>VLOOKUP(TB_curr[[#This Row],[Synt]],GL[[Account]:[B/P]],4,FALSE)</f>
        <v>#N/A</v>
      </c>
      <c r="AH1293" s="1066" t="e">
        <v>#VALUE!</v>
      </c>
      <c r="AI1293" s="1065" t="e">
        <f>TB_curr[[#This Row],[Synt]]&amp;TB_curr[[#This Row],[Line No. manual corr.]]</f>
        <v>#VALUE!</v>
      </c>
      <c r="AJ1293" s="1064">
        <f t="shared" si="101"/>
        <v>0</v>
      </c>
      <c r="AK1293" s="1064">
        <f t="shared" si="102"/>
        <v>0</v>
      </c>
      <c r="AL1293" s="1064">
        <f t="shared" si="103"/>
        <v>0</v>
      </c>
      <c r="AM1293" s="1064">
        <f t="shared" si="104"/>
        <v>0</v>
      </c>
      <c r="AN1293" s="1064"/>
      <c r="AO1293" s="1064">
        <f>TB_curr[[#This Row],[Closing balance]]+TB_curr[[#This Row],[Rounding]]</f>
        <v>0</v>
      </c>
    </row>
    <row r="1294" spans="30:41" x14ac:dyDescent="0.25">
      <c r="AD1294" s="1067" t="str">
        <f t="shared" si="100"/>
        <v/>
      </c>
      <c r="AE1294" s="1063" t="str">
        <f>IF(ISNA(VLOOKUP(TB_curr[[#This Row],[Synt]],GL[[#Headers],[#Data],[subtotal label]],1,FALSE)),0,(VLOOKUP(TB_curr[[#This Row],[Synt]],GL[[#Headers],[#Data],[subtotal label]],1,FALSE)))</f>
        <v/>
      </c>
      <c r="AF1294" s="1063" t="e">
        <f>IF((TB_curr[[#This Row],[Synt]]-TB_curr[[#This Row],[Subtotal Y/N]])=0,0,VLOOKUP(TB_curr[[#This Row],[Synt]],GL[[Account]:[Line]],3,FALSE))</f>
        <v>#VALUE!</v>
      </c>
      <c r="AG1294" s="1063" t="e">
        <f>VLOOKUP(TB_curr[[#This Row],[Synt]],GL[[Account]:[B/P]],4,FALSE)</f>
        <v>#N/A</v>
      </c>
      <c r="AH1294" s="1066" t="e">
        <v>#VALUE!</v>
      </c>
      <c r="AI1294" s="1065" t="e">
        <f>TB_curr[[#This Row],[Synt]]&amp;TB_curr[[#This Row],[Line No. manual corr.]]</f>
        <v>#VALUE!</v>
      </c>
      <c r="AJ1294" s="1064">
        <f t="shared" si="101"/>
        <v>0</v>
      </c>
      <c r="AK1294" s="1064">
        <f t="shared" si="102"/>
        <v>0</v>
      </c>
      <c r="AL1294" s="1064">
        <f t="shared" si="103"/>
        <v>0</v>
      </c>
      <c r="AM1294" s="1064">
        <f t="shared" si="104"/>
        <v>0</v>
      </c>
      <c r="AN1294" s="1064"/>
      <c r="AO1294" s="1064">
        <f>TB_curr[[#This Row],[Closing balance]]+TB_curr[[#This Row],[Rounding]]</f>
        <v>0</v>
      </c>
    </row>
    <row r="1295" spans="30:41" x14ac:dyDescent="0.25">
      <c r="AD1295" s="1067" t="str">
        <f t="shared" si="100"/>
        <v/>
      </c>
      <c r="AE1295" s="1063" t="str">
        <f>IF(ISNA(VLOOKUP(TB_curr[[#This Row],[Synt]],GL[[#Headers],[#Data],[subtotal label]],1,FALSE)),0,(VLOOKUP(TB_curr[[#This Row],[Synt]],GL[[#Headers],[#Data],[subtotal label]],1,FALSE)))</f>
        <v/>
      </c>
      <c r="AF1295" s="1063" t="e">
        <f>IF((TB_curr[[#This Row],[Synt]]-TB_curr[[#This Row],[Subtotal Y/N]])=0,0,VLOOKUP(TB_curr[[#This Row],[Synt]],GL[[Account]:[Line]],3,FALSE))</f>
        <v>#VALUE!</v>
      </c>
      <c r="AG1295" s="1063" t="e">
        <f>VLOOKUP(TB_curr[[#This Row],[Synt]],GL[[Account]:[B/P]],4,FALSE)</f>
        <v>#N/A</v>
      </c>
      <c r="AH1295" s="1066" t="e">
        <v>#VALUE!</v>
      </c>
      <c r="AI1295" s="1065" t="e">
        <f>TB_curr[[#This Row],[Synt]]&amp;TB_curr[[#This Row],[Line No. manual corr.]]</f>
        <v>#VALUE!</v>
      </c>
      <c r="AJ1295" s="1064">
        <f t="shared" si="101"/>
        <v>0</v>
      </c>
      <c r="AK1295" s="1064">
        <f t="shared" si="102"/>
        <v>0</v>
      </c>
      <c r="AL1295" s="1064">
        <f t="shared" si="103"/>
        <v>0</v>
      </c>
      <c r="AM1295" s="1064">
        <f t="shared" si="104"/>
        <v>0</v>
      </c>
      <c r="AN1295" s="1064"/>
      <c r="AO1295" s="1064">
        <f>TB_curr[[#This Row],[Closing balance]]+TB_curr[[#This Row],[Rounding]]</f>
        <v>0</v>
      </c>
    </row>
    <row r="1296" spans="30:41" x14ac:dyDescent="0.25">
      <c r="AD1296" s="1067" t="str">
        <f t="shared" si="100"/>
        <v/>
      </c>
      <c r="AE1296" s="1063" t="str">
        <f>IF(ISNA(VLOOKUP(TB_curr[[#This Row],[Synt]],GL[[#Headers],[#Data],[subtotal label]],1,FALSE)),0,(VLOOKUP(TB_curr[[#This Row],[Synt]],GL[[#Headers],[#Data],[subtotal label]],1,FALSE)))</f>
        <v/>
      </c>
      <c r="AF1296" s="1063" t="e">
        <f>IF((TB_curr[[#This Row],[Synt]]-TB_curr[[#This Row],[Subtotal Y/N]])=0,0,VLOOKUP(TB_curr[[#This Row],[Synt]],GL[[Account]:[Line]],3,FALSE))</f>
        <v>#VALUE!</v>
      </c>
      <c r="AG1296" s="1063" t="e">
        <f>VLOOKUP(TB_curr[[#This Row],[Synt]],GL[[Account]:[B/P]],4,FALSE)</f>
        <v>#N/A</v>
      </c>
      <c r="AH1296" s="1066" t="e">
        <v>#VALUE!</v>
      </c>
      <c r="AI1296" s="1065" t="e">
        <f>TB_curr[[#This Row],[Synt]]&amp;TB_curr[[#This Row],[Line No. manual corr.]]</f>
        <v>#VALUE!</v>
      </c>
      <c r="AJ1296" s="1064">
        <f t="shared" si="101"/>
        <v>0</v>
      </c>
      <c r="AK1296" s="1064">
        <f t="shared" si="102"/>
        <v>0</v>
      </c>
      <c r="AL1296" s="1064">
        <f t="shared" si="103"/>
        <v>0</v>
      </c>
      <c r="AM1296" s="1064">
        <f t="shared" si="104"/>
        <v>0</v>
      </c>
      <c r="AN1296" s="1064"/>
      <c r="AO1296" s="1064">
        <f>TB_curr[[#This Row],[Closing balance]]+TB_curr[[#This Row],[Rounding]]</f>
        <v>0</v>
      </c>
    </row>
    <row r="1297" spans="30:41" x14ac:dyDescent="0.25">
      <c r="AD1297" s="1067" t="str">
        <f t="shared" si="100"/>
        <v/>
      </c>
      <c r="AE1297" s="1063" t="str">
        <f>IF(ISNA(VLOOKUP(TB_curr[[#This Row],[Synt]],GL[[#Headers],[#Data],[subtotal label]],1,FALSE)),0,(VLOOKUP(TB_curr[[#This Row],[Synt]],GL[[#Headers],[#Data],[subtotal label]],1,FALSE)))</f>
        <v/>
      </c>
      <c r="AF1297" s="1063" t="e">
        <f>IF((TB_curr[[#This Row],[Synt]]-TB_curr[[#This Row],[Subtotal Y/N]])=0,0,VLOOKUP(TB_curr[[#This Row],[Synt]],GL[[Account]:[Line]],3,FALSE))</f>
        <v>#VALUE!</v>
      </c>
      <c r="AG1297" s="1063" t="e">
        <f>VLOOKUP(TB_curr[[#This Row],[Synt]],GL[[Account]:[B/P]],4,FALSE)</f>
        <v>#N/A</v>
      </c>
      <c r="AH1297" s="1066" t="e">
        <v>#VALUE!</v>
      </c>
      <c r="AI1297" s="1065" t="e">
        <f>TB_curr[[#This Row],[Synt]]&amp;TB_curr[[#This Row],[Line No. manual corr.]]</f>
        <v>#VALUE!</v>
      </c>
      <c r="AJ1297" s="1064">
        <f t="shared" si="101"/>
        <v>0</v>
      </c>
      <c r="AK1297" s="1064">
        <f t="shared" si="102"/>
        <v>0</v>
      </c>
      <c r="AL1297" s="1064">
        <f t="shared" si="103"/>
        <v>0</v>
      </c>
      <c r="AM1297" s="1064">
        <f t="shared" si="104"/>
        <v>0</v>
      </c>
      <c r="AN1297" s="1064"/>
      <c r="AO1297" s="1064">
        <f>TB_curr[[#This Row],[Closing balance]]+TB_curr[[#This Row],[Rounding]]</f>
        <v>0</v>
      </c>
    </row>
    <row r="1298" spans="30:41" x14ac:dyDescent="0.25">
      <c r="AD1298" s="1067" t="str">
        <f t="shared" si="100"/>
        <v/>
      </c>
      <c r="AE1298" s="1063" t="str">
        <f>IF(ISNA(VLOOKUP(TB_curr[[#This Row],[Synt]],GL[[#Headers],[#Data],[subtotal label]],1,FALSE)),0,(VLOOKUP(TB_curr[[#This Row],[Synt]],GL[[#Headers],[#Data],[subtotal label]],1,FALSE)))</f>
        <v/>
      </c>
      <c r="AF1298" s="1063" t="e">
        <f>IF((TB_curr[[#This Row],[Synt]]-TB_curr[[#This Row],[Subtotal Y/N]])=0,0,VLOOKUP(TB_curr[[#This Row],[Synt]],GL[[Account]:[Line]],3,FALSE))</f>
        <v>#VALUE!</v>
      </c>
      <c r="AG1298" s="1063" t="e">
        <f>VLOOKUP(TB_curr[[#This Row],[Synt]],GL[[Account]:[B/P]],4,FALSE)</f>
        <v>#N/A</v>
      </c>
      <c r="AH1298" s="1066" t="e">
        <v>#VALUE!</v>
      </c>
      <c r="AI1298" s="1065" t="e">
        <f>TB_curr[[#This Row],[Synt]]&amp;TB_curr[[#This Row],[Line No. manual corr.]]</f>
        <v>#VALUE!</v>
      </c>
      <c r="AJ1298" s="1064">
        <f t="shared" si="101"/>
        <v>0</v>
      </c>
      <c r="AK1298" s="1064">
        <f t="shared" si="102"/>
        <v>0</v>
      </c>
      <c r="AL1298" s="1064">
        <f t="shared" si="103"/>
        <v>0</v>
      </c>
      <c r="AM1298" s="1064">
        <f t="shared" si="104"/>
        <v>0</v>
      </c>
      <c r="AN1298" s="1064"/>
      <c r="AO1298" s="1064">
        <f>TB_curr[[#This Row],[Closing balance]]+TB_curr[[#This Row],[Rounding]]</f>
        <v>0</v>
      </c>
    </row>
    <row r="1299" spans="30:41" x14ac:dyDescent="0.25">
      <c r="AD1299" s="1067" t="str">
        <f t="shared" si="100"/>
        <v/>
      </c>
      <c r="AE1299" s="1063" t="str">
        <f>IF(ISNA(VLOOKUP(TB_curr[[#This Row],[Synt]],GL[[#Headers],[#Data],[subtotal label]],1,FALSE)),0,(VLOOKUP(TB_curr[[#This Row],[Synt]],GL[[#Headers],[#Data],[subtotal label]],1,FALSE)))</f>
        <v/>
      </c>
      <c r="AF1299" s="1063" t="e">
        <f>IF((TB_curr[[#This Row],[Synt]]-TB_curr[[#This Row],[Subtotal Y/N]])=0,0,VLOOKUP(TB_curr[[#This Row],[Synt]],GL[[Account]:[Line]],3,FALSE))</f>
        <v>#VALUE!</v>
      </c>
      <c r="AG1299" s="1063" t="e">
        <f>VLOOKUP(TB_curr[[#This Row],[Synt]],GL[[Account]:[B/P]],4,FALSE)</f>
        <v>#N/A</v>
      </c>
      <c r="AH1299" s="1066" t="e">
        <v>#VALUE!</v>
      </c>
      <c r="AI1299" s="1065" t="e">
        <f>TB_curr[[#This Row],[Synt]]&amp;TB_curr[[#This Row],[Line No. manual corr.]]</f>
        <v>#VALUE!</v>
      </c>
      <c r="AJ1299" s="1064">
        <f t="shared" si="101"/>
        <v>0</v>
      </c>
      <c r="AK1299" s="1064">
        <f t="shared" si="102"/>
        <v>0</v>
      </c>
      <c r="AL1299" s="1064">
        <f t="shared" si="103"/>
        <v>0</v>
      </c>
      <c r="AM1299" s="1064">
        <f t="shared" si="104"/>
        <v>0</v>
      </c>
      <c r="AN1299" s="1064"/>
      <c r="AO1299" s="1064">
        <f>TB_curr[[#This Row],[Closing balance]]+TB_curr[[#This Row],[Rounding]]</f>
        <v>0</v>
      </c>
    </row>
    <row r="1300" spans="30:41" x14ac:dyDescent="0.25">
      <c r="AD1300" s="1067" t="str">
        <f t="shared" si="100"/>
        <v/>
      </c>
      <c r="AE1300" s="1063" t="str">
        <f>IF(ISNA(VLOOKUP(TB_curr[[#This Row],[Synt]],GL[[#Headers],[#Data],[subtotal label]],1,FALSE)),0,(VLOOKUP(TB_curr[[#This Row],[Synt]],GL[[#Headers],[#Data],[subtotal label]],1,FALSE)))</f>
        <v/>
      </c>
      <c r="AF1300" s="1063" t="e">
        <f>IF((TB_curr[[#This Row],[Synt]]-TB_curr[[#This Row],[Subtotal Y/N]])=0,0,VLOOKUP(TB_curr[[#This Row],[Synt]],GL[[Account]:[Line]],3,FALSE))</f>
        <v>#VALUE!</v>
      </c>
      <c r="AG1300" s="1063" t="e">
        <f>VLOOKUP(TB_curr[[#This Row],[Synt]],GL[[Account]:[B/P]],4,FALSE)</f>
        <v>#N/A</v>
      </c>
      <c r="AH1300" s="1066" t="e">
        <v>#VALUE!</v>
      </c>
      <c r="AI1300" s="1065" t="e">
        <f>TB_curr[[#This Row],[Synt]]&amp;TB_curr[[#This Row],[Line No. manual corr.]]</f>
        <v>#VALUE!</v>
      </c>
      <c r="AJ1300" s="1064">
        <f t="shared" si="101"/>
        <v>0</v>
      </c>
      <c r="AK1300" s="1064">
        <f t="shared" si="102"/>
        <v>0</v>
      </c>
      <c r="AL1300" s="1064">
        <f t="shared" si="103"/>
        <v>0</v>
      </c>
      <c r="AM1300" s="1064">
        <f t="shared" si="104"/>
        <v>0</v>
      </c>
      <c r="AN1300" s="1064"/>
      <c r="AO1300" s="1064">
        <f>TB_curr[[#This Row],[Closing balance]]+TB_curr[[#This Row],[Rounding]]</f>
        <v>0</v>
      </c>
    </row>
    <row r="1301" spans="30:41" x14ac:dyDescent="0.25">
      <c r="AD1301" s="1067" t="str">
        <f t="shared" si="100"/>
        <v/>
      </c>
      <c r="AE1301" s="1063" t="str">
        <f>IF(ISNA(VLOOKUP(TB_curr[[#This Row],[Synt]],GL[[#Headers],[#Data],[subtotal label]],1,FALSE)),0,(VLOOKUP(TB_curr[[#This Row],[Synt]],GL[[#Headers],[#Data],[subtotal label]],1,FALSE)))</f>
        <v/>
      </c>
      <c r="AF1301" s="1063" t="e">
        <f>IF((TB_curr[[#This Row],[Synt]]-TB_curr[[#This Row],[Subtotal Y/N]])=0,0,VLOOKUP(TB_curr[[#This Row],[Synt]],GL[[Account]:[Line]],3,FALSE))</f>
        <v>#VALUE!</v>
      </c>
      <c r="AG1301" s="1063" t="e">
        <f>VLOOKUP(TB_curr[[#This Row],[Synt]],GL[[Account]:[B/P]],4,FALSE)</f>
        <v>#N/A</v>
      </c>
      <c r="AH1301" s="1066" t="e">
        <v>#VALUE!</v>
      </c>
      <c r="AI1301" s="1065" t="e">
        <f>TB_curr[[#This Row],[Synt]]&amp;TB_curr[[#This Row],[Line No. manual corr.]]</f>
        <v>#VALUE!</v>
      </c>
      <c r="AJ1301" s="1064">
        <f t="shared" si="101"/>
        <v>0</v>
      </c>
      <c r="AK1301" s="1064">
        <f t="shared" si="102"/>
        <v>0</v>
      </c>
      <c r="AL1301" s="1064">
        <f t="shared" si="103"/>
        <v>0</v>
      </c>
      <c r="AM1301" s="1064">
        <f t="shared" si="104"/>
        <v>0</v>
      </c>
      <c r="AN1301" s="1064"/>
      <c r="AO1301" s="1064">
        <f>TB_curr[[#This Row],[Closing balance]]+TB_curr[[#This Row],[Rounding]]</f>
        <v>0</v>
      </c>
    </row>
    <row r="1302" spans="30:41" x14ac:dyDescent="0.25">
      <c r="AD1302" s="1067" t="str">
        <f t="shared" si="100"/>
        <v/>
      </c>
      <c r="AE1302" s="1063" t="str">
        <f>IF(ISNA(VLOOKUP(TB_curr[[#This Row],[Synt]],GL[[#Headers],[#Data],[subtotal label]],1,FALSE)),0,(VLOOKUP(TB_curr[[#This Row],[Synt]],GL[[#Headers],[#Data],[subtotal label]],1,FALSE)))</f>
        <v/>
      </c>
      <c r="AF1302" s="1063" t="e">
        <f>IF((TB_curr[[#This Row],[Synt]]-TB_curr[[#This Row],[Subtotal Y/N]])=0,0,VLOOKUP(TB_curr[[#This Row],[Synt]],GL[[Account]:[Line]],3,FALSE))</f>
        <v>#VALUE!</v>
      </c>
      <c r="AG1302" s="1063" t="e">
        <f>VLOOKUP(TB_curr[[#This Row],[Synt]],GL[[Account]:[B/P]],4,FALSE)</f>
        <v>#N/A</v>
      </c>
      <c r="AH1302" s="1066" t="e">
        <v>#VALUE!</v>
      </c>
      <c r="AI1302" s="1065" t="e">
        <f>TB_curr[[#This Row],[Synt]]&amp;TB_curr[[#This Row],[Line No. manual corr.]]</f>
        <v>#VALUE!</v>
      </c>
      <c r="AJ1302" s="1064">
        <f t="shared" si="101"/>
        <v>0</v>
      </c>
      <c r="AK1302" s="1064">
        <f t="shared" si="102"/>
        <v>0</v>
      </c>
      <c r="AL1302" s="1064">
        <f t="shared" si="103"/>
        <v>0</v>
      </c>
      <c r="AM1302" s="1064">
        <f t="shared" si="104"/>
        <v>0</v>
      </c>
      <c r="AN1302" s="1064"/>
      <c r="AO1302" s="1064">
        <f>TB_curr[[#This Row],[Closing balance]]+TB_curr[[#This Row],[Rounding]]</f>
        <v>0</v>
      </c>
    </row>
    <row r="1303" spans="30:41" x14ac:dyDescent="0.25">
      <c r="AD1303" s="1067" t="str">
        <f t="shared" si="100"/>
        <v/>
      </c>
      <c r="AE1303" s="1063" t="str">
        <f>IF(ISNA(VLOOKUP(TB_curr[[#This Row],[Synt]],GL[[#Headers],[#Data],[subtotal label]],1,FALSE)),0,(VLOOKUP(TB_curr[[#This Row],[Synt]],GL[[#Headers],[#Data],[subtotal label]],1,FALSE)))</f>
        <v/>
      </c>
      <c r="AF1303" s="1063" t="e">
        <f>IF((TB_curr[[#This Row],[Synt]]-TB_curr[[#This Row],[Subtotal Y/N]])=0,0,VLOOKUP(TB_curr[[#This Row],[Synt]],GL[[Account]:[Line]],3,FALSE))</f>
        <v>#VALUE!</v>
      </c>
      <c r="AG1303" s="1063" t="e">
        <f>VLOOKUP(TB_curr[[#This Row],[Synt]],GL[[Account]:[B/P]],4,FALSE)</f>
        <v>#N/A</v>
      </c>
      <c r="AH1303" s="1066" t="e">
        <v>#VALUE!</v>
      </c>
      <c r="AI1303" s="1065" t="e">
        <f>TB_curr[[#This Row],[Synt]]&amp;TB_curr[[#This Row],[Line No. manual corr.]]</f>
        <v>#VALUE!</v>
      </c>
      <c r="AJ1303" s="1064">
        <f t="shared" si="101"/>
        <v>0</v>
      </c>
      <c r="AK1303" s="1064">
        <f t="shared" si="102"/>
        <v>0</v>
      </c>
      <c r="AL1303" s="1064">
        <f t="shared" si="103"/>
        <v>0</v>
      </c>
      <c r="AM1303" s="1064">
        <f t="shared" si="104"/>
        <v>0</v>
      </c>
      <c r="AN1303" s="1064"/>
      <c r="AO1303" s="1064">
        <f>TB_curr[[#This Row],[Closing balance]]+TB_curr[[#This Row],[Rounding]]</f>
        <v>0</v>
      </c>
    </row>
    <row r="1304" spans="30:41" x14ac:dyDescent="0.25">
      <c r="AD1304" s="1067" t="str">
        <f t="shared" si="100"/>
        <v/>
      </c>
      <c r="AE1304" s="1063" t="str">
        <f>IF(ISNA(VLOOKUP(TB_curr[[#This Row],[Synt]],GL[[#Headers],[#Data],[subtotal label]],1,FALSE)),0,(VLOOKUP(TB_curr[[#This Row],[Synt]],GL[[#Headers],[#Data],[subtotal label]],1,FALSE)))</f>
        <v/>
      </c>
      <c r="AF1304" s="1063" t="e">
        <f>IF((TB_curr[[#This Row],[Synt]]-TB_curr[[#This Row],[Subtotal Y/N]])=0,0,VLOOKUP(TB_curr[[#This Row],[Synt]],GL[[Account]:[Line]],3,FALSE))</f>
        <v>#VALUE!</v>
      </c>
      <c r="AG1304" s="1063" t="e">
        <f>VLOOKUP(TB_curr[[#This Row],[Synt]],GL[[Account]:[B/P]],4,FALSE)</f>
        <v>#N/A</v>
      </c>
      <c r="AH1304" s="1066" t="e">
        <v>#VALUE!</v>
      </c>
      <c r="AI1304" s="1065" t="e">
        <f>TB_curr[[#This Row],[Synt]]&amp;TB_curr[[#This Row],[Line No. manual corr.]]</f>
        <v>#VALUE!</v>
      </c>
      <c r="AJ1304" s="1064">
        <f t="shared" si="101"/>
        <v>0</v>
      </c>
      <c r="AK1304" s="1064">
        <f t="shared" si="102"/>
        <v>0</v>
      </c>
      <c r="AL1304" s="1064">
        <f t="shared" si="103"/>
        <v>0</v>
      </c>
      <c r="AM1304" s="1064">
        <f t="shared" si="104"/>
        <v>0</v>
      </c>
      <c r="AN1304" s="1064"/>
      <c r="AO1304" s="1064">
        <f>TB_curr[[#This Row],[Closing balance]]+TB_curr[[#This Row],[Rounding]]</f>
        <v>0</v>
      </c>
    </row>
    <row r="1305" spans="30:41" x14ac:dyDescent="0.25">
      <c r="AD1305" s="1067" t="str">
        <f t="shared" si="100"/>
        <v/>
      </c>
      <c r="AE1305" s="1063" t="str">
        <f>IF(ISNA(VLOOKUP(TB_curr[[#This Row],[Synt]],GL[[#Headers],[#Data],[subtotal label]],1,FALSE)),0,(VLOOKUP(TB_curr[[#This Row],[Synt]],GL[[#Headers],[#Data],[subtotal label]],1,FALSE)))</f>
        <v/>
      </c>
      <c r="AF1305" s="1063" t="e">
        <f>IF((TB_curr[[#This Row],[Synt]]-TB_curr[[#This Row],[Subtotal Y/N]])=0,0,VLOOKUP(TB_curr[[#This Row],[Synt]],GL[[Account]:[Line]],3,FALSE))</f>
        <v>#VALUE!</v>
      </c>
      <c r="AG1305" s="1063" t="e">
        <f>VLOOKUP(TB_curr[[#This Row],[Synt]],GL[[Account]:[B/P]],4,FALSE)</f>
        <v>#N/A</v>
      </c>
      <c r="AH1305" s="1066" t="e">
        <v>#VALUE!</v>
      </c>
      <c r="AI1305" s="1065" t="e">
        <f>TB_curr[[#This Row],[Synt]]&amp;TB_curr[[#This Row],[Line No. manual corr.]]</f>
        <v>#VALUE!</v>
      </c>
      <c r="AJ1305" s="1064">
        <f t="shared" si="101"/>
        <v>0</v>
      </c>
      <c r="AK1305" s="1064">
        <f t="shared" si="102"/>
        <v>0</v>
      </c>
      <c r="AL1305" s="1064">
        <f t="shared" si="103"/>
        <v>0</v>
      </c>
      <c r="AM1305" s="1064">
        <f t="shared" si="104"/>
        <v>0</v>
      </c>
      <c r="AN1305" s="1064"/>
      <c r="AO1305" s="1064">
        <f>TB_curr[[#This Row],[Closing balance]]+TB_curr[[#This Row],[Rounding]]</f>
        <v>0</v>
      </c>
    </row>
    <row r="1306" spans="30:41" x14ac:dyDescent="0.25">
      <c r="AD1306" s="1067" t="str">
        <f t="shared" si="100"/>
        <v/>
      </c>
      <c r="AE1306" s="1063" t="str">
        <f>IF(ISNA(VLOOKUP(TB_curr[[#This Row],[Synt]],GL[[#Headers],[#Data],[subtotal label]],1,FALSE)),0,(VLOOKUP(TB_curr[[#This Row],[Synt]],GL[[#Headers],[#Data],[subtotal label]],1,FALSE)))</f>
        <v/>
      </c>
      <c r="AF1306" s="1063" t="e">
        <f>IF((TB_curr[[#This Row],[Synt]]-TB_curr[[#This Row],[Subtotal Y/N]])=0,0,VLOOKUP(TB_curr[[#This Row],[Synt]],GL[[Account]:[Line]],3,FALSE))</f>
        <v>#VALUE!</v>
      </c>
      <c r="AG1306" s="1063" t="e">
        <f>VLOOKUP(TB_curr[[#This Row],[Synt]],GL[[Account]:[B/P]],4,FALSE)</f>
        <v>#N/A</v>
      </c>
      <c r="AH1306" s="1066" t="e">
        <v>#VALUE!</v>
      </c>
      <c r="AI1306" s="1065" t="e">
        <f>TB_curr[[#This Row],[Synt]]&amp;TB_curr[[#This Row],[Line No. manual corr.]]</f>
        <v>#VALUE!</v>
      </c>
      <c r="AJ1306" s="1064">
        <f t="shared" si="101"/>
        <v>0</v>
      </c>
      <c r="AK1306" s="1064">
        <f t="shared" si="102"/>
        <v>0</v>
      </c>
      <c r="AL1306" s="1064">
        <f t="shared" si="103"/>
        <v>0</v>
      </c>
      <c r="AM1306" s="1064">
        <f t="shared" si="104"/>
        <v>0</v>
      </c>
      <c r="AN1306" s="1064"/>
      <c r="AO1306" s="1064">
        <f>TB_curr[[#This Row],[Closing balance]]+TB_curr[[#This Row],[Rounding]]</f>
        <v>0</v>
      </c>
    </row>
    <row r="1307" spans="30:41" x14ac:dyDescent="0.25">
      <c r="AD1307" s="1067" t="str">
        <f t="shared" si="100"/>
        <v/>
      </c>
      <c r="AE1307" s="1063" t="str">
        <f>IF(ISNA(VLOOKUP(TB_curr[[#This Row],[Synt]],GL[[#Headers],[#Data],[subtotal label]],1,FALSE)),0,(VLOOKUP(TB_curr[[#This Row],[Synt]],GL[[#Headers],[#Data],[subtotal label]],1,FALSE)))</f>
        <v/>
      </c>
      <c r="AF1307" s="1063" t="e">
        <f>IF((TB_curr[[#This Row],[Synt]]-TB_curr[[#This Row],[Subtotal Y/N]])=0,0,VLOOKUP(TB_curr[[#This Row],[Synt]],GL[[Account]:[Line]],3,FALSE))</f>
        <v>#VALUE!</v>
      </c>
      <c r="AG1307" s="1063" t="e">
        <f>VLOOKUP(TB_curr[[#This Row],[Synt]],GL[[Account]:[B/P]],4,FALSE)</f>
        <v>#N/A</v>
      </c>
      <c r="AH1307" s="1066" t="e">
        <v>#VALUE!</v>
      </c>
      <c r="AI1307" s="1065" t="e">
        <f>TB_curr[[#This Row],[Synt]]&amp;TB_curr[[#This Row],[Line No. manual corr.]]</f>
        <v>#VALUE!</v>
      </c>
      <c r="AJ1307" s="1064">
        <f t="shared" si="101"/>
        <v>0</v>
      </c>
      <c r="AK1307" s="1064">
        <f t="shared" si="102"/>
        <v>0</v>
      </c>
      <c r="AL1307" s="1064">
        <f t="shared" si="103"/>
        <v>0</v>
      </c>
      <c r="AM1307" s="1064">
        <f t="shared" si="104"/>
        <v>0</v>
      </c>
      <c r="AN1307" s="1064"/>
      <c r="AO1307" s="1064">
        <f>TB_curr[[#This Row],[Closing balance]]+TB_curr[[#This Row],[Rounding]]</f>
        <v>0</v>
      </c>
    </row>
    <row r="1308" spans="30:41" x14ac:dyDescent="0.25">
      <c r="AD1308" s="1067" t="str">
        <f t="shared" si="100"/>
        <v/>
      </c>
      <c r="AE1308" s="1063" t="str">
        <f>IF(ISNA(VLOOKUP(TB_curr[[#This Row],[Synt]],GL[[#Headers],[#Data],[subtotal label]],1,FALSE)),0,(VLOOKUP(TB_curr[[#This Row],[Synt]],GL[[#Headers],[#Data],[subtotal label]],1,FALSE)))</f>
        <v/>
      </c>
      <c r="AF1308" s="1063" t="e">
        <f>IF((TB_curr[[#This Row],[Synt]]-TB_curr[[#This Row],[Subtotal Y/N]])=0,0,VLOOKUP(TB_curr[[#This Row],[Synt]],GL[[Account]:[Line]],3,FALSE))</f>
        <v>#VALUE!</v>
      </c>
      <c r="AG1308" s="1063" t="e">
        <f>VLOOKUP(TB_curr[[#This Row],[Synt]],GL[[Account]:[B/P]],4,FALSE)</f>
        <v>#N/A</v>
      </c>
      <c r="AH1308" s="1066" t="e">
        <v>#VALUE!</v>
      </c>
      <c r="AI1308" s="1065" t="e">
        <f>TB_curr[[#This Row],[Synt]]&amp;TB_curr[[#This Row],[Line No. manual corr.]]</f>
        <v>#VALUE!</v>
      </c>
      <c r="AJ1308" s="1064">
        <f t="shared" si="101"/>
        <v>0</v>
      </c>
      <c r="AK1308" s="1064">
        <f t="shared" si="102"/>
        <v>0</v>
      </c>
      <c r="AL1308" s="1064">
        <f t="shared" si="103"/>
        <v>0</v>
      </c>
      <c r="AM1308" s="1064">
        <f t="shared" si="104"/>
        <v>0</v>
      </c>
      <c r="AN1308" s="1064"/>
      <c r="AO1308" s="1064">
        <f>TB_curr[[#This Row],[Closing balance]]+TB_curr[[#This Row],[Rounding]]</f>
        <v>0</v>
      </c>
    </row>
    <row r="1309" spans="30:41" x14ac:dyDescent="0.25">
      <c r="AD1309" s="1067" t="str">
        <f t="shared" si="100"/>
        <v/>
      </c>
      <c r="AE1309" s="1063" t="str">
        <f>IF(ISNA(VLOOKUP(TB_curr[[#This Row],[Synt]],GL[[#Headers],[#Data],[subtotal label]],1,FALSE)),0,(VLOOKUP(TB_curr[[#This Row],[Synt]],GL[[#Headers],[#Data],[subtotal label]],1,FALSE)))</f>
        <v/>
      </c>
      <c r="AF1309" s="1063" t="e">
        <f>IF((TB_curr[[#This Row],[Synt]]-TB_curr[[#This Row],[Subtotal Y/N]])=0,0,VLOOKUP(TB_curr[[#This Row],[Synt]],GL[[Account]:[Line]],3,FALSE))</f>
        <v>#VALUE!</v>
      </c>
      <c r="AG1309" s="1063" t="e">
        <f>VLOOKUP(TB_curr[[#This Row],[Synt]],GL[[Account]:[B/P]],4,FALSE)</f>
        <v>#N/A</v>
      </c>
      <c r="AH1309" s="1066" t="e">
        <v>#VALUE!</v>
      </c>
      <c r="AI1309" s="1065" t="e">
        <f>TB_curr[[#This Row],[Synt]]&amp;TB_curr[[#This Row],[Line No. manual corr.]]</f>
        <v>#VALUE!</v>
      </c>
      <c r="AJ1309" s="1064">
        <f t="shared" si="101"/>
        <v>0</v>
      </c>
      <c r="AK1309" s="1064">
        <f t="shared" si="102"/>
        <v>0</v>
      </c>
      <c r="AL1309" s="1064">
        <f t="shared" si="103"/>
        <v>0</v>
      </c>
      <c r="AM1309" s="1064">
        <f t="shared" si="104"/>
        <v>0</v>
      </c>
      <c r="AN1309" s="1064"/>
      <c r="AO1309" s="1064">
        <f>TB_curr[[#This Row],[Closing balance]]+TB_curr[[#This Row],[Rounding]]</f>
        <v>0</v>
      </c>
    </row>
    <row r="1310" spans="30:41" x14ac:dyDescent="0.25">
      <c r="AD1310" s="1067" t="str">
        <f t="shared" si="100"/>
        <v/>
      </c>
      <c r="AE1310" s="1063" t="str">
        <f>IF(ISNA(VLOOKUP(TB_curr[[#This Row],[Synt]],GL[[#Headers],[#Data],[subtotal label]],1,FALSE)),0,(VLOOKUP(TB_curr[[#This Row],[Synt]],GL[[#Headers],[#Data],[subtotal label]],1,FALSE)))</f>
        <v/>
      </c>
      <c r="AF1310" s="1063" t="e">
        <f>IF((TB_curr[[#This Row],[Synt]]-TB_curr[[#This Row],[Subtotal Y/N]])=0,0,VLOOKUP(TB_curr[[#This Row],[Synt]],GL[[Account]:[Line]],3,FALSE))</f>
        <v>#VALUE!</v>
      </c>
      <c r="AG1310" s="1063" t="e">
        <f>VLOOKUP(TB_curr[[#This Row],[Synt]],GL[[Account]:[B/P]],4,FALSE)</f>
        <v>#N/A</v>
      </c>
      <c r="AH1310" s="1066" t="e">
        <v>#VALUE!</v>
      </c>
      <c r="AI1310" s="1065" t="e">
        <f>TB_curr[[#This Row],[Synt]]&amp;TB_curr[[#This Row],[Line No. manual corr.]]</f>
        <v>#VALUE!</v>
      </c>
      <c r="AJ1310" s="1064">
        <f t="shared" si="101"/>
        <v>0</v>
      </c>
      <c r="AK1310" s="1064">
        <f t="shared" si="102"/>
        <v>0</v>
      </c>
      <c r="AL1310" s="1064">
        <f t="shared" si="103"/>
        <v>0</v>
      </c>
      <c r="AM1310" s="1064">
        <f t="shared" si="104"/>
        <v>0</v>
      </c>
      <c r="AN1310" s="1064"/>
      <c r="AO1310" s="1064">
        <f>TB_curr[[#This Row],[Closing balance]]+TB_curr[[#This Row],[Rounding]]</f>
        <v>0</v>
      </c>
    </row>
    <row r="1311" spans="30:41" x14ac:dyDescent="0.25">
      <c r="AD1311" s="1067" t="str">
        <f t="shared" si="100"/>
        <v/>
      </c>
      <c r="AE1311" s="1063" t="str">
        <f>IF(ISNA(VLOOKUP(TB_curr[[#This Row],[Synt]],GL[[#Headers],[#Data],[subtotal label]],1,FALSE)),0,(VLOOKUP(TB_curr[[#This Row],[Synt]],GL[[#Headers],[#Data],[subtotal label]],1,FALSE)))</f>
        <v/>
      </c>
      <c r="AF1311" s="1063" t="e">
        <f>IF((TB_curr[[#This Row],[Synt]]-TB_curr[[#This Row],[Subtotal Y/N]])=0,0,VLOOKUP(TB_curr[[#This Row],[Synt]],GL[[Account]:[Line]],3,FALSE))</f>
        <v>#VALUE!</v>
      </c>
      <c r="AG1311" s="1063" t="e">
        <f>VLOOKUP(TB_curr[[#This Row],[Synt]],GL[[Account]:[B/P]],4,FALSE)</f>
        <v>#N/A</v>
      </c>
      <c r="AH1311" s="1066" t="e">
        <v>#VALUE!</v>
      </c>
      <c r="AI1311" s="1065" t="e">
        <f>TB_curr[[#This Row],[Synt]]&amp;TB_curr[[#This Row],[Line No. manual corr.]]</f>
        <v>#VALUE!</v>
      </c>
      <c r="AJ1311" s="1064">
        <f t="shared" si="101"/>
        <v>0</v>
      </c>
      <c r="AK1311" s="1064">
        <f t="shared" si="102"/>
        <v>0</v>
      </c>
      <c r="AL1311" s="1064">
        <f t="shared" si="103"/>
        <v>0</v>
      </c>
      <c r="AM1311" s="1064">
        <f t="shared" si="104"/>
        <v>0</v>
      </c>
      <c r="AN1311" s="1064"/>
      <c r="AO1311" s="1064">
        <f>TB_curr[[#This Row],[Closing balance]]+TB_curr[[#This Row],[Rounding]]</f>
        <v>0</v>
      </c>
    </row>
    <row r="1312" spans="30:41" x14ac:dyDescent="0.25">
      <c r="AD1312" s="1067" t="str">
        <f t="shared" si="100"/>
        <v/>
      </c>
      <c r="AE1312" s="1063" t="str">
        <f>IF(ISNA(VLOOKUP(TB_curr[[#This Row],[Synt]],GL[[#Headers],[#Data],[subtotal label]],1,FALSE)),0,(VLOOKUP(TB_curr[[#This Row],[Synt]],GL[[#Headers],[#Data],[subtotal label]],1,FALSE)))</f>
        <v/>
      </c>
      <c r="AF1312" s="1063" t="e">
        <f>IF((TB_curr[[#This Row],[Synt]]-TB_curr[[#This Row],[Subtotal Y/N]])=0,0,VLOOKUP(TB_curr[[#This Row],[Synt]],GL[[Account]:[Line]],3,FALSE))</f>
        <v>#VALUE!</v>
      </c>
      <c r="AG1312" s="1063" t="e">
        <f>VLOOKUP(TB_curr[[#This Row],[Synt]],GL[[Account]:[B/P]],4,FALSE)</f>
        <v>#N/A</v>
      </c>
      <c r="AH1312" s="1066" t="e">
        <v>#VALUE!</v>
      </c>
      <c r="AI1312" s="1065" t="e">
        <f>TB_curr[[#This Row],[Synt]]&amp;TB_curr[[#This Row],[Line No. manual corr.]]</f>
        <v>#VALUE!</v>
      </c>
      <c r="AJ1312" s="1064">
        <f t="shared" si="101"/>
        <v>0</v>
      </c>
      <c r="AK1312" s="1064">
        <f t="shared" si="102"/>
        <v>0</v>
      </c>
      <c r="AL1312" s="1064">
        <f t="shared" si="103"/>
        <v>0</v>
      </c>
      <c r="AM1312" s="1064">
        <f t="shared" si="104"/>
        <v>0</v>
      </c>
      <c r="AN1312" s="1064"/>
      <c r="AO1312" s="1064">
        <f>TB_curr[[#This Row],[Closing balance]]+TB_curr[[#This Row],[Rounding]]</f>
        <v>0</v>
      </c>
    </row>
    <row r="1313" spans="30:41" x14ac:dyDescent="0.25">
      <c r="AD1313" s="1067" t="str">
        <f t="shared" si="100"/>
        <v/>
      </c>
      <c r="AE1313" s="1063" t="str">
        <f>IF(ISNA(VLOOKUP(TB_curr[[#This Row],[Synt]],GL[[#Headers],[#Data],[subtotal label]],1,FALSE)),0,(VLOOKUP(TB_curr[[#This Row],[Synt]],GL[[#Headers],[#Data],[subtotal label]],1,FALSE)))</f>
        <v/>
      </c>
      <c r="AF1313" s="1063" t="e">
        <f>IF((TB_curr[[#This Row],[Synt]]-TB_curr[[#This Row],[Subtotal Y/N]])=0,0,VLOOKUP(TB_curr[[#This Row],[Synt]],GL[[Account]:[Line]],3,FALSE))</f>
        <v>#VALUE!</v>
      </c>
      <c r="AG1313" s="1063" t="e">
        <f>VLOOKUP(TB_curr[[#This Row],[Synt]],GL[[Account]:[B/P]],4,FALSE)</f>
        <v>#N/A</v>
      </c>
      <c r="AH1313" s="1066" t="e">
        <v>#VALUE!</v>
      </c>
      <c r="AI1313" s="1065" t="e">
        <f>TB_curr[[#This Row],[Synt]]&amp;TB_curr[[#This Row],[Line No. manual corr.]]</f>
        <v>#VALUE!</v>
      </c>
      <c r="AJ1313" s="1064">
        <f t="shared" si="101"/>
        <v>0</v>
      </c>
      <c r="AK1313" s="1064">
        <f t="shared" si="102"/>
        <v>0</v>
      </c>
      <c r="AL1313" s="1064">
        <f t="shared" si="103"/>
        <v>0</v>
      </c>
      <c r="AM1313" s="1064">
        <f t="shared" si="104"/>
        <v>0</v>
      </c>
      <c r="AN1313" s="1064"/>
      <c r="AO1313" s="1064">
        <f>TB_curr[[#This Row],[Closing balance]]+TB_curr[[#This Row],[Rounding]]</f>
        <v>0</v>
      </c>
    </row>
    <row r="1314" spans="30:41" x14ac:dyDescent="0.25">
      <c r="AD1314" s="1067" t="str">
        <f t="shared" si="100"/>
        <v/>
      </c>
      <c r="AE1314" s="1063" t="str">
        <f>IF(ISNA(VLOOKUP(TB_curr[[#This Row],[Synt]],GL[[#Headers],[#Data],[subtotal label]],1,FALSE)),0,(VLOOKUP(TB_curr[[#This Row],[Synt]],GL[[#Headers],[#Data],[subtotal label]],1,FALSE)))</f>
        <v/>
      </c>
      <c r="AF1314" s="1063" t="e">
        <f>IF((TB_curr[[#This Row],[Synt]]-TB_curr[[#This Row],[Subtotal Y/N]])=0,0,VLOOKUP(TB_curr[[#This Row],[Synt]],GL[[Account]:[Line]],3,FALSE))</f>
        <v>#VALUE!</v>
      </c>
      <c r="AG1314" s="1063" t="e">
        <f>VLOOKUP(TB_curr[[#This Row],[Synt]],GL[[Account]:[B/P]],4,FALSE)</f>
        <v>#N/A</v>
      </c>
      <c r="AH1314" s="1066" t="e">
        <v>#VALUE!</v>
      </c>
      <c r="AI1314" s="1065" t="e">
        <f>TB_curr[[#This Row],[Synt]]&amp;TB_curr[[#This Row],[Line No. manual corr.]]</f>
        <v>#VALUE!</v>
      </c>
      <c r="AJ1314" s="1064">
        <f t="shared" si="101"/>
        <v>0</v>
      </c>
      <c r="AK1314" s="1064">
        <f t="shared" si="102"/>
        <v>0</v>
      </c>
      <c r="AL1314" s="1064">
        <f t="shared" si="103"/>
        <v>0</v>
      </c>
      <c r="AM1314" s="1064">
        <f t="shared" si="104"/>
        <v>0</v>
      </c>
      <c r="AN1314" s="1064"/>
      <c r="AO1314" s="1064">
        <f>TB_curr[[#This Row],[Closing balance]]+TB_curr[[#This Row],[Rounding]]</f>
        <v>0</v>
      </c>
    </row>
    <row r="1315" spans="30:41" x14ac:dyDescent="0.25">
      <c r="AD1315" s="1067" t="str">
        <f t="shared" si="100"/>
        <v/>
      </c>
      <c r="AE1315" s="1063" t="str">
        <f>IF(ISNA(VLOOKUP(TB_curr[[#This Row],[Synt]],GL[[#Headers],[#Data],[subtotal label]],1,FALSE)),0,(VLOOKUP(TB_curr[[#This Row],[Synt]],GL[[#Headers],[#Data],[subtotal label]],1,FALSE)))</f>
        <v/>
      </c>
      <c r="AF1315" s="1063" t="e">
        <f>IF((TB_curr[[#This Row],[Synt]]-TB_curr[[#This Row],[Subtotal Y/N]])=0,0,VLOOKUP(TB_curr[[#This Row],[Synt]],GL[[Account]:[Line]],3,FALSE))</f>
        <v>#VALUE!</v>
      </c>
      <c r="AG1315" s="1063" t="e">
        <f>VLOOKUP(TB_curr[[#This Row],[Synt]],GL[[Account]:[B/P]],4,FALSE)</f>
        <v>#N/A</v>
      </c>
      <c r="AH1315" s="1066" t="e">
        <v>#VALUE!</v>
      </c>
      <c r="AI1315" s="1065" t="e">
        <f>TB_curr[[#This Row],[Synt]]&amp;TB_curr[[#This Row],[Line No. manual corr.]]</f>
        <v>#VALUE!</v>
      </c>
      <c r="AJ1315" s="1064">
        <f t="shared" si="101"/>
        <v>0</v>
      </c>
      <c r="AK1315" s="1064">
        <f t="shared" si="102"/>
        <v>0</v>
      </c>
      <c r="AL1315" s="1064">
        <f t="shared" si="103"/>
        <v>0</v>
      </c>
      <c r="AM1315" s="1064">
        <f t="shared" si="104"/>
        <v>0</v>
      </c>
      <c r="AN1315" s="1064"/>
      <c r="AO1315" s="1064">
        <f>TB_curr[[#This Row],[Closing balance]]+TB_curr[[#This Row],[Rounding]]</f>
        <v>0</v>
      </c>
    </row>
    <row r="1316" spans="30:41" x14ac:dyDescent="0.25">
      <c r="AD1316" s="1067" t="str">
        <f t="shared" si="100"/>
        <v/>
      </c>
      <c r="AE1316" s="1063" t="str">
        <f>IF(ISNA(VLOOKUP(TB_curr[[#This Row],[Synt]],GL[[#Headers],[#Data],[subtotal label]],1,FALSE)),0,(VLOOKUP(TB_curr[[#This Row],[Synt]],GL[[#Headers],[#Data],[subtotal label]],1,FALSE)))</f>
        <v/>
      </c>
      <c r="AF1316" s="1063" t="e">
        <f>IF((TB_curr[[#This Row],[Synt]]-TB_curr[[#This Row],[Subtotal Y/N]])=0,0,VLOOKUP(TB_curr[[#This Row],[Synt]],GL[[Account]:[Line]],3,FALSE))</f>
        <v>#VALUE!</v>
      </c>
      <c r="AG1316" s="1063" t="e">
        <f>VLOOKUP(TB_curr[[#This Row],[Synt]],GL[[Account]:[B/P]],4,FALSE)</f>
        <v>#N/A</v>
      </c>
      <c r="AH1316" s="1066" t="e">
        <v>#VALUE!</v>
      </c>
      <c r="AI1316" s="1065" t="e">
        <f>TB_curr[[#This Row],[Synt]]&amp;TB_curr[[#This Row],[Line No. manual corr.]]</f>
        <v>#VALUE!</v>
      </c>
      <c r="AJ1316" s="1064">
        <f t="shared" si="101"/>
        <v>0</v>
      </c>
      <c r="AK1316" s="1064">
        <f t="shared" si="102"/>
        <v>0</v>
      </c>
      <c r="AL1316" s="1064">
        <f t="shared" si="103"/>
        <v>0</v>
      </c>
      <c r="AM1316" s="1064">
        <f t="shared" si="104"/>
        <v>0</v>
      </c>
      <c r="AN1316" s="1064"/>
      <c r="AO1316" s="1064">
        <f>TB_curr[[#This Row],[Closing balance]]+TB_curr[[#This Row],[Rounding]]</f>
        <v>0</v>
      </c>
    </row>
    <row r="1317" spans="30:41" x14ac:dyDescent="0.25">
      <c r="AD1317" s="1067" t="str">
        <f t="shared" si="100"/>
        <v/>
      </c>
      <c r="AE1317" s="1063" t="str">
        <f>IF(ISNA(VLOOKUP(TB_curr[[#This Row],[Synt]],GL[[#Headers],[#Data],[subtotal label]],1,FALSE)),0,(VLOOKUP(TB_curr[[#This Row],[Synt]],GL[[#Headers],[#Data],[subtotal label]],1,FALSE)))</f>
        <v/>
      </c>
      <c r="AF1317" s="1063" t="e">
        <f>IF((TB_curr[[#This Row],[Synt]]-TB_curr[[#This Row],[Subtotal Y/N]])=0,0,VLOOKUP(TB_curr[[#This Row],[Synt]],GL[[Account]:[Line]],3,FALSE))</f>
        <v>#VALUE!</v>
      </c>
      <c r="AG1317" s="1063" t="e">
        <f>VLOOKUP(TB_curr[[#This Row],[Synt]],GL[[Account]:[B/P]],4,FALSE)</f>
        <v>#N/A</v>
      </c>
      <c r="AH1317" s="1066" t="e">
        <v>#VALUE!</v>
      </c>
      <c r="AI1317" s="1065" t="e">
        <f>TB_curr[[#This Row],[Synt]]&amp;TB_curr[[#This Row],[Line No. manual corr.]]</f>
        <v>#VALUE!</v>
      </c>
      <c r="AJ1317" s="1064">
        <f t="shared" si="101"/>
        <v>0</v>
      </c>
      <c r="AK1317" s="1064">
        <f t="shared" si="102"/>
        <v>0</v>
      </c>
      <c r="AL1317" s="1064">
        <f t="shared" si="103"/>
        <v>0</v>
      </c>
      <c r="AM1317" s="1064">
        <f t="shared" si="104"/>
        <v>0</v>
      </c>
      <c r="AN1317" s="1064"/>
      <c r="AO1317" s="1064">
        <f>TB_curr[[#This Row],[Closing balance]]+TB_curr[[#This Row],[Rounding]]</f>
        <v>0</v>
      </c>
    </row>
    <row r="1318" spans="30:41" x14ac:dyDescent="0.25">
      <c r="AD1318" s="1067" t="str">
        <f t="shared" si="100"/>
        <v/>
      </c>
      <c r="AE1318" s="1063" t="str">
        <f>IF(ISNA(VLOOKUP(TB_curr[[#This Row],[Synt]],GL[[#Headers],[#Data],[subtotal label]],1,FALSE)),0,(VLOOKUP(TB_curr[[#This Row],[Synt]],GL[[#Headers],[#Data],[subtotal label]],1,FALSE)))</f>
        <v/>
      </c>
      <c r="AF1318" s="1063" t="e">
        <f>IF((TB_curr[[#This Row],[Synt]]-TB_curr[[#This Row],[Subtotal Y/N]])=0,0,VLOOKUP(TB_curr[[#This Row],[Synt]],GL[[Account]:[Line]],3,FALSE))</f>
        <v>#VALUE!</v>
      </c>
      <c r="AG1318" s="1063" t="e">
        <f>VLOOKUP(TB_curr[[#This Row],[Synt]],GL[[Account]:[B/P]],4,FALSE)</f>
        <v>#N/A</v>
      </c>
      <c r="AH1318" s="1066" t="e">
        <v>#VALUE!</v>
      </c>
      <c r="AI1318" s="1065" t="e">
        <f>TB_curr[[#This Row],[Synt]]&amp;TB_curr[[#This Row],[Line No. manual corr.]]</f>
        <v>#VALUE!</v>
      </c>
      <c r="AJ1318" s="1064">
        <f t="shared" si="101"/>
        <v>0</v>
      </c>
      <c r="AK1318" s="1064">
        <f t="shared" si="102"/>
        <v>0</v>
      </c>
      <c r="AL1318" s="1064">
        <f t="shared" si="103"/>
        <v>0</v>
      </c>
      <c r="AM1318" s="1064">
        <f t="shared" si="104"/>
        <v>0</v>
      </c>
      <c r="AN1318" s="1064"/>
      <c r="AO1318" s="1064">
        <f>TB_curr[[#This Row],[Closing balance]]+TB_curr[[#This Row],[Rounding]]</f>
        <v>0</v>
      </c>
    </row>
    <row r="1319" spans="30:41" x14ac:dyDescent="0.25">
      <c r="AD1319" s="1067" t="str">
        <f t="shared" si="100"/>
        <v/>
      </c>
      <c r="AE1319" s="1063" t="str">
        <f>IF(ISNA(VLOOKUP(TB_curr[[#This Row],[Synt]],GL[[#Headers],[#Data],[subtotal label]],1,FALSE)),0,(VLOOKUP(TB_curr[[#This Row],[Synt]],GL[[#Headers],[#Data],[subtotal label]],1,FALSE)))</f>
        <v/>
      </c>
      <c r="AF1319" s="1063" t="e">
        <f>IF((TB_curr[[#This Row],[Synt]]-TB_curr[[#This Row],[Subtotal Y/N]])=0,0,VLOOKUP(TB_curr[[#This Row],[Synt]],GL[[Account]:[Line]],3,FALSE))</f>
        <v>#VALUE!</v>
      </c>
      <c r="AG1319" s="1063" t="e">
        <f>VLOOKUP(TB_curr[[#This Row],[Synt]],GL[[Account]:[B/P]],4,FALSE)</f>
        <v>#N/A</v>
      </c>
      <c r="AH1319" s="1066" t="e">
        <v>#VALUE!</v>
      </c>
      <c r="AI1319" s="1065" t="e">
        <f>TB_curr[[#This Row],[Synt]]&amp;TB_curr[[#This Row],[Line No. manual corr.]]</f>
        <v>#VALUE!</v>
      </c>
      <c r="AJ1319" s="1064">
        <f t="shared" si="101"/>
        <v>0</v>
      </c>
      <c r="AK1319" s="1064">
        <f t="shared" si="102"/>
        <v>0</v>
      </c>
      <c r="AL1319" s="1064">
        <f t="shared" si="103"/>
        <v>0</v>
      </c>
      <c r="AM1319" s="1064">
        <f t="shared" si="104"/>
        <v>0</v>
      </c>
      <c r="AN1319" s="1064"/>
      <c r="AO1319" s="1064">
        <f>TB_curr[[#This Row],[Closing balance]]+TB_curr[[#This Row],[Rounding]]</f>
        <v>0</v>
      </c>
    </row>
    <row r="1320" spans="30:41" x14ac:dyDescent="0.25">
      <c r="AD1320" s="1067" t="str">
        <f t="shared" si="100"/>
        <v/>
      </c>
      <c r="AE1320" s="1063" t="str">
        <f>IF(ISNA(VLOOKUP(TB_curr[[#This Row],[Synt]],GL[[#Headers],[#Data],[subtotal label]],1,FALSE)),0,(VLOOKUP(TB_curr[[#This Row],[Synt]],GL[[#Headers],[#Data],[subtotal label]],1,FALSE)))</f>
        <v/>
      </c>
      <c r="AF1320" s="1063" t="e">
        <f>IF((TB_curr[[#This Row],[Synt]]-TB_curr[[#This Row],[Subtotal Y/N]])=0,0,VLOOKUP(TB_curr[[#This Row],[Synt]],GL[[Account]:[Line]],3,FALSE))</f>
        <v>#VALUE!</v>
      </c>
      <c r="AG1320" s="1063" t="e">
        <f>VLOOKUP(TB_curr[[#This Row],[Synt]],GL[[Account]:[B/P]],4,FALSE)</f>
        <v>#N/A</v>
      </c>
      <c r="AH1320" s="1066" t="e">
        <v>#VALUE!</v>
      </c>
      <c r="AI1320" s="1065" t="e">
        <f>TB_curr[[#This Row],[Synt]]&amp;TB_curr[[#This Row],[Line No. manual corr.]]</f>
        <v>#VALUE!</v>
      </c>
      <c r="AJ1320" s="1064">
        <f t="shared" si="101"/>
        <v>0</v>
      </c>
      <c r="AK1320" s="1064">
        <f t="shared" si="102"/>
        <v>0</v>
      </c>
      <c r="AL1320" s="1064">
        <f t="shared" si="103"/>
        <v>0</v>
      </c>
      <c r="AM1320" s="1064">
        <f t="shared" si="104"/>
        <v>0</v>
      </c>
      <c r="AN1320" s="1064"/>
      <c r="AO1320" s="1064">
        <f>TB_curr[[#This Row],[Closing balance]]+TB_curr[[#This Row],[Rounding]]</f>
        <v>0</v>
      </c>
    </row>
    <row r="1321" spans="30:41" x14ac:dyDescent="0.25">
      <c r="AD1321" s="1067" t="str">
        <f t="shared" si="100"/>
        <v/>
      </c>
      <c r="AE1321" s="1063" t="str">
        <f>IF(ISNA(VLOOKUP(TB_curr[[#This Row],[Synt]],GL[[#Headers],[#Data],[subtotal label]],1,FALSE)),0,(VLOOKUP(TB_curr[[#This Row],[Synt]],GL[[#Headers],[#Data],[subtotal label]],1,FALSE)))</f>
        <v/>
      </c>
      <c r="AF1321" s="1063" t="e">
        <f>IF((TB_curr[[#This Row],[Synt]]-TB_curr[[#This Row],[Subtotal Y/N]])=0,0,VLOOKUP(TB_curr[[#This Row],[Synt]],GL[[Account]:[Line]],3,FALSE))</f>
        <v>#VALUE!</v>
      </c>
      <c r="AG1321" s="1063" t="e">
        <f>VLOOKUP(TB_curr[[#This Row],[Synt]],GL[[Account]:[B/P]],4,FALSE)</f>
        <v>#N/A</v>
      </c>
      <c r="AH1321" s="1066" t="e">
        <v>#VALUE!</v>
      </c>
      <c r="AI1321" s="1065" t="e">
        <f>TB_curr[[#This Row],[Synt]]&amp;TB_curr[[#This Row],[Line No. manual corr.]]</f>
        <v>#VALUE!</v>
      </c>
      <c r="AJ1321" s="1064">
        <f t="shared" si="101"/>
        <v>0</v>
      </c>
      <c r="AK1321" s="1064">
        <f t="shared" si="102"/>
        <v>0</v>
      </c>
      <c r="AL1321" s="1064">
        <f t="shared" si="103"/>
        <v>0</v>
      </c>
      <c r="AM1321" s="1064">
        <f t="shared" si="104"/>
        <v>0</v>
      </c>
      <c r="AN1321" s="1064"/>
      <c r="AO1321" s="1064">
        <f>TB_curr[[#This Row],[Closing balance]]+TB_curr[[#This Row],[Rounding]]</f>
        <v>0</v>
      </c>
    </row>
    <row r="1322" spans="30:41" x14ac:dyDescent="0.25">
      <c r="AD1322" s="1067" t="str">
        <f t="shared" si="100"/>
        <v/>
      </c>
      <c r="AE1322" s="1063" t="str">
        <f>IF(ISNA(VLOOKUP(TB_curr[[#This Row],[Synt]],GL[[#Headers],[#Data],[subtotal label]],1,FALSE)),0,(VLOOKUP(TB_curr[[#This Row],[Synt]],GL[[#Headers],[#Data],[subtotal label]],1,FALSE)))</f>
        <v/>
      </c>
      <c r="AF1322" s="1063" t="e">
        <f>IF((TB_curr[[#This Row],[Synt]]-TB_curr[[#This Row],[Subtotal Y/N]])=0,0,VLOOKUP(TB_curr[[#This Row],[Synt]],GL[[Account]:[Line]],3,FALSE))</f>
        <v>#VALUE!</v>
      </c>
      <c r="AG1322" s="1063" t="e">
        <f>VLOOKUP(TB_curr[[#This Row],[Synt]],GL[[Account]:[B/P]],4,FALSE)</f>
        <v>#N/A</v>
      </c>
      <c r="AH1322" s="1066" t="e">
        <v>#VALUE!</v>
      </c>
      <c r="AI1322" s="1065" t="e">
        <f>TB_curr[[#This Row],[Synt]]&amp;TB_curr[[#This Row],[Line No. manual corr.]]</f>
        <v>#VALUE!</v>
      </c>
      <c r="AJ1322" s="1064">
        <f t="shared" si="101"/>
        <v>0</v>
      </c>
      <c r="AK1322" s="1064">
        <f t="shared" si="102"/>
        <v>0</v>
      </c>
      <c r="AL1322" s="1064">
        <f t="shared" si="103"/>
        <v>0</v>
      </c>
      <c r="AM1322" s="1064">
        <f t="shared" si="104"/>
        <v>0</v>
      </c>
      <c r="AN1322" s="1064"/>
      <c r="AO1322" s="1064">
        <f>TB_curr[[#This Row],[Closing balance]]+TB_curr[[#This Row],[Rounding]]</f>
        <v>0</v>
      </c>
    </row>
    <row r="1323" spans="30:41" x14ac:dyDescent="0.25">
      <c r="AD1323" s="1067" t="str">
        <f t="shared" si="100"/>
        <v/>
      </c>
      <c r="AE1323" s="1063" t="str">
        <f>IF(ISNA(VLOOKUP(TB_curr[[#This Row],[Synt]],GL[[#Headers],[#Data],[subtotal label]],1,FALSE)),0,(VLOOKUP(TB_curr[[#This Row],[Synt]],GL[[#Headers],[#Data],[subtotal label]],1,FALSE)))</f>
        <v/>
      </c>
      <c r="AF1323" s="1063" t="e">
        <f>IF((TB_curr[[#This Row],[Synt]]-TB_curr[[#This Row],[Subtotal Y/N]])=0,0,VLOOKUP(TB_curr[[#This Row],[Synt]],GL[[Account]:[Line]],3,FALSE))</f>
        <v>#VALUE!</v>
      </c>
      <c r="AG1323" s="1063" t="e">
        <f>VLOOKUP(TB_curr[[#This Row],[Synt]],GL[[Account]:[B/P]],4,FALSE)</f>
        <v>#N/A</v>
      </c>
      <c r="AH1323" s="1066" t="e">
        <v>#VALUE!</v>
      </c>
      <c r="AI1323" s="1065" t="e">
        <f>TB_curr[[#This Row],[Synt]]&amp;TB_curr[[#This Row],[Line No. manual corr.]]</f>
        <v>#VALUE!</v>
      </c>
      <c r="AJ1323" s="1064">
        <f t="shared" si="101"/>
        <v>0</v>
      </c>
      <c r="AK1323" s="1064">
        <f t="shared" si="102"/>
        <v>0</v>
      </c>
      <c r="AL1323" s="1064">
        <f t="shared" si="103"/>
        <v>0</v>
      </c>
      <c r="AM1323" s="1064">
        <f t="shared" si="104"/>
        <v>0</v>
      </c>
      <c r="AN1323" s="1064"/>
      <c r="AO1323" s="1064">
        <f>TB_curr[[#This Row],[Closing balance]]+TB_curr[[#This Row],[Rounding]]</f>
        <v>0</v>
      </c>
    </row>
    <row r="1324" spans="30:41" x14ac:dyDescent="0.25">
      <c r="AD1324" s="1067" t="str">
        <f t="shared" si="100"/>
        <v/>
      </c>
      <c r="AE1324" s="1063" t="str">
        <f>IF(ISNA(VLOOKUP(TB_curr[[#This Row],[Synt]],GL[[#Headers],[#Data],[subtotal label]],1,FALSE)),0,(VLOOKUP(TB_curr[[#This Row],[Synt]],GL[[#Headers],[#Data],[subtotal label]],1,FALSE)))</f>
        <v/>
      </c>
      <c r="AF1324" s="1063" t="e">
        <f>IF((TB_curr[[#This Row],[Synt]]-TB_curr[[#This Row],[Subtotal Y/N]])=0,0,VLOOKUP(TB_curr[[#This Row],[Synt]],GL[[Account]:[Line]],3,FALSE))</f>
        <v>#VALUE!</v>
      </c>
      <c r="AG1324" s="1063" t="e">
        <f>VLOOKUP(TB_curr[[#This Row],[Synt]],GL[[Account]:[B/P]],4,FALSE)</f>
        <v>#N/A</v>
      </c>
      <c r="AH1324" s="1066" t="e">
        <v>#VALUE!</v>
      </c>
      <c r="AI1324" s="1065" t="e">
        <f>TB_curr[[#This Row],[Synt]]&amp;TB_curr[[#This Row],[Line No. manual corr.]]</f>
        <v>#VALUE!</v>
      </c>
      <c r="AJ1324" s="1064">
        <f t="shared" si="101"/>
        <v>0</v>
      </c>
      <c r="AK1324" s="1064">
        <f t="shared" si="102"/>
        <v>0</v>
      </c>
      <c r="AL1324" s="1064">
        <f t="shared" si="103"/>
        <v>0</v>
      </c>
      <c r="AM1324" s="1064">
        <f t="shared" si="104"/>
        <v>0</v>
      </c>
      <c r="AN1324" s="1064"/>
      <c r="AO1324" s="1064">
        <f>TB_curr[[#This Row],[Closing balance]]+TB_curr[[#This Row],[Rounding]]</f>
        <v>0</v>
      </c>
    </row>
    <row r="1325" spans="30:41" x14ac:dyDescent="0.25">
      <c r="AD1325" s="1067" t="str">
        <f t="shared" si="100"/>
        <v/>
      </c>
      <c r="AE1325" s="1063" t="str">
        <f>IF(ISNA(VLOOKUP(TB_curr[[#This Row],[Synt]],GL[[#Headers],[#Data],[subtotal label]],1,FALSE)),0,(VLOOKUP(TB_curr[[#This Row],[Synt]],GL[[#Headers],[#Data],[subtotal label]],1,FALSE)))</f>
        <v/>
      </c>
      <c r="AF1325" s="1063" t="e">
        <f>IF((TB_curr[[#This Row],[Synt]]-TB_curr[[#This Row],[Subtotal Y/N]])=0,0,VLOOKUP(TB_curr[[#This Row],[Synt]],GL[[Account]:[Line]],3,FALSE))</f>
        <v>#VALUE!</v>
      </c>
      <c r="AG1325" s="1063" t="e">
        <f>VLOOKUP(TB_curr[[#This Row],[Synt]],GL[[Account]:[B/P]],4,FALSE)</f>
        <v>#N/A</v>
      </c>
      <c r="AH1325" s="1066" t="e">
        <v>#VALUE!</v>
      </c>
      <c r="AI1325" s="1065" t="e">
        <f>TB_curr[[#This Row],[Synt]]&amp;TB_curr[[#This Row],[Line No. manual corr.]]</f>
        <v>#VALUE!</v>
      </c>
      <c r="AJ1325" s="1064">
        <f t="shared" si="101"/>
        <v>0</v>
      </c>
      <c r="AK1325" s="1064">
        <f t="shared" si="102"/>
        <v>0</v>
      </c>
      <c r="AL1325" s="1064">
        <f t="shared" si="103"/>
        <v>0</v>
      </c>
      <c r="AM1325" s="1064">
        <f t="shared" si="104"/>
        <v>0</v>
      </c>
      <c r="AN1325" s="1064"/>
      <c r="AO1325" s="1064">
        <f>TB_curr[[#This Row],[Closing balance]]+TB_curr[[#This Row],[Rounding]]</f>
        <v>0</v>
      </c>
    </row>
    <row r="1326" spans="30:41" x14ac:dyDescent="0.25">
      <c r="AD1326" s="1067" t="str">
        <f t="shared" si="100"/>
        <v/>
      </c>
      <c r="AE1326" s="1063" t="str">
        <f>IF(ISNA(VLOOKUP(TB_curr[[#This Row],[Synt]],GL[[#Headers],[#Data],[subtotal label]],1,FALSE)),0,(VLOOKUP(TB_curr[[#This Row],[Synt]],GL[[#Headers],[#Data],[subtotal label]],1,FALSE)))</f>
        <v/>
      </c>
      <c r="AF1326" s="1063" t="e">
        <f>IF((TB_curr[[#This Row],[Synt]]-TB_curr[[#This Row],[Subtotal Y/N]])=0,0,VLOOKUP(TB_curr[[#This Row],[Synt]],GL[[Account]:[Line]],3,FALSE))</f>
        <v>#VALUE!</v>
      </c>
      <c r="AG1326" s="1063" t="e">
        <f>VLOOKUP(TB_curr[[#This Row],[Synt]],GL[[Account]:[B/P]],4,FALSE)</f>
        <v>#N/A</v>
      </c>
      <c r="AH1326" s="1066" t="e">
        <v>#VALUE!</v>
      </c>
      <c r="AI1326" s="1065" t="e">
        <f>TB_curr[[#This Row],[Synt]]&amp;TB_curr[[#This Row],[Line No. manual corr.]]</f>
        <v>#VALUE!</v>
      </c>
      <c r="AJ1326" s="1064">
        <f t="shared" si="101"/>
        <v>0</v>
      </c>
      <c r="AK1326" s="1064">
        <f t="shared" si="102"/>
        <v>0</v>
      </c>
      <c r="AL1326" s="1064">
        <f t="shared" si="103"/>
        <v>0</v>
      </c>
      <c r="AM1326" s="1064">
        <f t="shared" si="104"/>
        <v>0</v>
      </c>
      <c r="AN1326" s="1064"/>
      <c r="AO1326" s="1064">
        <f>TB_curr[[#This Row],[Closing balance]]+TB_curr[[#This Row],[Rounding]]</f>
        <v>0</v>
      </c>
    </row>
    <row r="1327" spans="30:41" x14ac:dyDescent="0.25">
      <c r="AD1327" s="1067" t="str">
        <f t="shared" si="100"/>
        <v/>
      </c>
      <c r="AE1327" s="1063" t="str">
        <f>IF(ISNA(VLOOKUP(TB_curr[[#This Row],[Synt]],GL[[#Headers],[#Data],[subtotal label]],1,FALSE)),0,(VLOOKUP(TB_curr[[#This Row],[Synt]],GL[[#Headers],[#Data],[subtotal label]],1,FALSE)))</f>
        <v/>
      </c>
      <c r="AF1327" s="1063" t="e">
        <f>IF((TB_curr[[#This Row],[Synt]]-TB_curr[[#This Row],[Subtotal Y/N]])=0,0,VLOOKUP(TB_curr[[#This Row],[Synt]],GL[[Account]:[Line]],3,FALSE))</f>
        <v>#VALUE!</v>
      </c>
      <c r="AG1327" s="1063" t="e">
        <f>VLOOKUP(TB_curr[[#This Row],[Synt]],GL[[Account]:[B/P]],4,FALSE)</f>
        <v>#N/A</v>
      </c>
      <c r="AH1327" s="1066" t="e">
        <v>#VALUE!</v>
      </c>
      <c r="AI1327" s="1065" t="e">
        <f>TB_curr[[#This Row],[Synt]]&amp;TB_curr[[#This Row],[Line No. manual corr.]]</f>
        <v>#VALUE!</v>
      </c>
      <c r="AJ1327" s="1064">
        <f t="shared" si="101"/>
        <v>0</v>
      </c>
      <c r="AK1327" s="1064">
        <f t="shared" si="102"/>
        <v>0</v>
      </c>
      <c r="AL1327" s="1064">
        <f t="shared" si="103"/>
        <v>0</v>
      </c>
      <c r="AM1327" s="1064">
        <f t="shared" si="104"/>
        <v>0</v>
      </c>
      <c r="AN1327" s="1064"/>
      <c r="AO1327" s="1064">
        <f>TB_curr[[#This Row],[Closing balance]]+TB_curr[[#This Row],[Rounding]]</f>
        <v>0</v>
      </c>
    </row>
    <row r="1328" spans="30:41" x14ac:dyDescent="0.25">
      <c r="AD1328" s="1067" t="str">
        <f t="shared" si="100"/>
        <v/>
      </c>
      <c r="AE1328" s="1063" t="str">
        <f>IF(ISNA(VLOOKUP(TB_curr[[#This Row],[Synt]],GL[[#Headers],[#Data],[subtotal label]],1,FALSE)),0,(VLOOKUP(TB_curr[[#This Row],[Synt]],GL[[#Headers],[#Data],[subtotal label]],1,FALSE)))</f>
        <v/>
      </c>
      <c r="AF1328" s="1063" t="e">
        <f>IF((TB_curr[[#This Row],[Synt]]-TB_curr[[#This Row],[Subtotal Y/N]])=0,0,VLOOKUP(TB_curr[[#This Row],[Synt]],GL[[Account]:[Line]],3,FALSE))</f>
        <v>#VALUE!</v>
      </c>
      <c r="AG1328" s="1063" t="e">
        <f>VLOOKUP(TB_curr[[#This Row],[Synt]],GL[[Account]:[B/P]],4,FALSE)</f>
        <v>#N/A</v>
      </c>
      <c r="AH1328" s="1066" t="e">
        <v>#VALUE!</v>
      </c>
      <c r="AI1328" s="1065" t="e">
        <f>TB_curr[[#This Row],[Synt]]&amp;TB_curr[[#This Row],[Line No. manual corr.]]</f>
        <v>#VALUE!</v>
      </c>
      <c r="AJ1328" s="1064">
        <f t="shared" si="101"/>
        <v>0</v>
      </c>
      <c r="AK1328" s="1064">
        <f t="shared" si="102"/>
        <v>0</v>
      </c>
      <c r="AL1328" s="1064">
        <f t="shared" si="103"/>
        <v>0</v>
      </c>
      <c r="AM1328" s="1064">
        <f t="shared" si="104"/>
        <v>0</v>
      </c>
      <c r="AN1328" s="1064"/>
      <c r="AO1328" s="1064">
        <f>TB_curr[[#This Row],[Closing balance]]+TB_curr[[#This Row],[Rounding]]</f>
        <v>0</v>
      </c>
    </row>
    <row r="1329" spans="30:41" x14ac:dyDescent="0.25">
      <c r="AD1329" s="1067" t="str">
        <f t="shared" si="100"/>
        <v/>
      </c>
      <c r="AE1329" s="1063" t="str">
        <f>IF(ISNA(VLOOKUP(TB_curr[[#This Row],[Synt]],GL[[#Headers],[#Data],[subtotal label]],1,FALSE)),0,(VLOOKUP(TB_curr[[#This Row],[Synt]],GL[[#Headers],[#Data],[subtotal label]],1,FALSE)))</f>
        <v/>
      </c>
      <c r="AF1329" s="1063" t="e">
        <f>IF((TB_curr[[#This Row],[Synt]]-TB_curr[[#This Row],[Subtotal Y/N]])=0,0,VLOOKUP(TB_curr[[#This Row],[Synt]],GL[[Account]:[Line]],3,FALSE))</f>
        <v>#VALUE!</v>
      </c>
      <c r="AG1329" s="1063" t="e">
        <f>VLOOKUP(TB_curr[[#This Row],[Synt]],GL[[Account]:[B/P]],4,FALSE)</f>
        <v>#N/A</v>
      </c>
      <c r="AH1329" s="1066" t="e">
        <v>#VALUE!</v>
      </c>
      <c r="AI1329" s="1065" t="e">
        <f>TB_curr[[#This Row],[Synt]]&amp;TB_curr[[#This Row],[Line No. manual corr.]]</f>
        <v>#VALUE!</v>
      </c>
      <c r="AJ1329" s="1064">
        <f t="shared" si="101"/>
        <v>0</v>
      </c>
      <c r="AK1329" s="1064">
        <f t="shared" si="102"/>
        <v>0</v>
      </c>
      <c r="AL1329" s="1064">
        <f t="shared" si="103"/>
        <v>0</v>
      </c>
      <c r="AM1329" s="1064">
        <f t="shared" si="104"/>
        <v>0</v>
      </c>
      <c r="AN1329" s="1064"/>
      <c r="AO1329" s="1064">
        <f>TB_curr[[#This Row],[Closing balance]]+TB_curr[[#This Row],[Rounding]]</f>
        <v>0</v>
      </c>
    </row>
    <row r="1330" spans="30:41" x14ac:dyDescent="0.25">
      <c r="AD1330" s="1067" t="str">
        <f t="shared" si="100"/>
        <v/>
      </c>
      <c r="AE1330" s="1063" t="str">
        <f>IF(ISNA(VLOOKUP(TB_curr[[#This Row],[Synt]],GL[[#Headers],[#Data],[subtotal label]],1,FALSE)),0,(VLOOKUP(TB_curr[[#This Row],[Synt]],GL[[#Headers],[#Data],[subtotal label]],1,FALSE)))</f>
        <v/>
      </c>
      <c r="AF1330" s="1063" t="e">
        <f>IF((TB_curr[[#This Row],[Synt]]-TB_curr[[#This Row],[Subtotal Y/N]])=0,0,VLOOKUP(TB_curr[[#This Row],[Synt]],GL[[Account]:[Line]],3,FALSE))</f>
        <v>#VALUE!</v>
      </c>
      <c r="AG1330" s="1063" t="e">
        <f>VLOOKUP(TB_curr[[#This Row],[Synt]],GL[[Account]:[B/P]],4,FALSE)</f>
        <v>#N/A</v>
      </c>
      <c r="AH1330" s="1066" t="e">
        <v>#VALUE!</v>
      </c>
      <c r="AI1330" s="1065" t="e">
        <f>TB_curr[[#This Row],[Synt]]&amp;TB_curr[[#This Row],[Line No. manual corr.]]</f>
        <v>#VALUE!</v>
      </c>
      <c r="AJ1330" s="1064">
        <f t="shared" si="101"/>
        <v>0</v>
      </c>
      <c r="AK1330" s="1064">
        <f t="shared" si="102"/>
        <v>0</v>
      </c>
      <c r="AL1330" s="1064">
        <f t="shared" si="103"/>
        <v>0</v>
      </c>
      <c r="AM1330" s="1064">
        <f t="shared" si="104"/>
        <v>0</v>
      </c>
      <c r="AN1330" s="1064"/>
      <c r="AO1330" s="1064">
        <f>TB_curr[[#This Row],[Closing balance]]+TB_curr[[#This Row],[Rounding]]</f>
        <v>0</v>
      </c>
    </row>
    <row r="1331" spans="30:41" x14ac:dyDescent="0.25">
      <c r="AD1331" s="1067" t="str">
        <f t="shared" si="100"/>
        <v/>
      </c>
      <c r="AE1331" s="1063" t="str">
        <f>IF(ISNA(VLOOKUP(TB_curr[[#This Row],[Synt]],GL[[#Headers],[#Data],[subtotal label]],1,FALSE)),0,(VLOOKUP(TB_curr[[#This Row],[Synt]],GL[[#Headers],[#Data],[subtotal label]],1,FALSE)))</f>
        <v/>
      </c>
      <c r="AF1331" s="1063" t="e">
        <f>IF((TB_curr[[#This Row],[Synt]]-TB_curr[[#This Row],[Subtotal Y/N]])=0,0,VLOOKUP(TB_curr[[#This Row],[Synt]],GL[[Account]:[Line]],3,FALSE))</f>
        <v>#VALUE!</v>
      </c>
      <c r="AG1331" s="1063" t="e">
        <f>VLOOKUP(TB_curr[[#This Row],[Synt]],GL[[Account]:[B/P]],4,FALSE)</f>
        <v>#N/A</v>
      </c>
      <c r="AH1331" s="1066" t="e">
        <v>#VALUE!</v>
      </c>
      <c r="AI1331" s="1065" t="e">
        <f>TB_curr[[#This Row],[Synt]]&amp;TB_curr[[#This Row],[Line No. manual corr.]]</f>
        <v>#VALUE!</v>
      </c>
      <c r="AJ1331" s="1064">
        <f t="shared" si="101"/>
        <v>0</v>
      </c>
      <c r="AK1331" s="1064">
        <f t="shared" si="102"/>
        <v>0</v>
      </c>
      <c r="AL1331" s="1064">
        <f t="shared" si="103"/>
        <v>0</v>
      </c>
      <c r="AM1331" s="1064">
        <f t="shared" si="104"/>
        <v>0</v>
      </c>
      <c r="AN1331" s="1064"/>
      <c r="AO1331" s="1064">
        <f>TB_curr[[#This Row],[Closing balance]]+TB_curr[[#This Row],[Rounding]]</f>
        <v>0</v>
      </c>
    </row>
    <row r="1332" spans="30:41" x14ac:dyDescent="0.25">
      <c r="AD1332" s="1067" t="str">
        <f t="shared" si="100"/>
        <v/>
      </c>
      <c r="AE1332" s="1063" t="str">
        <f>IF(ISNA(VLOOKUP(TB_curr[[#This Row],[Synt]],GL[[#Headers],[#Data],[subtotal label]],1,FALSE)),0,(VLOOKUP(TB_curr[[#This Row],[Synt]],GL[[#Headers],[#Data],[subtotal label]],1,FALSE)))</f>
        <v/>
      </c>
      <c r="AF1332" s="1063" t="e">
        <f>IF((TB_curr[[#This Row],[Synt]]-TB_curr[[#This Row],[Subtotal Y/N]])=0,0,VLOOKUP(TB_curr[[#This Row],[Synt]],GL[[Account]:[Line]],3,FALSE))</f>
        <v>#VALUE!</v>
      </c>
      <c r="AG1332" s="1063" t="e">
        <f>VLOOKUP(TB_curr[[#This Row],[Synt]],GL[[Account]:[B/P]],4,FALSE)</f>
        <v>#N/A</v>
      </c>
      <c r="AH1332" s="1066" t="e">
        <v>#VALUE!</v>
      </c>
      <c r="AI1332" s="1065" t="e">
        <f>TB_curr[[#This Row],[Synt]]&amp;TB_curr[[#This Row],[Line No. manual corr.]]</f>
        <v>#VALUE!</v>
      </c>
      <c r="AJ1332" s="1064">
        <f t="shared" si="101"/>
        <v>0</v>
      </c>
      <c r="AK1332" s="1064">
        <f t="shared" si="102"/>
        <v>0</v>
      </c>
      <c r="AL1332" s="1064">
        <f t="shared" si="103"/>
        <v>0</v>
      </c>
      <c r="AM1332" s="1064">
        <f t="shared" si="104"/>
        <v>0</v>
      </c>
      <c r="AN1332" s="1064"/>
      <c r="AO1332" s="1064">
        <f>TB_curr[[#This Row],[Closing balance]]+TB_curr[[#This Row],[Rounding]]</f>
        <v>0</v>
      </c>
    </row>
    <row r="1333" spans="30:41" x14ac:dyDescent="0.25">
      <c r="AD1333" s="1067" t="str">
        <f t="shared" si="100"/>
        <v/>
      </c>
      <c r="AE1333" s="1063" t="str">
        <f>IF(ISNA(VLOOKUP(TB_curr[[#This Row],[Synt]],GL[[#Headers],[#Data],[subtotal label]],1,FALSE)),0,(VLOOKUP(TB_curr[[#This Row],[Synt]],GL[[#Headers],[#Data],[subtotal label]],1,FALSE)))</f>
        <v/>
      </c>
      <c r="AF1333" s="1063" t="e">
        <f>IF((TB_curr[[#This Row],[Synt]]-TB_curr[[#This Row],[Subtotal Y/N]])=0,0,VLOOKUP(TB_curr[[#This Row],[Synt]],GL[[Account]:[Line]],3,FALSE))</f>
        <v>#VALUE!</v>
      </c>
      <c r="AG1333" s="1063" t="e">
        <f>VLOOKUP(TB_curr[[#This Row],[Synt]],GL[[Account]:[B/P]],4,FALSE)</f>
        <v>#N/A</v>
      </c>
      <c r="AH1333" s="1066" t="e">
        <v>#VALUE!</v>
      </c>
      <c r="AI1333" s="1065" t="e">
        <f>TB_curr[[#This Row],[Synt]]&amp;TB_curr[[#This Row],[Line No. manual corr.]]</f>
        <v>#VALUE!</v>
      </c>
      <c r="AJ1333" s="1064">
        <f t="shared" si="101"/>
        <v>0</v>
      </c>
      <c r="AK1333" s="1064">
        <f t="shared" si="102"/>
        <v>0</v>
      </c>
      <c r="AL1333" s="1064">
        <f t="shared" si="103"/>
        <v>0</v>
      </c>
      <c r="AM1333" s="1064">
        <f t="shared" si="104"/>
        <v>0</v>
      </c>
      <c r="AN1333" s="1064"/>
      <c r="AO1333" s="1064">
        <f>TB_curr[[#This Row],[Closing balance]]+TB_curr[[#This Row],[Rounding]]</f>
        <v>0</v>
      </c>
    </row>
    <row r="1334" spans="30:41" x14ac:dyDescent="0.25">
      <c r="AD1334" s="1067" t="str">
        <f t="shared" si="100"/>
        <v/>
      </c>
      <c r="AE1334" s="1063" t="str">
        <f>IF(ISNA(VLOOKUP(TB_curr[[#This Row],[Synt]],GL[[#Headers],[#Data],[subtotal label]],1,FALSE)),0,(VLOOKUP(TB_curr[[#This Row],[Synt]],GL[[#Headers],[#Data],[subtotal label]],1,FALSE)))</f>
        <v/>
      </c>
      <c r="AF1334" s="1063" t="e">
        <f>IF((TB_curr[[#This Row],[Synt]]-TB_curr[[#This Row],[Subtotal Y/N]])=0,0,VLOOKUP(TB_curr[[#This Row],[Synt]],GL[[Account]:[Line]],3,FALSE))</f>
        <v>#VALUE!</v>
      </c>
      <c r="AG1334" s="1063" t="e">
        <f>VLOOKUP(TB_curr[[#This Row],[Synt]],GL[[Account]:[B/P]],4,FALSE)</f>
        <v>#N/A</v>
      </c>
      <c r="AH1334" s="1066" t="e">
        <v>#VALUE!</v>
      </c>
      <c r="AI1334" s="1065" t="e">
        <f>TB_curr[[#This Row],[Synt]]&amp;TB_curr[[#This Row],[Line No. manual corr.]]</f>
        <v>#VALUE!</v>
      </c>
      <c r="AJ1334" s="1064">
        <f t="shared" si="101"/>
        <v>0</v>
      </c>
      <c r="AK1334" s="1064">
        <f t="shared" si="102"/>
        <v>0</v>
      </c>
      <c r="AL1334" s="1064">
        <f t="shared" si="103"/>
        <v>0</v>
      </c>
      <c r="AM1334" s="1064">
        <f t="shared" si="104"/>
        <v>0</v>
      </c>
      <c r="AN1334" s="1064"/>
      <c r="AO1334" s="1064">
        <f>TB_curr[[#This Row],[Closing balance]]+TB_curr[[#This Row],[Rounding]]</f>
        <v>0</v>
      </c>
    </row>
    <row r="1335" spans="30:41" x14ac:dyDescent="0.25">
      <c r="AD1335" s="1067" t="str">
        <f t="shared" si="100"/>
        <v/>
      </c>
      <c r="AE1335" s="1063" t="str">
        <f>IF(ISNA(VLOOKUP(TB_curr[[#This Row],[Synt]],GL[[#Headers],[#Data],[subtotal label]],1,FALSE)),0,(VLOOKUP(TB_curr[[#This Row],[Synt]],GL[[#Headers],[#Data],[subtotal label]],1,FALSE)))</f>
        <v/>
      </c>
      <c r="AF1335" s="1063" t="e">
        <f>IF((TB_curr[[#This Row],[Synt]]-TB_curr[[#This Row],[Subtotal Y/N]])=0,0,VLOOKUP(TB_curr[[#This Row],[Synt]],GL[[Account]:[Line]],3,FALSE))</f>
        <v>#VALUE!</v>
      </c>
      <c r="AG1335" s="1063" t="e">
        <f>VLOOKUP(TB_curr[[#This Row],[Synt]],GL[[Account]:[B/P]],4,FALSE)</f>
        <v>#N/A</v>
      </c>
      <c r="AH1335" s="1066" t="e">
        <v>#VALUE!</v>
      </c>
      <c r="AI1335" s="1065" t="e">
        <f>TB_curr[[#This Row],[Synt]]&amp;TB_curr[[#This Row],[Line No. manual corr.]]</f>
        <v>#VALUE!</v>
      </c>
      <c r="AJ1335" s="1064">
        <f t="shared" si="101"/>
        <v>0</v>
      </c>
      <c r="AK1335" s="1064">
        <f t="shared" si="102"/>
        <v>0</v>
      </c>
      <c r="AL1335" s="1064">
        <f t="shared" si="103"/>
        <v>0</v>
      </c>
      <c r="AM1335" s="1064">
        <f t="shared" si="104"/>
        <v>0</v>
      </c>
      <c r="AN1335" s="1064"/>
      <c r="AO1335" s="1064">
        <f>TB_curr[[#This Row],[Closing balance]]+TB_curr[[#This Row],[Rounding]]</f>
        <v>0</v>
      </c>
    </row>
    <row r="1336" spans="30:41" x14ac:dyDescent="0.25">
      <c r="AD1336" s="1067" t="str">
        <f t="shared" si="100"/>
        <v/>
      </c>
      <c r="AE1336" s="1063" t="str">
        <f>IF(ISNA(VLOOKUP(TB_curr[[#This Row],[Synt]],GL[[#Headers],[#Data],[subtotal label]],1,FALSE)),0,(VLOOKUP(TB_curr[[#This Row],[Synt]],GL[[#Headers],[#Data],[subtotal label]],1,FALSE)))</f>
        <v/>
      </c>
      <c r="AF1336" s="1063" t="e">
        <f>IF((TB_curr[[#This Row],[Synt]]-TB_curr[[#This Row],[Subtotal Y/N]])=0,0,VLOOKUP(TB_curr[[#This Row],[Synt]],GL[[Account]:[Line]],3,FALSE))</f>
        <v>#VALUE!</v>
      </c>
      <c r="AG1336" s="1063" t="e">
        <f>VLOOKUP(TB_curr[[#This Row],[Synt]],GL[[Account]:[B/P]],4,FALSE)</f>
        <v>#N/A</v>
      </c>
      <c r="AH1336" s="1066" t="e">
        <v>#VALUE!</v>
      </c>
      <c r="AI1336" s="1065" t="e">
        <f>TB_curr[[#This Row],[Synt]]&amp;TB_curr[[#This Row],[Line No. manual corr.]]</f>
        <v>#VALUE!</v>
      </c>
      <c r="AJ1336" s="1064">
        <f t="shared" si="101"/>
        <v>0</v>
      </c>
      <c r="AK1336" s="1064">
        <f t="shared" si="102"/>
        <v>0</v>
      </c>
      <c r="AL1336" s="1064">
        <f t="shared" si="103"/>
        <v>0</v>
      </c>
      <c r="AM1336" s="1064">
        <f t="shared" si="104"/>
        <v>0</v>
      </c>
      <c r="AN1336" s="1064"/>
      <c r="AO1336" s="1064">
        <f>TB_curr[[#This Row],[Closing balance]]+TB_curr[[#This Row],[Rounding]]</f>
        <v>0</v>
      </c>
    </row>
    <row r="1337" spans="30:41" x14ac:dyDescent="0.25">
      <c r="AD1337" s="1067" t="str">
        <f t="shared" si="100"/>
        <v/>
      </c>
      <c r="AE1337" s="1063" t="str">
        <f>IF(ISNA(VLOOKUP(TB_curr[[#This Row],[Synt]],GL[[#Headers],[#Data],[subtotal label]],1,FALSE)),0,(VLOOKUP(TB_curr[[#This Row],[Synt]],GL[[#Headers],[#Data],[subtotal label]],1,FALSE)))</f>
        <v/>
      </c>
      <c r="AF1337" s="1063" t="e">
        <f>IF((TB_curr[[#This Row],[Synt]]-TB_curr[[#This Row],[Subtotal Y/N]])=0,0,VLOOKUP(TB_curr[[#This Row],[Synt]],GL[[Account]:[Line]],3,FALSE))</f>
        <v>#VALUE!</v>
      </c>
      <c r="AG1337" s="1063" t="e">
        <f>VLOOKUP(TB_curr[[#This Row],[Synt]],GL[[Account]:[B/P]],4,FALSE)</f>
        <v>#N/A</v>
      </c>
      <c r="AH1337" s="1066" t="e">
        <v>#VALUE!</v>
      </c>
      <c r="AI1337" s="1065" t="e">
        <f>TB_curr[[#This Row],[Synt]]&amp;TB_curr[[#This Row],[Line No. manual corr.]]</f>
        <v>#VALUE!</v>
      </c>
      <c r="AJ1337" s="1064">
        <f t="shared" si="101"/>
        <v>0</v>
      </c>
      <c r="AK1337" s="1064">
        <f t="shared" si="102"/>
        <v>0</v>
      </c>
      <c r="AL1337" s="1064">
        <f t="shared" si="103"/>
        <v>0</v>
      </c>
      <c r="AM1337" s="1064">
        <f t="shared" si="104"/>
        <v>0</v>
      </c>
      <c r="AN1337" s="1064"/>
      <c r="AO1337" s="1064">
        <f>TB_curr[[#This Row],[Closing balance]]+TB_curr[[#This Row],[Rounding]]</f>
        <v>0</v>
      </c>
    </row>
    <row r="1338" spans="30:41" x14ac:dyDescent="0.25">
      <c r="AD1338" s="1067" t="str">
        <f t="shared" si="100"/>
        <v/>
      </c>
      <c r="AE1338" s="1063" t="str">
        <f>IF(ISNA(VLOOKUP(TB_curr[[#This Row],[Synt]],GL[[#Headers],[#Data],[subtotal label]],1,FALSE)),0,(VLOOKUP(TB_curr[[#This Row],[Synt]],GL[[#Headers],[#Data],[subtotal label]],1,FALSE)))</f>
        <v/>
      </c>
      <c r="AF1338" s="1063" t="e">
        <f>IF((TB_curr[[#This Row],[Synt]]-TB_curr[[#This Row],[Subtotal Y/N]])=0,0,VLOOKUP(TB_curr[[#This Row],[Synt]],GL[[Account]:[Line]],3,FALSE))</f>
        <v>#VALUE!</v>
      </c>
      <c r="AG1338" s="1063" t="e">
        <f>VLOOKUP(TB_curr[[#This Row],[Synt]],GL[[Account]:[B/P]],4,FALSE)</f>
        <v>#N/A</v>
      </c>
      <c r="AH1338" s="1066" t="e">
        <v>#VALUE!</v>
      </c>
      <c r="AI1338" s="1065" t="e">
        <f>TB_curr[[#This Row],[Synt]]&amp;TB_curr[[#This Row],[Line No. manual corr.]]</f>
        <v>#VALUE!</v>
      </c>
      <c r="AJ1338" s="1064">
        <f t="shared" si="101"/>
        <v>0</v>
      </c>
      <c r="AK1338" s="1064">
        <f t="shared" si="102"/>
        <v>0</v>
      </c>
      <c r="AL1338" s="1064">
        <f t="shared" si="103"/>
        <v>0</v>
      </c>
      <c r="AM1338" s="1064">
        <f t="shared" si="104"/>
        <v>0</v>
      </c>
      <c r="AN1338" s="1064"/>
      <c r="AO1338" s="1064">
        <f>TB_curr[[#This Row],[Closing balance]]+TB_curr[[#This Row],[Rounding]]</f>
        <v>0</v>
      </c>
    </row>
    <row r="1339" spans="30:41" x14ac:dyDescent="0.25">
      <c r="AD1339" s="1067" t="str">
        <f t="shared" si="100"/>
        <v/>
      </c>
      <c r="AE1339" s="1063" t="str">
        <f>IF(ISNA(VLOOKUP(TB_curr[[#This Row],[Synt]],GL[[#Headers],[#Data],[subtotal label]],1,FALSE)),0,(VLOOKUP(TB_curr[[#This Row],[Synt]],GL[[#Headers],[#Data],[subtotal label]],1,FALSE)))</f>
        <v/>
      </c>
      <c r="AF1339" s="1063" t="e">
        <f>IF((TB_curr[[#This Row],[Synt]]-TB_curr[[#This Row],[Subtotal Y/N]])=0,0,VLOOKUP(TB_curr[[#This Row],[Synt]],GL[[Account]:[Line]],3,FALSE))</f>
        <v>#VALUE!</v>
      </c>
      <c r="AG1339" s="1063" t="e">
        <f>VLOOKUP(TB_curr[[#This Row],[Synt]],GL[[Account]:[B/P]],4,FALSE)</f>
        <v>#N/A</v>
      </c>
      <c r="AH1339" s="1066" t="e">
        <v>#VALUE!</v>
      </c>
      <c r="AI1339" s="1065" t="e">
        <f>TB_curr[[#This Row],[Synt]]&amp;TB_curr[[#This Row],[Line No. manual corr.]]</f>
        <v>#VALUE!</v>
      </c>
      <c r="AJ1339" s="1064">
        <f t="shared" si="101"/>
        <v>0</v>
      </c>
      <c r="AK1339" s="1064">
        <f t="shared" si="102"/>
        <v>0</v>
      </c>
      <c r="AL1339" s="1064">
        <f t="shared" si="103"/>
        <v>0</v>
      </c>
      <c r="AM1339" s="1064">
        <f t="shared" si="104"/>
        <v>0</v>
      </c>
      <c r="AN1339" s="1064"/>
      <c r="AO1339" s="1064">
        <f>TB_curr[[#This Row],[Closing balance]]+TB_curr[[#This Row],[Rounding]]</f>
        <v>0</v>
      </c>
    </row>
    <row r="1340" spans="30:41" x14ac:dyDescent="0.25">
      <c r="AD1340" s="1067" t="str">
        <f t="shared" si="100"/>
        <v/>
      </c>
      <c r="AE1340" s="1063" t="str">
        <f>IF(ISNA(VLOOKUP(TB_curr[[#This Row],[Synt]],GL[[#Headers],[#Data],[subtotal label]],1,FALSE)),0,(VLOOKUP(TB_curr[[#This Row],[Synt]],GL[[#Headers],[#Data],[subtotal label]],1,FALSE)))</f>
        <v/>
      </c>
      <c r="AF1340" s="1063" t="e">
        <f>IF((TB_curr[[#This Row],[Synt]]-TB_curr[[#This Row],[Subtotal Y/N]])=0,0,VLOOKUP(TB_curr[[#This Row],[Synt]],GL[[Account]:[Line]],3,FALSE))</f>
        <v>#VALUE!</v>
      </c>
      <c r="AG1340" s="1063" t="e">
        <f>VLOOKUP(TB_curr[[#This Row],[Synt]],GL[[Account]:[B/P]],4,FALSE)</f>
        <v>#N/A</v>
      </c>
      <c r="AH1340" s="1066" t="e">
        <v>#VALUE!</v>
      </c>
      <c r="AI1340" s="1065" t="e">
        <f>TB_curr[[#This Row],[Synt]]&amp;TB_curr[[#This Row],[Line No. manual corr.]]</f>
        <v>#VALUE!</v>
      </c>
      <c r="AJ1340" s="1064">
        <f t="shared" si="101"/>
        <v>0</v>
      </c>
      <c r="AK1340" s="1064">
        <f t="shared" si="102"/>
        <v>0</v>
      </c>
      <c r="AL1340" s="1064">
        <f t="shared" si="103"/>
        <v>0</v>
      </c>
      <c r="AM1340" s="1064">
        <f t="shared" si="104"/>
        <v>0</v>
      </c>
      <c r="AN1340" s="1064"/>
      <c r="AO1340" s="1064">
        <f>TB_curr[[#This Row],[Closing balance]]+TB_curr[[#This Row],[Rounding]]</f>
        <v>0</v>
      </c>
    </row>
    <row r="1341" spans="30:41" x14ac:dyDescent="0.25">
      <c r="AD1341" s="1067" t="str">
        <f t="shared" si="100"/>
        <v/>
      </c>
      <c r="AE1341" s="1063" t="str">
        <f>IF(ISNA(VLOOKUP(TB_curr[[#This Row],[Synt]],GL[[#Headers],[#Data],[subtotal label]],1,FALSE)),0,(VLOOKUP(TB_curr[[#This Row],[Synt]],GL[[#Headers],[#Data],[subtotal label]],1,FALSE)))</f>
        <v/>
      </c>
      <c r="AF1341" s="1063" t="e">
        <f>IF((TB_curr[[#This Row],[Synt]]-TB_curr[[#This Row],[Subtotal Y/N]])=0,0,VLOOKUP(TB_curr[[#This Row],[Synt]],GL[[Account]:[Line]],3,FALSE))</f>
        <v>#VALUE!</v>
      </c>
      <c r="AG1341" s="1063" t="e">
        <f>VLOOKUP(TB_curr[[#This Row],[Synt]],GL[[Account]:[B/P]],4,FALSE)</f>
        <v>#N/A</v>
      </c>
      <c r="AH1341" s="1066" t="e">
        <v>#VALUE!</v>
      </c>
      <c r="AI1341" s="1065" t="e">
        <f>TB_curr[[#This Row],[Synt]]&amp;TB_curr[[#This Row],[Line No. manual corr.]]</f>
        <v>#VALUE!</v>
      </c>
      <c r="AJ1341" s="1064">
        <f t="shared" si="101"/>
        <v>0</v>
      </c>
      <c r="AK1341" s="1064">
        <f t="shared" si="102"/>
        <v>0</v>
      </c>
      <c r="AL1341" s="1064">
        <f t="shared" si="103"/>
        <v>0</v>
      </c>
      <c r="AM1341" s="1064">
        <f t="shared" si="104"/>
        <v>0</v>
      </c>
      <c r="AN1341" s="1064"/>
      <c r="AO1341" s="1064">
        <f>TB_curr[[#This Row],[Closing balance]]+TB_curr[[#This Row],[Rounding]]</f>
        <v>0</v>
      </c>
    </row>
    <row r="1342" spans="30:41" x14ac:dyDescent="0.25">
      <c r="AD1342" s="1067" t="str">
        <f t="shared" si="100"/>
        <v/>
      </c>
      <c r="AE1342" s="1063" t="str">
        <f>IF(ISNA(VLOOKUP(TB_curr[[#This Row],[Synt]],GL[[#Headers],[#Data],[subtotal label]],1,FALSE)),0,(VLOOKUP(TB_curr[[#This Row],[Synt]],GL[[#Headers],[#Data],[subtotal label]],1,FALSE)))</f>
        <v/>
      </c>
      <c r="AF1342" s="1063" t="e">
        <f>IF((TB_curr[[#This Row],[Synt]]-TB_curr[[#This Row],[Subtotal Y/N]])=0,0,VLOOKUP(TB_curr[[#This Row],[Synt]],GL[[Account]:[Line]],3,FALSE))</f>
        <v>#VALUE!</v>
      </c>
      <c r="AG1342" s="1063" t="e">
        <f>VLOOKUP(TB_curr[[#This Row],[Synt]],GL[[Account]:[B/P]],4,FALSE)</f>
        <v>#N/A</v>
      </c>
      <c r="AH1342" s="1066" t="e">
        <v>#VALUE!</v>
      </c>
      <c r="AI1342" s="1065" t="e">
        <f>TB_curr[[#This Row],[Synt]]&amp;TB_curr[[#This Row],[Line No. manual corr.]]</f>
        <v>#VALUE!</v>
      </c>
      <c r="AJ1342" s="1064">
        <f t="shared" si="101"/>
        <v>0</v>
      </c>
      <c r="AK1342" s="1064">
        <f t="shared" si="102"/>
        <v>0</v>
      </c>
      <c r="AL1342" s="1064">
        <f t="shared" si="103"/>
        <v>0</v>
      </c>
      <c r="AM1342" s="1064">
        <f t="shared" si="104"/>
        <v>0</v>
      </c>
      <c r="AN1342" s="1064"/>
      <c r="AO1342" s="1064">
        <f>TB_curr[[#This Row],[Closing balance]]+TB_curr[[#This Row],[Rounding]]</f>
        <v>0</v>
      </c>
    </row>
    <row r="1343" spans="30:41" x14ac:dyDescent="0.25">
      <c r="AD1343" s="1067" t="str">
        <f t="shared" si="100"/>
        <v/>
      </c>
      <c r="AE1343" s="1063" t="str">
        <f>IF(ISNA(VLOOKUP(TB_curr[[#This Row],[Synt]],GL[[#Headers],[#Data],[subtotal label]],1,FALSE)),0,(VLOOKUP(TB_curr[[#This Row],[Synt]],GL[[#Headers],[#Data],[subtotal label]],1,FALSE)))</f>
        <v/>
      </c>
      <c r="AF1343" s="1063" t="e">
        <f>IF((TB_curr[[#This Row],[Synt]]-TB_curr[[#This Row],[Subtotal Y/N]])=0,0,VLOOKUP(TB_curr[[#This Row],[Synt]],GL[[Account]:[Line]],3,FALSE))</f>
        <v>#VALUE!</v>
      </c>
      <c r="AG1343" s="1063" t="e">
        <f>VLOOKUP(TB_curr[[#This Row],[Synt]],GL[[Account]:[B/P]],4,FALSE)</f>
        <v>#N/A</v>
      </c>
      <c r="AH1343" s="1066" t="e">
        <v>#VALUE!</v>
      </c>
      <c r="AI1343" s="1065" t="e">
        <f>TB_curr[[#This Row],[Synt]]&amp;TB_curr[[#This Row],[Line No. manual corr.]]</f>
        <v>#VALUE!</v>
      </c>
      <c r="AJ1343" s="1064">
        <f t="shared" si="101"/>
        <v>0</v>
      </c>
      <c r="AK1343" s="1064">
        <f t="shared" si="102"/>
        <v>0</v>
      </c>
      <c r="AL1343" s="1064">
        <f t="shared" si="103"/>
        <v>0</v>
      </c>
      <c r="AM1343" s="1064">
        <f t="shared" si="104"/>
        <v>0</v>
      </c>
      <c r="AN1343" s="1064"/>
      <c r="AO1343" s="1064">
        <f>TB_curr[[#This Row],[Closing balance]]+TB_curr[[#This Row],[Rounding]]</f>
        <v>0</v>
      </c>
    </row>
    <row r="1344" spans="30:41" x14ac:dyDescent="0.25">
      <c r="AD1344" s="1067" t="str">
        <f t="shared" si="100"/>
        <v/>
      </c>
      <c r="AE1344" s="1063" t="str">
        <f>IF(ISNA(VLOOKUP(TB_curr[[#This Row],[Synt]],GL[[#Headers],[#Data],[subtotal label]],1,FALSE)),0,(VLOOKUP(TB_curr[[#This Row],[Synt]],GL[[#Headers],[#Data],[subtotal label]],1,FALSE)))</f>
        <v/>
      </c>
      <c r="AF1344" s="1063" t="e">
        <f>IF((TB_curr[[#This Row],[Synt]]-TB_curr[[#This Row],[Subtotal Y/N]])=0,0,VLOOKUP(TB_curr[[#This Row],[Synt]],GL[[Account]:[Line]],3,FALSE))</f>
        <v>#VALUE!</v>
      </c>
      <c r="AG1344" s="1063" t="e">
        <f>VLOOKUP(TB_curr[[#This Row],[Synt]],GL[[Account]:[B/P]],4,FALSE)</f>
        <v>#N/A</v>
      </c>
      <c r="AH1344" s="1066" t="e">
        <v>#VALUE!</v>
      </c>
      <c r="AI1344" s="1065" t="e">
        <f>TB_curr[[#This Row],[Synt]]&amp;TB_curr[[#This Row],[Line No. manual corr.]]</f>
        <v>#VALUE!</v>
      </c>
      <c r="AJ1344" s="1064">
        <f t="shared" si="101"/>
        <v>0</v>
      </c>
      <c r="AK1344" s="1064">
        <f t="shared" si="102"/>
        <v>0</v>
      </c>
      <c r="AL1344" s="1064">
        <f t="shared" si="103"/>
        <v>0</v>
      </c>
      <c r="AM1344" s="1064">
        <f t="shared" si="104"/>
        <v>0</v>
      </c>
      <c r="AN1344" s="1064"/>
      <c r="AO1344" s="1064">
        <f>TB_curr[[#This Row],[Closing balance]]+TB_curr[[#This Row],[Rounding]]</f>
        <v>0</v>
      </c>
    </row>
    <row r="1345" spans="30:41" x14ac:dyDescent="0.25">
      <c r="AD1345" s="1067" t="str">
        <f t="shared" si="100"/>
        <v/>
      </c>
      <c r="AE1345" s="1063" t="str">
        <f>IF(ISNA(VLOOKUP(TB_curr[[#This Row],[Synt]],GL[[#Headers],[#Data],[subtotal label]],1,FALSE)),0,(VLOOKUP(TB_curr[[#This Row],[Synt]],GL[[#Headers],[#Data],[subtotal label]],1,FALSE)))</f>
        <v/>
      </c>
      <c r="AF1345" s="1063" t="e">
        <f>IF((TB_curr[[#This Row],[Synt]]-TB_curr[[#This Row],[Subtotal Y/N]])=0,0,VLOOKUP(TB_curr[[#This Row],[Synt]],GL[[Account]:[Line]],3,FALSE))</f>
        <v>#VALUE!</v>
      </c>
      <c r="AG1345" s="1063" t="e">
        <f>VLOOKUP(TB_curr[[#This Row],[Synt]],GL[[Account]:[B/P]],4,FALSE)</f>
        <v>#N/A</v>
      </c>
      <c r="AH1345" s="1066" t="e">
        <v>#VALUE!</v>
      </c>
      <c r="AI1345" s="1065" t="e">
        <f>TB_curr[[#This Row],[Synt]]&amp;TB_curr[[#This Row],[Line No. manual corr.]]</f>
        <v>#VALUE!</v>
      </c>
      <c r="AJ1345" s="1064">
        <f t="shared" si="101"/>
        <v>0</v>
      </c>
      <c r="AK1345" s="1064">
        <f t="shared" si="102"/>
        <v>0</v>
      </c>
      <c r="AL1345" s="1064">
        <f t="shared" si="103"/>
        <v>0</v>
      </c>
      <c r="AM1345" s="1064">
        <f t="shared" si="104"/>
        <v>0</v>
      </c>
      <c r="AN1345" s="1064"/>
      <c r="AO1345" s="1064">
        <f>TB_curr[[#This Row],[Closing balance]]+TB_curr[[#This Row],[Rounding]]</f>
        <v>0</v>
      </c>
    </row>
    <row r="1346" spans="30:41" x14ac:dyDescent="0.25">
      <c r="AD1346" s="1067" t="str">
        <f t="shared" si="100"/>
        <v/>
      </c>
      <c r="AE1346" s="1063" t="str">
        <f>IF(ISNA(VLOOKUP(TB_curr[[#This Row],[Synt]],GL[[#Headers],[#Data],[subtotal label]],1,FALSE)),0,(VLOOKUP(TB_curr[[#This Row],[Synt]],GL[[#Headers],[#Data],[subtotal label]],1,FALSE)))</f>
        <v/>
      </c>
      <c r="AF1346" s="1063" t="e">
        <f>IF((TB_curr[[#This Row],[Synt]]-TB_curr[[#This Row],[Subtotal Y/N]])=0,0,VLOOKUP(TB_curr[[#This Row],[Synt]],GL[[Account]:[Line]],3,FALSE))</f>
        <v>#VALUE!</v>
      </c>
      <c r="AG1346" s="1063" t="e">
        <f>VLOOKUP(TB_curr[[#This Row],[Synt]],GL[[Account]:[B/P]],4,FALSE)</f>
        <v>#N/A</v>
      </c>
      <c r="AH1346" s="1066" t="e">
        <v>#VALUE!</v>
      </c>
      <c r="AI1346" s="1065" t="e">
        <f>TB_curr[[#This Row],[Synt]]&amp;TB_curr[[#This Row],[Line No. manual corr.]]</f>
        <v>#VALUE!</v>
      </c>
      <c r="AJ1346" s="1064">
        <f t="shared" si="101"/>
        <v>0</v>
      </c>
      <c r="AK1346" s="1064">
        <f t="shared" si="102"/>
        <v>0</v>
      </c>
      <c r="AL1346" s="1064">
        <f t="shared" si="103"/>
        <v>0</v>
      </c>
      <c r="AM1346" s="1064">
        <f t="shared" si="104"/>
        <v>0</v>
      </c>
      <c r="AN1346" s="1064"/>
      <c r="AO1346" s="1064">
        <f>TB_curr[[#This Row],[Closing balance]]+TB_curr[[#This Row],[Rounding]]</f>
        <v>0</v>
      </c>
    </row>
    <row r="1347" spans="30:41" x14ac:dyDescent="0.25">
      <c r="AD1347" s="1067" t="str">
        <f t="shared" si="100"/>
        <v/>
      </c>
      <c r="AE1347" s="1063" t="str">
        <f>IF(ISNA(VLOOKUP(TB_curr[[#This Row],[Synt]],GL[[#Headers],[#Data],[subtotal label]],1,FALSE)),0,(VLOOKUP(TB_curr[[#This Row],[Synt]],GL[[#Headers],[#Data],[subtotal label]],1,FALSE)))</f>
        <v/>
      </c>
      <c r="AF1347" s="1063" t="e">
        <f>IF((TB_curr[[#This Row],[Synt]]-TB_curr[[#This Row],[Subtotal Y/N]])=0,0,VLOOKUP(TB_curr[[#This Row],[Synt]],GL[[Account]:[Line]],3,FALSE))</f>
        <v>#VALUE!</v>
      </c>
      <c r="AG1347" s="1063" t="e">
        <f>VLOOKUP(TB_curr[[#This Row],[Synt]],GL[[Account]:[B/P]],4,FALSE)</f>
        <v>#N/A</v>
      </c>
      <c r="AH1347" s="1066" t="e">
        <v>#VALUE!</v>
      </c>
      <c r="AI1347" s="1065" t="e">
        <f>TB_curr[[#This Row],[Synt]]&amp;TB_curr[[#This Row],[Line No. manual corr.]]</f>
        <v>#VALUE!</v>
      </c>
      <c r="AJ1347" s="1064">
        <f t="shared" si="101"/>
        <v>0</v>
      </c>
      <c r="AK1347" s="1064">
        <f t="shared" si="102"/>
        <v>0</v>
      </c>
      <c r="AL1347" s="1064">
        <f t="shared" si="103"/>
        <v>0</v>
      </c>
      <c r="AM1347" s="1064">
        <f t="shared" si="104"/>
        <v>0</v>
      </c>
      <c r="AN1347" s="1064"/>
      <c r="AO1347" s="1064">
        <f>TB_curr[[#This Row],[Closing balance]]+TB_curr[[#This Row],[Rounding]]</f>
        <v>0</v>
      </c>
    </row>
    <row r="1348" spans="30:41" x14ac:dyDescent="0.25">
      <c r="AD1348" s="1067" t="str">
        <f t="shared" si="100"/>
        <v/>
      </c>
      <c r="AE1348" s="1063" t="str">
        <f>IF(ISNA(VLOOKUP(TB_curr[[#This Row],[Synt]],GL[[#Headers],[#Data],[subtotal label]],1,FALSE)),0,(VLOOKUP(TB_curr[[#This Row],[Synt]],GL[[#Headers],[#Data],[subtotal label]],1,FALSE)))</f>
        <v/>
      </c>
      <c r="AF1348" s="1063" t="e">
        <f>IF((TB_curr[[#This Row],[Synt]]-TB_curr[[#This Row],[Subtotal Y/N]])=0,0,VLOOKUP(TB_curr[[#This Row],[Synt]],GL[[Account]:[Line]],3,FALSE))</f>
        <v>#VALUE!</v>
      </c>
      <c r="AG1348" s="1063" t="e">
        <f>VLOOKUP(TB_curr[[#This Row],[Synt]],GL[[Account]:[B/P]],4,FALSE)</f>
        <v>#N/A</v>
      </c>
      <c r="AH1348" s="1066" t="e">
        <v>#VALUE!</v>
      </c>
      <c r="AI1348" s="1065" t="e">
        <f>TB_curr[[#This Row],[Synt]]&amp;TB_curr[[#This Row],[Line No. manual corr.]]</f>
        <v>#VALUE!</v>
      </c>
      <c r="AJ1348" s="1064">
        <f t="shared" si="101"/>
        <v>0</v>
      </c>
      <c r="AK1348" s="1064">
        <f t="shared" si="102"/>
        <v>0</v>
      </c>
      <c r="AL1348" s="1064">
        <f t="shared" si="103"/>
        <v>0</v>
      </c>
      <c r="AM1348" s="1064">
        <f t="shared" si="104"/>
        <v>0</v>
      </c>
      <c r="AN1348" s="1064"/>
      <c r="AO1348" s="1064">
        <f>TB_curr[[#This Row],[Closing balance]]+TB_curr[[#This Row],[Rounding]]</f>
        <v>0</v>
      </c>
    </row>
    <row r="1349" spans="30:41" x14ac:dyDescent="0.25">
      <c r="AD1349" s="1067" t="str">
        <f t="shared" si="100"/>
        <v/>
      </c>
      <c r="AE1349" s="1063" t="str">
        <f>IF(ISNA(VLOOKUP(TB_curr[[#This Row],[Synt]],GL[[#Headers],[#Data],[subtotal label]],1,FALSE)),0,(VLOOKUP(TB_curr[[#This Row],[Synt]],GL[[#Headers],[#Data],[subtotal label]],1,FALSE)))</f>
        <v/>
      </c>
      <c r="AF1349" s="1063" t="e">
        <f>IF((TB_curr[[#This Row],[Synt]]-TB_curr[[#This Row],[Subtotal Y/N]])=0,0,VLOOKUP(TB_curr[[#This Row],[Synt]],GL[[Account]:[Line]],3,FALSE))</f>
        <v>#VALUE!</v>
      </c>
      <c r="AG1349" s="1063" t="e">
        <f>VLOOKUP(TB_curr[[#This Row],[Synt]],GL[[Account]:[B/P]],4,FALSE)</f>
        <v>#N/A</v>
      </c>
      <c r="AH1349" s="1066" t="e">
        <v>#VALUE!</v>
      </c>
      <c r="AI1349" s="1065" t="e">
        <f>TB_curr[[#This Row],[Synt]]&amp;TB_curr[[#This Row],[Line No. manual corr.]]</f>
        <v>#VALUE!</v>
      </c>
      <c r="AJ1349" s="1064">
        <f t="shared" si="101"/>
        <v>0</v>
      </c>
      <c r="AK1349" s="1064">
        <f t="shared" si="102"/>
        <v>0</v>
      </c>
      <c r="AL1349" s="1064">
        <f t="shared" si="103"/>
        <v>0</v>
      </c>
      <c r="AM1349" s="1064">
        <f t="shared" si="104"/>
        <v>0</v>
      </c>
      <c r="AN1349" s="1064"/>
      <c r="AO1349" s="1064">
        <f>TB_curr[[#This Row],[Closing balance]]+TB_curr[[#This Row],[Rounding]]</f>
        <v>0</v>
      </c>
    </row>
    <row r="1350" spans="30:41" x14ac:dyDescent="0.25">
      <c r="AD1350" s="1067" t="str">
        <f t="shared" si="100"/>
        <v/>
      </c>
      <c r="AE1350" s="1063" t="str">
        <f>IF(ISNA(VLOOKUP(TB_curr[[#This Row],[Synt]],GL[[#Headers],[#Data],[subtotal label]],1,FALSE)),0,(VLOOKUP(TB_curr[[#This Row],[Synt]],GL[[#Headers],[#Data],[subtotal label]],1,FALSE)))</f>
        <v/>
      </c>
      <c r="AF1350" s="1063" t="e">
        <f>IF((TB_curr[[#This Row],[Synt]]-TB_curr[[#This Row],[Subtotal Y/N]])=0,0,VLOOKUP(TB_curr[[#This Row],[Synt]],GL[[Account]:[Line]],3,FALSE))</f>
        <v>#VALUE!</v>
      </c>
      <c r="AG1350" s="1063" t="e">
        <f>VLOOKUP(TB_curr[[#This Row],[Synt]],GL[[Account]:[B/P]],4,FALSE)</f>
        <v>#N/A</v>
      </c>
      <c r="AH1350" s="1066" t="e">
        <v>#VALUE!</v>
      </c>
      <c r="AI1350" s="1065" t="e">
        <f>TB_curr[[#This Row],[Synt]]&amp;TB_curr[[#This Row],[Line No. manual corr.]]</f>
        <v>#VALUE!</v>
      </c>
      <c r="AJ1350" s="1064">
        <f t="shared" si="101"/>
        <v>0</v>
      </c>
      <c r="AK1350" s="1064">
        <f t="shared" si="102"/>
        <v>0</v>
      </c>
      <c r="AL1350" s="1064">
        <f t="shared" si="103"/>
        <v>0</v>
      </c>
      <c r="AM1350" s="1064">
        <f t="shared" si="104"/>
        <v>0</v>
      </c>
      <c r="AN1350" s="1064"/>
      <c r="AO1350" s="1064">
        <f>TB_curr[[#This Row],[Closing balance]]+TB_curr[[#This Row],[Rounding]]</f>
        <v>0</v>
      </c>
    </row>
    <row r="1351" spans="30:41" x14ac:dyDescent="0.25">
      <c r="AD1351" s="1067" t="str">
        <f t="shared" si="100"/>
        <v/>
      </c>
      <c r="AE1351" s="1063" t="str">
        <f>IF(ISNA(VLOOKUP(TB_curr[[#This Row],[Synt]],GL[[#Headers],[#Data],[subtotal label]],1,FALSE)),0,(VLOOKUP(TB_curr[[#This Row],[Synt]],GL[[#Headers],[#Data],[subtotal label]],1,FALSE)))</f>
        <v/>
      </c>
      <c r="AF1351" s="1063" t="e">
        <f>IF((TB_curr[[#This Row],[Synt]]-TB_curr[[#This Row],[Subtotal Y/N]])=0,0,VLOOKUP(TB_curr[[#This Row],[Synt]],GL[[Account]:[Line]],3,FALSE))</f>
        <v>#VALUE!</v>
      </c>
      <c r="AG1351" s="1063" t="e">
        <f>VLOOKUP(TB_curr[[#This Row],[Synt]],GL[[Account]:[B/P]],4,FALSE)</f>
        <v>#N/A</v>
      </c>
      <c r="AH1351" s="1066" t="e">
        <v>#VALUE!</v>
      </c>
      <c r="AI1351" s="1065" t="e">
        <f>TB_curr[[#This Row],[Synt]]&amp;TB_curr[[#This Row],[Line No. manual corr.]]</f>
        <v>#VALUE!</v>
      </c>
      <c r="AJ1351" s="1064">
        <f t="shared" si="101"/>
        <v>0</v>
      </c>
      <c r="AK1351" s="1064">
        <f t="shared" si="102"/>
        <v>0</v>
      </c>
      <c r="AL1351" s="1064">
        <f t="shared" si="103"/>
        <v>0</v>
      </c>
      <c r="AM1351" s="1064">
        <f t="shared" si="104"/>
        <v>0</v>
      </c>
      <c r="AN1351" s="1064"/>
      <c r="AO1351" s="1064">
        <f>TB_curr[[#This Row],[Closing balance]]+TB_curr[[#This Row],[Rounding]]</f>
        <v>0</v>
      </c>
    </row>
    <row r="1352" spans="30:41" x14ac:dyDescent="0.25">
      <c r="AD1352" s="1067" t="str">
        <f t="shared" ref="AD1352:AD1415" si="105">LEFT(B1352,3)</f>
        <v/>
      </c>
      <c r="AE1352" s="1063" t="str">
        <f>IF(ISNA(VLOOKUP(TB_curr[[#This Row],[Synt]],GL[[#Headers],[#Data],[subtotal label]],1,FALSE)),0,(VLOOKUP(TB_curr[[#This Row],[Synt]],GL[[#Headers],[#Data],[subtotal label]],1,FALSE)))</f>
        <v/>
      </c>
      <c r="AF1352" s="1063" t="e">
        <f>IF((TB_curr[[#This Row],[Synt]]-TB_curr[[#This Row],[Subtotal Y/N]])=0,0,VLOOKUP(TB_curr[[#This Row],[Synt]],GL[[Account]:[Line]],3,FALSE))</f>
        <v>#VALUE!</v>
      </c>
      <c r="AG1352" s="1063" t="e">
        <f>VLOOKUP(TB_curr[[#This Row],[Synt]],GL[[Account]:[B/P]],4,FALSE)</f>
        <v>#N/A</v>
      </c>
      <c r="AH1352" s="1066" t="e">
        <v>#VALUE!</v>
      </c>
      <c r="AI1352" s="1065" t="e">
        <f>TB_curr[[#This Row],[Synt]]&amp;TB_curr[[#This Row],[Line No. manual corr.]]</f>
        <v>#VALUE!</v>
      </c>
      <c r="AJ1352" s="1064">
        <f t="shared" ref="AJ1352:AJ1415" si="106">K1352-N1352</f>
        <v>0</v>
      </c>
      <c r="AK1352" s="1064">
        <f t="shared" ref="AK1352:AK1415" si="107">Q1352</f>
        <v>0</v>
      </c>
      <c r="AL1352" s="1064">
        <f t="shared" ref="AL1352:AL1415" si="108">U1352</f>
        <v>0</v>
      </c>
      <c r="AM1352" s="1064">
        <f t="shared" ref="AM1352:AM1415" si="109">X1352-AB1352</f>
        <v>0</v>
      </c>
      <c r="AN1352" s="1064"/>
      <c r="AO1352" s="1064">
        <f>TB_curr[[#This Row],[Closing balance]]+TB_curr[[#This Row],[Rounding]]</f>
        <v>0</v>
      </c>
    </row>
    <row r="1353" spans="30:41" x14ac:dyDescent="0.25">
      <c r="AD1353" s="1067" t="str">
        <f t="shared" si="105"/>
        <v/>
      </c>
      <c r="AE1353" s="1063" t="str">
        <f>IF(ISNA(VLOOKUP(TB_curr[[#This Row],[Synt]],GL[[#Headers],[#Data],[subtotal label]],1,FALSE)),0,(VLOOKUP(TB_curr[[#This Row],[Synt]],GL[[#Headers],[#Data],[subtotal label]],1,FALSE)))</f>
        <v/>
      </c>
      <c r="AF1353" s="1063" t="e">
        <f>IF((TB_curr[[#This Row],[Synt]]-TB_curr[[#This Row],[Subtotal Y/N]])=0,0,VLOOKUP(TB_curr[[#This Row],[Synt]],GL[[Account]:[Line]],3,FALSE))</f>
        <v>#VALUE!</v>
      </c>
      <c r="AG1353" s="1063" t="e">
        <f>VLOOKUP(TB_curr[[#This Row],[Synt]],GL[[Account]:[B/P]],4,FALSE)</f>
        <v>#N/A</v>
      </c>
      <c r="AH1353" s="1066" t="e">
        <v>#VALUE!</v>
      </c>
      <c r="AI1353" s="1065" t="e">
        <f>TB_curr[[#This Row],[Synt]]&amp;TB_curr[[#This Row],[Line No. manual corr.]]</f>
        <v>#VALUE!</v>
      </c>
      <c r="AJ1353" s="1064">
        <f t="shared" si="106"/>
        <v>0</v>
      </c>
      <c r="AK1353" s="1064">
        <f t="shared" si="107"/>
        <v>0</v>
      </c>
      <c r="AL1353" s="1064">
        <f t="shared" si="108"/>
        <v>0</v>
      </c>
      <c r="AM1353" s="1064">
        <f t="shared" si="109"/>
        <v>0</v>
      </c>
      <c r="AN1353" s="1064"/>
      <c r="AO1353" s="1064">
        <f>TB_curr[[#This Row],[Closing balance]]+TB_curr[[#This Row],[Rounding]]</f>
        <v>0</v>
      </c>
    </row>
    <row r="1354" spans="30:41" x14ac:dyDescent="0.25">
      <c r="AD1354" s="1067" t="str">
        <f t="shared" si="105"/>
        <v/>
      </c>
      <c r="AE1354" s="1063" t="str">
        <f>IF(ISNA(VLOOKUP(TB_curr[[#This Row],[Synt]],GL[[#Headers],[#Data],[subtotal label]],1,FALSE)),0,(VLOOKUP(TB_curr[[#This Row],[Synt]],GL[[#Headers],[#Data],[subtotal label]],1,FALSE)))</f>
        <v/>
      </c>
      <c r="AF1354" s="1063" t="e">
        <f>IF((TB_curr[[#This Row],[Synt]]-TB_curr[[#This Row],[Subtotal Y/N]])=0,0,VLOOKUP(TB_curr[[#This Row],[Synt]],GL[[Account]:[Line]],3,FALSE))</f>
        <v>#VALUE!</v>
      </c>
      <c r="AG1354" s="1063" t="e">
        <f>VLOOKUP(TB_curr[[#This Row],[Synt]],GL[[Account]:[B/P]],4,FALSE)</f>
        <v>#N/A</v>
      </c>
      <c r="AH1354" s="1066" t="e">
        <v>#VALUE!</v>
      </c>
      <c r="AI1354" s="1065" t="e">
        <f>TB_curr[[#This Row],[Synt]]&amp;TB_curr[[#This Row],[Line No. manual corr.]]</f>
        <v>#VALUE!</v>
      </c>
      <c r="AJ1354" s="1064">
        <f t="shared" si="106"/>
        <v>0</v>
      </c>
      <c r="AK1354" s="1064">
        <f t="shared" si="107"/>
        <v>0</v>
      </c>
      <c r="AL1354" s="1064">
        <f t="shared" si="108"/>
        <v>0</v>
      </c>
      <c r="AM1354" s="1064">
        <f t="shared" si="109"/>
        <v>0</v>
      </c>
      <c r="AN1354" s="1064"/>
      <c r="AO1354" s="1064">
        <f>TB_curr[[#This Row],[Closing balance]]+TB_curr[[#This Row],[Rounding]]</f>
        <v>0</v>
      </c>
    </row>
    <row r="1355" spans="30:41" x14ac:dyDescent="0.25">
      <c r="AD1355" s="1067" t="str">
        <f t="shared" si="105"/>
        <v/>
      </c>
      <c r="AE1355" s="1063" t="str">
        <f>IF(ISNA(VLOOKUP(TB_curr[[#This Row],[Synt]],GL[[#Headers],[#Data],[subtotal label]],1,FALSE)),0,(VLOOKUP(TB_curr[[#This Row],[Synt]],GL[[#Headers],[#Data],[subtotal label]],1,FALSE)))</f>
        <v/>
      </c>
      <c r="AF1355" s="1063" t="e">
        <f>IF((TB_curr[[#This Row],[Synt]]-TB_curr[[#This Row],[Subtotal Y/N]])=0,0,VLOOKUP(TB_curr[[#This Row],[Synt]],GL[[Account]:[Line]],3,FALSE))</f>
        <v>#VALUE!</v>
      </c>
      <c r="AG1355" s="1063" t="e">
        <f>VLOOKUP(TB_curr[[#This Row],[Synt]],GL[[Account]:[B/P]],4,FALSE)</f>
        <v>#N/A</v>
      </c>
      <c r="AH1355" s="1066" t="e">
        <v>#VALUE!</v>
      </c>
      <c r="AI1355" s="1065" t="e">
        <f>TB_curr[[#This Row],[Synt]]&amp;TB_curr[[#This Row],[Line No. manual corr.]]</f>
        <v>#VALUE!</v>
      </c>
      <c r="AJ1355" s="1064">
        <f t="shared" si="106"/>
        <v>0</v>
      </c>
      <c r="AK1355" s="1064">
        <f t="shared" si="107"/>
        <v>0</v>
      </c>
      <c r="AL1355" s="1064">
        <f t="shared" si="108"/>
        <v>0</v>
      </c>
      <c r="AM1355" s="1064">
        <f t="shared" si="109"/>
        <v>0</v>
      </c>
      <c r="AN1355" s="1064"/>
      <c r="AO1355" s="1064">
        <f>TB_curr[[#This Row],[Closing balance]]+TB_curr[[#This Row],[Rounding]]</f>
        <v>0</v>
      </c>
    </row>
    <row r="1356" spans="30:41" x14ac:dyDescent="0.25">
      <c r="AD1356" s="1067" t="str">
        <f t="shared" si="105"/>
        <v/>
      </c>
      <c r="AE1356" s="1063" t="str">
        <f>IF(ISNA(VLOOKUP(TB_curr[[#This Row],[Synt]],GL[[#Headers],[#Data],[subtotal label]],1,FALSE)),0,(VLOOKUP(TB_curr[[#This Row],[Synt]],GL[[#Headers],[#Data],[subtotal label]],1,FALSE)))</f>
        <v/>
      </c>
      <c r="AF1356" s="1063" t="e">
        <f>IF((TB_curr[[#This Row],[Synt]]-TB_curr[[#This Row],[Subtotal Y/N]])=0,0,VLOOKUP(TB_curr[[#This Row],[Synt]],GL[[Account]:[Line]],3,FALSE))</f>
        <v>#VALUE!</v>
      </c>
      <c r="AG1356" s="1063" t="e">
        <f>VLOOKUP(TB_curr[[#This Row],[Synt]],GL[[Account]:[B/P]],4,FALSE)</f>
        <v>#N/A</v>
      </c>
      <c r="AH1356" s="1066" t="e">
        <v>#VALUE!</v>
      </c>
      <c r="AI1356" s="1065" t="e">
        <f>TB_curr[[#This Row],[Synt]]&amp;TB_curr[[#This Row],[Line No. manual corr.]]</f>
        <v>#VALUE!</v>
      </c>
      <c r="AJ1356" s="1064">
        <f t="shared" si="106"/>
        <v>0</v>
      </c>
      <c r="AK1356" s="1064">
        <f t="shared" si="107"/>
        <v>0</v>
      </c>
      <c r="AL1356" s="1064">
        <f t="shared" si="108"/>
        <v>0</v>
      </c>
      <c r="AM1356" s="1064">
        <f t="shared" si="109"/>
        <v>0</v>
      </c>
      <c r="AN1356" s="1064"/>
      <c r="AO1356" s="1064">
        <f>TB_curr[[#This Row],[Closing balance]]+TB_curr[[#This Row],[Rounding]]</f>
        <v>0</v>
      </c>
    </row>
    <row r="1357" spans="30:41" x14ac:dyDescent="0.25">
      <c r="AD1357" s="1067" t="str">
        <f t="shared" si="105"/>
        <v/>
      </c>
      <c r="AE1357" s="1063" t="str">
        <f>IF(ISNA(VLOOKUP(TB_curr[[#This Row],[Synt]],GL[[#Headers],[#Data],[subtotal label]],1,FALSE)),0,(VLOOKUP(TB_curr[[#This Row],[Synt]],GL[[#Headers],[#Data],[subtotal label]],1,FALSE)))</f>
        <v/>
      </c>
      <c r="AF1357" s="1063" t="e">
        <f>IF((TB_curr[[#This Row],[Synt]]-TB_curr[[#This Row],[Subtotal Y/N]])=0,0,VLOOKUP(TB_curr[[#This Row],[Synt]],GL[[Account]:[Line]],3,FALSE))</f>
        <v>#VALUE!</v>
      </c>
      <c r="AG1357" s="1063" t="e">
        <f>VLOOKUP(TB_curr[[#This Row],[Synt]],GL[[Account]:[B/P]],4,FALSE)</f>
        <v>#N/A</v>
      </c>
      <c r="AH1357" s="1066" t="e">
        <v>#VALUE!</v>
      </c>
      <c r="AI1357" s="1065" t="e">
        <f>TB_curr[[#This Row],[Synt]]&amp;TB_curr[[#This Row],[Line No. manual corr.]]</f>
        <v>#VALUE!</v>
      </c>
      <c r="AJ1357" s="1064">
        <f t="shared" si="106"/>
        <v>0</v>
      </c>
      <c r="AK1357" s="1064">
        <f t="shared" si="107"/>
        <v>0</v>
      </c>
      <c r="AL1357" s="1064">
        <f t="shared" si="108"/>
        <v>0</v>
      </c>
      <c r="AM1357" s="1064">
        <f t="shared" si="109"/>
        <v>0</v>
      </c>
      <c r="AN1357" s="1064"/>
      <c r="AO1357" s="1064">
        <f>TB_curr[[#This Row],[Closing balance]]+TB_curr[[#This Row],[Rounding]]</f>
        <v>0</v>
      </c>
    </row>
    <row r="1358" spans="30:41" x14ac:dyDescent="0.25">
      <c r="AD1358" s="1067" t="str">
        <f t="shared" si="105"/>
        <v/>
      </c>
      <c r="AE1358" s="1063" t="str">
        <f>IF(ISNA(VLOOKUP(TB_curr[[#This Row],[Synt]],GL[[#Headers],[#Data],[subtotal label]],1,FALSE)),0,(VLOOKUP(TB_curr[[#This Row],[Synt]],GL[[#Headers],[#Data],[subtotal label]],1,FALSE)))</f>
        <v/>
      </c>
      <c r="AF1358" s="1063" t="e">
        <f>IF((TB_curr[[#This Row],[Synt]]-TB_curr[[#This Row],[Subtotal Y/N]])=0,0,VLOOKUP(TB_curr[[#This Row],[Synt]],GL[[Account]:[Line]],3,FALSE))</f>
        <v>#VALUE!</v>
      </c>
      <c r="AG1358" s="1063" t="e">
        <f>VLOOKUP(TB_curr[[#This Row],[Synt]],GL[[Account]:[B/P]],4,FALSE)</f>
        <v>#N/A</v>
      </c>
      <c r="AH1358" s="1066" t="e">
        <v>#VALUE!</v>
      </c>
      <c r="AI1358" s="1065" t="e">
        <f>TB_curr[[#This Row],[Synt]]&amp;TB_curr[[#This Row],[Line No. manual corr.]]</f>
        <v>#VALUE!</v>
      </c>
      <c r="AJ1358" s="1064">
        <f t="shared" si="106"/>
        <v>0</v>
      </c>
      <c r="AK1358" s="1064">
        <f t="shared" si="107"/>
        <v>0</v>
      </c>
      <c r="AL1358" s="1064">
        <f t="shared" si="108"/>
        <v>0</v>
      </c>
      <c r="AM1358" s="1064">
        <f t="shared" si="109"/>
        <v>0</v>
      </c>
      <c r="AN1358" s="1064"/>
      <c r="AO1358" s="1064">
        <f>TB_curr[[#This Row],[Closing balance]]+TB_curr[[#This Row],[Rounding]]</f>
        <v>0</v>
      </c>
    </row>
    <row r="1359" spans="30:41" x14ac:dyDescent="0.25">
      <c r="AD1359" s="1067" t="str">
        <f t="shared" si="105"/>
        <v/>
      </c>
      <c r="AE1359" s="1063" t="str">
        <f>IF(ISNA(VLOOKUP(TB_curr[[#This Row],[Synt]],GL[[#Headers],[#Data],[subtotal label]],1,FALSE)),0,(VLOOKUP(TB_curr[[#This Row],[Synt]],GL[[#Headers],[#Data],[subtotal label]],1,FALSE)))</f>
        <v/>
      </c>
      <c r="AF1359" s="1063" t="e">
        <f>IF((TB_curr[[#This Row],[Synt]]-TB_curr[[#This Row],[Subtotal Y/N]])=0,0,VLOOKUP(TB_curr[[#This Row],[Synt]],GL[[Account]:[Line]],3,FALSE))</f>
        <v>#VALUE!</v>
      </c>
      <c r="AG1359" s="1063" t="e">
        <f>VLOOKUP(TB_curr[[#This Row],[Synt]],GL[[Account]:[B/P]],4,FALSE)</f>
        <v>#N/A</v>
      </c>
      <c r="AH1359" s="1066" t="e">
        <v>#VALUE!</v>
      </c>
      <c r="AI1359" s="1065" t="e">
        <f>TB_curr[[#This Row],[Synt]]&amp;TB_curr[[#This Row],[Line No. manual corr.]]</f>
        <v>#VALUE!</v>
      </c>
      <c r="AJ1359" s="1064">
        <f t="shared" si="106"/>
        <v>0</v>
      </c>
      <c r="AK1359" s="1064">
        <f t="shared" si="107"/>
        <v>0</v>
      </c>
      <c r="AL1359" s="1064">
        <f t="shared" si="108"/>
        <v>0</v>
      </c>
      <c r="AM1359" s="1064">
        <f t="shared" si="109"/>
        <v>0</v>
      </c>
      <c r="AN1359" s="1064"/>
      <c r="AO1359" s="1064">
        <f>TB_curr[[#This Row],[Closing balance]]+TB_curr[[#This Row],[Rounding]]</f>
        <v>0</v>
      </c>
    </row>
    <row r="1360" spans="30:41" x14ac:dyDescent="0.25">
      <c r="AD1360" s="1067" t="str">
        <f t="shared" si="105"/>
        <v/>
      </c>
      <c r="AE1360" s="1063" t="str">
        <f>IF(ISNA(VLOOKUP(TB_curr[[#This Row],[Synt]],GL[[#Headers],[#Data],[subtotal label]],1,FALSE)),0,(VLOOKUP(TB_curr[[#This Row],[Synt]],GL[[#Headers],[#Data],[subtotal label]],1,FALSE)))</f>
        <v/>
      </c>
      <c r="AF1360" s="1063" t="e">
        <f>IF((TB_curr[[#This Row],[Synt]]-TB_curr[[#This Row],[Subtotal Y/N]])=0,0,VLOOKUP(TB_curr[[#This Row],[Synt]],GL[[Account]:[Line]],3,FALSE))</f>
        <v>#VALUE!</v>
      </c>
      <c r="AG1360" s="1063" t="e">
        <f>VLOOKUP(TB_curr[[#This Row],[Synt]],GL[[Account]:[B/P]],4,FALSE)</f>
        <v>#N/A</v>
      </c>
      <c r="AH1360" s="1066" t="e">
        <v>#VALUE!</v>
      </c>
      <c r="AI1360" s="1065" t="e">
        <f>TB_curr[[#This Row],[Synt]]&amp;TB_curr[[#This Row],[Line No. manual corr.]]</f>
        <v>#VALUE!</v>
      </c>
      <c r="AJ1360" s="1064">
        <f t="shared" si="106"/>
        <v>0</v>
      </c>
      <c r="AK1360" s="1064">
        <f t="shared" si="107"/>
        <v>0</v>
      </c>
      <c r="AL1360" s="1064">
        <f t="shared" si="108"/>
        <v>0</v>
      </c>
      <c r="AM1360" s="1064">
        <f t="shared" si="109"/>
        <v>0</v>
      </c>
      <c r="AN1360" s="1064"/>
      <c r="AO1360" s="1064">
        <f>TB_curr[[#This Row],[Closing balance]]+TB_curr[[#This Row],[Rounding]]</f>
        <v>0</v>
      </c>
    </row>
    <row r="1361" spans="30:41" x14ac:dyDescent="0.25">
      <c r="AD1361" s="1067" t="str">
        <f t="shared" si="105"/>
        <v/>
      </c>
      <c r="AE1361" s="1063" t="str">
        <f>IF(ISNA(VLOOKUP(TB_curr[[#This Row],[Synt]],GL[[#Headers],[#Data],[subtotal label]],1,FALSE)),0,(VLOOKUP(TB_curr[[#This Row],[Synt]],GL[[#Headers],[#Data],[subtotal label]],1,FALSE)))</f>
        <v/>
      </c>
      <c r="AF1361" s="1063" t="e">
        <f>IF((TB_curr[[#This Row],[Synt]]-TB_curr[[#This Row],[Subtotal Y/N]])=0,0,VLOOKUP(TB_curr[[#This Row],[Synt]],GL[[Account]:[Line]],3,FALSE))</f>
        <v>#VALUE!</v>
      </c>
      <c r="AG1361" s="1063" t="e">
        <f>VLOOKUP(TB_curr[[#This Row],[Synt]],GL[[Account]:[B/P]],4,FALSE)</f>
        <v>#N/A</v>
      </c>
      <c r="AH1361" s="1066" t="e">
        <v>#VALUE!</v>
      </c>
      <c r="AI1361" s="1065" t="e">
        <f>TB_curr[[#This Row],[Synt]]&amp;TB_curr[[#This Row],[Line No. manual corr.]]</f>
        <v>#VALUE!</v>
      </c>
      <c r="AJ1361" s="1064">
        <f t="shared" si="106"/>
        <v>0</v>
      </c>
      <c r="AK1361" s="1064">
        <f t="shared" si="107"/>
        <v>0</v>
      </c>
      <c r="AL1361" s="1064">
        <f t="shared" si="108"/>
        <v>0</v>
      </c>
      <c r="AM1361" s="1064">
        <f t="shared" si="109"/>
        <v>0</v>
      </c>
      <c r="AN1361" s="1064"/>
      <c r="AO1361" s="1064">
        <f>TB_curr[[#This Row],[Closing balance]]+TB_curr[[#This Row],[Rounding]]</f>
        <v>0</v>
      </c>
    </row>
    <row r="1362" spans="30:41" x14ac:dyDescent="0.25">
      <c r="AD1362" s="1067" t="str">
        <f t="shared" si="105"/>
        <v/>
      </c>
      <c r="AE1362" s="1063" t="str">
        <f>IF(ISNA(VLOOKUP(TB_curr[[#This Row],[Synt]],GL[[#Headers],[#Data],[subtotal label]],1,FALSE)),0,(VLOOKUP(TB_curr[[#This Row],[Synt]],GL[[#Headers],[#Data],[subtotal label]],1,FALSE)))</f>
        <v/>
      </c>
      <c r="AF1362" s="1063" t="e">
        <f>IF((TB_curr[[#This Row],[Synt]]-TB_curr[[#This Row],[Subtotal Y/N]])=0,0,VLOOKUP(TB_curr[[#This Row],[Synt]],GL[[Account]:[Line]],3,FALSE))</f>
        <v>#VALUE!</v>
      </c>
      <c r="AG1362" s="1063" t="e">
        <f>VLOOKUP(TB_curr[[#This Row],[Synt]],GL[[Account]:[B/P]],4,FALSE)</f>
        <v>#N/A</v>
      </c>
      <c r="AH1362" s="1066" t="e">
        <v>#VALUE!</v>
      </c>
      <c r="AI1362" s="1065" t="e">
        <f>TB_curr[[#This Row],[Synt]]&amp;TB_curr[[#This Row],[Line No. manual corr.]]</f>
        <v>#VALUE!</v>
      </c>
      <c r="AJ1362" s="1064">
        <f t="shared" si="106"/>
        <v>0</v>
      </c>
      <c r="AK1362" s="1064">
        <f t="shared" si="107"/>
        <v>0</v>
      </c>
      <c r="AL1362" s="1064">
        <f t="shared" si="108"/>
        <v>0</v>
      </c>
      <c r="AM1362" s="1064">
        <f t="shared" si="109"/>
        <v>0</v>
      </c>
      <c r="AN1362" s="1064"/>
      <c r="AO1362" s="1064">
        <f>TB_curr[[#This Row],[Closing balance]]+TB_curr[[#This Row],[Rounding]]</f>
        <v>0</v>
      </c>
    </row>
    <row r="1363" spans="30:41" x14ac:dyDescent="0.25">
      <c r="AD1363" s="1067" t="str">
        <f t="shared" si="105"/>
        <v/>
      </c>
      <c r="AE1363" s="1063" t="str">
        <f>IF(ISNA(VLOOKUP(TB_curr[[#This Row],[Synt]],GL[[#Headers],[#Data],[subtotal label]],1,FALSE)),0,(VLOOKUP(TB_curr[[#This Row],[Synt]],GL[[#Headers],[#Data],[subtotal label]],1,FALSE)))</f>
        <v/>
      </c>
      <c r="AF1363" s="1063" t="e">
        <f>IF((TB_curr[[#This Row],[Synt]]-TB_curr[[#This Row],[Subtotal Y/N]])=0,0,VLOOKUP(TB_curr[[#This Row],[Synt]],GL[[Account]:[Line]],3,FALSE))</f>
        <v>#VALUE!</v>
      </c>
      <c r="AG1363" s="1063" t="e">
        <f>VLOOKUP(TB_curr[[#This Row],[Synt]],GL[[Account]:[B/P]],4,FALSE)</f>
        <v>#N/A</v>
      </c>
      <c r="AH1363" s="1066" t="e">
        <v>#VALUE!</v>
      </c>
      <c r="AI1363" s="1065" t="e">
        <f>TB_curr[[#This Row],[Synt]]&amp;TB_curr[[#This Row],[Line No. manual corr.]]</f>
        <v>#VALUE!</v>
      </c>
      <c r="AJ1363" s="1064">
        <f t="shared" si="106"/>
        <v>0</v>
      </c>
      <c r="AK1363" s="1064">
        <f t="shared" si="107"/>
        <v>0</v>
      </c>
      <c r="AL1363" s="1064">
        <f t="shared" si="108"/>
        <v>0</v>
      </c>
      <c r="AM1363" s="1064">
        <f t="shared" si="109"/>
        <v>0</v>
      </c>
      <c r="AN1363" s="1064"/>
      <c r="AO1363" s="1064">
        <f>TB_curr[[#This Row],[Closing balance]]+TB_curr[[#This Row],[Rounding]]</f>
        <v>0</v>
      </c>
    </row>
    <row r="1364" spans="30:41" x14ac:dyDescent="0.25">
      <c r="AD1364" s="1067" t="str">
        <f t="shared" si="105"/>
        <v/>
      </c>
      <c r="AE1364" s="1063" t="str">
        <f>IF(ISNA(VLOOKUP(TB_curr[[#This Row],[Synt]],GL[[#Headers],[#Data],[subtotal label]],1,FALSE)),0,(VLOOKUP(TB_curr[[#This Row],[Synt]],GL[[#Headers],[#Data],[subtotal label]],1,FALSE)))</f>
        <v/>
      </c>
      <c r="AF1364" s="1063" t="e">
        <f>IF((TB_curr[[#This Row],[Synt]]-TB_curr[[#This Row],[Subtotal Y/N]])=0,0,VLOOKUP(TB_curr[[#This Row],[Synt]],GL[[Account]:[Line]],3,FALSE))</f>
        <v>#VALUE!</v>
      </c>
      <c r="AG1364" s="1063" t="e">
        <f>VLOOKUP(TB_curr[[#This Row],[Synt]],GL[[Account]:[B/P]],4,FALSE)</f>
        <v>#N/A</v>
      </c>
      <c r="AH1364" s="1066" t="e">
        <v>#VALUE!</v>
      </c>
      <c r="AI1364" s="1065" t="e">
        <f>TB_curr[[#This Row],[Synt]]&amp;TB_curr[[#This Row],[Line No. manual corr.]]</f>
        <v>#VALUE!</v>
      </c>
      <c r="AJ1364" s="1064">
        <f t="shared" si="106"/>
        <v>0</v>
      </c>
      <c r="AK1364" s="1064">
        <f t="shared" si="107"/>
        <v>0</v>
      </c>
      <c r="AL1364" s="1064">
        <f t="shared" si="108"/>
        <v>0</v>
      </c>
      <c r="AM1364" s="1064">
        <f t="shared" si="109"/>
        <v>0</v>
      </c>
      <c r="AN1364" s="1064"/>
      <c r="AO1364" s="1064">
        <f>TB_curr[[#This Row],[Closing balance]]+TB_curr[[#This Row],[Rounding]]</f>
        <v>0</v>
      </c>
    </row>
    <row r="1365" spans="30:41" x14ac:dyDescent="0.25">
      <c r="AD1365" s="1067" t="str">
        <f t="shared" si="105"/>
        <v/>
      </c>
      <c r="AE1365" s="1063" t="str">
        <f>IF(ISNA(VLOOKUP(TB_curr[[#This Row],[Synt]],GL[[#Headers],[#Data],[subtotal label]],1,FALSE)),0,(VLOOKUP(TB_curr[[#This Row],[Synt]],GL[[#Headers],[#Data],[subtotal label]],1,FALSE)))</f>
        <v/>
      </c>
      <c r="AF1365" s="1063" t="e">
        <f>IF((TB_curr[[#This Row],[Synt]]-TB_curr[[#This Row],[Subtotal Y/N]])=0,0,VLOOKUP(TB_curr[[#This Row],[Synt]],GL[[Account]:[Line]],3,FALSE))</f>
        <v>#VALUE!</v>
      </c>
      <c r="AG1365" s="1063" t="e">
        <f>VLOOKUP(TB_curr[[#This Row],[Synt]],GL[[Account]:[B/P]],4,FALSE)</f>
        <v>#N/A</v>
      </c>
      <c r="AH1365" s="1066" t="e">
        <v>#VALUE!</v>
      </c>
      <c r="AI1365" s="1065" t="e">
        <f>TB_curr[[#This Row],[Synt]]&amp;TB_curr[[#This Row],[Line No. manual corr.]]</f>
        <v>#VALUE!</v>
      </c>
      <c r="AJ1365" s="1064">
        <f t="shared" si="106"/>
        <v>0</v>
      </c>
      <c r="AK1365" s="1064">
        <f t="shared" si="107"/>
        <v>0</v>
      </c>
      <c r="AL1365" s="1064">
        <f t="shared" si="108"/>
        <v>0</v>
      </c>
      <c r="AM1365" s="1064">
        <f t="shared" si="109"/>
        <v>0</v>
      </c>
      <c r="AN1365" s="1064"/>
      <c r="AO1365" s="1064">
        <f>TB_curr[[#This Row],[Closing balance]]+TB_curr[[#This Row],[Rounding]]</f>
        <v>0</v>
      </c>
    </row>
    <row r="1366" spans="30:41" x14ac:dyDescent="0.25">
      <c r="AD1366" s="1067" t="str">
        <f t="shared" si="105"/>
        <v/>
      </c>
      <c r="AE1366" s="1063" t="str">
        <f>IF(ISNA(VLOOKUP(TB_curr[[#This Row],[Synt]],GL[[#Headers],[#Data],[subtotal label]],1,FALSE)),0,(VLOOKUP(TB_curr[[#This Row],[Synt]],GL[[#Headers],[#Data],[subtotal label]],1,FALSE)))</f>
        <v/>
      </c>
      <c r="AF1366" s="1063" t="e">
        <f>IF((TB_curr[[#This Row],[Synt]]-TB_curr[[#This Row],[Subtotal Y/N]])=0,0,VLOOKUP(TB_curr[[#This Row],[Synt]],GL[[Account]:[Line]],3,FALSE))</f>
        <v>#VALUE!</v>
      </c>
      <c r="AG1366" s="1063" t="e">
        <f>VLOOKUP(TB_curr[[#This Row],[Synt]],GL[[Account]:[B/P]],4,FALSE)</f>
        <v>#N/A</v>
      </c>
      <c r="AH1366" s="1066" t="e">
        <v>#VALUE!</v>
      </c>
      <c r="AI1366" s="1065" t="e">
        <f>TB_curr[[#This Row],[Synt]]&amp;TB_curr[[#This Row],[Line No. manual corr.]]</f>
        <v>#VALUE!</v>
      </c>
      <c r="AJ1366" s="1064">
        <f t="shared" si="106"/>
        <v>0</v>
      </c>
      <c r="AK1366" s="1064">
        <f t="shared" si="107"/>
        <v>0</v>
      </c>
      <c r="AL1366" s="1064">
        <f t="shared" si="108"/>
        <v>0</v>
      </c>
      <c r="AM1366" s="1064">
        <f t="shared" si="109"/>
        <v>0</v>
      </c>
      <c r="AN1366" s="1064"/>
      <c r="AO1366" s="1064">
        <f>TB_curr[[#This Row],[Closing balance]]+TB_curr[[#This Row],[Rounding]]</f>
        <v>0</v>
      </c>
    </row>
    <row r="1367" spans="30:41" x14ac:dyDescent="0.25">
      <c r="AD1367" s="1067" t="str">
        <f t="shared" si="105"/>
        <v/>
      </c>
      <c r="AE1367" s="1063" t="str">
        <f>IF(ISNA(VLOOKUP(TB_curr[[#This Row],[Synt]],GL[[#Headers],[#Data],[subtotal label]],1,FALSE)),0,(VLOOKUP(TB_curr[[#This Row],[Synt]],GL[[#Headers],[#Data],[subtotal label]],1,FALSE)))</f>
        <v/>
      </c>
      <c r="AF1367" s="1063" t="e">
        <f>IF((TB_curr[[#This Row],[Synt]]-TB_curr[[#This Row],[Subtotal Y/N]])=0,0,VLOOKUP(TB_curr[[#This Row],[Synt]],GL[[Account]:[Line]],3,FALSE))</f>
        <v>#VALUE!</v>
      </c>
      <c r="AG1367" s="1063" t="e">
        <f>VLOOKUP(TB_curr[[#This Row],[Synt]],GL[[Account]:[B/P]],4,FALSE)</f>
        <v>#N/A</v>
      </c>
      <c r="AH1367" s="1066" t="e">
        <v>#VALUE!</v>
      </c>
      <c r="AI1367" s="1065" t="e">
        <f>TB_curr[[#This Row],[Synt]]&amp;TB_curr[[#This Row],[Line No. manual corr.]]</f>
        <v>#VALUE!</v>
      </c>
      <c r="AJ1367" s="1064">
        <f t="shared" si="106"/>
        <v>0</v>
      </c>
      <c r="AK1367" s="1064">
        <f t="shared" si="107"/>
        <v>0</v>
      </c>
      <c r="AL1367" s="1064">
        <f t="shared" si="108"/>
        <v>0</v>
      </c>
      <c r="AM1367" s="1064">
        <f t="shared" si="109"/>
        <v>0</v>
      </c>
      <c r="AN1367" s="1064"/>
      <c r="AO1367" s="1064">
        <f>TB_curr[[#This Row],[Closing balance]]+TB_curr[[#This Row],[Rounding]]</f>
        <v>0</v>
      </c>
    </row>
    <row r="1368" spans="30:41" x14ac:dyDescent="0.25">
      <c r="AD1368" s="1067" t="str">
        <f t="shared" si="105"/>
        <v/>
      </c>
      <c r="AE1368" s="1063" t="str">
        <f>IF(ISNA(VLOOKUP(TB_curr[[#This Row],[Synt]],GL[[#Headers],[#Data],[subtotal label]],1,FALSE)),0,(VLOOKUP(TB_curr[[#This Row],[Synt]],GL[[#Headers],[#Data],[subtotal label]],1,FALSE)))</f>
        <v/>
      </c>
      <c r="AF1368" s="1063" t="e">
        <f>IF((TB_curr[[#This Row],[Synt]]-TB_curr[[#This Row],[Subtotal Y/N]])=0,0,VLOOKUP(TB_curr[[#This Row],[Synt]],GL[[Account]:[Line]],3,FALSE))</f>
        <v>#VALUE!</v>
      </c>
      <c r="AG1368" s="1063" t="e">
        <f>VLOOKUP(TB_curr[[#This Row],[Synt]],GL[[Account]:[B/P]],4,FALSE)</f>
        <v>#N/A</v>
      </c>
      <c r="AH1368" s="1066" t="e">
        <v>#VALUE!</v>
      </c>
      <c r="AI1368" s="1065" t="e">
        <f>TB_curr[[#This Row],[Synt]]&amp;TB_curr[[#This Row],[Line No. manual corr.]]</f>
        <v>#VALUE!</v>
      </c>
      <c r="AJ1368" s="1064">
        <f t="shared" si="106"/>
        <v>0</v>
      </c>
      <c r="AK1368" s="1064">
        <f t="shared" si="107"/>
        <v>0</v>
      </c>
      <c r="AL1368" s="1064">
        <f t="shared" si="108"/>
        <v>0</v>
      </c>
      <c r="AM1368" s="1064">
        <f t="shared" si="109"/>
        <v>0</v>
      </c>
      <c r="AN1368" s="1064"/>
      <c r="AO1368" s="1064">
        <f>TB_curr[[#This Row],[Closing balance]]+TB_curr[[#This Row],[Rounding]]</f>
        <v>0</v>
      </c>
    </row>
    <row r="1369" spans="30:41" x14ac:dyDescent="0.25">
      <c r="AD1369" s="1067" t="str">
        <f t="shared" si="105"/>
        <v/>
      </c>
      <c r="AE1369" s="1063" t="str">
        <f>IF(ISNA(VLOOKUP(TB_curr[[#This Row],[Synt]],GL[[#Headers],[#Data],[subtotal label]],1,FALSE)),0,(VLOOKUP(TB_curr[[#This Row],[Synt]],GL[[#Headers],[#Data],[subtotal label]],1,FALSE)))</f>
        <v/>
      </c>
      <c r="AF1369" s="1063" t="e">
        <f>IF((TB_curr[[#This Row],[Synt]]-TB_curr[[#This Row],[Subtotal Y/N]])=0,0,VLOOKUP(TB_curr[[#This Row],[Synt]],GL[[Account]:[Line]],3,FALSE))</f>
        <v>#VALUE!</v>
      </c>
      <c r="AG1369" s="1063" t="e">
        <f>VLOOKUP(TB_curr[[#This Row],[Synt]],GL[[Account]:[B/P]],4,FALSE)</f>
        <v>#N/A</v>
      </c>
      <c r="AH1369" s="1066" t="e">
        <v>#VALUE!</v>
      </c>
      <c r="AI1369" s="1065" t="e">
        <f>TB_curr[[#This Row],[Synt]]&amp;TB_curr[[#This Row],[Line No. manual corr.]]</f>
        <v>#VALUE!</v>
      </c>
      <c r="AJ1369" s="1064">
        <f t="shared" si="106"/>
        <v>0</v>
      </c>
      <c r="AK1369" s="1064">
        <f t="shared" si="107"/>
        <v>0</v>
      </c>
      <c r="AL1369" s="1064">
        <f t="shared" si="108"/>
        <v>0</v>
      </c>
      <c r="AM1369" s="1064">
        <f t="shared" si="109"/>
        <v>0</v>
      </c>
      <c r="AN1369" s="1064"/>
      <c r="AO1369" s="1064">
        <f>TB_curr[[#This Row],[Closing balance]]+TB_curr[[#This Row],[Rounding]]</f>
        <v>0</v>
      </c>
    </row>
    <row r="1370" spans="30:41" x14ac:dyDescent="0.25">
      <c r="AD1370" s="1067" t="str">
        <f t="shared" si="105"/>
        <v/>
      </c>
      <c r="AE1370" s="1063" t="str">
        <f>IF(ISNA(VLOOKUP(TB_curr[[#This Row],[Synt]],GL[[#Headers],[#Data],[subtotal label]],1,FALSE)),0,(VLOOKUP(TB_curr[[#This Row],[Synt]],GL[[#Headers],[#Data],[subtotal label]],1,FALSE)))</f>
        <v/>
      </c>
      <c r="AF1370" s="1063" t="e">
        <f>IF((TB_curr[[#This Row],[Synt]]-TB_curr[[#This Row],[Subtotal Y/N]])=0,0,VLOOKUP(TB_curr[[#This Row],[Synt]],GL[[Account]:[Line]],3,FALSE))</f>
        <v>#VALUE!</v>
      </c>
      <c r="AG1370" s="1063" t="e">
        <f>VLOOKUP(TB_curr[[#This Row],[Synt]],GL[[Account]:[B/P]],4,FALSE)</f>
        <v>#N/A</v>
      </c>
      <c r="AH1370" s="1066" t="e">
        <v>#VALUE!</v>
      </c>
      <c r="AI1370" s="1065" t="e">
        <f>TB_curr[[#This Row],[Synt]]&amp;TB_curr[[#This Row],[Line No. manual corr.]]</f>
        <v>#VALUE!</v>
      </c>
      <c r="AJ1370" s="1064">
        <f t="shared" si="106"/>
        <v>0</v>
      </c>
      <c r="AK1370" s="1064">
        <f t="shared" si="107"/>
        <v>0</v>
      </c>
      <c r="AL1370" s="1064">
        <f t="shared" si="108"/>
        <v>0</v>
      </c>
      <c r="AM1370" s="1064">
        <f t="shared" si="109"/>
        <v>0</v>
      </c>
      <c r="AN1370" s="1064"/>
      <c r="AO1370" s="1064">
        <f>TB_curr[[#This Row],[Closing balance]]+TB_curr[[#This Row],[Rounding]]</f>
        <v>0</v>
      </c>
    </row>
    <row r="1371" spans="30:41" x14ac:dyDescent="0.25">
      <c r="AD1371" s="1067" t="str">
        <f t="shared" si="105"/>
        <v/>
      </c>
      <c r="AE1371" s="1063" t="str">
        <f>IF(ISNA(VLOOKUP(TB_curr[[#This Row],[Synt]],GL[[#Headers],[#Data],[subtotal label]],1,FALSE)),0,(VLOOKUP(TB_curr[[#This Row],[Synt]],GL[[#Headers],[#Data],[subtotal label]],1,FALSE)))</f>
        <v/>
      </c>
      <c r="AF1371" s="1063" t="e">
        <f>IF((TB_curr[[#This Row],[Synt]]-TB_curr[[#This Row],[Subtotal Y/N]])=0,0,VLOOKUP(TB_curr[[#This Row],[Synt]],GL[[Account]:[Line]],3,FALSE))</f>
        <v>#VALUE!</v>
      </c>
      <c r="AG1371" s="1063" t="e">
        <f>VLOOKUP(TB_curr[[#This Row],[Synt]],GL[[Account]:[B/P]],4,FALSE)</f>
        <v>#N/A</v>
      </c>
      <c r="AH1371" s="1066" t="e">
        <v>#VALUE!</v>
      </c>
      <c r="AI1371" s="1065" t="e">
        <f>TB_curr[[#This Row],[Synt]]&amp;TB_curr[[#This Row],[Line No. manual corr.]]</f>
        <v>#VALUE!</v>
      </c>
      <c r="AJ1371" s="1064">
        <f t="shared" si="106"/>
        <v>0</v>
      </c>
      <c r="AK1371" s="1064">
        <f t="shared" si="107"/>
        <v>0</v>
      </c>
      <c r="AL1371" s="1064">
        <f t="shared" si="108"/>
        <v>0</v>
      </c>
      <c r="AM1371" s="1064">
        <f t="shared" si="109"/>
        <v>0</v>
      </c>
      <c r="AN1371" s="1064"/>
      <c r="AO1371" s="1064">
        <f>TB_curr[[#This Row],[Closing balance]]+TB_curr[[#This Row],[Rounding]]</f>
        <v>0</v>
      </c>
    </row>
    <row r="1372" spans="30:41" x14ac:dyDescent="0.25">
      <c r="AD1372" s="1067" t="str">
        <f t="shared" si="105"/>
        <v/>
      </c>
      <c r="AE1372" s="1063" t="str">
        <f>IF(ISNA(VLOOKUP(TB_curr[[#This Row],[Synt]],GL[[#Headers],[#Data],[subtotal label]],1,FALSE)),0,(VLOOKUP(TB_curr[[#This Row],[Synt]],GL[[#Headers],[#Data],[subtotal label]],1,FALSE)))</f>
        <v/>
      </c>
      <c r="AF1372" s="1063" t="e">
        <f>IF((TB_curr[[#This Row],[Synt]]-TB_curr[[#This Row],[Subtotal Y/N]])=0,0,VLOOKUP(TB_curr[[#This Row],[Synt]],GL[[Account]:[Line]],3,FALSE))</f>
        <v>#VALUE!</v>
      </c>
      <c r="AG1372" s="1063" t="e">
        <f>VLOOKUP(TB_curr[[#This Row],[Synt]],GL[[Account]:[B/P]],4,FALSE)</f>
        <v>#N/A</v>
      </c>
      <c r="AH1372" s="1066" t="e">
        <v>#VALUE!</v>
      </c>
      <c r="AI1372" s="1065" t="e">
        <f>TB_curr[[#This Row],[Synt]]&amp;TB_curr[[#This Row],[Line No. manual corr.]]</f>
        <v>#VALUE!</v>
      </c>
      <c r="AJ1372" s="1064">
        <f t="shared" si="106"/>
        <v>0</v>
      </c>
      <c r="AK1372" s="1064">
        <f t="shared" si="107"/>
        <v>0</v>
      </c>
      <c r="AL1372" s="1064">
        <f t="shared" si="108"/>
        <v>0</v>
      </c>
      <c r="AM1372" s="1064">
        <f t="shared" si="109"/>
        <v>0</v>
      </c>
      <c r="AN1372" s="1064"/>
      <c r="AO1372" s="1064">
        <f>TB_curr[[#This Row],[Closing balance]]+TB_curr[[#This Row],[Rounding]]</f>
        <v>0</v>
      </c>
    </row>
    <row r="1373" spans="30:41" x14ac:dyDescent="0.25">
      <c r="AD1373" s="1067" t="str">
        <f t="shared" si="105"/>
        <v/>
      </c>
      <c r="AE1373" s="1063" t="str">
        <f>IF(ISNA(VLOOKUP(TB_curr[[#This Row],[Synt]],GL[[#Headers],[#Data],[subtotal label]],1,FALSE)),0,(VLOOKUP(TB_curr[[#This Row],[Synt]],GL[[#Headers],[#Data],[subtotal label]],1,FALSE)))</f>
        <v/>
      </c>
      <c r="AF1373" s="1063" t="e">
        <f>IF((TB_curr[[#This Row],[Synt]]-TB_curr[[#This Row],[Subtotal Y/N]])=0,0,VLOOKUP(TB_curr[[#This Row],[Synt]],GL[[Account]:[Line]],3,FALSE))</f>
        <v>#VALUE!</v>
      </c>
      <c r="AG1373" s="1063" t="e">
        <f>VLOOKUP(TB_curr[[#This Row],[Synt]],GL[[Account]:[B/P]],4,FALSE)</f>
        <v>#N/A</v>
      </c>
      <c r="AH1373" s="1066" t="e">
        <v>#VALUE!</v>
      </c>
      <c r="AI1373" s="1065" t="e">
        <f>TB_curr[[#This Row],[Synt]]&amp;TB_curr[[#This Row],[Line No. manual corr.]]</f>
        <v>#VALUE!</v>
      </c>
      <c r="AJ1373" s="1064">
        <f t="shared" si="106"/>
        <v>0</v>
      </c>
      <c r="AK1373" s="1064">
        <f t="shared" si="107"/>
        <v>0</v>
      </c>
      <c r="AL1373" s="1064">
        <f t="shared" si="108"/>
        <v>0</v>
      </c>
      <c r="AM1373" s="1064">
        <f t="shared" si="109"/>
        <v>0</v>
      </c>
      <c r="AN1373" s="1064"/>
      <c r="AO1373" s="1064">
        <f>TB_curr[[#This Row],[Closing balance]]+TB_curr[[#This Row],[Rounding]]</f>
        <v>0</v>
      </c>
    </row>
    <row r="1374" spans="30:41" x14ac:dyDescent="0.25">
      <c r="AD1374" s="1067" t="str">
        <f t="shared" si="105"/>
        <v/>
      </c>
      <c r="AE1374" s="1063" t="str">
        <f>IF(ISNA(VLOOKUP(TB_curr[[#This Row],[Synt]],GL[[#Headers],[#Data],[subtotal label]],1,FALSE)),0,(VLOOKUP(TB_curr[[#This Row],[Synt]],GL[[#Headers],[#Data],[subtotal label]],1,FALSE)))</f>
        <v/>
      </c>
      <c r="AF1374" s="1063" t="e">
        <f>IF((TB_curr[[#This Row],[Synt]]-TB_curr[[#This Row],[Subtotal Y/N]])=0,0,VLOOKUP(TB_curr[[#This Row],[Synt]],GL[[Account]:[Line]],3,FALSE))</f>
        <v>#VALUE!</v>
      </c>
      <c r="AG1374" s="1063" t="e">
        <f>VLOOKUP(TB_curr[[#This Row],[Synt]],GL[[Account]:[B/P]],4,FALSE)</f>
        <v>#N/A</v>
      </c>
      <c r="AH1374" s="1066" t="e">
        <v>#VALUE!</v>
      </c>
      <c r="AI1374" s="1065" t="e">
        <f>TB_curr[[#This Row],[Synt]]&amp;TB_curr[[#This Row],[Line No. manual corr.]]</f>
        <v>#VALUE!</v>
      </c>
      <c r="AJ1374" s="1064">
        <f t="shared" si="106"/>
        <v>0</v>
      </c>
      <c r="AK1374" s="1064">
        <f t="shared" si="107"/>
        <v>0</v>
      </c>
      <c r="AL1374" s="1064">
        <f t="shared" si="108"/>
        <v>0</v>
      </c>
      <c r="AM1374" s="1064">
        <f t="shared" si="109"/>
        <v>0</v>
      </c>
      <c r="AN1374" s="1064"/>
      <c r="AO1374" s="1064">
        <f>TB_curr[[#This Row],[Closing balance]]+TB_curr[[#This Row],[Rounding]]</f>
        <v>0</v>
      </c>
    </row>
    <row r="1375" spans="30:41" x14ac:dyDescent="0.25">
      <c r="AD1375" s="1067" t="str">
        <f t="shared" si="105"/>
        <v/>
      </c>
      <c r="AE1375" s="1063" t="str">
        <f>IF(ISNA(VLOOKUP(TB_curr[[#This Row],[Synt]],GL[[#Headers],[#Data],[subtotal label]],1,FALSE)),0,(VLOOKUP(TB_curr[[#This Row],[Synt]],GL[[#Headers],[#Data],[subtotal label]],1,FALSE)))</f>
        <v/>
      </c>
      <c r="AF1375" s="1063" t="e">
        <f>IF((TB_curr[[#This Row],[Synt]]-TB_curr[[#This Row],[Subtotal Y/N]])=0,0,VLOOKUP(TB_curr[[#This Row],[Synt]],GL[[Account]:[Line]],3,FALSE))</f>
        <v>#VALUE!</v>
      </c>
      <c r="AG1375" s="1063" t="e">
        <f>VLOOKUP(TB_curr[[#This Row],[Synt]],GL[[Account]:[B/P]],4,FALSE)</f>
        <v>#N/A</v>
      </c>
      <c r="AH1375" s="1066" t="e">
        <v>#VALUE!</v>
      </c>
      <c r="AI1375" s="1065" t="e">
        <f>TB_curr[[#This Row],[Synt]]&amp;TB_curr[[#This Row],[Line No. manual corr.]]</f>
        <v>#VALUE!</v>
      </c>
      <c r="AJ1375" s="1064">
        <f t="shared" si="106"/>
        <v>0</v>
      </c>
      <c r="AK1375" s="1064">
        <f t="shared" si="107"/>
        <v>0</v>
      </c>
      <c r="AL1375" s="1064">
        <f t="shared" si="108"/>
        <v>0</v>
      </c>
      <c r="AM1375" s="1064">
        <f t="shared" si="109"/>
        <v>0</v>
      </c>
      <c r="AN1375" s="1064"/>
      <c r="AO1375" s="1064">
        <f>TB_curr[[#This Row],[Closing balance]]+TB_curr[[#This Row],[Rounding]]</f>
        <v>0</v>
      </c>
    </row>
    <row r="1376" spans="30:41" x14ac:dyDescent="0.25">
      <c r="AD1376" s="1067" t="str">
        <f t="shared" si="105"/>
        <v/>
      </c>
      <c r="AE1376" s="1063" t="str">
        <f>IF(ISNA(VLOOKUP(TB_curr[[#This Row],[Synt]],GL[[#Headers],[#Data],[subtotal label]],1,FALSE)),0,(VLOOKUP(TB_curr[[#This Row],[Synt]],GL[[#Headers],[#Data],[subtotal label]],1,FALSE)))</f>
        <v/>
      </c>
      <c r="AF1376" s="1063" t="e">
        <f>IF((TB_curr[[#This Row],[Synt]]-TB_curr[[#This Row],[Subtotal Y/N]])=0,0,VLOOKUP(TB_curr[[#This Row],[Synt]],GL[[Account]:[Line]],3,FALSE))</f>
        <v>#VALUE!</v>
      </c>
      <c r="AG1376" s="1063" t="e">
        <f>VLOOKUP(TB_curr[[#This Row],[Synt]],GL[[Account]:[B/P]],4,FALSE)</f>
        <v>#N/A</v>
      </c>
      <c r="AH1376" s="1066" t="e">
        <v>#VALUE!</v>
      </c>
      <c r="AI1376" s="1065" t="e">
        <f>TB_curr[[#This Row],[Synt]]&amp;TB_curr[[#This Row],[Line No. manual corr.]]</f>
        <v>#VALUE!</v>
      </c>
      <c r="AJ1376" s="1064">
        <f t="shared" si="106"/>
        <v>0</v>
      </c>
      <c r="AK1376" s="1064">
        <f t="shared" si="107"/>
        <v>0</v>
      </c>
      <c r="AL1376" s="1064">
        <f t="shared" si="108"/>
        <v>0</v>
      </c>
      <c r="AM1376" s="1064">
        <f t="shared" si="109"/>
        <v>0</v>
      </c>
      <c r="AN1376" s="1064"/>
      <c r="AO1376" s="1064">
        <f>TB_curr[[#This Row],[Closing balance]]+TB_curr[[#This Row],[Rounding]]</f>
        <v>0</v>
      </c>
    </row>
    <row r="1377" spans="30:41" x14ac:dyDescent="0.25">
      <c r="AD1377" s="1067" t="str">
        <f t="shared" si="105"/>
        <v/>
      </c>
      <c r="AE1377" s="1063" t="str">
        <f>IF(ISNA(VLOOKUP(TB_curr[[#This Row],[Synt]],GL[[#Headers],[#Data],[subtotal label]],1,FALSE)),0,(VLOOKUP(TB_curr[[#This Row],[Synt]],GL[[#Headers],[#Data],[subtotal label]],1,FALSE)))</f>
        <v/>
      </c>
      <c r="AF1377" s="1063" t="e">
        <f>IF((TB_curr[[#This Row],[Synt]]-TB_curr[[#This Row],[Subtotal Y/N]])=0,0,VLOOKUP(TB_curr[[#This Row],[Synt]],GL[[Account]:[Line]],3,FALSE))</f>
        <v>#VALUE!</v>
      </c>
      <c r="AG1377" s="1063" t="e">
        <f>VLOOKUP(TB_curr[[#This Row],[Synt]],GL[[Account]:[B/P]],4,FALSE)</f>
        <v>#N/A</v>
      </c>
      <c r="AH1377" s="1066" t="e">
        <v>#VALUE!</v>
      </c>
      <c r="AI1377" s="1065" t="e">
        <f>TB_curr[[#This Row],[Synt]]&amp;TB_curr[[#This Row],[Line No. manual corr.]]</f>
        <v>#VALUE!</v>
      </c>
      <c r="AJ1377" s="1064">
        <f t="shared" si="106"/>
        <v>0</v>
      </c>
      <c r="AK1377" s="1064">
        <f t="shared" si="107"/>
        <v>0</v>
      </c>
      <c r="AL1377" s="1064">
        <f t="shared" si="108"/>
        <v>0</v>
      </c>
      <c r="AM1377" s="1064">
        <f t="shared" si="109"/>
        <v>0</v>
      </c>
      <c r="AN1377" s="1064"/>
      <c r="AO1377" s="1064">
        <f>TB_curr[[#This Row],[Closing balance]]+TB_curr[[#This Row],[Rounding]]</f>
        <v>0</v>
      </c>
    </row>
    <row r="1378" spans="30:41" x14ac:dyDescent="0.25">
      <c r="AD1378" s="1067" t="str">
        <f t="shared" si="105"/>
        <v/>
      </c>
      <c r="AE1378" s="1063" t="str">
        <f>IF(ISNA(VLOOKUP(TB_curr[[#This Row],[Synt]],GL[[#Headers],[#Data],[subtotal label]],1,FALSE)),0,(VLOOKUP(TB_curr[[#This Row],[Synt]],GL[[#Headers],[#Data],[subtotal label]],1,FALSE)))</f>
        <v/>
      </c>
      <c r="AF1378" s="1063" t="e">
        <f>IF((TB_curr[[#This Row],[Synt]]-TB_curr[[#This Row],[Subtotal Y/N]])=0,0,VLOOKUP(TB_curr[[#This Row],[Synt]],GL[[Account]:[Line]],3,FALSE))</f>
        <v>#VALUE!</v>
      </c>
      <c r="AG1378" s="1063" t="e">
        <f>VLOOKUP(TB_curr[[#This Row],[Synt]],GL[[Account]:[B/P]],4,FALSE)</f>
        <v>#N/A</v>
      </c>
      <c r="AH1378" s="1066" t="e">
        <v>#VALUE!</v>
      </c>
      <c r="AI1378" s="1065" t="e">
        <f>TB_curr[[#This Row],[Synt]]&amp;TB_curr[[#This Row],[Line No. manual corr.]]</f>
        <v>#VALUE!</v>
      </c>
      <c r="AJ1378" s="1064">
        <f t="shared" si="106"/>
        <v>0</v>
      </c>
      <c r="AK1378" s="1064">
        <f t="shared" si="107"/>
        <v>0</v>
      </c>
      <c r="AL1378" s="1064">
        <f t="shared" si="108"/>
        <v>0</v>
      </c>
      <c r="AM1378" s="1064">
        <f t="shared" si="109"/>
        <v>0</v>
      </c>
      <c r="AN1378" s="1064"/>
      <c r="AO1378" s="1064">
        <f>TB_curr[[#This Row],[Closing balance]]+TB_curr[[#This Row],[Rounding]]</f>
        <v>0</v>
      </c>
    </row>
    <row r="1379" spans="30:41" x14ac:dyDescent="0.25">
      <c r="AD1379" s="1067" t="str">
        <f t="shared" si="105"/>
        <v/>
      </c>
      <c r="AE1379" s="1063" t="str">
        <f>IF(ISNA(VLOOKUP(TB_curr[[#This Row],[Synt]],GL[[#Headers],[#Data],[subtotal label]],1,FALSE)),0,(VLOOKUP(TB_curr[[#This Row],[Synt]],GL[[#Headers],[#Data],[subtotal label]],1,FALSE)))</f>
        <v/>
      </c>
      <c r="AF1379" s="1063" t="e">
        <f>IF((TB_curr[[#This Row],[Synt]]-TB_curr[[#This Row],[Subtotal Y/N]])=0,0,VLOOKUP(TB_curr[[#This Row],[Synt]],GL[[Account]:[Line]],3,FALSE))</f>
        <v>#VALUE!</v>
      </c>
      <c r="AG1379" s="1063" t="e">
        <f>VLOOKUP(TB_curr[[#This Row],[Synt]],GL[[Account]:[B/P]],4,FALSE)</f>
        <v>#N/A</v>
      </c>
      <c r="AH1379" s="1066" t="e">
        <v>#VALUE!</v>
      </c>
      <c r="AI1379" s="1065" t="e">
        <f>TB_curr[[#This Row],[Synt]]&amp;TB_curr[[#This Row],[Line No. manual corr.]]</f>
        <v>#VALUE!</v>
      </c>
      <c r="AJ1379" s="1064">
        <f t="shared" si="106"/>
        <v>0</v>
      </c>
      <c r="AK1379" s="1064">
        <f t="shared" si="107"/>
        <v>0</v>
      </c>
      <c r="AL1379" s="1064">
        <f t="shared" si="108"/>
        <v>0</v>
      </c>
      <c r="AM1379" s="1064">
        <f t="shared" si="109"/>
        <v>0</v>
      </c>
      <c r="AN1379" s="1064"/>
      <c r="AO1379" s="1064">
        <f>TB_curr[[#This Row],[Closing balance]]+TB_curr[[#This Row],[Rounding]]</f>
        <v>0</v>
      </c>
    </row>
    <row r="1380" spans="30:41" x14ac:dyDescent="0.25">
      <c r="AD1380" s="1067" t="str">
        <f t="shared" si="105"/>
        <v/>
      </c>
      <c r="AE1380" s="1063" t="str">
        <f>IF(ISNA(VLOOKUP(TB_curr[[#This Row],[Synt]],GL[[#Headers],[#Data],[subtotal label]],1,FALSE)),0,(VLOOKUP(TB_curr[[#This Row],[Synt]],GL[[#Headers],[#Data],[subtotal label]],1,FALSE)))</f>
        <v/>
      </c>
      <c r="AF1380" s="1063" t="e">
        <f>IF((TB_curr[[#This Row],[Synt]]-TB_curr[[#This Row],[Subtotal Y/N]])=0,0,VLOOKUP(TB_curr[[#This Row],[Synt]],GL[[Account]:[Line]],3,FALSE))</f>
        <v>#VALUE!</v>
      </c>
      <c r="AG1380" s="1063" t="e">
        <f>VLOOKUP(TB_curr[[#This Row],[Synt]],GL[[Account]:[B/P]],4,FALSE)</f>
        <v>#N/A</v>
      </c>
      <c r="AH1380" s="1066" t="e">
        <v>#VALUE!</v>
      </c>
      <c r="AI1380" s="1065" t="e">
        <f>TB_curr[[#This Row],[Synt]]&amp;TB_curr[[#This Row],[Line No. manual corr.]]</f>
        <v>#VALUE!</v>
      </c>
      <c r="AJ1380" s="1064">
        <f t="shared" si="106"/>
        <v>0</v>
      </c>
      <c r="AK1380" s="1064">
        <f t="shared" si="107"/>
        <v>0</v>
      </c>
      <c r="AL1380" s="1064">
        <f t="shared" si="108"/>
        <v>0</v>
      </c>
      <c r="AM1380" s="1064">
        <f t="shared" si="109"/>
        <v>0</v>
      </c>
      <c r="AN1380" s="1064"/>
      <c r="AO1380" s="1064">
        <f>TB_curr[[#This Row],[Closing balance]]+TB_curr[[#This Row],[Rounding]]</f>
        <v>0</v>
      </c>
    </row>
    <row r="1381" spans="30:41" x14ac:dyDescent="0.25">
      <c r="AD1381" s="1067" t="str">
        <f t="shared" si="105"/>
        <v/>
      </c>
      <c r="AE1381" s="1063" t="str">
        <f>IF(ISNA(VLOOKUP(TB_curr[[#This Row],[Synt]],GL[[#Headers],[#Data],[subtotal label]],1,FALSE)),0,(VLOOKUP(TB_curr[[#This Row],[Synt]],GL[[#Headers],[#Data],[subtotal label]],1,FALSE)))</f>
        <v/>
      </c>
      <c r="AF1381" s="1063" t="e">
        <f>IF((TB_curr[[#This Row],[Synt]]-TB_curr[[#This Row],[Subtotal Y/N]])=0,0,VLOOKUP(TB_curr[[#This Row],[Synt]],GL[[Account]:[Line]],3,FALSE))</f>
        <v>#VALUE!</v>
      </c>
      <c r="AG1381" s="1063" t="e">
        <f>VLOOKUP(TB_curr[[#This Row],[Synt]],GL[[Account]:[B/P]],4,FALSE)</f>
        <v>#N/A</v>
      </c>
      <c r="AH1381" s="1066" t="e">
        <v>#VALUE!</v>
      </c>
      <c r="AI1381" s="1065" t="e">
        <f>TB_curr[[#This Row],[Synt]]&amp;TB_curr[[#This Row],[Line No. manual corr.]]</f>
        <v>#VALUE!</v>
      </c>
      <c r="AJ1381" s="1064">
        <f t="shared" si="106"/>
        <v>0</v>
      </c>
      <c r="AK1381" s="1064">
        <f t="shared" si="107"/>
        <v>0</v>
      </c>
      <c r="AL1381" s="1064">
        <f t="shared" si="108"/>
        <v>0</v>
      </c>
      <c r="AM1381" s="1064">
        <f t="shared" si="109"/>
        <v>0</v>
      </c>
      <c r="AN1381" s="1064"/>
      <c r="AO1381" s="1064">
        <f>TB_curr[[#This Row],[Closing balance]]+TB_curr[[#This Row],[Rounding]]</f>
        <v>0</v>
      </c>
    </row>
    <row r="1382" spans="30:41" x14ac:dyDescent="0.25">
      <c r="AD1382" s="1067" t="str">
        <f t="shared" si="105"/>
        <v/>
      </c>
      <c r="AE1382" s="1063" t="str">
        <f>IF(ISNA(VLOOKUP(TB_curr[[#This Row],[Synt]],GL[[#Headers],[#Data],[subtotal label]],1,FALSE)),0,(VLOOKUP(TB_curr[[#This Row],[Synt]],GL[[#Headers],[#Data],[subtotal label]],1,FALSE)))</f>
        <v/>
      </c>
      <c r="AF1382" s="1063" t="e">
        <f>IF((TB_curr[[#This Row],[Synt]]-TB_curr[[#This Row],[Subtotal Y/N]])=0,0,VLOOKUP(TB_curr[[#This Row],[Synt]],GL[[Account]:[Line]],3,FALSE))</f>
        <v>#VALUE!</v>
      </c>
      <c r="AG1382" s="1063" t="e">
        <f>VLOOKUP(TB_curr[[#This Row],[Synt]],GL[[Account]:[B/P]],4,FALSE)</f>
        <v>#N/A</v>
      </c>
      <c r="AH1382" s="1066" t="e">
        <v>#VALUE!</v>
      </c>
      <c r="AI1382" s="1065" t="e">
        <f>TB_curr[[#This Row],[Synt]]&amp;TB_curr[[#This Row],[Line No. manual corr.]]</f>
        <v>#VALUE!</v>
      </c>
      <c r="AJ1382" s="1064">
        <f t="shared" si="106"/>
        <v>0</v>
      </c>
      <c r="AK1382" s="1064">
        <f t="shared" si="107"/>
        <v>0</v>
      </c>
      <c r="AL1382" s="1064">
        <f t="shared" si="108"/>
        <v>0</v>
      </c>
      <c r="AM1382" s="1064">
        <f t="shared" si="109"/>
        <v>0</v>
      </c>
      <c r="AN1382" s="1064"/>
      <c r="AO1382" s="1064">
        <f>TB_curr[[#This Row],[Closing balance]]+TB_curr[[#This Row],[Rounding]]</f>
        <v>0</v>
      </c>
    </row>
    <row r="1383" spans="30:41" x14ac:dyDescent="0.25">
      <c r="AD1383" s="1067" t="str">
        <f t="shared" si="105"/>
        <v/>
      </c>
      <c r="AE1383" s="1063" t="str">
        <f>IF(ISNA(VLOOKUP(TB_curr[[#This Row],[Synt]],GL[[#Headers],[#Data],[subtotal label]],1,FALSE)),0,(VLOOKUP(TB_curr[[#This Row],[Synt]],GL[[#Headers],[#Data],[subtotal label]],1,FALSE)))</f>
        <v/>
      </c>
      <c r="AF1383" s="1063" t="e">
        <f>IF((TB_curr[[#This Row],[Synt]]-TB_curr[[#This Row],[Subtotal Y/N]])=0,0,VLOOKUP(TB_curr[[#This Row],[Synt]],GL[[Account]:[Line]],3,FALSE))</f>
        <v>#VALUE!</v>
      </c>
      <c r="AG1383" s="1063" t="e">
        <f>VLOOKUP(TB_curr[[#This Row],[Synt]],GL[[Account]:[B/P]],4,FALSE)</f>
        <v>#N/A</v>
      </c>
      <c r="AH1383" s="1066" t="e">
        <v>#VALUE!</v>
      </c>
      <c r="AI1383" s="1065" t="e">
        <f>TB_curr[[#This Row],[Synt]]&amp;TB_curr[[#This Row],[Line No. manual corr.]]</f>
        <v>#VALUE!</v>
      </c>
      <c r="AJ1383" s="1064">
        <f t="shared" si="106"/>
        <v>0</v>
      </c>
      <c r="AK1383" s="1064">
        <f t="shared" si="107"/>
        <v>0</v>
      </c>
      <c r="AL1383" s="1064">
        <f t="shared" si="108"/>
        <v>0</v>
      </c>
      <c r="AM1383" s="1064">
        <f t="shared" si="109"/>
        <v>0</v>
      </c>
      <c r="AN1383" s="1064"/>
      <c r="AO1383" s="1064">
        <f>TB_curr[[#This Row],[Closing balance]]+TB_curr[[#This Row],[Rounding]]</f>
        <v>0</v>
      </c>
    </row>
    <row r="1384" spans="30:41" x14ac:dyDescent="0.25">
      <c r="AD1384" s="1067" t="str">
        <f t="shared" si="105"/>
        <v/>
      </c>
      <c r="AE1384" s="1063" t="str">
        <f>IF(ISNA(VLOOKUP(TB_curr[[#This Row],[Synt]],GL[[#Headers],[#Data],[subtotal label]],1,FALSE)),0,(VLOOKUP(TB_curr[[#This Row],[Synt]],GL[[#Headers],[#Data],[subtotal label]],1,FALSE)))</f>
        <v/>
      </c>
      <c r="AF1384" s="1063" t="e">
        <f>IF((TB_curr[[#This Row],[Synt]]-TB_curr[[#This Row],[Subtotal Y/N]])=0,0,VLOOKUP(TB_curr[[#This Row],[Synt]],GL[[Account]:[Line]],3,FALSE))</f>
        <v>#VALUE!</v>
      </c>
      <c r="AG1384" s="1063" t="e">
        <f>VLOOKUP(TB_curr[[#This Row],[Synt]],GL[[Account]:[B/P]],4,FALSE)</f>
        <v>#N/A</v>
      </c>
      <c r="AH1384" s="1066" t="e">
        <v>#VALUE!</v>
      </c>
      <c r="AI1384" s="1065" t="e">
        <f>TB_curr[[#This Row],[Synt]]&amp;TB_curr[[#This Row],[Line No. manual corr.]]</f>
        <v>#VALUE!</v>
      </c>
      <c r="AJ1384" s="1064">
        <f t="shared" si="106"/>
        <v>0</v>
      </c>
      <c r="AK1384" s="1064">
        <f t="shared" si="107"/>
        <v>0</v>
      </c>
      <c r="AL1384" s="1064">
        <f t="shared" si="108"/>
        <v>0</v>
      </c>
      <c r="AM1384" s="1064">
        <f t="shared" si="109"/>
        <v>0</v>
      </c>
      <c r="AN1384" s="1064"/>
      <c r="AO1384" s="1064">
        <f>TB_curr[[#This Row],[Closing balance]]+TB_curr[[#This Row],[Rounding]]</f>
        <v>0</v>
      </c>
    </row>
    <row r="1385" spans="30:41" x14ac:dyDescent="0.25">
      <c r="AD1385" s="1067" t="str">
        <f t="shared" si="105"/>
        <v/>
      </c>
      <c r="AE1385" s="1063" t="str">
        <f>IF(ISNA(VLOOKUP(TB_curr[[#This Row],[Synt]],GL[[#Headers],[#Data],[subtotal label]],1,FALSE)),0,(VLOOKUP(TB_curr[[#This Row],[Synt]],GL[[#Headers],[#Data],[subtotal label]],1,FALSE)))</f>
        <v/>
      </c>
      <c r="AF1385" s="1063" t="e">
        <f>IF((TB_curr[[#This Row],[Synt]]-TB_curr[[#This Row],[Subtotal Y/N]])=0,0,VLOOKUP(TB_curr[[#This Row],[Synt]],GL[[Account]:[Line]],3,FALSE))</f>
        <v>#VALUE!</v>
      </c>
      <c r="AG1385" s="1063" t="e">
        <f>VLOOKUP(TB_curr[[#This Row],[Synt]],GL[[Account]:[B/P]],4,FALSE)</f>
        <v>#N/A</v>
      </c>
      <c r="AH1385" s="1066" t="e">
        <v>#VALUE!</v>
      </c>
      <c r="AI1385" s="1065" t="e">
        <f>TB_curr[[#This Row],[Synt]]&amp;TB_curr[[#This Row],[Line No. manual corr.]]</f>
        <v>#VALUE!</v>
      </c>
      <c r="AJ1385" s="1064">
        <f t="shared" si="106"/>
        <v>0</v>
      </c>
      <c r="AK1385" s="1064">
        <f t="shared" si="107"/>
        <v>0</v>
      </c>
      <c r="AL1385" s="1064">
        <f t="shared" si="108"/>
        <v>0</v>
      </c>
      <c r="AM1385" s="1064">
        <f t="shared" si="109"/>
        <v>0</v>
      </c>
      <c r="AN1385" s="1064"/>
      <c r="AO1385" s="1064">
        <f>TB_curr[[#This Row],[Closing balance]]+TB_curr[[#This Row],[Rounding]]</f>
        <v>0</v>
      </c>
    </row>
    <row r="1386" spans="30:41" x14ac:dyDescent="0.25">
      <c r="AD1386" s="1067" t="str">
        <f t="shared" si="105"/>
        <v/>
      </c>
      <c r="AE1386" s="1063" t="str">
        <f>IF(ISNA(VLOOKUP(TB_curr[[#This Row],[Synt]],GL[[#Headers],[#Data],[subtotal label]],1,FALSE)),0,(VLOOKUP(TB_curr[[#This Row],[Synt]],GL[[#Headers],[#Data],[subtotal label]],1,FALSE)))</f>
        <v/>
      </c>
      <c r="AF1386" s="1063" t="e">
        <f>IF((TB_curr[[#This Row],[Synt]]-TB_curr[[#This Row],[Subtotal Y/N]])=0,0,VLOOKUP(TB_curr[[#This Row],[Synt]],GL[[Account]:[Line]],3,FALSE))</f>
        <v>#VALUE!</v>
      </c>
      <c r="AG1386" s="1063" t="e">
        <f>VLOOKUP(TB_curr[[#This Row],[Synt]],GL[[Account]:[B/P]],4,FALSE)</f>
        <v>#N/A</v>
      </c>
      <c r="AH1386" s="1066" t="e">
        <v>#VALUE!</v>
      </c>
      <c r="AI1386" s="1065" t="e">
        <f>TB_curr[[#This Row],[Synt]]&amp;TB_curr[[#This Row],[Line No. manual corr.]]</f>
        <v>#VALUE!</v>
      </c>
      <c r="AJ1386" s="1064">
        <f t="shared" si="106"/>
        <v>0</v>
      </c>
      <c r="AK1386" s="1064">
        <f t="shared" si="107"/>
        <v>0</v>
      </c>
      <c r="AL1386" s="1064">
        <f t="shared" si="108"/>
        <v>0</v>
      </c>
      <c r="AM1386" s="1064">
        <f t="shared" si="109"/>
        <v>0</v>
      </c>
      <c r="AN1386" s="1064"/>
      <c r="AO1386" s="1064">
        <f>TB_curr[[#This Row],[Closing balance]]+TB_curr[[#This Row],[Rounding]]</f>
        <v>0</v>
      </c>
    </row>
    <row r="1387" spans="30:41" x14ac:dyDescent="0.25">
      <c r="AD1387" s="1067" t="str">
        <f t="shared" si="105"/>
        <v/>
      </c>
      <c r="AE1387" s="1063" t="str">
        <f>IF(ISNA(VLOOKUP(TB_curr[[#This Row],[Synt]],GL[[#Headers],[#Data],[subtotal label]],1,FALSE)),0,(VLOOKUP(TB_curr[[#This Row],[Synt]],GL[[#Headers],[#Data],[subtotal label]],1,FALSE)))</f>
        <v/>
      </c>
      <c r="AF1387" s="1063" t="e">
        <f>IF((TB_curr[[#This Row],[Synt]]-TB_curr[[#This Row],[Subtotal Y/N]])=0,0,VLOOKUP(TB_curr[[#This Row],[Synt]],GL[[Account]:[Line]],3,FALSE))</f>
        <v>#VALUE!</v>
      </c>
      <c r="AG1387" s="1063" t="e">
        <f>VLOOKUP(TB_curr[[#This Row],[Synt]],GL[[Account]:[B/P]],4,FALSE)</f>
        <v>#N/A</v>
      </c>
      <c r="AH1387" s="1066" t="e">
        <v>#VALUE!</v>
      </c>
      <c r="AI1387" s="1065" t="e">
        <f>TB_curr[[#This Row],[Synt]]&amp;TB_curr[[#This Row],[Line No. manual corr.]]</f>
        <v>#VALUE!</v>
      </c>
      <c r="AJ1387" s="1064">
        <f t="shared" si="106"/>
        <v>0</v>
      </c>
      <c r="AK1387" s="1064">
        <f t="shared" si="107"/>
        <v>0</v>
      </c>
      <c r="AL1387" s="1064">
        <f t="shared" si="108"/>
        <v>0</v>
      </c>
      <c r="AM1387" s="1064">
        <f t="shared" si="109"/>
        <v>0</v>
      </c>
      <c r="AN1387" s="1064"/>
      <c r="AO1387" s="1064">
        <f>TB_curr[[#This Row],[Closing balance]]+TB_curr[[#This Row],[Rounding]]</f>
        <v>0</v>
      </c>
    </row>
    <row r="1388" spans="30:41" x14ac:dyDescent="0.25">
      <c r="AD1388" s="1067" t="str">
        <f t="shared" si="105"/>
        <v/>
      </c>
      <c r="AE1388" s="1063" t="str">
        <f>IF(ISNA(VLOOKUP(TB_curr[[#This Row],[Synt]],GL[[#Headers],[#Data],[subtotal label]],1,FALSE)),0,(VLOOKUP(TB_curr[[#This Row],[Synt]],GL[[#Headers],[#Data],[subtotal label]],1,FALSE)))</f>
        <v/>
      </c>
      <c r="AF1388" s="1063" t="e">
        <f>IF((TB_curr[[#This Row],[Synt]]-TB_curr[[#This Row],[Subtotal Y/N]])=0,0,VLOOKUP(TB_curr[[#This Row],[Synt]],GL[[Account]:[Line]],3,FALSE))</f>
        <v>#VALUE!</v>
      </c>
      <c r="AG1388" s="1063" t="e">
        <f>VLOOKUP(TB_curr[[#This Row],[Synt]],GL[[Account]:[B/P]],4,FALSE)</f>
        <v>#N/A</v>
      </c>
      <c r="AH1388" s="1066" t="e">
        <v>#VALUE!</v>
      </c>
      <c r="AI1388" s="1065" t="e">
        <f>TB_curr[[#This Row],[Synt]]&amp;TB_curr[[#This Row],[Line No. manual corr.]]</f>
        <v>#VALUE!</v>
      </c>
      <c r="AJ1388" s="1064">
        <f t="shared" si="106"/>
        <v>0</v>
      </c>
      <c r="AK1388" s="1064">
        <f t="shared" si="107"/>
        <v>0</v>
      </c>
      <c r="AL1388" s="1064">
        <f t="shared" si="108"/>
        <v>0</v>
      </c>
      <c r="AM1388" s="1064">
        <f t="shared" si="109"/>
        <v>0</v>
      </c>
      <c r="AN1388" s="1064"/>
      <c r="AO1388" s="1064">
        <f>TB_curr[[#This Row],[Closing balance]]+TB_curr[[#This Row],[Rounding]]</f>
        <v>0</v>
      </c>
    </row>
    <row r="1389" spans="30:41" x14ac:dyDescent="0.25">
      <c r="AD1389" s="1067" t="str">
        <f t="shared" si="105"/>
        <v/>
      </c>
      <c r="AE1389" s="1063" t="str">
        <f>IF(ISNA(VLOOKUP(TB_curr[[#This Row],[Synt]],GL[[#Headers],[#Data],[subtotal label]],1,FALSE)),0,(VLOOKUP(TB_curr[[#This Row],[Synt]],GL[[#Headers],[#Data],[subtotal label]],1,FALSE)))</f>
        <v/>
      </c>
      <c r="AF1389" s="1063" t="e">
        <f>IF((TB_curr[[#This Row],[Synt]]-TB_curr[[#This Row],[Subtotal Y/N]])=0,0,VLOOKUP(TB_curr[[#This Row],[Synt]],GL[[Account]:[Line]],3,FALSE))</f>
        <v>#VALUE!</v>
      </c>
      <c r="AG1389" s="1063" t="e">
        <f>VLOOKUP(TB_curr[[#This Row],[Synt]],GL[[Account]:[B/P]],4,FALSE)</f>
        <v>#N/A</v>
      </c>
      <c r="AH1389" s="1066" t="e">
        <v>#VALUE!</v>
      </c>
      <c r="AI1389" s="1065" t="e">
        <f>TB_curr[[#This Row],[Synt]]&amp;TB_curr[[#This Row],[Line No. manual corr.]]</f>
        <v>#VALUE!</v>
      </c>
      <c r="AJ1389" s="1064">
        <f t="shared" si="106"/>
        <v>0</v>
      </c>
      <c r="AK1389" s="1064">
        <f t="shared" si="107"/>
        <v>0</v>
      </c>
      <c r="AL1389" s="1064">
        <f t="shared" si="108"/>
        <v>0</v>
      </c>
      <c r="AM1389" s="1064">
        <f t="shared" si="109"/>
        <v>0</v>
      </c>
      <c r="AN1389" s="1064"/>
      <c r="AO1389" s="1064">
        <f>TB_curr[[#This Row],[Closing balance]]+TB_curr[[#This Row],[Rounding]]</f>
        <v>0</v>
      </c>
    </row>
    <row r="1390" spans="30:41" x14ac:dyDescent="0.25">
      <c r="AD1390" s="1067" t="str">
        <f t="shared" si="105"/>
        <v/>
      </c>
      <c r="AE1390" s="1063" t="str">
        <f>IF(ISNA(VLOOKUP(TB_curr[[#This Row],[Synt]],GL[[#Headers],[#Data],[subtotal label]],1,FALSE)),0,(VLOOKUP(TB_curr[[#This Row],[Synt]],GL[[#Headers],[#Data],[subtotal label]],1,FALSE)))</f>
        <v/>
      </c>
      <c r="AF1390" s="1063" t="e">
        <f>IF((TB_curr[[#This Row],[Synt]]-TB_curr[[#This Row],[Subtotal Y/N]])=0,0,VLOOKUP(TB_curr[[#This Row],[Synt]],GL[[Account]:[Line]],3,FALSE))</f>
        <v>#VALUE!</v>
      </c>
      <c r="AG1390" s="1063" t="e">
        <f>VLOOKUP(TB_curr[[#This Row],[Synt]],GL[[Account]:[B/P]],4,FALSE)</f>
        <v>#N/A</v>
      </c>
      <c r="AH1390" s="1066" t="e">
        <v>#VALUE!</v>
      </c>
      <c r="AI1390" s="1065" t="e">
        <f>TB_curr[[#This Row],[Synt]]&amp;TB_curr[[#This Row],[Line No. manual corr.]]</f>
        <v>#VALUE!</v>
      </c>
      <c r="AJ1390" s="1064">
        <f t="shared" si="106"/>
        <v>0</v>
      </c>
      <c r="AK1390" s="1064">
        <f t="shared" si="107"/>
        <v>0</v>
      </c>
      <c r="AL1390" s="1064">
        <f t="shared" si="108"/>
        <v>0</v>
      </c>
      <c r="AM1390" s="1064">
        <f t="shared" si="109"/>
        <v>0</v>
      </c>
      <c r="AN1390" s="1064"/>
      <c r="AO1390" s="1064">
        <f>TB_curr[[#This Row],[Closing balance]]+TB_curr[[#This Row],[Rounding]]</f>
        <v>0</v>
      </c>
    </row>
    <row r="1391" spans="30:41" x14ac:dyDescent="0.25">
      <c r="AD1391" s="1067" t="str">
        <f t="shared" si="105"/>
        <v/>
      </c>
      <c r="AE1391" s="1063" t="str">
        <f>IF(ISNA(VLOOKUP(TB_curr[[#This Row],[Synt]],GL[[#Headers],[#Data],[subtotal label]],1,FALSE)),0,(VLOOKUP(TB_curr[[#This Row],[Synt]],GL[[#Headers],[#Data],[subtotal label]],1,FALSE)))</f>
        <v/>
      </c>
      <c r="AF1391" s="1063" t="e">
        <f>IF((TB_curr[[#This Row],[Synt]]-TB_curr[[#This Row],[Subtotal Y/N]])=0,0,VLOOKUP(TB_curr[[#This Row],[Synt]],GL[[Account]:[Line]],3,FALSE))</f>
        <v>#VALUE!</v>
      </c>
      <c r="AG1391" s="1063" t="e">
        <f>VLOOKUP(TB_curr[[#This Row],[Synt]],GL[[Account]:[B/P]],4,FALSE)</f>
        <v>#N/A</v>
      </c>
      <c r="AH1391" s="1066" t="e">
        <v>#VALUE!</v>
      </c>
      <c r="AI1391" s="1065" t="e">
        <f>TB_curr[[#This Row],[Synt]]&amp;TB_curr[[#This Row],[Line No. manual corr.]]</f>
        <v>#VALUE!</v>
      </c>
      <c r="AJ1391" s="1064">
        <f t="shared" si="106"/>
        <v>0</v>
      </c>
      <c r="AK1391" s="1064">
        <f t="shared" si="107"/>
        <v>0</v>
      </c>
      <c r="AL1391" s="1064">
        <f t="shared" si="108"/>
        <v>0</v>
      </c>
      <c r="AM1391" s="1064">
        <f t="shared" si="109"/>
        <v>0</v>
      </c>
      <c r="AN1391" s="1064"/>
      <c r="AO1391" s="1064">
        <f>TB_curr[[#This Row],[Closing balance]]+TB_curr[[#This Row],[Rounding]]</f>
        <v>0</v>
      </c>
    </row>
    <row r="1392" spans="30:41" x14ac:dyDescent="0.25">
      <c r="AD1392" s="1067" t="str">
        <f t="shared" si="105"/>
        <v/>
      </c>
      <c r="AE1392" s="1063" t="str">
        <f>IF(ISNA(VLOOKUP(TB_curr[[#This Row],[Synt]],GL[[#Headers],[#Data],[subtotal label]],1,FALSE)),0,(VLOOKUP(TB_curr[[#This Row],[Synt]],GL[[#Headers],[#Data],[subtotal label]],1,FALSE)))</f>
        <v/>
      </c>
      <c r="AF1392" s="1063" t="e">
        <f>IF((TB_curr[[#This Row],[Synt]]-TB_curr[[#This Row],[Subtotal Y/N]])=0,0,VLOOKUP(TB_curr[[#This Row],[Synt]],GL[[Account]:[Line]],3,FALSE))</f>
        <v>#VALUE!</v>
      </c>
      <c r="AG1392" s="1063" t="e">
        <f>VLOOKUP(TB_curr[[#This Row],[Synt]],GL[[Account]:[B/P]],4,FALSE)</f>
        <v>#N/A</v>
      </c>
      <c r="AH1392" s="1066" t="e">
        <v>#VALUE!</v>
      </c>
      <c r="AI1392" s="1065" t="e">
        <f>TB_curr[[#This Row],[Synt]]&amp;TB_curr[[#This Row],[Line No. manual corr.]]</f>
        <v>#VALUE!</v>
      </c>
      <c r="AJ1392" s="1064">
        <f t="shared" si="106"/>
        <v>0</v>
      </c>
      <c r="AK1392" s="1064">
        <f t="shared" si="107"/>
        <v>0</v>
      </c>
      <c r="AL1392" s="1064">
        <f t="shared" si="108"/>
        <v>0</v>
      </c>
      <c r="AM1392" s="1064">
        <f t="shared" si="109"/>
        <v>0</v>
      </c>
      <c r="AN1392" s="1064"/>
      <c r="AO1392" s="1064">
        <f>TB_curr[[#This Row],[Closing balance]]+TB_curr[[#This Row],[Rounding]]</f>
        <v>0</v>
      </c>
    </row>
    <row r="1393" spans="30:41" x14ac:dyDescent="0.25">
      <c r="AD1393" s="1067" t="str">
        <f t="shared" si="105"/>
        <v/>
      </c>
      <c r="AE1393" s="1063" t="str">
        <f>IF(ISNA(VLOOKUP(TB_curr[[#This Row],[Synt]],GL[[#Headers],[#Data],[subtotal label]],1,FALSE)),0,(VLOOKUP(TB_curr[[#This Row],[Synt]],GL[[#Headers],[#Data],[subtotal label]],1,FALSE)))</f>
        <v/>
      </c>
      <c r="AF1393" s="1063" t="e">
        <f>IF((TB_curr[[#This Row],[Synt]]-TB_curr[[#This Row],[Subtotal Y/N]])=0,0,VLOOKUP(TB_curr[[#This Row],[Synt]],GL[[Account]:[Line]],3,FALSE))</f>
        <v>#VALUE!</v>
      </c>
      <c r="AG1393" s="1063" t="e">
        <f>VLOOKUP(TB_curr[[#This Row],[Synt]],GL[[Account]:[B/P]],4,FALSE)</f>
        <v>#N/A</v>
      </c>
      <c r="AH1393" s="1066" t="e">
        <v>#VALUE!</v>
      </c>
      <c r="AI1393" s="1065" t="e">
        <f>TB_curr[[#This Row],[Synt]]&amp;TB_curr[[#This Row],[Line No. manual corr.]]</f>
        <v>#VALUE!</v>
      </c>
      <c r="AJ1393" s="1064">
        <f t="shared" si="106"/>
        <v>0</v>
      </c>
      <c r="AK1393" s="1064">
        <f t="shared" si="107"/>
        <v>0</v>
      </c>
      <c r="AL1393" s="1064">
        <f t="shared" si="108"/>
        <v>0</v>
      </c>
      <c r="AM1393" s="1064">
        <f t="shared" si="109"/>
        <v>0</v>
      </c>
      <c r="AN1393" s="1064"/>
      <c r="AO1393" s="1064">
        <f>TB_curr[[#This Row],[Closing balance]]+TB_curr[[#This Row],[Rounding]]</f>
        <v>0</v>
      </c>
    </row>
    <row r="1394" spans="30:41" x14ac:dyDescent="0.25">
      <c r="AD1394" s="1067" t="str">
        <f t="shared" si="105"/>
        <v/>
      </c>
      <c r="AE1394" s="1063" t="str">
        <f>IF(ISNA(VLOOKUP(TB_curr[[#This Row],[Synt]],GL[[#Headers],[#Data],[subtotal label]],1,FALSE)),0,(VLOOKUP(TB_curr[[#This Row],[Synt]],GL[[#Headers],[#Data],[subtotal label]],1,FALSE)))</f>
        <v/>
      </c>
      <c r="AF1394" s="1063" t="e">
        <f>IF((TB_curr[[#This Row],[Synt]]-TB_curr[[#This Row],[Subtotal Y/N]])=0,0,VLOOKUP(TB_curr[[#This Row],[Synt]],GL[[Account]:[Line]],3,FALSE))</f>
        <v>#VALUE!</v>
      </c>
      <c r="AG1394" s="1063" t="e">
        <f>VLOOKUP(TB_curr[[#This Row],[Synt]],GL[[Account]:[B/P]],4,FALSE)</f>
        <v>#N/A</v>
      </c>
      <c r="AH1394" s="1066" t="e">
        <v>#VALUE!</v>
      </c>
      <c r="AI1394" s="1065" t="e">
        <f>TB_curr[[#This Row],[Synt]]&amp;TB_curr[[#This Row],[Line No. manual corr.]]</f>
        <v>#VALUE!</v>
      </c>
      <c r="AJ1394" s="1064">
        <f t="shared" si="106"/>
        <v>0</v>
      </c>
      <c r="AK1394" s="1064">
        <f t="shared" si="107"/>
        <v>0</v>
      </c>
      <c r="AL1394" s="1064">
        <f t="shared" si="108"/>
        <v>0</v>
      </c>
      <c r="AM1394" s="1064">
        <f t="shared" si="109"/>
        <v>0</v>
      </c>
      <c r="AN1394" s="1064"/>
      <c r="AO1394" s="1064">
        <f>TB_curr[[#This Row],[Closing balance]]+TB_curr[[#This Row],[Rounding]]</f>
        <v>0</v>
      </c>
    </row>
    <row r="1395" spans="30:41" x14ac:dyDescent="0.25">
      <c r="AD1395" s="1067" t="str">
        <f t="shared" si="105"/>
        <v/>
      </c>
      <c r="AE1395" s="1063" t="str">
        <f>IF(ISNA(VLOOKUP(TB_curr[[#This Row],[Synt]],GL[[#Headers],[#Data],[subtotal label]],1,FALSE)),0,(VLOOKUP(TB_curr[[#This Row],[Synt]],GL[[#Headers],[#Data],[subtotal label]],1,FALSE)))</f>
        <v/>
      </c>
      <c r="AF1395" s="1063" t="e">
        <f>IF((TB_curr[[#This Row],[Synt]]-TB_curr[[#This Row],[Subtotal Y/N]])=0,0,VLOOKUP(TB_curr[[#This Row],[Synt]],GL[[Account]:[Line]],3,FALSE))</f>
        <v>#VALUE!</v>
      </c>
      <c r="AG1395" s="1063" t="e">
        <f>VLOOKUP(TB_curr[[#This Row],[Synt]],GL[[Account]:[B/P]],4,FALSE)</f>
        <v>#N/A</v>
      </c>
      <c r="AH1395" s="1066" t="e">
        <v>#VALUE!</v>
      </c>
      <c r="AI1395" s="1065" t="e">
        <f>TB_curr[[#This Row],[Synt]]&amp;TB_curr[[#This Row],[Line No. manual corr.]]</f>
        <v>#VALUE!</v>
      </c>
      <c r="AJ1395" s="1064">
        <f t="shared" si="106"/>
        <v>0</v>
      </c>
      <c r="AK1395" s="1064">
        <f t="shared" si="107"/>
        <v>0</v>
      </c>
      <c r="AL1395" s="1064">
        <f t="shared" si="108"/>
        <v>0</v>
      </c>
      <c r="AM1395" s="1064">
        <f t="shared" si="109"/>
        <v>0</v>
      </c>
      <c r="AN1395" s="1064"/>
      <c r="AO1395" s="1064">
        <f>TB_curr[[#This Row],[Closing balance]]+TB_curr[[#This Row],[Rounding]]</f>
        <v>0</v>
      </c>
    </row>
    <row r="1396" spans="30:41" x14ac:dyDescent="0.25">
      <c r="AD1396" s="1067" t="str">
        <f t="shared" si="105"/>
        <v/>
      </c>
      <c r="AE1396" s="1063" t="str">
        <f>IF(ISNA(VLOOKUP(TB_curr[[#This Row],[Synt]],GL[[#Headers],[#Data],[subtotal label]],1,FALSE)),0,(VLOOKUP(TB_curr[[#This Row],[Synt]],GL[[#Headers],[#Data],[subtotal label]],1,FALSE)))</f>
        <v/>
      </c>
      <c r="AF1396" s="1063" t="e">
        <f>IF((TB_curr[[#This Row],[Synt]]-TB_curr[[#This Row],[Subtotal Y/N]])=0,0,VLOOKUP(TB_curr[[#This Row],[Synt]],GL[[Account]:[Line]],3,FALSE))</f>
        <v>#VALUE!</v>
      </c>
      <c r="AG1396" s="1063" t="e">
        <f>VLOOKUP(TB_curr[[#This Row],[Synt]],GL[[Account]:[B/P]],4,FALSE)</f>
        <v>#N/A</v>
      </c>
      <c r="AH1396" s="1066" t="e">
        <v>#VALUE!</v>
      </c>
      <c r="AI1396" s="1065" t="e">
        <f>TB_curr[[#This Row],[Synt]]&amp;TB_curr[[#This Row],[Line No. manual corr.]]</f>
        <v>#VALUE!</v>
      </c>
      <c r="AJ1396" s="1064">
        <f t="shared" si="106"/>
        <v>0</v>
      </c>
      <c r="AK1396" s="1064">
        <f t="shared" si="107"/>
        <v>0</v>
      </c>
      <c r="AL1396" s="1064">
        <f t="shared" si="108"/>
        <v>0</v>
      </c>
      <c r="AM1396" s="1064">
        <f t="shared" si="109"/>
        <v>0</v>
      </c>
      <c r="AN1396" s="1064"/>
      <c r="AO1396" s="1064">
        <f>TB_curr[[#This Row],[Closing balance]]+TB_curr[[#This Row],[Rounding]]</f>
        <v>0</v>
      </c>
    </row>
    <row r="1397" spans="30:41" x14ac:dyDescent="0.25">
      <c r="AD1397" s="1067" t="str">
        <f t="shared" si="105"/>
        <v/>
      </c>
      <c r="AE1397" s="1063" t="str">
        <f>IF(ISNA(VLOOKUP(TB_curr[[#This Row],[Synt]],GL[[#Headers],[#Data],[subtotal label]],1,FALSE)),0,(VLOOKUP(TB_curr[[#This Row],[Synt]],GL[[#Headers],[#Data],[subtotal label]],1,FALSE)))</f>
        <v/>
      </c>
      <c r="AF1397" s="1063" t="e">
        <f>IF((TB_curr[[#This Row],[Synt]]-TB_curr[[#This Row],[Subtotal Y/N]])=0,0,VLOOKUP(TB_curr[[#This Row],[Synt]],GL[[Account]:[Line]],3,FALSE))</f>
        <v>#VALUE!</v>
      </c>
      <c r="AG1397" s="1063" t="e">
        <f>VLOOKUP(TB_curr[[#This Row],[Synt]],GL[[Account]:[B/P]],4,FALSE)</f>
        <v>#N/A</v>
      </c>
      <c r="AH1397" s="1066" t="e">
        <v>#VALUE!</v>
      </c>
      <c r="AI1397" s="1065" t="e">
        <f>TB_curr[[#This Row],[Synt]]&amp;TB_curr[[#This Row],[Line No. manual corr.]]</f>
        <v>#VALUE!</v>
      </c>
      <c r="AJ1397" s="1064">
        <f t="shared" si="106"/>
        <v>0</v>
      </c>
      <c r="AK1397" s="1064">
        <f t="shared" si="107"/>
        <v>0</v>
      </c>
      <c r="AL1397" s="1064">
        <f t="shared" si="108"/>
        <v>0</v>
      </c>
      <c r="AM1397" s="1064">
        <f t="shared" si="109"/>
        <v>0</v>
      </c>
      <c r="AN1397" s="1064"/>
      <c r="AO1397" s="1064">
        <f>TB_curr[[#This Row],[Closing balance]]+TB_curr[[#This Row],[Rounding]]</f>
        <v>0</v>
      </c>
    </row>
    <row r="1398" spans="30:41" x14ac:dyDescent="0.25">
      <c r="AD1398" s="1067" t="str">
        <f t="shared" si="105"/>
        <v/>
      </c>
      <c r="AE1398" s="1063" t="str">
        <f>IF(ISNA(VLOOKUP(TB_curr[[#This Row],[Synt]],GL[[#Headers],[#Data],[subtotal label]],1,FALSE)),0,(VLOOKUP(TB_curr[[#This Row],[Synt]],GL[[#Headers],[#Data],[subtotal label]],1,FALSE)))</f>
        <v/>
      </c>
      <c r="AF1398" s="1063" t="e">
        <f>IF((TB_curr[[#This Row],[Synt]]-TB_curr[[#This Row],[Subtotal Y/N]])=0,0,VLOOKUP(TB_curr[[#This Row],[Synt]],GL[[Account]:[Line]],3,FALSE))</f>
        <v>#VALUE!</v>
      </c>
      <c r="AG1398" s="1063" t="e">
        <f>VLOOKUP(TB_curr[[#This Row],[Synt]],GL[[Account]:[B/P]],4,FALSE)</f>
        <v>#N/A</v>
      </c>
      <c r="AH1398" s="1066" t="e">
        <v>#VALUE!</v>
      </c>
      <c r="AI1398" s="1065" t="e">
        <f>TB_curr[[#This Row],[Synt]]&amp;TB_curr[[#This Row],[Line No. manual corr.]]</f>
        <v>#VALUE!</v>
      </c>
      <c r="AJ1398" s="1064">
        <f t="shared" si="106"/>
        <v>0</v>
      </c>
      <c r="AK1398" s="1064">
        <f t="shared" si="107"/>
        <v>0</v>
      </c>
      <c r="AL1398" s="1064">
        <f t="shared" si="108"/>
        <v>0</v>
      </c>
      <c r="AM1398" s="1064">
        <f t="shared" si="109"/>
        <v>0</v>
      </c>
      <c r="AN1398" s="1064"/>
      <c r="AO1398" s="1064">
        <f>TB_curr[[#This Row],[Closing balance]]+TB_curr[[#This Row],[Rounding]]</f>
        <v>0</v>
      </c>
    </row>
    <row r="1399" spans="30:41" x14ac:dyDescent="0.25">
      <c r="AD1399" s="1067" t="str">
        <f t="shared" si="105"/>
        <v/>
      </c>
      <c r="AE1399" s="1063" t="str">
        <f>IF(ISNA(VLOOKUP(TB_curr[[#This Row],[Synt]],GL[[#Headers],[#Data],[subtotal label]],1,FALSE)),0,(VLOOKUP(TB_curr[[#This Row],[Synt]],GL[[#Headers],[#Data],[subtotal label]],1,FALSE)))</f>
        <v/>
      </c>
      <c r="AF1399" s="1063" t="e">
        <f>IF((TB_curr[[#This Row],[Synt]]-TB_curr[[#This Row],[Subtotal Y/N]])=0,0,VLOOKUP(TB_curr[[#This Row],[Synt]],GL[[Account]:[Line]],3,FALSE))</f>
        <v>#VALUE!</v>
      </c>
      <c r="AG1399" s="1063" t="e">
        <f>VLOOKUP(TB_curr[[#This Row],[Synt]],GL[[Account]:[B/P]],4,FALSE)</f>
        <v>#N/A</v>
      </c>
      <c r="AH1399" s="1066" t="e">
        <v>#VALUE!</v>
      </c>
      <c r="AI1399" s="1065" t="e">
        <f>TB_curr[[#This Row],[Synt]]&amp;TB_curr[[#This Row],[Line No. manual corr.]]</f>
        <v>#VALUE!</v>
      </c>
      <c r="AJ1399" s="1064">
        <f t="shared" si="106"/>
        <v>0</v>
      </c>
      <c r="AK1399" s="1064">
        <f t="shared" si="107"/>
        <v>0</v>
      </c>
      <c r="AL1399" s="1064">
        <f t="shared" si="108"/>
        <v>0</v>
      </c>
      <c r="AM1399" s="1064">
        <f t="shared" si="109"/>
        <v>0</v>
      </c>
      <c r="AN1399" s="1064"/>
      <c r="AO1399" s="1064">
        <f>TB_curr[[#This Row],[Closing balance]]+TB_curr[[#This Row],[Rounding]]</f>
        <v>0</v>
      </c>
    </row>
    <row r="1400" spans="30:41" x14ac:dyDescent="0.25">
      <c r="AD1400" s="1067" t="str">
        <f t="shared" si="105"/>
        <v/>
      </c>
      <c r="AE1400" s="1063" t="str">
        <f>IF(ISNA(VLOOKUP(TB_curr[[#This Row],[Synt]],GL[[#Headers],[#Data],[subtotal label]],1,FALSE)),0,(VLOOKUP(TB_curr[[#This Row],[Synt]],GL[[#Headers],[#Data],[subtotal label]],1,FALSE)))</f>
        <v/>
      </c>
      <c r="AF1400" s="1063" t="e">
        <f>IF((TB_curr[[#This Row],[Synt]]-TB_curr[[#This Row],[Subtotal Y/N]])=0,0,VLOOKUP(TB_curr[[#This Row],[Synt]],GL[[Account]:[Line]],3,FALSE))</f>
        <v>#VALUE!</v>
      </c>
      <c r="AG1400" s="1063" t="e">
        <f>VLOOKUP(TB_curr[[#This Row],[Synt]],GL[[Account]:[B/P]],4,FALSE)</f>
        <v>#N/A</v>
      </c>
      <c r="AH1400" s="1066" t="e">
        <v>#VALUE!</v>
      </c>
      <c r="AI1400" s="1065" t="e">
        <f>TB_curr[[#This Row],[Synt]]&amp;TB_curr[[#This Row],[Line No. manual corr.]]</f>
        <v>#VALUE!</v>
      </c>
      <c r="AJ1400" s="1064">
        <f t="shared" si="106"/>
        <v>0</v>
      </c>
      <c r="AK1400" s="1064">
        <f t="shared" si="107"/>
        <v>0</v>
      </c>
      <c r="AL1400" s="1064">
        <f t="shared" si="108"/>
        <v>0</v>
      </c>
      <c r="AM1400" s="1064">
        <f t="shared" si="109"/>
        <v>0</v>
      </c>
      <c r="AN1400" s="1064"/>
      <c r="AO1400" s="1064">
        <f>TB_curr[[#This Row],[Closing balance]]+TB_curr[[#This Row],[Rounding]]</f>
        <v>0</v>
      </c>
    </row>
    <row r="1401" spans="30:41" x14ac:dyDescent="0.25">
      <c r="AD1401" s="1067" t="str">
        <f t="shared" si="105"/>
        <v/>
      </c>
      <c r="AE1401" s="1063" t="str">
        <f>IF(ISNA(VLOOKUP(TB_curr[[#This Row],[Synt]],GL[[#Headers],[#Data],[subtotal label]],1,FALSE)),0,(VLOOKUP(TB_curr[[#This Row],[Synt]],GL[[#Headers],[#Data],[subtotal label]],1,FALSE)))</f>
        <v/>
      </c>
      <c r="AF1401" s="1063" t="e">
        <f>IF((TB_curr[[#This Row],[Synt]]-TB_curr[[#This Row],[Subtotal Y/N]])=0,0,VLOOKUP(TB_curr[[#This Row],[Synt]],GL[[Account]:[Line]],3,FALSE))</f>
        <v>#VALUE!</v>
      </c>
      <c r="AG1401" s="1063" t="e">
        <f>VLOOKUP(TB_curr[[#This Row],[Synt]],GL[[Account]:[B/P]],4,FALSE)</f>
        <v>#N/A</v>
      </c>
      <c r="AH1401" s="1066" t="e">
        <v>#VALUE!</v>
      </c>
      <c r="AI1401" s="1065" t="e">
        <f>TB_curr[[#This Row],[Synt]]&amp;TB_curr[[#This Row],[Line No. manual corr.]]</f>
        <v>#VALUE!</v>
      </c>
      <c r="AJ1401" s="1064">
        <f t="shared" si="106"/>
        <v>0</v>
      </c>
      <c r="AK1401" s="1064">
        <f t="shared" si="107"/>
        <v>0</v>
      </c>
      <c r="AL1401" s="1064">
        <f t="shared" si="108"/>
        <v>0</v>
      </c>
      <c r="AM1401" s="1064">
        <f t="shared" si="109"/>
        <v>0</v>
      </c>
      <c r="AN1401" s="1064"/>
      <c r="AO1401" s="1064">
        <f>TB_curr[[#This Row],[Closing balance]]+TB_curr[[#This Row],[Rounding]]</f>
        <v>0</v>
      </c>
    </row>
    <row r="1402" spans="30:41" x14ac:dyDescent="0.25">
      <c r="AD1402" s="1067" t="str">
        <f t="shared" si="105"/>
        <v/>
      </c>
      <c r="AE1402" s="1063" t="str">
        <f>IF(ISNA(VLOOKUP(TB_curr[[#This Row],[Synt]],GL[[#Headers],[#Data],[subtotal label]],1,FALSE)),0,(VLOOKUP(TB_curr[[#This Row],[Synt]],GL[[#Headers],[#Data],[subtotal label]],1,FALSE)))</f>
        <v/>
      </c>
      <c r="AF1402" s="1063" t="e">
        <f>IF((TB_curr[[#This Row],[Synt]]-TB_curr[[#This Row],[Subtotal Y/N]])=0,0,VLOOKUP(TB_curr[[#This Row],[Synt]],GL[[Account]:[Line]],3,FALSE))</f>
        <v>#VALUE!</v>
      </c>
      <c r="AG1402" s="1063" t="e">
        <f>VLOOKUP(TB_curr[[#This Row],[Synt]],GL[[Account]:[B/P]],4,FALSE)</f>
        <v>#N/A</v>
      </c>
      <c r="AH1402" s="1066" t="e">
        <v>#VALUE!</v>
      </c>
      <c r="AI1402" s="1065" t="e">
        <f>TB_curr[[#This Row],[Synt]]&amp;TB_curr[[#This Row],[Line No. manual corr.]]</f>
        <v>#VALUE!</v>
      </c>
      <c r="AJ1402" s="1064">
        <f t="shared" si="106"/>
        <v>0</v>
      </c>
      <c r="AK1402" s="1064">
        <f t="shared" si="107"/>
        <v>0</v>
      </c>
      <c r="AL1402" s="1064">
        <f t="shared" si="108"/>
        <v>0</v>
      </c>
      <c r="AM1402" s="1064">
        <f t="shared" si="109"/>
        <v>0</v>
      </c>
      <c r="AN1402" s="1064"/>
      <c r="AO1402" s="1064">
        <f>TB_curr[[#This Row],[Closing balance]]+TB_curr[[#This Row],[Rounding]]</f>
        <v>0</v>
      </c>
    </row>
    <row r="1403" spans="30:41" x14ac:dyDescent="0.25">
      <c r="AD1403" s="1067" t="str">
        <f t="shared" si="105"/>
        <v/>
      </c>
      <c r="AE1403" s="1063" t="str">
        <f>IF(ISNA(VLOOKUP(TB_curr[[#This Row],[Synt]],GL[[#Headers],[#Data],[subtotal label]],1,FALSE)),0,(VLOOKUP(TB_curr[[#This Row],[Synt]],GL[[#Headers],[#Data],[subtotal label]],1,FALSE)))</f>
        <v/>
      </c>
      <c r="AF1403" s="1063" t="e">
        <f>IF((TB_curr[[#This Row],[Synt]]-TB_curr[[#This Row],[Subtotal Y/N]])=0,0,VLOOKUP(TB_curr[[#This Row],[Synt]],GL[[Account]:[Line]],3,FALSE))</f>
        <v>#VALUE!</v>
      </c>
      <c r="AG1403" s="1063" t="e">
        <f>VLOOKUP(TB_curr[[#This Row],[Synt]],GL[[Account]:[B/P]],4,FALSE)</f>
        <v>#N/A</v>
      </c>
      <c r="AH1403" s="1066" t="e">
        <v>#VALUE!</v>
      </c>
      <c r="AI1403" s="1065" t="e">
        <f>TB_curr[[#This Row],[Synt]]&amp;TB_curr[[#This Row],[Line No. manual corr.]]</f>
        <v>#VALUE!</v>
      </c>
      <c r="AJ1403" s="1064">
        <f t="shared" si="106"/>
        <v>0</v>
      </c>
      <c r="AK1403" s="1064">
        <f t="shared" si="107"/>
        <v>0</v>
      </c>
      <c r="AL1403" s="1064">
        <f t="shared" si="108"/>
        <v>0</v>
      </c>
      <c r="AM1403" s="1064">
        <f t="shared" si="109"/>
        <v>0</v>
      </c>
      <c r="AN1403" s="1064"/>
      <c r="AO1403" s="1064">
        <f>TB_curr[[#This Row],[Closing balance]]+TB_curr[[#This Row],[Rounding]]</f>
        <v>0</v>
      </c>
    </row>
    <row r="1404" spans="30:41" x14ac:dyDescent="0.25">
      <c r="AD1404" s="1067" t="str">
        <f t="shared" si="105"/>
        <v/>
      </c>
      <c r="AE1404" s="1063" t="str">
        <f>IF(ISNA(VLOOKUP(TB_curr[[#This Row],[Synt]],GL[[#Headers],[#Data],[subtotal label]],1,FALSE)),0,(VLOOKUP(TB_curr[[#This Row],[Synt]],GL[[#Headers],[#Data],[subtotal label]],1,FALSE)))</f>
        <v/>
      </c>
      <c r="AF1404" s="1063" t="e">
        <f>IF((TB_curr[[#This Row],[Synt]]-TB_curr[[#This Row],[Subtotal Y/N]])=0,0,VLOOKUP(TB_curr[[#This Row],[Synt]],GL[[Account]:[Line]],3,FALSE))</f>
        <v>#VALUE!</v>
      </c>
      <c r="AG1404" s="1063" t="e">
        <f>VLOOKUP(TB_curr[[#This Row],[Synt]],GL[[Account]:[B/P]],4,FALSE)</f>
        <v>#N/A</v>
      </c>
      <c r="AH1404" s="1066" t="e">
        <v>#VALUE!</v>
      </c>
      <c r="AI1404" s="1065" t="e">
        <f>TB_curr[[#This Row],[Synt]]&amp;TB_curr[[#This Row],[Line No. manual corr.]]</f>
        <v>#VALUE!</v>
      </c>
      <c r="AJ1404" s="1064">
        <f t="shared" si="106"/>
        <v>0</v>
      </c>
      <c r="AK1404" s="1064">
        <f t="shared" si="107"/>
        <v>0</v>
      </c>
      <c r="AL1404" s="1064">
        <f t="shared" si="108"/>
        <v>0</v>
      </c>
      <c r="AM1404" s="1064">
        <f t="shared" si="109"/>
        <v>0</v>
      </c>
      <c r="AN1404" s="1064"/>
      <c r="AO1404" s="1064">
        <f>TB_curr[[#This Row],[Closing balance]]+TB_curr[[#This Row],[Rounding]]</f>
        <v>0</v>
      </c>
    </row>
    <row r="1405" spans="30:41" x14ac:dyDescent="0.25">
      <c r="AD1405" s="1067" t="str">
        <f t="shared" si="105"/>
        <v/>
      </c>
      <c r="AE1405" s="1063" t="str">
        <f>IF(ISNA(VLOOKUP(TB_curr[[#This Row],[Synt]],GL[[#Headers],[#Data],[subtotal label]],1,FALSE)),0,(VLOOKUP(TB_curr[[#This Row],[Synt]],GL[[#Headers],[#Data],[subtotal label]],1,FALSE)))</f>
        <v/>
      </c>
      <c r="AF1405" s="1063" t="e">
        <f>IF((TB_curr[[#This Row],[Synt]]-TB_curr[[#This Row],[Subtotal Y/N]])=0,0,VLOOKUP(TB_curr[[#This Row],[Synt]],GL[[Account]:[Line]],3,FALSE))</f>
        <v>#VALUE!</v>
      </c>
      <c r="AG1405" s="1063" t="e">
        <f>VLOOKUP(TB_curr[[#This Row],[Synt]],GL[[Account]:[B/P]],4,FALSE)</f>
        <v>#N/A</v>
      </c>
      <c r="AH1405" s="1066" t="e">
        <v>#VALUE!</v>
      </c>
      <c r="AI1405" s="1065" t="e">
        <f>TB_curr[[#This Row],[Synt]]&amp;TB_curr[[#This Row],[Line No. manual corr.]]</f>
        <v>#VALUE!</v>
      </c>
      <c r="AJ1405" s="1064">
        <f t="shared" si="106"/>
        <v>0</v>
      </c>
      <c r="AK1405" s="1064">
        <f t="shared" si="107"/>
        <v>0</v>
      </c>
      <c r="AL1405" s="1064">
        <f t="shared" si="108"/>
        <v>0</v>
      </c>
      <c r="AM1405" s="1064">
        <f t="shared" si="109"/>
        <v>0</v>
      </c>
      <c r="AN1405" s="1064"/>
      <c r="AO1405" s="1064">
        <f>TB_curr[[#This Row],[Closing balance]]+TB_curr[[#This Row],[Rounding]]</f>
        <v>0</v>
      </c>
    </row>
    <row r="1406" spans="30:41" x14ac:dyDescent="0.25">
      <c r="AD1406" s="1067" t="str">
        <f t="shared" si="105"/>
        <v/>
      </c>
      <c r="AE1406" s="1063" t="str">
        <f>IF(ISNA(VLOOKUP(TB_curr[[#This Row],[Synt]],GL[[#Headers],[#Data],[subtotal label]],1,FALSE)),0,(VLOOKUP(TB_curr[[#This Row],[Synt]],GL[[#Headers],[#Data],[subtotal label]],1,FALSE)))</f>
        <v/>
      </c>
      <c r="AF1406" s="1063" t="e">
        <f>IF((TB_curr[[#This Row],[Synt]]-TB_curr[[#This Row],[Subtotal Y/N]])=0,0,VLOOKUP(TB_curr[[#This Row],[Synt]],GL[[Account]:[Line]],3,FALSE))</f>
        <v>#VALUE!</v>
      </c>
      <c r="AG1406" s="1063" t="e">
        <f>VLOOKUP(TB_curr[[#This Row],[Synt]],GL[[Account]:[B/P]],4,FALSE)</f>
        <v>#N/A</v>
      </c>
      <c r="AH1406" s="1066" t="e">
        <v>#VALUE!</v>
      </c>
      <c r="AI1406" s="1065" t="e">
        <f>TB_curr[[#This Row],[Synt]]&amp;TB_curr[[#This Row],[Line No. manual corr.]]</f>
        <v>#VALUE!</v>
      </c>
      <c r="AJ1406" s="1064">
        <f t="shared" si="106"/>
        <v>0</v>
      </c>
      <c r="AK1406" s="1064">
        <f t="shared" si="107"/>
        <v>0</v>
      </c>
      <c r="AL1406" s="1064">
        <f t="shared" si="108"/>
        <v>0</v>
      </c>
      <c r="AM1406" s="1064">
        <f t="shared" si="109"/>
        <v>0</v>
      </c>
      <c r="AN1406" s="1064"/>
      <c r="AO1406" s="1064">
        <f>TB_curr[[#This Row],[Closing balance]]+TB_curr[[#This Row],[Rounding]]</f>
        <v>0</v>
      </c>
    </row>
    <row r="1407" spans="30:41" x14ac:dyDescent="0.25">
      <c r="AD1407" s="1067" t="str">
        <f t="shared" si="105"/>
        <v/>
      </c>
      <c r="AE1407" s="1063" t="str">
        <f>IF(ISNA(VLOOKUP(TB_curr[[#This Row],[Synt]],GL[[#Headers],[#Data],[subtotal label]],1,FALSE)),0,(VLOOKUP(TB_curr[[#This Row],[Synt]],GL[[#Headers],[#Data],[subtotal label]],1,FALSE)))</f>
        <v/>
      </c>
      <c r="AF1407" s="1063" t="e">
        <f>IF((TB_curr[[#This Row],[Synt]]-TB_curr[[#This Row],[Subtotal Y/N]])=0,0,VLOOKUP(TB_curr[[#This Row],[Synt]],GL[[Account]:[Line]],3,FALSE))</f>
        <v>#VALUE!</v>
      </c>
      <c r="AG1407" s="1063" t="e">
        <f>VLOOKUP(TB_curr[[#This Row],[Synt]],GL[[Account]:[B/P]],4,FALSE)</f>
        <v>#N/A</v>
      </c>
      <c r="AH1407" s="1066" t="e">
        <v>#VALUE!</v>
      </c>
      <c r="AI1407" s="1065" t="e">
        <f>TB_curr[[#This Row],[Synt]]&amp;TB_curr[[#This Row],[Line No. manual corr.]]</f>
        <v>#VALUE!</v>
      </c>
      <c r="AJ1407" s="1064">
        <f t="shared" si="106"/>
        <v>0</v>
      </c>
      <c r="AK1407" s="1064">
        <f t="shared" si="107"/>
        <v>0</v>
      </c>
      <c r="AL1407" s="1064">
        <f t="shared" si="108"/>
        <v>0</v>
      </c>
      <c r="AM1407" s="1064">
        <f t="shared" si="109"/>
        <v>0</v>
      </c>
      <c r="AN1407" s="1064"/>
      <c r="AO1407" s="1064">
        <f>TB_curr[[#This Row],[Closing balance]]+TB_curr[[#This Row],[Rounding]]</f>
        <v>0</v>
      </c>
    </row>
    <row r="1408" spans="30:41" x14ac:dyDescent="0.25">
      <c r="AD1408" s="1067" t="str">
        <f t="shared" si="105"/>
        <v/>
      </c>
      <c r="AE1408" s="1063" t="str">
        <f>IF(ISNA(VLOOKUP(TB_curr[[#This Row],[Synt]],GL[[#Headers],[#Data],[subtotal label]],1,FALSE)),0,(VLOOKUP(TB_curr[[#This Row],[Synt]],GL[[#Headers],[#Data],[subtotal label]],1,FALSE)))</f>
        <v/>
      </c>
      <c r="AF1408" s="1063" t="e">
        <f>IF((TB_curr[[#This Row],[Synt]]-TB_curr[[#This Row],[Subtotal Y/N]])=0,0,VLOOKUP(TB_curr[[#This Row],[Synt]],GL[[Account]:[Line]],3,FALSE))</f>
        <v>#VALUE!</v>
      </c>
      <c r="AG1408" s="1063" t="e">
        <f>VLOOKUP(TB_curr[[#This Row],[Synt]],GL[[Account]:[B/P]],4,FALSE)</f>
        <v>#N/A</v>
      </c>
      <c r="AH1408" s="1066" t="e">
        <v>#VALUE!</v>
      </c>
      <c r="AI1408" s="1065" t="e">
        <f>TB_curr[[#This Row],[Synt]]&amp;TB_curr[[#This Row],[Line No. manual corr.]]</f>
        <v>#VALUE!</v>
      </c>
      <c r="AJ1408" s="1064">
        <f t="shared" si="106"/>
        <v>0</v>
      </c>
      <c r="AK1408" s="1064">
        <f t="shared" si="107"/>
        <v>0</v>
      </c>
      <c r="AL1408" s="1064">
        <f t="shared" si="108"/>
        <v>0</v>
      </c>
      <c r="AM1408" s="1064">
        <f t="shared" si="109"/>
        <v>0</v>
      </c>
      <c r="AN1408" s="1064"/>
      <c r="AO1408" s="1064">
        <f>TB_curr[[#This Row],[Closing balance]]+TB_curr[[#This Row],[Rounding]]</f>
        <v>0</v>
      </c>
    </row>
    <row r="1409" spans="30:41" x14ac:dyDescent="0.25">
      <c r="AD1409" s="1067" t="str">
        <f t="shared" si="105"/>
        <v/>
      </c>
      <c r="AE1409" s="1063" t="str">
        <f>IF(ISNA(VLOOKUP(TB_curr[[#This Row],[Synt]],GL[[#Headers],[#Data],[subtotal label]],1,FALSE)),0,(VLOOKUP(TB_curr[[#This Row],[Synt]],GL[[#Headers],[#Data],[subtotal label]],1,FALSE)))</f>
        <v/>
      </c>
      <c r="AF1409" s="1063" t="e">
        <f>IF((TB_curr[[#This Row],[Synt]]-TB_curr[[#This Row],[Subtotal Y/N]])=0,0,VLOOKUP(TB_curr[[#This Row],[Synt]],GL[[Account]:[Line]],3,FALSE))</f>
        <v>#VALUE!</v>
      </c>
      <c r="AG1409" s="1063" t="e">
        <f>VLOOKUP(TB_curr[[#This Row],[Synt]],GL[[Account]:[B/P]],4,FALSE)</f>
        <v>#N/A</v>
      </c>
      <c r="AH1409" s="1066" t="e">
        <v>#VALUE!</v>
      </c>
      <c r="AI1409" s="1065" t="e">
        <f>TB_curr[[#This Row],[Synt]]&amp;TB_curr[[#This Row],[Line No. manual corr.]]</f>
        <v>#VALUE!</v>
      </c>
      <c r="AJ1409" s="1064">
        <f t="shared" si="106"/>
        <v>0</v>
      </c>
      <c r="AK1409" s="1064">
        <f t="shared" si="107"/>
        <v>0</v>
      </c>
      <c r="AL1409" s="1064">
        <f t="shared" si="108"/>
        <v>0</v>
      </c>
      <c r="AM1409" s="1064">
        <f t="shared" si="109"/>
        <v>0</v>
      </c>
      <c r="AN1409" s="1064"/>
      <c r="AO1409" s="1064">
        <f>TB_curr[[#This Row],[Closing balance]]+TB_curr[[#This Row],[Rounding]]</f>
        <v>0</v>
      </c>
    </row>
    <row r="1410" spans="30:41" x14ac:dyDescent="0.25">
      <c r="AD1410" s="1067" t="str">
        <f t="shared" si="105"/>
        <v/>
      </c>
      <c r="AE1410" s="1063" t="str">
        <f>IF(ISNA(VLOOKUP(TB_curr[[#This Row],[Synt]],GL[[#Headers],[#Data],[subtotal label]],1,FALSE)),0,(VLOOKUP(TB_curr[[#This Row],[Synt]],GL[[#Headers],[#Data],[subtotal label]],1,FALSE)))</f>
        <v/>
      </c>
      <c r="AF1410" s="1063" t="e">
        <f>IF((TB_curr[[#This Row],[Synt]]-TB_curr[[#This Row],[Subtotal Y/N]])=0,0,VLOOKUP(TB_curr[[#This Row],[Synt]],GL[[Account]:[Line]],3,FALSE))</f>
        <v>#VALUE!</v>
      </c>
      <c r="AG1410" s="1063" t="e">
        <f>VLOOKUP(TB_curr[[#This Row],[Synt]],GL[[Account]:[B/P]],4,FALSE)</f>
        <v>#N/A</v>
      </c>
      <c r="AH1410" s="1066" t="e">
        <v>#VALUE!</v>
      </c>
      <c r="AI1410" s="1065" t="e">
        <f>TB_curr[[#This Row],[Synt]]&amp;TB_curr[[#This Row],[Line No. manual corr.]]</f>
        <v>#VALUE!</v>
      </c>
      <c r="AJ1410" s="1064">
        <f t="shared" si="106"/>
        <v>0</v>
      </c>
      <c r="AK1410" s="1064">
        <f t="shared" si="107"/>
        <v>0</v>
      </c>
      <c r="AL1410" s="1064">
        <f t="shared" si="108"/>
        <v>0</v>
      </c>
      <c r="AM1410" s="1064">
        <f t="shared" si="109"/>
        <v>0</v>
      </c>
      <c r="AN1410" s="1064"/>
      <c r="AO1410" s="1064">
        <f>TB_curr[[#This Row],[Closing balance]]+TB_curr[[#This Row],[Rounding]]</f>
        <v>0</v>
      </c>
    </row>
    <row r="1411" spans="30:41" x14ac:dyDescent="0.25">
      <c r="AD1411" s="1067" t="str">
        <f t="shared" si="105"/>
        <v/>
      </c>
      <c r="AE1411" s="1063" t="str">
        <f>IF(ISNA(VLOOKUP(TB_curr[[#This Row],[Synt]],GL[[#Headers],[#Data],[subtotal label]],1,FALSE)),0,(VLOOKUP(TB_curr[[#This Row],[Synt]],GL[[#Headers],[#Data],[subtotal label]],1,FALSE)))</f>
        <v/>
      </c>
      <c r="AF1411" s="1063" t="e">
        <f>IF((TB_curr[[#This Row],[Synt]]-TB_curr[[#This Row],[Subtotal Y/N]])=0,0,VLOOKUP(TB_curr[[#This Row],[Synt]],GL[[Account]:[Line]],3,FALSE))</f>
        <v>#VALUE!</v>
      </c>
      <c r="AG1411" s="1063" t="e">
        <f>VLOOKUP(TB_curr[[#This Row],[Synt]],GL[[Account]:[B/P]],4,FALSE)</f>
        <v>#N/A</v>
      </c>
      <c r="AH1411" s="1066" t="e">
        <v>#VALUE!</v>
      </c>
      <c r="AI1411" s="1065" t="e">
        <f>TB_curr[[#This Row],[Synt]]&amp;TB_curr[[#This Row],[Line No. manual corr.]]</f>
        <v>#VALUE!</v>
      </c>
      <c r="AJ1411" s="1064">
        <f t="shared" si="106"/>
        <v>0</v>
      </c>
      <c r="AK1411" s="1064">
        <f t="shared" si="107"/>
        <v>0</v>
      </c>
      <c r="AL1411" s="1064">
        <f t="shared" si="108"/>
        <v>0</v>
      </c>
      <c r="AM1411" s="1064">
        <f t="shared" si="109"/>
        <v>0</v>
      </c>
      <c r="AN1411" s="1064"/>
      <c r="AO1411" s="1064">
        <f>TB_curr[[#This Row],[Closing balance]]+TB_curr[[#This Row],[Rounding]]</f>
        <v>0</v>
      </c>
    </row>
    <row r="1412" spans="30:41" x14ac:dyDescent="0.25">
      <c r="AD1412" s="1067" t="str">
        <f t="shared" si="105"/>
        <v/>
      </c>
      <c r="AE1412" s="1063" t="str">
        <f>IF(ISNA(VLOOKUP(TB_curr[[#This Row],[Synt]],GL[[#Headers],[#Data],[subtotal label]],1,FALSE)),0,(VLOOKUP(TB_curr[[#This Row],[Synt]],GL[[#Headers],[#Data],[subtotal label]],1,FALSE)))</f>
        <v/>
      </c>
      <c r="AF1412" s="1063" t="e">
        <f>IF((TB_curr[[#This Row],[Synt]]-TB_curr[[#This Row],[Subtotal Y/N]])=0,0,VLOOKUP(TB_curr[[#This Row],[Synt]],GL[[Account]:[Line]],3,FALSE))</f>
        <v>#VALUE!</v>
      </c>
      <c r="AG1412" s="1063" t="e">
        <f>VLOOKUP(TB_curr[[#This Row],[Synt]],GL[[Account]:[B/P]],4,FALSE)</f>
        <v>#N/A</v>
      </c>
      <c r="AH1412" s="1066" t="e">
        <v>#VALUE!</v>
      </c>
      <c r="AI1412" s="1065" t="e">
        <f>TB_curr[[#This Row],[Synt]]&amp;TB_curr[[#This Row],[Line No. manual corr.]]</f>
        <v>#VALUE!</v>
      </c>
      <c r="AJ1412" s="1064">
        <f t="shared" si="106"/>
        <v>0</v>
      </c>
      <c r="AK1412" s="1064">
        <f t="shared" si="107"/>
        <v>0</v>
      </c>
      <c r="AL1412" s="1064">
        <f t="shared" si="108"/>
        <v>0</v>
      </c>
      <c r="AM1412" s="1064">
        <f t="shared" si="109"/>
        <v>0</v>
      </c>
      <c r="AN1412" s="1064"/>
      <c r="AO1412" s="1064">
        <f>TB_curr[[#This Row],[Closing balance]]+TB_curr[[#This Row],[Rounding]]</f>
        <v>0</v>
      </c>
    </row>
    <row r="1413" spans="30:41" x14ac:dyDescent="0.25">
      <c r="AD1413" s="1067" t="str">
        <f t="shared" si="105"/>
        <v/>
      </c>
      <c r="AE1413" s="1063" t="str">
        <f>IF(ISNA(VLOOKUP(TB_curr[[#This Row],[Synt]],GL[[#Headers],[#Data],[subtotal label]],1,FALSE)),0,(VLOOKUP(TB_curr[[#This Row],[Synt]],GL[[#Headers],[#Data],[subtotal label]],1,FALSE)))</f>
        <v/>
      </c>
      <c r="AF1413" s="1063" t="e">
        <f>IF((TB_curr[[#This Row],[Synt]]-TB_curr[[#This Row],[Subtotal Y/N]])=0,0,VLOOKUP(TB_curr[[#This Row],[Synt]],GL[[Account]:[Line]],3,FALSE))</f>
        <v>#VALUE!</v>
      </c>
      <c r="AG1413" s="1063" t="e">
        <f>VLOOKUP(TB_curr[[#This Row],[Synt]],GL[[Account]:[B/P]],4,FALSE)</f>
        <v>#N/A</v>
      </c>
      <c r="AH1413" s="1066" t="e">
        <v>#VALUE!</v>
      </c>
      <c r="AI1413" s="1065" t="e">
        <f>TB_curr[[#This Row],[Synt]]&amp;TB_curr[[#This Row],[Line No. manual corr.]]</f>
        <v>#VALUE!</v>
      </c>
      <c r="AJ1413" s="1064">
        <f t="shared" si="106"/>
        <v>0</v>
      </c>
      <c r="AK1413" s="1064">
        <f t="shared" si="107"/>
        <v>0</v>
      </c>
      <c r="AL1413" s="1064">
        <f t="shared" si="108"/>
        <v>0</v>
      </c>
      <c r="AM1413" s="1064">
        <f t="shared" si="109"/>
        <v>0</v>
      </c>
      <c r="AN1413" s="1064"/>
      <c r="AO1413" s="1064">
        <f>TB_curr[[#This Row],[Closing balance]]+TB_curr[[#This Row],[Rounding]]</f>
        <v>0</v>
      </c>
    </row>
    <row r="1414" spans="30:41" x14ac:dyDescent="0.25">
      <c r="AD1414" s="1067" t="str">
        <f t="shared" si="105"/>
        <v/>
      </c>
      <c r="AE1414" s="1063" t="str">
        <f>IF(ISNA(VLOOKUP(TB_curr[[#This Row],[Synt]],GL[[#Headers],[#Data],[subtotal label]],1,FALSE)),0,(VLOOKUP(TB_curr[[#This Row],[Synt]],GL[[#Headers],[#Data],[subtotal label]],1,FALSE)))</f>
        <v/>
      </c>
      <c r="AF1414" s="1063" t="e">
        <f>IF((TB_curr[[#This Row],[Synt]]-TB_curr[[#This Row],[Subtotal Y/N]])=0,0,VLOOKUP(TB_curr[[#This Row],[Synt]],GL[[Account]:[Line]],3,FALSE))</f>
        <v>#VALUE!</v>
      </c>
      <c r="AG1414" s="1063" t="e">
        <f>VLOOKUP(TB_curr[[#This Row],[Synt]],GL[[Account]:[B/P]],4,FALSE)</f>
        <v>#N/A</v>
      </c>
      <c r="AH1414" s="1066" t="e">
        <v>#VALUE!</v>
      </c>
      <c r="AI1414" s="1065" t="e">
        <f>TB_curr[[#This Row],[Synt]]&amp;TB_curr[[#This Row],[Line No. manual corr.]]</f>
        <v>#VALUE!</v>
      </c>
      <c r="AJ1414" s="1064">
        <f t="shared" si="106"/>
        <v>0</v>
      </c>
      <c r="AK1414" s="1064">
        <f t="shared" si="107"/>
        <v>0</v>
      </c>
      <c r="AL1414" s="1064">
        <f t="shared" si="108"/>
        <v>0</v>
      </c>
      <c r="AM1414" s="1064">
        <f t="shared" si="109"/>
        <v>0</v>
      </c>
      <c r="AN1414" s="1064"/>
      <c r="AO1414" s="1064">
        <f>TB_curr[[#This Row],[Closing balance]]+TB_curr[[#This Row],[Rounding]]</f>
        <v>0</v>
      </c>
    </row>
    <row r="1415" spans="30:41" x14ac:dyDescent="0.25">
      <c r="AD1415" s="1067" t="str">
        <f t="shared" si="105"/>
        <v/>
      </c>
      <c r="AE1415" s="1063" t="str">
        <f>IF(ISNA(VLOOKUP(TB_curr[[#This Row],[Synt]],GL[[#Headers],[#Data],[subtotal label]],1,FALSE)),0,(VLOOKUP(TB_curr[[#This Row],[Synt]],GL[[#Headers],[#Data],[subtotal label]],1,FALSE)))</f>
        <v/>
      </c>
      <c r="AF1415" s="1063" t="e">
        <f>IF((TB_curr[[#This Row],[Synt]]-TB_curr[[#This Row],[Subtotal Y/N]])=0,0,VLOOKUP(TB_curr[[#This Row],[Synt]],GL[[Account]:[Line]],3,FALSE))</f>
        <v>#VALUE!</v>
      </c>
      <c r="AG1415" s="1063" t="e">
        <f>VLOOKUP(TB_curr[[#This Row],[Synt]],GL[[Account]:[B/P]],4,FALSE)</f>
        <v>#N/A</v>
      </c>
      <c r="AH1415" s="1066" t="e">
        <v>#VALUE!</v>
      </c>
      <c r="AI1415" s="1065" t="e">
        <f>TB_curr[[#This Row],[Synt]]&amp;TB_curr[[#This Row],[Line No. manual corr.]]</f>
        <v>#VALUE!</v>
      </c>
      <c r="AJ1415" s="1064">
        <f t="shared" si="106"/>
        <v>0</v>
      </c>
      <c r="AK1415" s="1064">
        <f t="shared" si="107"/>
        <v>0</v>
      </c>
      <c r="AL1415" s="1064">
        <f t="shared" si="108"/>
        <v>0</v>
      </c>
      <c r="AM1415" s="1064">
        <f t="shared" si="109"/>
        <v>0</v>
      </c>
      <c r="AN1415" s="1064"/>
      <c r="AO1415" s="1064">
        <f>TB_curr[[#This Row],[Closing balance]]+TB_curr[[#This Row],[Rounding]]</f>
        <v>0</v>
      </c>
    </row>
    <row r="1416" spans="30:41" x14ac:dyDescent="0.25">
      <c r="AD1416" s="1067" t="str">
        <f t="shared" ref="AD1416:AD1479" si="110">LEFT(B1416,3)</f>
        <v/>
      </c>
      <c r="AE1416" s="1063" t="str">
        <f>IF(ISNA(VLOOKUP(TB_curr[[#This Row],[Synt]],GL[[#Headers],[#Data],[subtotal label]],1,FALSE)),0,(VLOOKUP(TB_curr[[#This Row],[Synt]],GL[[#Headers],[#Data],[subtotal label]],1,FALSE)))</f>
        <v/>
      </c>
      <c r="AF1416" s="1063" t="e">
        <f>IF((TB_curr[[#This Row],[Synt]]-TB_curr[[#This Row],[Subtotal Y/N]])=0,0,VLOOKUP(TB_curr[[#This Row],[Synt]],GL[[Account]:[Line]],3,FALSE))</f>
        <v>#VALUE!</v>
      </c>
      <c r="AG1416" s="1063" t="e">
        <f>VLOOKUP(TB_curr[[#This Row],[Synt]],GL[[Account]:[B/P]],4,FALSE)</f>
        <v>#N/A</v>
      </c>
      <c r="AH1416" s="1066" t="e">
        <v>#VALUE!</v>
      </c>
      <c r="AI1416" s="1065" t="e">
        <f>TB_curr[[#This Row],[Synt]]&amp;TB_curr[[#This Row],[Line No. manual corr.]]</f>
        <v>#VALUE!</v>
      </c>
      <c r="AJ1416" s="1064">
        <f t="shared" ref="AJ1416:AJ1479" si="111">K1416-N1416</f>
        <v>0</v>
      </c>
      <c r="AK1416" s="1064">
        <f t="shared" ref="AK1416:AK1479" si="112">Q1416</f>
        <v>0</v>
      </c>
      <c r="AL1416" s="1064">
        <f t="shared" ref="AL1416:AL1479" si="113">U1416</f>
        <v>0</v>
      </c>
      <c r="AM1416" s="1064">
        <f t="shared" ref="AM1416:AM1479" si="114">X1416-AB1416</f>
        <v>0</v>
      </c>
      <c r="AN1416" s="1064"/>
      <c r="AO1416" s="1064">
        <f>TB_curr[[#This Row],[Closing balance]]+TB_curr[[#This Row],[Rounding]]</f>
        <v>0</v>
      </c>
    </row>
    <row r="1417" spans="30:41" x14ac:dyDescent="0.25">
      <c r="AD1417" s="1067" t="str">
        <f t="shared" si="110"/>
        <v/>
      </c>
      <c r="AE1417" s="1063" t="str">
        <f>IF(ISNA(VLOOKUP(TB_curr[[#This Row],[Synt]],GL[[#Headers],[#Data],[subtotal label]],1,FALSE)),0,(VLOOKUP(TB_curr[[#This Row],[Synt]],GL[[#Headers],[#Data],[subtotal label]],1,FALSE)))</f>
        <v/>
      </c>
      <c r="AF1417" s="1063" t="e">
        <f>IF((TB_curr[[#This Row],[Synt]]-TB_curr[[#This Row],[Subtotal Y/N]])=0,0,VLOOKUP(TB_curr[[#This Row],[Synt]],GL[[Account]:[Line]],3,FALSE))</f>
        <v>#VALUE!</v>
      </c>
      <c r="AG1417" s="1063" t="e">
        <f>VLOOKUP(TB_curr[[#This Row],[Synt]],GL[[Account]:[B/P]],4,FALSE)</f>
        <v>#N/A</v>
      </c>
      <c r="AH1417" s="1066" t="e">
        <v>#VALUE!</v>
      </c>
      <c r="AI1417" s="1065" t="e">
        <f>TB_curr[[#This Row],[Synt]]&amp;TB_curr[[#This Row],[Line No. manual corr.]]</f>
        <v>#VALUE!</v>
      </c>
      <c r="AJ1417" s="1064">
        <f t="shared" si="111"/>
        <v>0</v>
      </c>
      <c r="AK1417" s="1064">
        <f t="shared" si="112"/>
        <v>0</v>
      </c>
      <c r="AL1417" s="1064">
        <f t="shared" si="113"/>
        <v>0</v>
      </c>
      <c r="AM1417" s="1064">
        <f t="shared" si="114"/>
        <v>0</v>
      </c>
      <c r="AN1417" s="1064"/>
      <c r="AO1417" s="1064">
        <f>TB_curr[[#This Row],[Closing balance]]+TB_curr[[#This Row],[Rounding]]</f>
        <v>0</v>
      </c>
    </row>
    <row r="1418" spans="30:41" x14ac:dyDescent="0.25">
      <c r="AD1418" s="1067" t="str">
        <f t="shared" si="110"/>
        <v/>
      </c>
      <c r="AE1418" s="1063" t="str">
        <f>IF(ISNA(VLOOKUP(TB_curr[[#This Row],[Synt]],GL[[#Headers],[#Data],[subtotal label]],1,FALSE)),0,(VLOOKUP(TB_curr[[#This Row],[Synt]],GL[[#Headers],[#Data],[subtotal label]],1,FALSE)))</f>
        <v/>
      </c>
      <c r="AF1418" s="1063" t="e">
        <f>IF((TB_curr[[#This Row],[Synt]]-TB_curr[[#This Row],[Subtotal Y/N]])=0,0,VLOOKUP(TB_curr[[#This Row],[Synt]],GL[[Account]:[Line]],3,FALSE))</f>
        <v>#VALUE!</v>
      </c>
      <c r="AG1418" s="1063" t="e">
        <f>VLOOKUP(TB_curr[[#This Row],[Synt]],GL[[Account]:[B/P]],4,FALSE)</f>
        <v>#N/A</v>
      </c>
      <c r="AH1418" s="1066" t="e">
        <v>#VALUE!</v>
      </c>
      <c r="AI1418" s="1065" t="e">
        <f>TB_curr[[#This Row],[Synt]]&amp;TB_curr[[#This Row],[Line No. manual corr.]]</f>
        <v>#VALUE!</v>
      </c>
      <c r="AJ1418" s="1064">
        <f t="shared" si="111"/>
        <v>0</v>
      </c>
      <c r="AK1418" s="1064">
        <f t="shared" si="112"/>
        <v>0</v>
      </c>
      <c r="AL1418" s="1064">
        <f t="shared" si="113"/>
        <v>0</v>
      </c>
      <c r="AM1418" s="1064">
        <f t="shared" si="114"/>
        <v>0</v>
      </c>
      <c r="AN1418" s="1064"/>
      <c r="AO1418" s="1064">
        <f>TB_curr[[#This Row],[Closing balance]]+TB_curr[[#This Row],[Rounding]]</f>
        <v>0</v>
      </c>
    </row>
    <row r="1419" spans="30:41" x14ac:dyDescent="0.25">
      <c r="AD1419" s="1067" t="str">
        <f t="shared" si="110"/>
        <v/>
      </c>
      <c r="AE1419" s="1063" t="str">
        <f>IF(ISNA(VLOOKUP(TB_curr[[#This Row],[Synt]],GL[[#Headers],[#Data],[subtotal label]],1,FALSE)),0,(VLOOKUP(TB_curr[[#This Row],[Synt]],GL[[#Headers],[#Data],[subtotal label]],1,FALSE)))</f>
        <v/>
      </c>
      <c r="AF1419" s="1063" t="e">
        <f>IF((TB_curr[[#This Row],[Synt]]-TB_curr[[#This Row],[Subtotal Y/N]])=0,0,VLOOKUP(TB_curr[[#This Row],[Synt]],GL[[Account]:[Line]],3,FALSE))</f>
        <v>#VALUE!</v>
      </c>
      <c r="AG1419" s="1063" t="e">
        <f>VLOOKUP(TB_curr[[#This Row],[Synt]],GL[[Account]:[B/P]],4,FALSE)</f>
        <v>#N/A</v>
      </c>
      <c r="AH1419" s="1066" t="e">
        <v>#VALUE!</v>
      </c>
      <c r="AI1419" s="1065" t="e">
        <f>TB_curr[[#This Row],[Synt]]&amp;TB_curr[[#This Row],[Line No. manual corr.]]</f>
        <v>#VALUE!</v>
      </c>
      <c r="AJ1419" s="1064">
        <f t="shared" si="111"/>
        <v>0</v>
      </c>
      <c r="AK1419" s="1064">
        <f t="shared" si="112"/>
        <v>0</v>
      </c>
      <c r="AL1419" s="1064">
        <f t="shared" si="113"/>
        <v>0</v>
      </c>
      <c r="AM1419" s="1064">
        <f t="shared" si="114"/>
        <v>0</v>
      </c>
      <c r="AN1419" s="1064"/>
      <c r="AO1419" s="1064">
        <f>TB_curr[[#This Row],[Closing balance]]+TB_curr[[#This Row],[Rounding]]</f>
        <v>0</v>
      </c>
    </row>
    <row r="1420" spans="30:41" x14ac:dyDescent="0.25">
      <c r="AD1420" s="1067" t="str">
        <f t="shared" si="110"/>
        <v/>
      </c>
      <c r="AE1420" s="1063" t="str">
        <f>IF(ISNA(VLOOKUP(TB_curr[[#This Row],[Synt]],GL[[#Headers],[#Data],[subtotal label]],1,FALSE)),0,(VLOOKUP(TB_curr[[#This Row],[Synt]],GL[[#Headers],[#Data],[subtotal label]],1,FALSE)))</f>
        <v/>
      </c>
      <c r="AF1420" s="1063" t="e">
        <f>IF((TB_curr[[#This Row],[Synt]]-TB_curr[[#This Row],[Subtotal Y/N]])=0,0,VLOOKUP(TB_curr[[#This Row],[Synt]],GL[[Account]:[Line]],3,FALSE))</f>
        <v>#VALUE!</v>
      </c>
      <c r="AG1420" s="1063" t="e">
        <f>VLOOKUP(TB_curr[[#This Row],[Synt]],GL[[Account]:[B/P]],4,FALSE)</f>
        <v>#N/A</v>
      </c>
      <c r="AH1420" s="1066" t="e">
        <v>#VALUE!</v>
      </c>
      <c r="AI1420" s="1065" t="e">
        <f>TB_curr[[#This Row],[Synt]]&amp;TB_curr[[#This Row],[Line No. manual corr.]]</f>
        <v>#VALUE!</v>
      </c>
      <c r="AJ1420" s="1064">
        <f t="shared" si="111"/>
        <v>0</v>
      </c>
      <c r="AK1420" s="1064">
        <f t="shared" si="112"/>
        <v>0</v>
      </c>
      <c r="AL1420" s="1064">
        <f t="shared" si="113"/>
        <v>0</v>
      </c>
      <c r="AM1420" s="1064">
        <f t="shared" si="114"/>
        <v>0</v>
      </c>
      <c r="AN1420" s="1064"/>
      <c r="AO1420" s="1064">
        <f>TB_curr[[#This Row],[Closing balance]]+TB_curr[[#This Row],[Rounding]]</f>
        <v>0</v>
      </c>
    </row>
    <row r="1421" spans="30:41" x14ac:dyDescent="0.25">
      <c r="AD1421" s="1067" t="str">
        <f t="shared" si="110"/>
        <v/>
      </c>
      <c r="AE1421" s="1063" t="str">
        <f>IF(ISNA(VLOOKUP(TB_curr[[#This Row],[Synt]],GL[[#Headers],[#Data],[subtotal label]],1,FALSE)),0,(VLOOKUP(TB_curr[[#This Row],[Synt]],GL[[#Headers],[#Data],[subtotal label]],1,FALSE)))</f>
        <v/>
      </c>
      <c r="AF1421" s="1063" t="e">
        <f>IF((TB_curr[[#This Row],[Synt]]-TB_curr[[#This Row],[Subtotal Y/N]])=0,0,VLOOKUP(TB_curr[[#This Row],[Synt]],GL[[Account]:[Line]],3,FALSE))</f>
        <v>#VALUE!</v>
      </c>
      <c r="AG1421" s="1063" t="e">
        <f>VLOOKUP(TB_curr[[#This Row],[Synt]],GL[[Account]:[B/P]],4,FALSE)</f>
        <v>#N/A</v>
      </c>
      <c r="AH1421" s="1066" t="e">
        <v>#VALUE!</v>
      </c>
      <c r="AI1421" s="1065" t="e">
        <f>TB_curr[[#This Row],[Synt]]&amp;TB_curr[[#This Row],[Line No. manual corr.]]</f>
        <v>#VALUE!</v>
      </c>
      <c r="AJ1421" s="1064">
        <f t="shared" si="111"/>
        <v>0</v>
      </c>
      <c r="AK1421" s="1064">
        <f t="shared" si="112"/>
        <v>0</v>
      </c>
      <c r="AL1421" s="1064">
        <f t="shared" si="113"/>
        <v>0</v>
      </c>
      <c r="AM1421" s="1064">
        <f t="shared" si="114"/>
        <v>0</v>
      </c>
      <c r="AN1421" s="1064"/>
      <c r="AO1421" s="1064">
        <f>TB_curr[[#This Row],[Closing balance]]+TB_curr[[#This Row],[Rounding]]</f>
        <v>0</v>
      </c>
    </row>
    <row r="1422" spans="30:41" x14ac:dyDescent="0.25">
      <c r="AD1422" s="1067" t="str">
        <f t="shared" si="110"/>
        <v/>
      </c>
      <c r="AE1422" s="1063" t="str">
        <f>IF(ISNA(VLOOKUP(TB_curr[[#This Row],[Synt]],GL[[#Headers],[#Data],[subtotal label]],1,FALSE)),0,(VLOOKUP(TB_curr[[#This Row],[Synt]],GL[[#Headers],[#Data],[subtotal label]],1,FALSE)))</f>
        <v/>
      </c>
      <c r="AF1422" s="1063" t="e">
        <f>IF((TB_curr[[#This Row],[Synt]]-TB_curr[[#This Row],[Subtotal Y/N]])=0,0,VLOOKUP(TB_curr[[#This Row],[Synt]],GL[[Account]:[Line]],3,FALSE))</f>
        <v>#VALUE!</v>
      </c>
      <c r="AG1422" s="1063" t="e">
        <f>VLOOKUP(TB_curr[[#This Row],[Synt]],GL[[Account]:[B/P]],4,FALSE)</f>
        <v>#N/A</v>
      </c>
      <c r="AH1422" s="1066" t="e">
        <v>#VALUE!</v>
      </c>
      <c r="AI1422" s="1065" t="e">
        <f>TB_curr[[#This Row],[Synt]]&amp;TB_curr[[#This Row],[Line No. manual corr.]]</f>
        <v>#VALUE!</v>
      </c>
      <c r="AJ1422" s="1064">
        <f t="shared" si="111"/>
        <v>0</v>
      </c>
      <c r="AK1422" s="1064">
        <f t="shared" si="112"/>
        <v>0</v>
      </c>
      <c r="AL1422" s="1064">
        <f t="shared" si="113"/>
        <v>0</v>
      </c>
      <c r="AM1422" s="1064">
        <f t="shared" si="114"/>
        <v>0</v>
      </c>
      <c r="AN1422" s="1064"/>
      <c r="AO1422" s="1064">
        <f>TB_curr[[#This Row],[Closing balance]]+TB_curr[[#This Row],[Rounding]]</f>
        <v>0</v>
      </c>
    </row>
    <row r="1423" spans="30:41" x14ac:dyDescent="0.25">
      <c r="AD1423" s="1067" t="str">
        <f t="shared" si="110"/>
        <v/>
      </c>
      <c r="AE1423" s="1063" t="str">
        <f>IF(ISNA(VLOOKUP(TB_curr[[#This Row],[Synt]],GL[[#Headers],[#Data],[subtotal label]],1,FALSE)),0,(VLOOKUP(TB_curr[[#This Row],[Synt]],GL[[#Headers],[#Data],[subtotal label]],1,FALSE)))</f>
        <v/>
      </c>
      <c r="AF1423" s="1063" t="e">
        <f>IF((TB_curr[[#This Row],[Synt]]-TB_curr[[#This Row],[Subtotal Y/N]])=0,0,VLOOKUP(TB_curr[[#This Row],[Synt]],GL[[Account]:[Line]],3,FALSE))</f>
        <v>#VALUE!</v>
      </c>
      <c r="AG1423" s="1063" t="e">
        <f>VLOOKUP(TB_curr[[#This Row],[Synt]],GL[[Account]:[B/P]],4,FALSE)</f>
        <v>#N/A</v>
      </c>
      <c r="AH1423" s="1066" t="e">
        <v>#VALUE!</v>
      </c>
      <c r="AI1423" s="1065" t="e">
        <f>TB_curr[[#This Row],[Synt]]&amp;TB_curr[[#This Row],[Line No. manual corr.]]</f>
        <v>#VALUE!</v>
      </c>
      <c r="AJ1423" s="1064">
        <f t="shared" si="111"/>
        <v>0</v>
      </c>
      <c r="AK1423" s="1064">
        <f t="shared" si="112"/>
        <v>0</v>
      </c>
      <c r="AL1423" s="1064">
        <f t="shared" si="113"/>
        <v>0</v>
      </c>
      <c r="AM1423" s="1064">
        <f t="shared" si="114"/>
        <v>0</v>
      </c>
      <c r="AN1423" s="1064"/>
      <c r="AO1423" s="1064">
        <f>TB_curr[[#This Row],[Closing balance]]+TB_curr[[#This Row],[Rounding]]</f>
        <v>0</v>
      </c>
    </row>
    <row r="1424" spans="30:41" x14ac:dyDescent="0.25">
      <c r="AD1424" s="1067" t="str">
        <f t="shared" si="110"/>
        <v/>
      </c>
      <c r="AE1424" s="1063" t="str">
        <f>IF(ISNA(VLOOKUP(TB_curr[[#This Row],[Synt]],GL[[#Headers],[#Data],[subtotal label]],1,FALSE)),0,(VLOOKUP(TB_curr[[#This Row],[Synt]],GL[[#Headers],[#Data],[subtotal label]],1,FALSE)))</f>
        <v/>
      </c>
      <c r="AF1424" s="1063" t="e">
        <f>IF((TB_curr[[#This Row],[Synt]]-TB_curr[[#This Row],[Subtotal Y/N]])=0,0,VLOOKUP(TB_curr[[#This Row],[Synt]],GL[[Account]:[Line]],3,FALSE))</f>
        <v>#VALUE!</v>
      </c>
      <c r="AG1424" s="1063" t="e">
        <f>VLOOKUP(TB_curr[[#This Row],[Synt]],GL[[Account]:[B/P]],4,FALSE)</f>
        <v>#N/A</v>
      </c>
      <c r="AH1424" s="1066" t="e">
        <v>#VALUE!</v>
      </c>
      <c r="AI1424" s="1065" t="e">
        <f>TB_curr[[#This Row],[Synt]]&amp;TB_curr[[#This Row],[Line No. manual corr.]]</f>
        <v>#VALUE!</v>
      </c>
      <c r="AJ1424" s="1064">
        <f t="shared" si="111"/>
        <v>0</v>
      </c>
      <c r="AK1424" s="1064">
        <f t="shared" si="112"/>
        <v>0</v>
      </c>
      <c r="AL1424" s="1064">
        <f t="shared" si="113"/>
        <v>0</v>
      </c>
      <c r="AM1424" s="1064">
        <f t="shared" si="114"/>
        <v>0</v>
      </c>
      <c r="AN1424" s="1064"/>
      <c r="AO1424" s="1064">
        <f>TB_curr[[#This Row],[Closing balance]]+TB_curr[[#This Row],[Rounding]]</f>
        <v>0</v>
      </c>
    </row>
    <row r="1425" spans="30:41" x14ac:dyDescent="0.25">
      <c r="AD1425" s="1067" t="str">
        <f t="shared" si="110"/>
        <v/>
      </c>
      <c r="AE1425" s="1063" t="str">
        <f>IF(ISNA(VLOOKUP(TB_curr[[#This Row],[Synt]],GL[[#Headers],[#Data],[subtotal label]],1,FALSE)),0,(VLOOKUP(TB_curr[[#This Row],[Synt]],GL[[#Headers],[#Data],[subtotal label]],1,FALSE)))</f>
        <v/>
      </c>
      <c r="AF1425" s="1063" t="e">
        <f>IF((TB_curr[[#This Row],[Synt]]-TB_curr[[#This Row],[Subtotal Y/N]])=0,0,VLOOKUP(TB_curr[[#This Row],[Synt]],GL[[Account]:[Line]],3,FALSE))</f>
        <v>#VALUE!</v>
      </c>
      <c r="AG1425" s="1063" t="e">
        <f>VLOOKUP(TB_curr[[#This Row],[Synt]],GL[[Account]:[B/P]],4,FALSE)</f>
        <v>#N/A</v>
      </c>
      <c r="AH1425" s="1066" t="e">
        <v>#VALUE!</v>
      </c>
      <c r="AI1425" s="1065" t="e">
        <f>TB_curr[[#This Row],[Synt]]&amp;TB_curr[[#This Row],[Line No. manual corr.]]</f>
        <v>#VALUE!</v>
      </c>
      <c r="AJ1425" s="1064">
        <f t="shared" si="111"/>
        <v>0</v>
      </c>
      <c r="AK1425" s="1064">
        <f t="shared" si="112"/>
        <v>0</v>
      </c>
      <c r="AL1425" s="1064">
        <f t="shared" si="113"/>
        <v>0</v>
      </c>
      <c r="AM1425" s="1064">
        <f t="shared" si="114"/>
        <v>0</v>
      </c>
      <c r="AN1425" s="1064"/>
      <c r="AO1425" s="1064">
        <f>TB_curr[[#This Row],[Closing balance]]+TB_curr[[#This Row],[Rounding]]</f>
        <v>0</v>
      </c>
    </row>
    <row r="1426" spans="30:41" x14ac:dyDescent="0.25">
      <c r="AD1426" s="1067" t="str">
        <f t="shared" si="110"/>
        <v/>
      </c>
      <c r="AE1426" s="1063" t="str">
        <f>IF(ISNA(VLOOKUP(TB_curr[[#This Row],[Synt]],GL[[#Headers],[#Data],[subtotal label]],1,FALSE)),0,(VLOOKUP(TB_curr[[#This Row],[Synt]],GL[[#Headers],[#Data],[subtotal label]],1,FALSE)))</f>
        <v/>
      </c>
      <c r="AF1426" s="1063" t="e">
        <f>IF((TB_curr[[#This Row],[Synt]]-TB_curr[[#This Row],[Subtotal Y/N]])=0,0,VLOOKUP(TB_curr[[#This Row],[Synt]],GL[[Account]:[Line]],3,FALSE))</f>
        <v>#VALUE!</v>
      </c>
      <c r="AG1426" s="1063" t="e">
        <f>VLOOKUP(TB_curr[[#This Row],[Synt]],GL[[Account]:[B/P]],4,FALSE)</f>
        <v>#N/A</v>
      </c>
      <c r="AH1426" s="1066" t="e">
        <v>#VALUE!</v>
      </c>
      <c r="AI1426" s="1065" t="e">
        <f>TB_curr[[#This Row],[Synt]]&amp;TB_curr[[#This Row],[Line No. manual corr.]]</f>
        <v>#VALUE!</v>
      </c>
      <c r="AJ1426" s="1064">
        <f t="shared" si="111"/>
        <v>0</v>
      </c>
      <c r="AK1426" s="1064">
        <f t="shared" si="112"/>
        <v>0</v>
      </c>
      <c r="AL1426" s="1064">
        <f t="shared" si="113"/>
        <v>0</v>
      </c>
      <c r="AM1426" s="1064">
        <f t="shared" si="114"/>
        <v>0</v>
      </c>
      <c r="AN1426" s="1064"/>
      <c r="AO1426" s="1064">
        <f>TB_curr[[#This Row],[Closing balance]]+TB_curr[[#This Row],[Rounding]]</f>
        <v>0</v>
      </c>
    </row>
    <row r="1427" spans="30:41" x14ac:dyDescent="0.25">
      <c r="AD1427" s="1067" t="str">
        <f t="shared" si="110"/>
        <v/>
      </c>
      <c r="AE1427" s="1063" t="str">
        <f>IF(ISNA(VLOOKUP(TB_curr[[#This Row],[Synt]],GL[[#Headers],[#Data],[subtotal label]],1,FALSE)),0,(VLOOKUP(TB_curr[[#This Row],[Synt]],GL[[#Headers],[#Data],[subtotal label]],1,FALSE)))</f>
        <v/>
      </c>
      <c r="AF1427" s="1063" t="e">
        <f>IF((TB_curr[[#This Row],[Synt]]-TB_curr[[#This Row],[Subtotal Y/N]])=0,0,VLOOKUP(TB_curr[[#This Row],[Synt]],GL[[Account]:[Line]],3,FALSE))</f>
        <v>#VALUE!</v>
      </c>
      <c r="AG1427" s="1063" t="e">
        <f>VLOOKUP(TB_curr[[#This Row],[Synt]],GL[[Account]:[B/P]],4,FALSE)</f>
        <v>#N/A</v>
      </c>
      <c r="AH1427" s="1066" t="e">
        <v>#VALUE!</v>
      </c>
      <c r="AI1427" s="1065" t="e">
        <f>TB_curr[[#This Row],[Synt]]&amp;TB_curr[[#This Row],[Line No. manual corr.]]</f>
        <v>#VALUE!</v>
      </c>
      <c r="AJ1427" s="1064">
        <f t="shared" si="111"/>
        <v>0</v>
      </c>
      <c r="AK1427" s="1064">
        <f t="shared" si="112"/>
        <v>0</v>
      </c>
      <c r="AL1427" s="1064">
        <f t="shared" si="113"/>
        <v>0</v>
      </c>
      <c r="AM1427" s="1064">
        <f t="shared" si="114"/>
        <v>0</v>
      </c>
      <c r="AN1427" s="1064"/>
      <c r="AO1427" s="1064">
        <f>TB_curr[[#This Row],[Closing balance]]+TB_curr[[#This Row],[Rounding]]</f>
        <v>0</v>
      </c>
    </row>
    <row r="1428" spans="30:41" x14ac:dyDescent="0.25">
      <c r="AD1428" s="1067" t="str">
        <f t="shared" si="110"/>
        <v/>
      </c>
      <c r="AE1428" s="1063" t="str">
        <f>IF(ISNA(VLOOKUP(TB_curr[[#This Row],[Synt]],GL[[#Headers],[#Data],[subtotal label]],1,FALSE)),0,(VLOOKUP(TB_curr[[#This Row],[Synt]],GL[[#Headers],[#Data],[subtotal label]],1,FALSE)))</f>
        <v/>
      </c>
      <c r="AF1428" s="1063" t="e">
        <f>IF((TB_curr[[#This Row],[Synt]]-TB_curr[[#This Row],[Subtotal Y/N]])=0,0,VLOOKUP(TB_curr[[#This Row],[Synt]],GL[[Account]:[Line]],3,FALSE))</f>
        <v>#VALUE!</v>
      </c>
      <c r="AG1428" s="1063" t="e">
        <f>VLOOKUP(TB_curr[[#This Row],[Synt]],GL[[Account]:[B/P]],4,FALSE)</f>
        <v>#N/A</v>
      </c>
      <c r="AH1428" s="1066" t="e">
        <v>#VALUE!</v>
      </c>
      <c r="AI1428" s="1065" t="e">
        <f>TB_curr[[#This Row],[Synt]]&amp;TB_curr[[#This Row],[Line No. manual corr.]]</f>
        <v>#VALUE!</v>
      </c>
      <c r="AJ1428" s="1064">
        <f t="shared" si="111"/>
        <v>0</v>
      </c>
      <c r="AK1428" s="1064">
        <f t="shared" si="112"/>
        <v>0</v>
      </c>
      <c r="AL1428" s="1064">
        <f t="shared" si="113"/>
        <v>0</v>
      </c>
      <c r="AM1428" s="1064">
        <f t="shared" si="114"/>
        <v>0</v>
      </c>
      <c r="AN1428" s="1064"/>
      <c r="AO1428" s="1064">
        <f>TB_curr[[#This Row],[Closing balance]]+TB_curr[[#This Row],[Rounding]]</f>
        <v>0</v>
      </c>
    </row>
    <row r="1429" spans="30:41" x14ac:dyDescent="0.25">
      <c r="AD1429" s="1067" t="str">
        <f t="shared" si="110"/>
        <v/>
      </c>
      <c r="AE1429" s="1063" t="str">
        <f>IF(ISNA(VLOOKUP(TB_curr[[#This Row],[Synt]],GL[[#Headers],[#Data],[subtotal label]],1,FALSE)),0,(VLOOKUP(TB_curr[[#This Row],[Synt]],GL[[#Headers],[#Data],[subtotal label]],1,FALSE)))</f>
        <v/>
      </c>
      <c r="AF1429" s="1063" t="e">
        <f>IF((TB_curr[[#This Row],[Synt]]-TB_curr[[#This Row],[Subtotal Y/N]])=0,0,VLOOKUP(TB_curr[[#This Row],[Synt]],GL[[Account]:[Line]],3,FALSE))</f>
        <v>#VALUE!</v>
      </c>
      <c r="AG1429" s="1063" t="e">
        <f>VLOOKUP(TB_curr[[#This Row],[Synt]],GL[[Account]:[B/P]],4,FALSE)</f>
        <v>#N/A</v>
      </c>
      <c r="AH1429" s="1066" t="e">
        <v>#VALUE!</v>
      </c>
      <c r="AI1429" s="1065" t="e">
        <f>TB_curr[[#This Row],[Synt]]&amp;TB_curr[[#This Row],[Line No. manual corr.]]</f>
        <v>#VALUE!</v>
      </c>
      <c r="AJ1429" s="1064">
        <f t="shared" si="111"/>
        <v>0</v>
      </c>
      <c r="AK1429" s="1064">
        <f t="shared" si="112"/>
        <v>0</v>
      </c>
      <c r="AL1429" s="1064">
        <f t="shared" si="113"/>
        <v>0</v>
      </c>
      <c r="AM1429" s="1064">
        <f t="shared" si="114"/>
        <v>0</v>
      </c>
      <c r="AN1429" s="1064"/>
      <c r="AO1429" s="1064">
        <f>TB_curr[[#This Row],[Closing balance]]+TB_curr[[#This Row],[Rounding]]</f>
        <v>0</v>
      </c>
    </row>
    <row r="1430" spans="30:41" x14ac:dyDescent="0.25">
      <c r="AD1430" s="1067" t="str">
        <f t="shared" si="110"/>
        <v/>
      </c>
      <c r="AE1430" s="1063" t="str">
        <f>IF(ISNA(VLOOKUP(TB_curr[[#This Row],[Synt]],GL[[#Headers],[#Data],[subtotal label]],1,FALSE)),0,(VLOOKUP(TB_curr[[#This Row],[Synt]],GL[[#Headers],[#Data],[subtotal label]],1,FALSE)))</f>
        <v/>
      </c>
      <c r="AF1430" s="1063" t="e">
        <f>IF((TB_curr[[#This Row],[Synt]]-TB_curr[[#This Row],[Subtotal Y/N]])=0,0,VLOOKUP(TB_curr[[#This Row],[Synt]],GL[[Account]:[Line]],3,FALSE))</f>
        <v>#VALUE!</v>
      </c>
      <c r="AG1430" s="1063" t="e">
        <f>VLOOKUP(TB_curr[[#This Row],[Synt]],GL[[Account]:[B/P]],4,FALSE)</f>
        <v>#N/A</v>
      </c>
      <c r="AH1430" s="1066" t="e">
        <v>#VALUE!</v>
      </c>
      <c r="AI1430" s="1065" t="e">
        <f>TB_curr[[#This Row],[Synt]]&amp;TB_curr[[#This Row],[Line No. manual corr.]]</f>
        <v>#VALUE!</v>
      </c>
      <c r="AJ1430" s="1064">
        <f t="shared" si="111"/>
        <v>0</v>
      </c>
      <c r="AK1430" s="1064">
        <f t="shared" si="112"/>
        <v>0</v>
      </c>
      <c r="AL1430" s="1064">
        <f t="shared" si="113"/>
        <v>0</v>
      </c>
      <c r="AM1430" s="1064">
        <f t="shared" si="114"/>
        <v>0</v>
      </c>
      <c r="AN1430" s="1064"/>
      <c r="AO1430" s="1064">
        <f>TB_curr[[#This Row],[Closing balance]]+TB_curr[[#This Row],[Rounding]]</f>
        <v>0</v>
      </c>
    </row>
    <row r="1431" spans="30:41" x14ac:dyDescent="0.25">
      <c r="AD1431" s="1067" t="str">
        <f t="shared" si="110"/>
        <v/>
      </c>
      <c r="AE1431" s="1063" t="str">
        <f>IF(ISNA(VLOOKUP(TB_curr[[#This Row],[Synt]],GL[[#Headers],[#Data],[subtotal label]],1,FALSE)),0,(VLOOKUP(TB_curr[[#This Row],[Synt]],GL[[#Headers],[#Data],[subtotal label]],1,FALSE)))</f>
        <v/>
      </c>
      <c r="AF1431" s="1063" t="e">
        <f>IF((TB_curr[[#This Row],[Synt]]-TB_curr[[#This Row],[Subtotal Y/N]])=0,0,VLOOKUP(TB_curr[[#This Row],[Synt]],GL[[Account]:[Line]],3,FALSE))</f>
        <v>#VALUE!</v>
      </c>
      <c r="AG1431" s="1063" t="e">
        <f>VLOOKUP(TB_curr[[#This Row],[Synt]],GL[[Account]:[B/P]],4,FALSE)</f>
        <v>#N/A</v>
      </c>
      <c r="AH1431" s="1066" t="e">
        <v>#VALUE!</v>
      </c>
      <c r="AI1431" s="1065" t="e">
        <f>TB_curr[[#This Row],[Synt]]&amp;TB_curr[[#This Row],[Line No. manual corr.]]</f>
        <v>#VALUE!</v>
      </c>
      <c r="AJ1431" s="1064">
        <f t="shared" si="111"/>
        <v>0</v>
      </c>
      <c r="AK1431" s="1064">
        <f t="shared" si="112"/>
        <v>0</v>
      </c>
      <c r="AL1431" s="1064">
        <f t="shared" si="113"/>
        <v>0</v>
      </c>
      <c r="AM1431" s="1064">
        <f t="shared" si="114"/>
        <v>0</v>
      </c>
      <c r="AN1431" s="1064"/>
      <c r="AO1431" s="1064">
        <f>TB_curr[[#This Row],[Closing balance]]+TB_curr[[#This Row],[Rounding]]</f>
        <v>0</v>
      </c>
    </row>
    <row r="1432" spans="30:41" x14ac:dyDescent="0.25">
      <c r="AD1432" s="1067" t="str">
        <f t="shared" si="110"/>
        <v/>
      </c>
      <c r="AE1432" s="1063" t="str">
        <f>IF(ISNA(VLOOKUP(TB_curr[[#This Row],[Synt]],GL[[#Headers],[#Data],[subtotal label]],1,FALSE)),0,(VLOOKUP(TB_curr[[#This Row],[Synt]],GL[[#Headers],[#Data],[subtotal label]],1,FALSE)))</f>
        <v/>
      </c>
      <c r="AF1432" s="1063" t="e">
        <f>IF((TB_curr[[#This Row],[Synt]]-TB_curr[[#This Row],[Subtotal Y/N]])=0,0,VLOOKUP(TB_curr[[#This Row],[Synt]],GL[[Account]:[Line]],3,FALSE))</f>
        <v>#VALUE!</v>
      </c>
      <c r="AG1432" s="1063" t="e">
        <f>VLOOKUP(TB_curr[[#This Row],[Synt]],GL[[Account]:[B/P]],4,FALSE)</f>
        <v>#N/A</v>
      </c>
      <c r="AH1432" s="1066" t="e">
        <v>#VALUE!</v>
      </c>
      <c r="AI1432" s="1065" t="e">
        <f>TB_curr[[#This Row],[Synt]]&amp;TB_curr[[#This Row],[Line No. manual corr.]]</f>
        <v>#VALUE!</v>
      </c>
      <c r="AJ1432" s="1064">
        <f t="shared" si="111"/>
        <v>0</v>
      </c>
      <c r="AK1432" s="1064">
        <f t="shared" si="112"/>
        <v>0</v>
      </c>
      <c r="AL1432" s="1064">
        <f t="shared" si="113"/>
        <v>0</v>
      </c>
      <c r="AM1432" s="1064">
        <f t="shared" si="114"/>
        <v>0</v>
      </c>
      <c r="AN1432" s="1064"/>
      <c r="AO1432" s="1064">
        <f>TB_curr[[#This Row],[Closing balance]]+TB_curr[[#This Row],[Rounding]]</f>
        <v>0</v>
      </c>
    </row>
    <row r="1433" spans="30:41" x14ac:dyDescent="0.25">
      <c r="AD1433" s="1067" t="str">
        <f t="shared" si="110"/>
        <v/>
      </c>
      <c r="AE1433" s="1063" t="str">
        <f>IF(ISNA(VLOOKUP(TB_curr[[#This Row],[Synt]],GL[[#Headers],[#Data],[subtotal label]],1,FALSE)),0,(VLOOKUP(TB_curr[[#This Row],[Synt]],GL[[#Headers],[#Data],[subtotal label]],1,FALSE)))</f>
        <v/>
      </c>
      <c r="AF1433" s="1063" t="e">
        <f>IF((TB_curr[[#This Row],[Synt]]-TB_curr[[#This Row],[Subtotal Y/N]])=0,0,VLOOKUP(TB_curr[[#This Row],[Synt]],GL[[Account]:[Line]],3,FALSE))</f>
        <v>#VALUE!</v>
      </c>
      <c r="AG1433" s="1063" t="e">
        <f>VLOOKUP(TB_curr[[#This Row],[Synt]],GL[[Account]:[B/P]],4,FALSE)</f>
        <v>#N/A</v>
      </c>
      <c r="AH1433" s="1066" t="e">
        <v>#VALUE!</v>
      </c>
      <c r="AI1433" s="1065" t="e">
        <f>TB_curr[[#This Row],[Synt]]&amp;TB_curr[[#This Row],[Line No. manual corr.]]</f>
        <v>#VALUE!</v>
      </c>
      <c r="AJ1433" s="1064">
        <f t="shared" si="111"/>
        <v>0</v>
      </c>
      <c r="AK1433" s="1064">
        <f t="shared" si="112"/>
        <v>0</v>
      </c>
      <c r="AL1433" s="1064">
        <f t="shared" si="113"/>
        <v>0</v>
      </c>
      <c r="AM1433" s="1064">
        <f t="shared" si="114"/>
        <v>0</v>
      </c>
      <c r="AN1433" s="1064"/>
      <c r="AO1433" s="1064">
        <f>TB_curr[[#This Row],[Closing balance]]+TB_curr[[#This Row],[Rounding]]</f>
        <v>0</v>
      </c>
    </row>
    <row r="1434" spans="30:41" x14ac:dyDescent="0.25">
      <c r="AD1434" s="1067" t="str">
        <f t="shared" si="110"/>
        <v/>
      </c>
      <c r="AE1434" s="1063" t="str">
        <f>IF(ISNA(VLOOKUP(TB_curr[[#This Row],[Synt]],GL[[#Headers],[#Data],[subtotal label]],1,FALSE)),0,(VLOOKUP(TB_curr[[#This Row],[Synt]],GL[[#Headers],[#Data],[subtotal label]],1,FALSE)))</f>
        <v/>
      </c>
      <c r="AF1434" s="1063" t="e">
        <f>IF((TB_curr[[#This Row],[Synt]]-TB_curr[[#This Row],[Subtotal Y/N]])=0,0,VLOOKUP(TB_curr[[#This Row],[Synt]],GL[[Account]:[Line]],3,FALSE))</f>
        <v>#VALUE!</v>
      </c>
      <c r="AG1434" s="1063" t="e">
        <f>VLOOKUP(TB_curr[[#This Row],[Synt]],GL[[Account]:[B/P]],4,FALSE)</f>
        <v>#N/A</v>
      </c>
      <c r="AH1434" s="1066" t="e">
        <v>#VALUE!</v>
      </c>
      <c r="AI1434" s="1065" t="e">
        <f>TB_curr[[#This Row],[Synt]]&amp;TB_curr[[#This Row],[Line No. manual corr.]]</f>
        <v>#VALUE!</v>
      </c>
      <c r="AJ1434" s="1064">
        <f t="shared" si="111"/>
        <v>0</v>
      </c>
      <c r="AK1434" s="1064">
        <f t="shared" si="112"/>
        <v>0</v>
      </c>
      <c r="AL1434" s="1064">
        <f t="shared" si="113"/>
        <v>0</v>
      </c>
      <c r="AM1434" s="1064">
        <f t="shared" si="114"/>
        <v>0</v>
      </c>
      <c r="AN1434" s="1064"/>
      <c r="AO1434" s="1064">
        <f>TB_curr[[#This Row],[Closing balance]]+TB_curr[[#This Row],[Rounding]]</f>
        <v>0</v>
      </c>
    </row>
    <row r="1435" spans="30:41" x14ac:dyDescent="0.25">
      <c r="AD1435" s="1067" t="str">
        <f t="shared" si="110"/>
        <v/>
      </c>
      <c r="AE1435" s="1063" t="str">
        <f>IF(ISNA(VLOOKUP(TB_curr[[#This Row],[Synt]],GL[[#Headers],[#Data],[subtotal label]],1,FALSE)),0,(VLOOKUP(TB_curr[[#This Row],[Synt]],GL[[#Headers],[#Data],[subtotal label]],1,FALSE)))</f>
        <v/>
      </c>
      <c r="AF1435" s="1063" t="e">
        <f>IF((TB_curr[[#This Row],[Synt]]-TB_curr[[#This Row],[Subtotal Y/N]])=0,0,VLOOKUP(TB_curr[[#This Row],[Synt]],GL[[Account]:[Line]],3,FALSE))</f>
        <v>#VALUE!</v>
      </c>
      <c r="AG1435" s="1063" t="e">
        <f>VLOOKUP(TB_curr[[#This Row],[Synt]],GL[[Account]:[B/P]],4,FALSE)</f>
        <v>#N/A</v>
      </c>
      <c r="AH1435" s="1066" t="e">
        <v>#VALUE!</v>
      </c>
      <c r="AI1435" s="1065" t="e">
        <f>TB_curr[[#This Row],[Synt]]&amp;TB_curr[[#This Row],[Line No. manual corr.]]</f>
        <v>#VALUE!</v>
      </c>
      <c r="AJ1435" s="1064">
        <f t="shared" si="111"/>
        <v>0</v>
      </c>
      <c r="AK1435" s="1064">
        <f t="shared" si="112"/>
        <v>0</v>
      </c>
      <c r="AL1435" s="1064">
        <f t="shared" si="113"/>
        <v>0</v>
      </c>
      <c r="AM1435" s="1064">
        <f t="shared" si="114"/>
        <v>0</v>
      </c>
      <c r="AN1435" s="1064"/>
      <c r="AO1435" s="1064">
        <f>TB_curr[[#This Row],[Closing balance]]+TB_curr[[#This Row],[Rounding]]</f>
        <v>0</v>
      </c>
    </row>
    <row r="1436" spans="30:41" x14ac:dyDescent="0.25">
      <c r="AD1436" s="1067" t="str">
        <f t="shared" si="110"/>
        <v/>
      </c>
      <c r="AE1436" s="1063" t="str">
        <f>IF(ISNA(VLOOKUP(TB_curr[[#This Row],[Synt]],GL[[#Headers],[#Data],[subtotal label]],1,FALSE)),0,(VLOOKUP(TB_curr[[#This Row],[Synt]],GL[[#Headers],[#Data],[subtotal label]],1,FALSE)))</f>
        <v/>
      </c>
      <c r="AF1436" s="1063" t="e">
        <f>IF((TB_curr[[#This Row],[Synt]]-TB_curr[[#This Row],[Subtotal Y/N]])=0,0,VLOOKUP(TB_curr[[#This Row],[Synt]],GL[[Account]:[Line]],3,FALSE))</f>
        <v>#VALUE!</v>
      </c>
      <c r="AG1436" s="1063" t="e">
        <f>VLOOKUP(TB_curr[[#This Row],[Synt]],GL[[Account]:[B/P]],4,FALSE)</f>
        <v>#N/A</v>
      </c>
      <c r="AH1436" s="1066" t="e">
        <v>#VALUE!</v>
      </c>
      <c r="AI1436" s="1065" t="e">
        <f>TB_curr[[#This Row],[Synt]]&amp;TB_curr[[#This Row],[Line No. manual corr.]]</f>
        <v>#VALUE!</v>
      </c>
      <c r="AJ1436" s="1064">
        <f t="shared" si="111"/>
        <v>0</v>
      </c>
      <c r="AK1436" s="1064">
        <f t="shared" si="112"/>
        <v>0</v>
      </c>
      <c r="AL1436" s="1064">
        <f t="shared" si="113"/>
        <v>0</v>
      </c>
      <c r="AM1436" s="1064">
        <f t="shared" si="114"/>
        <v>0</v>
      </c>
      <c r="AN1436" s="1064"/>
      <c r="AO1436" s="1064">
        <f>TB_curr[[#This Row],[Closing balance]]+TB_curr[[#This Row],[Rounding]]</f>
        <v>0</v>
      </c>
    </row>
    <row r="1437" spans="30:41" x14ac:dyDescent="0.25">
      <c r="AD1437" s="1067" t="str">
        <f t="shared" si="110"/>
        <v/>
      </c>
      <c r="AE1437" s="1063" t="str">
        <f>IF(ISNA(VLOOKUP(TB_curr[[#This Row],[Synt]],GL[[#Headers],[#Data],[subtotal label]],1,FALSE)),0,(VLOOKUP(TB_curr[[#This Row],[Synt]],GL[[#Headers],[#Data],[subtotal label]],1,FALSE)))</f>
        <v/>
      </c>
      <c r="AF1437" s="1063" t="e">
        <f>IF((TB_curr[[#This Row],[Synt]]-TB_curr[[#This Row],[Subtotal Y/N]])=0,0,VLOOKUP(TB_curr[[#This Row],[Synt]],GL[[Account]:[Line]],3,FALSE))</f>
        <v>#VALUE!</v>
      </c>
      <c r="AG1437" s="1063" t="e">
        <f>VLOOKUP(TB_curr[[#This Row],[Synt]],GL[[Account]:[B/P]],4,FALSE)</f>
        <v>#N/A</v>
      </c>
      <c r="AH1437" s="1066" t="e">
        <v>#VALUE!</v>
      </c>
      <c r="AI1437" s="1065" t="e">
        <f>TB_curr[[#This Row],[Synt]]&amp;TB_curr[[#This Row],[Line No. manual corr.]]</f>
        <v>#VALUE!</v>
      </c>
      <c r="AJ1437" s="1064">
        <f t="shared" si="111"/>
        <v>0</v>
      </c>
      <c r="AK1437" s="1064">
        <f t="shared" si="112"/>
        <v>0</v>
      </c>
      <c r="AL1437" s="1064">
        <f t="shared" si="113"/>
        <v>0</v>
      </c>
      <c r="AM1437" s="1064">
        <f t="shared" si="114"/>
        <v>0</v>
      </c>
      <c r="AN1437" s="1064"/>
      <c r="AO1437" s="1064">
        <f>TB_curr[[#This Row],[Closing balance]]+TB_curr[[#This Row],[Rounding]]</f>
        <v>0</v>
      </c>
    </row>
    <row r="1438" spans="30:41" x14ac:dyDescent="0.25">
      <c r="AD1438" s="1067" t="str">
        <f t="shared" si="110"/>
        <v/>
      </c>
      <c r="AE1438" s="1063" t="str">
        <f>IF(ISNA(VLOOKUP(TB_curr[[#This Row],[Synt]],GL[[#Headers],[#Data],[subtotal label]],1,FALSE)),0,(VLOOKUP(TB_curr[[#This Row],[Synt]],GL[[#Headers],[#Data],[subtotal label]],1,FALSE)))</f>
        <v/>
      </c>
      <c r="AF1438" s="1063" t="e">
        <f>IF((TB_curr[[#This Row],[Synt]]-TB_curr[[#This Row],[Subtotal Y/N]])=0,0,VLOOKUP(TB_curr[[#This Row],[Synt]],GL[[Account]:[Line]],3,FALSE))</f>
        <v>#VALUE!</v>
      </c>
      <c r="AG1438" s="1063" t="e">
        <f>VLOOKUP(TB_curr[[#This Row],[Synt]],GL[[Account]:[B/P]],4,FALSE)</f>
        <v>#N/A</v>
      </c>
      <c r="AH1438" s="1066" t="e">
        <v>#VALUE!</v>
      </c>
      <c r="AI1438" s="1065" t="e">
        <f>TB_curr[[#This Row],[Synt]]&amp;TB_curr[[#This Row],[Line No. manual corr.]]</f>
        <v>#VALUE!</v>
      </c>
      <c r="AJ1438" s="1064">
        <f t="shared" si="111"/>
        <v>0</v>
      </c>
      <c r="AK1438" s="1064">
        <f t="shared" si="112"/>
        <v>0</v>
      </c>
      <c r="AL1438" s="1064">
        <f t="shared" si="113"/>
        <v>0</v>
      </c>
      <c r="AM1438" s="1064">
        <f t="shared" si="114"/>
        <v>0</v>
      </c>
      <c r="AN1438" s="1064"/>
      <c r="AO1438" s="1064">
        <f>TB_curr[[#This Row],[Closing balance]]+TB_curr[[#This Row],[Rounding]]</f>
        <v>0</v>
      </c>
    </row>
    <row r="1439" spans="30:41" x14ac:dyDescent="0.25">
      <c r="AD1439" s="1067" t="str">
        <f t="shared" si="110"/>
        <v/>
      </c>
      <c r="AE1439" s="1063" t="str">
        <f>IF(ISNA(VLOOKUP(TB_curr[[#This Row],[Synt]],GL[[#Headers],[#Data],[subtotal label]],1,FALSE)),0,(VLOOKUP(TB_curr[[#This Row],[Synt]],GL[[#Headers],[#Data],[subtotal label]],1,FALSE)))</f>
        <v/>
      </c>
      <c r="AF1439" s="1063" t="e">
        <f>IF((TB_curr[[#This Row],[Synt]]-TB_curr[[#This Row],[Subtotal Y/N]])=0,0,VLOOKUP(TB_curr[[#This Row],[Synt]],GL[[Account]:[Line]],3,FALSE))</f>
        <v>#VALUE!</v>
      </c>
      <c r="AG1439" s="1063" t="e">
        <f>VLOOKUP(TB_curr[[#This Row],[Synt]],GL[[Account]:[B/P]],4,FALSE)</f>
        <v>#N/A</v>
      </c>
      <c r="AH1439" s="1066" t="e">
        <v>#VALUE!</v>
      </c>
      <c r="AI1439" s="1065" t="e">
        <f>TB_curr[[#This Row],[Synt]]&amp;TB_curr[[#This Row],[Line No. manual corr.]]</f>
        <v>#VALUE!</v>
      </c>
      <c r="AJ1439" s="1064">
        <f t="shared" si="111"/>
        <v>0</v>
      </c>
      <c r="AK1439" s="1064">
        <f t="shared" si="112"/>
        <v>0</v>
      </c>
      <c r="AL1439" s="1064">
        <f t="shared" si="113"/>
        <v>0</v>
      </c>
      <c r="AM1439" s="1064">
        <f t="shared" si="114"/>
        <v>0</v>
      </c>
      <c r="AN1439" s="1064"/>
      <c r="AO1439" s="1064">
        <f>TB_curr[[#This Row],[Closing balance]]+TB_curr[[#This Row],[Rounding]]</f>
        <v>0</v>
      </c>
    </row>
    <row r="1440" spans="30:41" x14ac:dyDescent="0.25">
      <c r="AD1440" s="1067" t="str">
        <f t="shared" si="110"/>
        <v/>
      </c>
      <c r="AE1440" s="1063" t="str">
        <f>IF(ISNA(VLOOKUP(TB_curr[[#This Row],[Synt]],GL[[#Headers],[#Data],[subtotal label]],1,FALSE)),0,(VLOOKUP(TB_curr[[#This Row],[Synt]],GL[[#Headers],[#Data],[subtotal label]],1,FALSE)))</f>
        <v/>
      </c>
      <c r="AF1440" s="1063" t="e">
        <f>IF((TB_curr[[#This Row],[Synt]]-TB_curr[[#This Row],[Subtotal Y/N]])=0,0,VLOOKUP(TB_curr[[#This Row],[Synt]],GL[[Account]:[Line]],3,FALSE))</f>
        <v>#VALUE!</v>
      </c>
      <c r="AG1440" s="1063" t="e">
        <f>VLOOKUP(TB_curr[[#This Row],[Synt]],GL[[Account]:[B/P]],4,FALSE)</f>
        <v>#N/A</v>
      </c>
      <c r="AH1440" s="1066" t="e">
        <v>#VALUE!</v>
      </c>
      <c r="AI1440" s="1065" t="e">
        <f>TB_curr[[#This Row],[Synt]]&amp;TB_curr[[#This Row],[Line No. manual corr.]]</f>
        <v>#VALUE!</v>
      </c>
      <c r="AJ1440" s="1064">
        <f t="shared" si="111"/>
        <v>0</v>
      </c>
      <c r="AK1440" s="1064">
        <f t="shared" si="112"/>
        <v>0</v>
      </c>
      <c r="AL1440" s="1064">
        <f t="shared" si="113"/>
        <v>0</v>
      </c>
      <c r="AM1440" s="1064">
        <f t="shared" si="114"/>
        <v>0</v>
      </c>
      <c r="AN1440" s="1064"/>
      <c r="AO1440" s="1064">
        <f>TB_curr[[#This Row],[Closing balance]]+TB_curr[[#This Row],[Rounding]]</f>
        <v>0</v>
      </c>
    </row>
    <row r="1441" spans="30:41" x14ac:dyDescent="0.25">
      <c r="AD1441" s="1067" t="str">
        <f t="shared" si="110"/>
        <v/>
      </c>
      <c r="AE1441" s="1063" t="str">
        <f>IF(ISNA(VLOOKUP(TB_curr[[#This Row],[Synt]],GL[[#Headers],[#Data],[subtotal label]],1,FALSE)),0,(VLOOKUP(TB_curr[[#This Row],[Synt]],GL[[#Headers],[#Data],[subtotal label]],1,FALSE)))</f>
        <v/>
      </c>
      <c r="AF1441" s="1063" t="e">
        <f>IF((TB_curr[[#This Row],[Synt]]-TB_curr[[#This Row],[Subtotal Y/N]])=0,0,VLOOKUP(TB_curr[[#This Row],[Synt]],GL[[Account]:[Line]],3,FALSE))</f>
        <v>#VALUE!</v>
      </c>
      <c r="AG1441" s="1063" t="e">
        <f>VLOOKUP(TB_curr[[#This Row],[Synt]],GL[[Account]:[B/P]],4,FALSE)</f>
        <v>#N/A</v>
      </c>
      <c r="AH1441" s="1066" t="e">
        <v>#VALUE!</v>
      </c>
      <c r="AI1441" s="1065" t="e">
        <f>TB_curr[[#This Row],[Synt]]&amp;TB_curr[[#This Row],[Line No. manual corr.]]</f>
        <v>#VALUE!</v>
      </c>
      <c r="AJ1441" s="1064">
        <f t="shared" si="111"/>
        <v>0</v>
      </c>
      <c r="AK1441" s="1064">
        <f t="shared" si="112"/>
        <v>0</v>
      </c>
      <c r="AL1441" s="1064">
        <f t="shared" si="113"/>
        <v>0</v>
      </c>
      <c r="AM1441" s="1064">
        <f t="shared" si="114"/>
        <v>0</v>
      </c>
      <c r="AN1441" s="1064"/>
      <c r="AO1441" s="1064">
        <f>TB_curr[[#This Row],[Closing balance]]+TB_curr[[#This Row],[Rounding]]</f>
        <v>0</v>
      </c>
    </row>
    <row r="1442" spans="30:41" x14ac:dyDescent="0.25">
      <c r="AD1442" s="1067" t="str">
        <f t="shared" si="110"/>
        <v/>
      </c>
      <c r="AE1442" s="1063" t="str">
        <f>IF(ISNA(VLOOKUP(TB_curr[[#This Row],[Synt]],GL[[#Headers],[#Data],[subtotal label]],1,FALSE)),0,(VLOOKUP(TB_curr[[#This Row],[Synt]],GL[[#Headers],[#Data],[subtotal label]],1,FALSE)))</f>
        <v/>
      </c>
      <c r="AF1442" s="1063" t="e">
        <f>IF((TB_curr[[#This Row],[Synt]]-TB_curr[[#This Row],[Subtotal Y/N]])=0,0,VLOOKUP(TB_curr[[#This Row],[Synt]],GL[[Account]:[Line]],3,FALSE))</f>
        <v>#VALUE!</v>
      </c>
      <c r="AG1442" s="1063" t="e">
        <f>VLOOKUP(TB_curr[[#This Row],[Synt]],GL[[Account]:[B/P]],4,FALSE)</f>
        <v>#N/A</v>
      </c>
      <c r="AH1442" s="1066" t="e">
        <v>#VALUE!</v>
      </c>
      <c r="AI1442" s="1065" t="e">
        <f>TB_curr[[#This Row],[Synt]]&amp;TB_curr[[#This Row],[Line No. manual corr.]]</f>
        <v>#VALUE!</v>
      </c>
      <c r="AJ1442" s="1064">
        <f t="shared" si="111"/>
        <v>0</v>
      </c>
      <c r="AK1442" s="1064">
        <f t="shared" si="112"/>
        <v>0</v>
      </c>
      <c r="AL1442" s="1064">
        <f t="shared" si="113"/>
        <v>0</v>
      </c>
      <c r="AM1442" s="1064">
        <f t="shared" si="114"/>
        <v>0</v>
      </c>
      <c r="AN1442" s="1064"/>
      <c r="AO1442" s="1064">
        <f>TB_curr[[#This Row],[Closing balance]]+TB_curr[[#This Row],[Rounding]]</f>
        <v>0</v>
      </c>
    </row>
    <row r="1443" spans="30:41" x14ac:dyDescent="0.25">
      <c r="AD1443" s="1067" t="str">
        <f t="shared" si="110"/>
        <v/>
      </c>
      <c r="AE1443" s="1063" t="str">
        <f>IF(ISNA(VLOOKUP(TB_curr[[#This Row],[Synt]],GL[[#Headers],[#Data],[subtotal label]],1,FALSE)),0,(VLOOKUP(TB_curr[[#This Row],[Synt]],GL[[#Headers],[#Data],[subtotal label]],1,FALSE)))</f>
        <v/>
      </c>
      <c r="AF1443" s="1063" t="e">
        <f>IF((TB_curr[[#This Row],[Synt]]-TB_curr[[#This Row],[Subtotal Y/N]])=0,0,VLOOKUP(TB_curr[[#This Row],[Synt]],GL[[Account]:[Line]],3,FALSE))</f>
        <v>#VALUE!</v>
      </c>
      <c r="AG1443" s="1063" t="e">
        <f>VLOOKUP(TB_curr[[#This Row],[Synt]],GL[[Account]:[B/P]],4,FALSE)</f>
        <v>#N/A</v>
      </c>
      <c r="AH1443" s="1066" t="e">
        <v>#VALUE!</v>
      </c>
      <c r="AI1443" s="1065" t="e">
        <f>TB_curr[[#This Row],[Synt]]&amp;TB_curr[[#This Row],[Line No. manual corr.]]</f>
        <v>#VALUE!</v>
      </c>
      <c r="AJ1443" s="1064">
        <f t="shared" si="111"/>
        <v>0</v>
      </c>
      <c r="AK1443" s="1064">
        <f t="shared" si="112"/>
        <v>0</v>
      </c>
      <c r="AL1443" s="1064">
        <f t="shared" si="113"/>
        <v>0</v>
      </c>
      <c r="AM1443" s="1064">
        <f t="shared" si="114"/>
        <v>0</v>
      </c>
      <c r="AN1443" s="1064"/>
      <c r="AO1443" s="1064">
        <f>TB_curr[[#This Row],[Closing balance]]+TB_curr[[#This Row],[Rounding]]</f>
        <v>0</v>
      </c>
    </row>
    <row r="1444" spans="30:41" x14ac:dyDescent="0.25">
      <c r="AD1444" s="1067" t="str">
        <f t="shared" si="110"/>
        <v/>
      </c>
      <c r="AE1444" s="1063" t="str">
        <f>IF(ISNA(VLOOKUP(TB_curr[[#This Row],[Synt]],GL[[#Headers],[#Data],[subtotal label]],1,FALSE)),0,(VLOOKUP(TB_curr[[#This Row],[Synt]],GL[[#Headers],[#Data],[subtotal label]],1,FALSE)))</f>
        <v/>
      </c>
      <c r="AF1444" s="1063" t="e">
        <f>IF((TB_curr[[#This Row],[Synt]]-TB_curr[[#This Row],[Subtotal Y/N]])=0,0,VLOOKUP(TB_curr[[#This Row],[Synt]],GL[[Account]:[Line]],3,FALSE))</f>
        <v>#VALUE!</v>
      </c>
      <c r="AG1444" s="1063" t="e">
        <f>VLOOKUP(TB_curr[[#This Row],[Synt]],GL[[Account]:[B/P]],4,FALSE)</f>
        <v>#N/A</v>
      </c>
      <c r="AH1444" s="1066" t="e">
        <v>#VALUE!</v>
      </c>
      <c r="AI1444" s="1065" t="e">
        <f>TB_curr[[#This Row],[Synt]]&amp;TB_curr[[#This Row],[Line No. manual corr.]]</f>
        <v>#VALUE!</v>
      </c>
      <c r="AJ1444" s="1064">
        <f t="shared" si="111"/>
        <v>0</v>
      </c>
      <c r="AK1444" s="1064">
        <f t="shared" si="112"/>
        <v>0</v>
      </c>
      <c r="AL1444" s="1064">
        <f t="shared" si="113"/>
        <v>0</v>
      </c>
      <c r="AM1444" s="1064">
        <f t="shared" si="114"/>
        <v>0</v>
      </c>
      <c r="AN1444" s="1064"/>
      <c r="AO1444" s="1064">
        <f>TB_curr[[#This Row],[Closing balance]]+TB_curr[[#This Row],[Rounding]]</f>
        <v>0</v>
      </c>
    </row>
    <row r="1445" spans="30:41" x14ac:dyDescent="0.25">
      <c r="AD1445" s="1067" t="str">
        <f t="shared" si="110"/>
        <v/>
      </c>
      <c r="AE1445" s="1063" t="str">
        <f>IF(ISNA(VLOOKUP(TB_curr[[#This Row],[Synt]],GL[[#Headers],[#Data],[subtotal label]],1,FALSE)),0,(VLOOKUP(TB_curr[[#This Row],[Synt]],GL[[#Headers],[#Data],[subtotal label]],1,FALSE)))</f>
        <v/>
      </c>
      <c r="AF1445" s="1063" t="e">
        <f>IF((TB_curr[[#This Row],[Synt]]-TB_curr[[#This Row],[Subtotal Y/N]])=0,0,VLOOKUP(TB_curr[[#This Row],[Synt]],GL[[Account]:[Line]],3,FALSE))</f>
        <v>#VALUE!</v>
      </c>
      <c r="AG1445" s="1063" t="e">
        <f>VLOOKUP(TB_curr[[#This Row],[Synt]],GL[[Account]:[B/P]],4,FALSE)</f>
        <v>#N/A</v>
      </c>
      <c r="AH1445" s="1066" t="e">
        <v>#VALUE!</v>
      </c>
      <c r="AI1445" s="1065" t="e">
        <f>TB_curr[[#This Row],[Synt]]&amp;TB_curr[[#This Row],[Line No. manual corr.]]</f>
        <v>#VALUE!</v>
      </c>
      <c r="AJ1445" s="1064">
        <f t="shared" si="111"/>
        <v>0</v>
      </c>
      <c r="AK1445" s="1064">
        <f t="shared" si="112"/>
        <v>0</v>
      </c>
      <c r="AL1445" s="1064">
        <f t="shared" si="113"/>
        <v>0</v>
      </c>
      <c r="AM1445" s="1064">
        <f t="shared" si="114"/>
        <v>0</v>
      </c>
      <c r="AN1445" s="1064"/>
      <c r="AO1445" s="1064">
        <f>TB_curr[[#This Row],[Closing balance]]+TB_curr[[#This Row],[Rounding]]</f>
        <v>0</v>
      </c>
    </row>
    <row r="1446" spans="30:41" x14ac:dyDescent="0.25">
      <c r="AD1446" s="1067" t="str">
        <f t="shared" si="110"/>
        <v/>
      </c>
      <c r="AE1446" s="1063" t="str">
        <f>IF(ISNA(VLOOKUP(TB_curr[[#This Row],[Synt]],GL[[#Headers],[#Data],[subtotal label]],1,FALSE)),0,(VLOOKUP(TB_curr[[#This Row],[Synt]],GL[[#Headers],[#Data],[subtotal label]],1,FALSE)))</f>
        <v/>
      </c>
      <c r="AF1446" s="1063" t="e">
        <f>IF((TB_curr[[#This Row],[Synt]]-TB_curr[[#This Row],[Subtotal Y/N]])=0,0,VLOOKUP(TB_curr[[#This Row],[Synt]],GL[[Account]:[Line]],3,FALSE))</f>
        <v>#VALUE!</v>
      </c>
      <c r="AG1446" s="1063" t="e">
        <f>VLOOKUP(TB_curr[[#This Row],[Synt]],GL[[Account]:[B/P]],4,FALSE)</f>
        <v>#N/A</v>
      </c>
      <c r="AH1446" s="1066" t="e">
        <v>#VALUE!</v>
      </c>
      <c r="AI1446" s="1065" t="e">
        <f>TB_curr[[#This Row],[Synt]]&amp;TB_curr[[#This Row],[Line No. manual corr.]]</f>
        <v>#VALUE!</v>
      </c>
      <c r="AJ1446" s="1064">
        <f t="shared" si="111"/>
        <v>0</v>
      </c>
      <c r="AK1446" s="1064">
        <f t="shared" si="112"/>
        <v>0</v>
      </c>
      <c r="AL1446" s="1064">
        <f t="shared" si="113"/>
        <v>0</v>
      </c>
      <c r="AM1446" s="1064">
        <f t="shared" si="114"/>
        <v>0</v>
      </c>
      <c r="AN1446" s="1064"/>
      <c r="AO1446" s="1064">
        <f>TB_curr[[#This Row],[Closing balance]]+TB_curr[[#This Row],[Rounding]]</f>
        <v>0</v>
      </c>
    </row>
    <row r="1447" spans="30:41" x14ac:dyDescent="0.25">
      <c r="AD1447" s="1067" t="str">
        <f t="shared" si="110"/>
        <v/>
      </c>
      <c r="AE1447" s="1063" t="str">
        <f>IF(ISNA(VLOOKUP(TB_curr[[#This Row],[Synt]],GL[[#Headers],[#Data],[subtotal label]],1,FALSE)),0,(VLOOKUP(TB_curr[[#This Row],[Synt]],GL[[#Headers],[#Data],[subtotal label]],1,FALSE)))</f>
        <v/>
      </c>
      <c r="AF1447" s="1063" t="e">
        <f>IF((TB_curr[[#This Row],[Synt]]-TB_curr[[#This Row],[Subtotal Y/N]])=0,0,VLOOKUP(TB_curr[[#This Row],[Synt]],GL[[Account]:[Line]],3,FALSE))</f>
        <v>#VALUE!</v>
      </c>
      <c r="AG1447" s="1063" t="e">
        <f>VLOOKUP(TB_curr[[#This Row],[Synt]],GL[[Account]:[B/P]],4,FALSE)</f>
        <v>#N/A</v>
      </c>
      <c r="AH1447" s="1066" t="e">
        <v>#VALUE!</v>
      </c>
      <c r="AI1447" s="1065" t="e">
        <f>TB_curr[[#This Row],[Synt]]&amp;TB_curr[[#This Row],[Line No. manual corr.]]</f>
        <v>#VALUE!</v>
      </c>
      <c r="AJ1447" s="1064">
        <f t="shared" si="111"/>
        <v>0</v>
      </c>
      <c r="AK1447" s="1064">
        <f t="shared" si="112"/>
        <v>0</v>
      </c>
      <c r="AL1447" s="1064">
        <f t="shared" si="113"/>
        <v>0</v>
      </c>
      <c r="AM1447" s="1064">
        <f t="shared" si="114"/>
        <v>0</v>
      </c>
      <c r="AN1447" s="1064"/>
      <c r="AO1447" s="1064">
        <f>TB_curr[[#This Row],[Closing balance]]+TB_curr[[#This Row],[Rounding]]</f>
        <v>0</v>
      </c>
    </row>
    <row r="1448" spans="30:41" x14ac:dyDescent="0.25">
      <c r="AD1448" s="1067" t="str">
        <f t="shared" si="110"/>
        <v/>
      </c>
      <c r="AE1448" s="1063" t="str">
        <f>IF(ISNA(VLOOKUP(TB_curr[[#This Row],[Synt]],GL[[#Headers],[#Data],[subtotal label]],1,FALSE)),0,(VLOOKUP(TB_curr[[#This Row],[Synt]],GL[[#Headers],[#Data],[subtotal label]],1,FALSE)))</f>
        <v/>
      </c>
      <c r="AF1448" s="1063" t="e">
        <f>IF((TB_curr[[#This Row],[Synt]]-TB_curr[[#This Row],[Subtotal Y/N]])=0,0,VLOOKUP(TB_curr[[#This Row],[Synt]],GL[[Account]:[Line]],3,FALSE))</f>
        <v>#VALUE!</v>
      </c>
      <c r="AG1448" s="1063" t="e">
        <f>VLOOKUP(TB_curr[[#This Row],[Synt]],GL[[Account]:[B/P]],4,FALSE)</f>
        <v>#N/A</v>
      </c>
      <c r="AH1448" s="1066" t="e">
        <v>#VALUE!</v>
      </c>
      <c r="AI1448" s="1065" t="e">
        <f>TB_curr[[#This Row],[Synt]]&amp;TB_curr[[#This Row],[Line No. manual corr.]]</f>
        <v>#VALUE!</v>
      </c>
      <c r="AJ1448" s="1064">
        <f t="shared" si="111"/>
        <v>0</v>
      </c>
      <c r="AK1448" s="1064">
        <f t="shared" si="112"/>
        <v>0</v>
      </c>
      <c r="AL1448" s="1064">
        <f t="shared" si="113"/>
        <v>0</v>
      </c>
      <c r="AM1448" s="1064">
        <f t="shared" si="114"/>
        <v>0</v>
      </c>
      <c r="AN1448" s="1064"/>
      <c r="AO1448" s="1064">
        <f>TB_curr[[#This Row],[Closing balance]]+TB_curr[[#This Row],[Rounding]]</f>
        <v>0</v>
      </c>
    </row>
    <row r="1449" spans="30:41" x14ac:dyDescent="0.25">
      <c r="AD1449" s="1067" t="str">
        <f t="shared" si="110"/>
        <v/>
      </c>
      <c r="AE1449" s="1063" t="str">
        <f>IF(ISNA(VLOOKUP(TB_curr[[#This Row],[Synt]],GL[[#Headers],[#Data],[subtotal label]],1,FALSE)),0,(VLOOKUP(TB_curr[[#This Row],[Synt]],GL[[#Headers],[#Data],[subtotal label]],1,FALSE)))</f>
        <v/>
      </c>
      <c r="AF1449" s="1063" t="e">
        <f>IF((TB_curr[[#This Row],[Synt]]-TB_curr[[#This Row],[Subtotal Y/N]])=0,0,VLOOKUP(TB_curr[[#This Row],[Synt]],GL[[Account]:[Line]],3,FALSE))</f>
        <v>#VALUE!</v>
      </c>
      <c r="AG1449" s="1063" t="e">
        <f>VLOOKUP(TB_curr[[#This Row],[Synt]],GL[[Account]:[B/P]],4,FALSE)</f>
        <v>#N/A</v>
      </c>
      <c r="AH1449" s="1066" t="e">
        <v>#VALUE!</v>
      </c>
      <c r="AI1449" s="1065" t="e">
        <f>TB_curr[[#This Row],[Synt]]&amp;TB_curr[[#This Row],[Line No. manual corr.]]</f>
        <v>#VALUE!</v>
      </c>
      <c r="AJ1449" s="1064">
        <f t="shared" si="111"/>
        <v>0</v>
      </c>
      <c r="AK1449" s="1064">
        <f t="shared" si="112"/>
        <v>0</v>
      </c>
      <c r="AL1449" s="1064">
        <f t="shared" si="113"/>
        <v>0</v>
      </c>
      <c r="AM1449" s="1064">
        <f t="shared" si="114"/>
        <v>0</v>
      </c>
      <c r="AN1449" s="1064"/>
      <c r="AO1449" s="1064">
        <f>TB_curr[[#This Row],[Closing balance]]+TB_curr[[#This Row],[Rounding]]</f>
        <v>0</v>
      </c>
    </row>
    <row r="1450" spans="30:41" x14ac:dyDescent="0.25">
      <c r="AD1450" s="1067" t="str">
        <f t="shared" si="110"/>
        <v/>
      </c>
      <c r="AE1450" s="1063" t="str">
        <f>IF(ISNA(VLOOKUP(TB_curr[[#This Row],[Synt]],GL[[#Headers],[#Data],[subtotal label]],1,FALSE)),0,(VLOOKUP(TB_curr[[#This Row],[Synt]],GL[[#Headers],[#Data],[subtotal label]],1,FALSE)))</f>
        <v/>
      </c>
      <c r="AF1450" s="1063" t="e">
        <f>IF((TB_curr[[#This Row],[Synt]]-TB_curr[[#This Row],[Subtotal Y/N]])=0,0,VLOOKUP(TB_curr[[#This Row],[Synt]],GL[[Account]:[Line]],3,FALSE))</f>
        <v>#VALUE!</v>
      </c>
      <c r="AG1450" s="1063" t="e">
        <f>VLOOKUP(TB_curr[[#This Row],[Synt]],GL[[Account]:[B/P]],4,FALSE)</f>
        <v>#N/A</v>
      </c>
      <c r="AH1450" s="1066" t="e">
        <v>#VALUE!</v>
      </c>
      <c r="AI1450" s="1065" t="e">
        <f>TB_curr[[#This Row],[Synt]]&amp;TB_curr[[#This Row],[Line No. manual corr.]]</f>
        <v>#VALUE!</v>
      </c>
      <c r="AJ1450" s="1064">
        <f t="shared" si="111"/>
        <v>0</v>
      </c>
      <c r="AK1450" s="1064">
        <f t="shared" si="112"/>
        <v>0</v>
      </c>
      <c r="AL1450" s="1064">
        <f t="shared" si="113"/>
        <v>0</v>
      </c>
      <c r="AM1450" s="1064">
        <f t="shared" si="114"/>
        <v>0</v>
      </c>
      <c r="AN1450" s="1064"/>
      <c r="AO1450" s="1064">
        <f>TB_curr[[#This Row],[Closing balance]]+TB_curr[[#This Row],[Rounding]]</f>
        <v>0</v>
      </c>
    </row>
    <row r="1451" spans="30:41" x14ac:dyDescent="0.25">
      <c r="AD1451" s="1067" t="str">
        <f t="shared" si="110"/>
        <v/>
      </c>
      <c r="AE1451" s="1063" t="str">
        <f>IF(ISNA(VLOOKUP(TB_curr[[#This Row],[Synt]],GL[[#Headers],[#Data],[subtotal label]],1,FALSE)),0,(VLOOKUP(TB_curr[[#This Row],[Synt]],GL[[#Headers],[#Data],[subtotal label]],1,FALSE)))</f>
        <v/>
      </c>
      <c r="AF1451" s="1063" t="e">
        <f>IF((TB_curr[[#This Row],[Synt]]-TB_curr[[#This Row],[Subtotal Y/N]])=0,0,VLOOKUP(TB_curr[[#This Row],[Synt]],GL[[Account]:[Line]],3,FALSE))</f>
        <v>#VALUE!</v>
      </c>
      <c r="AG1451" s="1063" t="e">
        <f>VLOOKUP(TB_curr[[#This Row],[Synt]],GL[[Account]:[B/P]],4,FALSE)</f>
        <v>#N/A</v>
      </c>
      <c r="AH1451" s="1066" t="e">
        <v>#VALUE!</v>
      </c>
      <c r="AI1451" s="1065" t="e">
        <f>TB_curr[[#This Row],[Synt]]&amp;TB_curr[[#This Row],[Line No. manual corr.]]</f>
        <v>#VALUE!</v>
      </c>
      <c r="AJ1451" s="1064">
        <f t="shared" si="111"/>
        <v>0</v>
      </c>
      <c r="AK1451" s="1064">
        <f t="shared" si="112"/>
        <v>0</v>
      </c>
      <c r="AL1451" s="1064">
        <f t="shared" si="113"/>
        <v>0</v>
      </c>
      <c r="AM1451" s="1064">
        <f t="shared" si="114"/>
        <v>0</v>
      </c>
      <c r="AN1451" s="1064"/>
      <c r="AO1451" s="1064">
        <f>TB_curr[[#This Row],[Closing balance]]+TB_curr[[#This Row],[Rounding]]</f>
        <v>0</v>
      </c>
    </row>
    <row r="1452" spans="30:41" x14ac:dyDescent="0.25">
      <c r="AD1452" s="1067" t="str">
        <f t="shared" si="110"/>
        <v/>
      </c>
      <c r="AE1452" s="1063" t="str">
        <f>IF(ISNA(VLOOKUP(TB_curr[[#This Row],[Synt]],GL[[#Headers],[#Data],[subtotal label]],1,FALSE)),0,(VLOOKUP(TB_curr[[#This Row],[Synt]],GL[[#Headers],[#Data],[subtotal label]],1,FALSE)))</f>
        <v/>
      </c>
      <c r="AF1452" s="1063" t="e">
        <f>IF((TB_curr[[#This Row],[Synt]]-TB_curr[[#This Row],[Subtotal Y/N]])=0,0,VLOOKUP(TB_curr[[#This Row],[Synt]],GL[[Account]:[Line]],3,FALSE))</f>
        <v>#VALUE!</v>
      </c>
      <c r="AG1452" s="1063" t="e">
        <f>VLOOKUP(TB_curr[[#This Row],[Synt]],GL[[Account]:[B/P]],4,FALSE)</f>
        <v>#N/A</v>
      </c>
      <c r="AH1452" s="1066" t="e">
        <v>#VALUE!</v>
      </c>
      <c r="AI1452" s="1065" t="e">
        <f>TB_curr[[#This Row],[Synt]]&amp;TB_curr[[#This Row],[Line No. manual corr.]]</f>
        <v>#VALUE!</v>
      </c>
      <c r="AJ1452" s="1064">
        <f t="shared" si="111"/>
        <v>0</v>
      </c>
      <c r="AK1452" s="1064">
        <f t="shared" si="112"/>
        <v>0</v>
      </c>
      <c r="AL1452" s="1064">
        <f t="shared" si="113"/>
        <v>0</v>
      </c>
      <c r="AM1452" s="1064">
        <f t="shared" si="114"/>
        <v>0</v>
      </c>
      <c r="AN1452" s="1064"/>
      <c r="AO1452" s="1064">
        <f>TB_curr[[#This Row],[Closing balance]]+TB_curr[[#This Row],[Rounding]]</f>
        <v>0</v>
      </c>
    </row>
    <row r="1453" spans="30:41" x14ac:dyDescent="0.25">
      <c r="AD1453" s="1067" t="str">
        <f t="shared" si="110"/>
        <v/>
      </c>
      <c r="AE1453" s="1063" t="str">
        <f>IF(ISNA(VLOOKUP(TB_curr[[#This Row],[Synt]],GL[[#Headers],[#Data],[subtotal label]],1,FALSE)),0,(VLOOKUP(TB_curr[[#This Row],[Synt]],GL[[#Headers],[#Data],[subtotal label]],1,FALSE)))</f>
        <v/>
      </c>
      <c r="AF1453" s="1063" t="e">
        <f>IF((TB_curr[[#This Row],[Synt]]-TB_curr[[#This Row],[Subtotal Y/N]])=0,0,VLOOKUP(TB_curr[[#This Row],[Synt]],GL[[Account]:[Line]],3,FALSE))</f>
        <v>#VALUE!</v>
      </c>
      <c r="AG1453" s="1063" t="e">
        <f>VLOOKUP(TB_curr[[#This Row],[Synt]],GL[[Account]:[B/P]],4,FALSE)</f>
        <v>#N/A</v>
      </c>
      <c r="AH1453" s="1066" t="e">
        <v>#VALUE!</v>
      </c>
      <c r="AI1453" s="1065" t="e">
        <f>TB_curr[[#This Row],[Synt]]&amp;TB_curr[[#This Row],[Line No. manual corr.]]</f>
        <v>#VALUE!</v>
      </c>
      <c r="AJ1453" s="1064">
        <f t="shared" si="111"/>
        <v>0</v>
      </c>
      <c r="AK1453" s="1064">
        <f t="shared" si="112"/>
        <v>0</v>
      </c>
      <c r="AL1453" s="1064">
        <f t="shared" si="113"/>
        <v>0</v>
      </c>
      <c r="AM1453" s="1064">
        <f t="shared" si="114"/>
        <v>0</v>
      </c>
      <c r="AN1453" s="1064"/>
      <c r="AO1453" s="1064">
        <f>TB_curr[[#This Row],[Closing balance]]+TB_curr[[#This Row],[Rounding]]</f>
        <v>0</v>
      </c>
    </row>
    <row r="1454" spans="30:41" x14ac:dyDescent="0.25">
      <c r="AD1454" s="1067" t="str">
        <f t="shared" si="110"/>
        <v/>
      </c>
      <c r="AE1454" s="1063" t="str">
        <f>IF(ISNA(VLOOKUP(TB_curr[[#This Row],[Synt]],GL[[#Headers],[#Data],[subtotal label]],1,FALSE)),0,(VLOOKUP(TB_curr[[#This Row],[Synt]],GL[[#Headers],[#Data],[subtotal label]],1,FALSE)))</f>
        <v/>
      </c>
      <c r="AF1454" s="1063" t="e">
        <f>IF((TB_curr[[#This Row],[Synt]]-TB_curr[[#This Row],[Subtotal Y/N]])=0,0,VLOOKUP(TB_curr[[#This Row],[Synt]],GL[[Account]:[Line]],3,FALSE))</f>
        <v>#VALUE!</v>
      </c>
      <c r="AG1454" s="1063" t="e">
        <f>VLOOKUP(TB_curr[[#This Row],[Synt]],GL[[Account]:[B/P]],4,FALSE)</f>
        <v>#N/A</v>
      </c>
      <c r="AH1454" s="1066" t="e">
        <v>#VALUE!</v>
      </c>
      <c r="AI1454" s="1065" t="e">
        <f>TB_curr[[#This Row],[Synt]]&amp;TB_curr[[#This Row],[Line No. manual corr.]]</f>
        <v>#VALUE!</v>
      </c>
      <c r="AJ1454" s="1064">
        <f t="shared" si="111"/>
        <v>0</v>
      </c>
      <c r="AK1454" s="1064">
        <f t="shared" si="112"/>
        <v>0</v>
      </c>
      <c r="AL1454" s="1064">
        <f t="shared" si="113"/>
        <v>0</v>
      </c>
      <c r="AM1454" s="1064">
        <f t="shared" si="114"/>
        <v>0</v>
      </c>
      <c r="AN1454" s="1064"/>
      <c r="AO1454" s="1064">
        <f>TB_curr[[#This Row],[Closing balance]]+TB_curr[[#This Row],[Rounding]]</f>
        <v>0</v>
      </c>
    </row>
    <row r="1455" spans="30:41" x14ac:dyDescent="0.25">
      <c r="AD1455" s="1067" t="str">
        <f t="shared" si="110"/>
        <v/>
      </c>
      <c r="AE1455" s="1063" t="str">
        <f>IF(ISNA(VLOOKUP(TB_curr[[#This Row],[Synt]],GL[[#Headers],[#Data],[subtotal label]],1,FALSE)),0,(VLOOKUP(TB_curr[[#This Row],[Synt]],GL[[#Headers],[#Data],[subtotal label]],1,FALSE)))</f>
        <v/>
      </c>
      <c r="AF1455" s="1063" t="e">
        <f>IF((TB_curr[[#This Row],[Synt]]-TB_curr[[#This Row],[Subtotal Y/N]])=0,0,VLOOKUP(TB_curr[[#This Row],[Synt]],GL[[Account]:[Line]],3,FALSE))</f>
        <v>#VALUE!</v>
      </c>
      <c r="AG1455" s="1063" t="e">
        <f>VLOOKUP(TB_curr[[#This Row],[Synt]],GL[[Account]:[B/P]],4,FALSE)</f>
        <v>#N/A</v>
      </c>
      <c r="AH1455" s="1066" t="e">
        <v>#VALUE!</v>
      </c>
      <c r="AI1455" s="1065" t="e">
        <f>TB_curr[[#This Row],[Synt]]&amp;TB_curr[[#This Row],[Line No. manual corr.]]</f>
        <v>#VALUE!</v>
      </c>
      <c r="AJ1455" s="1064">
        <f t="shared" si="111"/>
        <v>0</v>
      </c>
      <c r="AK1455" s="1064">
        <f t="shared" si="112"/>
        <v>0</v>
      </c>
      <c r="AL1455" s="1064">
        <f t="shared" si="113"/>
        <v>0</v>
      </c>
      <c r="AM1455" s="1064">
        <f t="shared" si="114"/>
        <v>0</v>
      </c>
      <c r="AN1455" s="1064"/>
      <c r="AO1455" s="1064">
        <f>TB_curr[[#This Row],[Closing balance]]+TB_curr[[#This Row],[Rounding]]</f>
        <v>0</v>
      </c>
    </row>
    <row r="1456" spans="30:41" x14ac:dyDescent="0.25">
      <c r="AD1456" s="1067" t="str">
        <f t="shared" si="110"/>
        <v/>
      </c>
      <c r="AE1456" s="1063" t="str">
        <f>IF(ISNA(VLOOKUP(TB_curr[[#This Row],[Synt]],GL[[#Headers],[#Data],[subtotal label]],1,FALSE)),0,(VLOOKUP(TB_curr[[#This Row],[Synt]],GL[[#Headers],[#Data],[subtotal label]],1,FALSE)))</f>
        <v/>
      </c>
      <c r="AF1456" s="1063" t="e">
        <f>IF((TB_curr[[#This Row],[Synt]]-TB_curr[[#This Row],[Subtotal Y/N]])=0,0,VLOOKUP(TB_curr[[#This Row],[Synt]],GL[[Account]:[Line]],3,FALSE))</f>
        <v>#VALUE!</v>
      </c>
      <c r="AG1456" s="1063" t="e">
        <f>VLOOKUP(TB_curr[[#This Row],[Synt]],GL[[Account]:[B/P]],4,FALSE)</f>
        <v>#N/A</v>
      </c>
      <c r="AH1456" s="1066" t="e">
        <v>#VALUE!</v>
      </c>
      <c r="AI1456" s="1065" t="e">
        <f>TB_curr[[#This Row],[Synt]]&amp;TB_curr[[#This Row],[Line No. manual corr.]]</f>
        <v>#VALUE!</v>
      </c>
      <c r="AJ1456" s="1064">
        <f t="shared" si="111"/>
        <v>0</v>
      </c>
      <c r="AK1456" s="1064">
        <f t="shared" si="112"/>
        <v>0</v>
      </c>
      <c r="AL1456" s="1064">
        <f t="shared" si="113"/>
        <v>0</v>
      </c>
      <c r="AM1456" s="1064">
        <f t="shared" si="114"/>
        <v>0</v>
      </c>
      <c r="AN1456" s="1064"/>
      <c r="AO1456" s="1064">
        <f>TB_curr[[#This Row],[Closing balance]]+TB_curr[[#This Row],[Rounding]]</f>
        <v>0</v>
      </c>
    </row>
    <row r="1457" spans="30:41" x14ac:dyDescent="0.25">
      <c r="AD1457" s="1067" t="str">
        <f t="shared" si="110"/>
        <v/>
      </c>
      <c r="AE1457" s="1063" t="str">
        <f>IF(ISNA(VLOOKUP(TB_curr[[#This Row],[Synt]],GL[[#Headers],[#Data],[subtotal label]],1,FALSE)),0,(VLOOKUP(TB_curr[[#This Row],[Synt]],GL[[#Headers],[#Data],[subtotal label]],1,FALSE)))</f>
        <v/>
      </c>
      <c r="AF1457" s="1063" t="e">
        <f>IF((TB_curr[[#This Row],[Synt]]-TB_curr[[#This Row],[Subtotal Y/N]])=0,0,VLOOKUP(TB_curr[[#This Row],[Synt]],GL[[Account]:[Line]],3,FALSE))</f>
        <v>#VALUE!</v>
      </c>
      <c r="AG1457" s="1063" t="e">
        <f>VLOOKUP(TB_curr[[#This Row],[Synt]],GL[[Account]:[B/P]],4,FALSE)</f>
        <v>#N/A</v>
      </c>
      <c r="AH1457" s="1066" t="e">
        <v>#VALUE!</v>
      </c>
      <c r="AI1457" s="1065" t="e">
        <f>TB_curr[[#This Row],[Synt]]&amp;TB_curr[[#This Row],[Line No. manual corr.]]</f>
        <v>#VALUE!</v>
      </c>
      <c r="AJ1457" s="1064">
        <f t="shared" si="111"/>
        <v>0</v>
      </c>
      <c r="AK1457" s="1064">
        <f t="shared" si="112"/>
        <v>0</v>
      </c>
      <c r="AL1457" s="1064">
        <f t="shared" si="113"/>
        <v>0</v>
      </c>
      <c r="AM1457" s="1064">
        <f t="shared" si="114"/>
        <v>0</v>
      </c>
      <c r="AN1457" s="1064"/>
      <c r="AO1457" s="1064">
        <f>TB_curr[[#This Row],[Closing balance]]+TB_curr[[#This Row],[Rounding]]</f>
        <v>0</v>
      </c>
    </row>
    <row r="1458" spans="30:41" x14ac:dyDescent="0.25">
      <c r="AD1458" s="1067" t="str">
        <f t="shared" si="110"/>
        <v/>
      </c>
      <c r="AE1458" s="1063" t="str">
        <f>IF(ISNA(VLOOKUP(TB_curr[[#This Row],[Synt]],GL[[#Headers],[#Data],[subtotal label]],1,FALSE)),0,(VLOOKUP(TB_curr[[#This Row],[Synt]],GL[[#Headers],[#Data],[subtotal label]],1,FALSE)))</f>
        <v/>
      </c>
      <c r="AF1458" s="1063" t="e">
        <f>IF((TB_curr[[#This Row],[Synt]]-TB_curr[[#This Row],[Subtotal Y/N]])=0,0,VLOOKUP(TB_curr[[#This Row],[Synt]],GL[[Account]:[Line]],3,FALSE))</f>
        <v>#VALUE!</v>
      </c>
      <c r="AG1458" s="1063" t="e">
        <f>VLOOKUP(TB_curr[[#This Row],[Synt]],GL[[Account]:[B/P]],4,FALSE)</f>
        <v>#N/A</v>
      </c>
      <c r="AH1458" s="1066" t="e">
        <v>#VALUE!</v>
      </c>
      <c r="AI1458" s="1065" t="e">
        <f>TB_curr[[#This Row],[Synt]]&amp;TB_curr[[#This Row],[Line No. manual corr.]]</f>
        <v>#VALUE!</v>
      </c>
      <c r="AJ1458" s="1064">
        <f t="shared" si="111"/>
        <v>0</v>
      </c>
      <c r="AK1458" s="1064">
        <f t="shared" si="112"/>
        <v>0</v>
      </c>
      <c r="AL1458" s="1064">
        <f t="shared" si="113"/>
        <v>0</v>
      </c>
      <c r="AM1458" s="1064">
        <f t="shared" si="114"/>
        <v>0</v>
      </c>
      <c r="AN1458" s="1064"/>
      <c r="AO1458" s="1064">
        <f>TB_curr[[#This Row],[Closing balance]]+TB_curr[[#This Row],[Rounding]]</f>
        <v>0</v>
      </c>
    </row>
    <row r="1459" spans="30:41" x14ac:dyDescent="0.25">
      <c r="AD1459" s="1067" t="str">
        <f t="shared" si="110"/>
        <v/>
      </c>
      <c r="AE1459" s="1063" t="str">
        <f>IF(ISNA(VLOOKUP(TB_curr[[#This Row],[Synt]],GL[[#Headers],[#Data],[subtotal label]],1,FALSE)),0,(VLOOKUP(TB_curr[[#This Row],[Synt]],GL[[#Headers],[#Data],[subtotal label]],1,FALSE)))</f>
        <v/>
      </c>
      <c r="AF1459" s="1063" t="e">
        <f>IF((TB_curr[[#This Row],[Synt]]-TB_curr[[#This Row],[Subtotal Y/N]])=0,0,VLOOKUP(TB_curr[[#This Row],[Synt]],GL[[Account]:[Line]],3,FALSE))</f>
        <v>#VALUE!</v>
      </c>
      <c r="AG1459" s="1063" t="e">
        <f>VLOOKUP(TB_curr[[#This Row],[Synt]],GL[[Account]:[B/P]],4,FALSE)</f>
        <v>#N/A</v>
      </c>
      <c r="AH1459" s="1066" t="e">
        <v>#VALUE!</v>
      </c>
      <c r="AI1459" s="1065" t="e">
        <f>TB_curr[[#This Row],[Synt]]&amp;TB_curr[[#This Row],[Line No. manual corr.]]</f>
        <v>#VALUE!</v>
      </c>
      <c r="AJ1459" s="1064">
        <f t="shared" si="111"/>
        <v>0</v>
      </c>
      <c r="AK1459" s="1064">
        <f t="shared" si="112"/>
        <v>0</v>
      </c>
      <c r="AL1459" s="1064">
        <f t="shared" si="113"/>
        <v>0</v>
      </c>
      <c r="AM1459" s="1064">
        <f t="shared" si="114"/>
        <v>0</v>
      </c>
      <c r="AN1459" s="1064"/>
      <c r="AO1459" s="1064">
        <f>TB_curr[[#This Row],[Closing balance]]+TB_curr[[#This Row],[Rounding]]</f>
        <v>0</v>
      </c>
    </row>
    <row r="1460" spans="30:41" x14ac:dyDescent="0.25">
      <c r="AD1460" s="1067" t="str">
        <f t="shared" si="110"/>
        <v/>
      </c>
      <c r="AE1460" s="1063" t="str">
        <f>IF(ISNA(VLOOKUP(TB_curr[[#This Row],[Synt]],GL[[#Headers],[#Data],[subtotal label]],1,FALSE)),0,(VLOOKUP(TB_curr[[#This Row],[Synt]],GL[[#Headers],[#Data],[subtotal label]],1,FALSE)))</f>
        <v/>
      </c>
      <c r="AF1460" s="1063" t="e">
        <f>IF((TB_curr[[#This Row],[Synt]]-TB_curr[[#This Row],[Subtotal Y/N]])=0,0,VLOOKUP(TB_curr[[#This Row],[Synt]],GL[[Account]:[Line]],3,FALSE))</f>
        <v>#VALUE!</v>
      </c>
      <c r="AG1460" s="1063" t="e">
        <f>VLOOKUP(TB_curr[[#This Row],[Synt]],GL[[Account]:[B/P]],4,FALSE)</f>
        <v>#N/A</v>
      </c>
      <c r="AH1460" s="1066" t="e">
        <v>#VALUE!</v>
      </c>
      <c r="AI1460" s="1065" t="e">
        <f>TB_curr[[#This Row],[Synt]]&amp;TB_curr[[#This Row],[Line No. manual corr.]]</f>
        <v>#VALUE!</v>
      </c>
      <c r="AJ1460" s="1064">
        <f t="shared" si="111"/>
        <v>0</v>
      </c>
      <c r="AK1460" s="1064">
        <f t="shared" si="112"/>
        <v>0</v>
      </c>
      <c r="AL1460" s="1064">
        <f t="shared" si="113"/>
        <v>0</v>
      </c>
      <c r="AM1460" s="1064">
        <f t="shared" si="114"/>
        <v>0</v>
      </c>
      <c r="AN1460" s="1064"/>
      <c r="AO1460" s="1064">
        <f>TB_curr[[#This Row],[Closing balance]]+TB_curr[[#This Row],[Rounding]]</f>
        <v>0</v>
      </c>
    </row>
    <row r="1461" spans="30:41" x14ac:dyDescent="0.25">
      <c r="AD1461" s="1067" t="str">
        <f t="shared" si="110"/>
        <v/>
      </c>
      <c r="AE1461" s="1063" t="str">
        <f>IF(ISNA(VLOOKUP(TB_curr[[#This Row],[Synt]],GL[[#Headers],[#Data],[subtotal label]],1,FALSE)),0,(VLOOKUP(TB_curr[[#This Row],[Synt]],GL[[#Headers],[#Data],[subtotal label]],1,FALSE)))</f>
        <v/>
      </c>
      <c r="AF1461" s="1063" t="e">
        <f>IF((TB_curr[[#This Row],[Synt]]-TB_curr[[#This Row],[Subtotal Y/N]])=0,0,VLOOKUP(TB_curr[[#This Row],[Synt]],GL[[Account]:[Line]],3,FALSE))</f>
        <v>#VALUE!</v>
      </c>
      <c r="AG1461" s="1063" t="e">
        <f>VLOOKUP(TB_curr[[#This Row],[Synt]],GL[[Account]:[B/P]],4,FALSE)</f>
        <v>#N/A</v>
      </c>
      <c r="AH1461" s="1066" t="e">
        <v>#VALUE!</v>
      </c>
      <c r="AI1461" s="1065" t="e">
        <f>TB_curr[[#This Row],[Synt]]&amp;TB_curr[[#This Row],[Line No. manual corr.]]</f>
        <v>#VALUE!</v>
      </c>
      <c r="AJ1461" s="1064">
        <f t="shared" si="111"/>
        <v>0</v>
      </c>
      <c r="AK1461" s="1064">
        <f t="shared" si="112"/>
        <v>0</v>
      </c>
      <c r="AL1461" s="1064">
        <f t="shared" si="113"/>
        <v>0</v>
      </c>
      <c r="AM1461" s="1064">
        <f t="shared" si="114"/>
        <v>0</v>
      </c>
      <c r="AN1461" s="1064"/>
      <c r="AO1461" s="1064">
        <f>TB_curr[[#This Row],[Closing balance]]+TB_curr[[#This Row],[Rounding]]</f>
        <v>0</v>
      </c>
    </row>
    <row r="1462" spans="30:41" x14ac:dyDescent="0.25">
      <c r="AD1462" s="1067" t="str">
        <f t="shared" si="110"/>
        <v/>
      </c>
      <c r="AE1462" s="1063" t="str">
        <f>IF(ISNA(VLOOKUP(TB_curr[[#This Row],[Synt]],GL[[#Headers],[#Data],[subtotal label]],1,FALSE)),0,(VLOOKUP(TB_curr[[#This Row],[Synt]],GL[[#Headers],[#Data],[subtotal label]],1,FALSE)))</f>
        <v/>
      </c>
      <c r="AF1462" s="1063" t="e">
        <f>IF((TB_curr[[#This Row],[Synt]]-TB_curr[[#This Row],[Subtotal Y/N]])=0,0,VLOOKUP(TB_curr[[#This Row],[Synt]],GL[[Account]:[Line]],3,FALSE))</f>
        <v>#VALUE!</v>
      </c>
      <c r="AG1462" s="1063" t="e">
        <f>VLOOKUP(TB_curr[[#This Row],[Synt]],GL[[Account]:[B/P]],4,FALSE)</f>
        <v>#N/A</v>
      </c>
      <c r="AH1462" s="1066" t="e">
        <v>#VALUE!</v>
      </c>
      <c r="AI1462" s="1065" t="e">
        <f>TB_curr[[#This Row],[Synt]]&amp;TB_curr[[#This Row],[Line No. manual corr.]]</f>
        <v>#VALUE!</v>
      </c>
      <c r="AJ1462" s="1064">
        <f t="shared" si="111"/>
        <v>0</v>
      </c>
      <c r="AK1462" s="1064">
        <f t="shared" si="112"/>
        <v>0</v>
      </c>
      <c r="AL1462" s="1064">
        <f t="shared" si="113"/>
        <v>0</v>
      </c>
      <c r="AM1462" s="1064">
        <f t="shared" si="114"/>
        <v>0</v>
      </c>
      <c r="AN1462" s="1064"/>
      <c r="AO1462" s="1064">
        <f>TB_curr[[#This Row],[Closing balance]]+TB_curr[[#This Row],[Rounding]]</f>
        <v>0</v>
      </c>
    </row>
    <row r="1463" spans="30:41" x14ac:dyDescent="0.25">
      <c r="AD1463" s="1067" t="str">
        <f t="shared" si="110"/>
        <v/>
      </c>
      <c r="AE1463" s="1063" t="str">
        <f>IF(ISNA(VLOOKUP(TB_curr[[#This Row],[Synt]],GL[[#Headers],[#Data],[subtotal label]],1,FALSE)),0,(VLOOKUP(TB_curr[[#This Row],[Synt]],GL[[#Headers],[#Data],[subtotal label]],1,FALSE)))</f>
        <v/>
      </c>
      <c r="AF1463" s="1063" t="e">
        <f>IF((TB_curr[[#This Row],[Synt]]-TB_curr[[#This Row],[Subtotal Y/N]])=0,0,VLOOKUP(TB_curr[[#This Row],[Synt]],GL[[Account]:[Line]],3,FALSE))</f>
        <v>#VALUE!</v>
      </c>
      <c r="AG1463" s="1063" t="e">
        <f>VLOOKUP(TB_curr[[#This Row],[Synt]],GL[[Account]:[B/P]],4,FALSE)</f>
        <v>#N/A</v>
      </c>
      <c r="AH1463" s="1066" t="e">
        <v>#VALUE!</v>
      </c>
      <c r="AI1463" s="1065" t="e">
        <f>TB_curr[[#This Row],[Synt]]&amp;TB_curr[[#This Row],[Line No. manual corr.]]</f>
        <v>#VALUE!</v>
      </c>
      <c r="AJ1463" s="1064">
        <f t="shared" si="111"/>
        <v>0</v>
      </c>
      <c r="AK1463" s="1064">
        <f t="shared" si="112"/>
        <v>0</v>
      </c>
      <c r="AL1463" s="1064">
        <f t="shared" si="113"/>
        <v>0</v>
      </c>
      <c r="AM1463" s="1064">
        <f t="shared" si="114"/>
        <v>0</v>
      </c>
      <c r="AN1463" s="1064"/>
      <c r="AO1463" s="1064">
        <f>TB_curr[[#This Row],[Closing balance]]+TB_curr[[#This Row],[Rounding]]</f>
        <v>0</v>
      </c>
    </row>
    <row r="1464" spans="30:41" x14ac:dyDescent="0.25">
      <c r="AD1464" s="1067" t="str">
        <f t="shared" si="110"/>
        <v/>
      </c>
      <c r="AE1464" s="1063" t="str">
        <f>IF(ISNA(VLOOKUP(TB_curr[[#This Row],[Synt]],GL[[#Headers],[#Data],[subtotal label]],1,FALSE)),0,(VLOOKUP(TB_curr[[#This Row],[Synt]],GL[[#Headers],[#Data],[subtotal label]],1,FALSE)))</f>
        <v/>
      </c>
      <c r="AF1464" s="1063" t="e">
        <f>IF((TB_curr[[#This Row],[Synt]]-TB_curr[[#This Row],[Subtotal Y/N]])=0,0,VLOOKUP(TB_curr[[#This Row],[Synt]],GL[[Account]:[Line]],3,FALSE))</f>
        <v>#VALUE!</v>
      </c>
      <c r="AG1464" s="1063" t="e">
        <f>VLOOKUP(TB_curr[[#This Row],[Synt]],GL[[Account]:[B/P]],4,FALSE)</f>
        <v>#N/A</v>
      </c>
      <c r="AH1464" s="1066" t="e">
        <v>#VALUE!</v>
      </c>
      <c r="AI1464" s="1065" t="e">
        <f>TB_curr[[#This Row],[Synt]]&amp;TB_curr[[#This Row],[Line No. manual corr.]]</f>
        <v>#VALUE!</v>
      </c>
      <c r="AJ1464" s="1064">
        <f t="shared" si="111"/>
        <v>0</v>
      </c>
      <c r="AK1464" s="1064">
        <f t="shared" si="112"/>
        <v>0</v>
      </c>
      <c r="AL1464" s="1064">
        <f t="shared" si="113"/>
        <v>0</v>
      </c>
      <c r="AM1464" s="1064">
        <f t="shared" si="114"/>
        <v>0</v>
      </c>
      <c r="AN1464" s="1064"/>
      <c r="AO1464" s="1064">
        <f>TB_curr[[#This Row],[Closing balance]]+TB_curr[[#This Row],[Rounding]]</f>
        <v>0</v>
      </c>
    </row>
    <row r="1465" spans="30:41" x14ac:dyDescent="0.25">
      <c r="AD1465" s="1067" t="str">
        <f t="shared" si="110"/>
        <v/>
      </c>
      <c r="AE1465" s="1063" t="str">
        <f>IF(ISNA(VLOOKUP(TB_curr[[#This Row],[Synt]],GL[[#Headers],[#Data],[subtotal label]],1,FALSE)),0,(VLOOKUP(TB_curr[[#This Row],[Synt]],GL[[#Headers],[#Data],[subtotal label]],1,FALSE)))</f>
        <v/>
      </c>
      <c r="AF1465" s="1063" t="e">
        <f>IF((TB_curr[[#This Row],[Synt]]-TB_curr[[#This Row],[Subtotal Y/N]])=0,0,VLOOKUP(TB_curr[[#This Row],[Synt]],GL[[Account]:[Line]],3,FALSE))</f>
        <v>#VALUE!</v>
      </c>
      <c r="AG1465" s="1063" t="e">
        <f>VLOOKUP(TB_curr[[#This Row],[Synt]],GL[[Account]:[B/P]],4,FALSE)</f>
        <v>#N/A</v>
      </c>
      <c r="AH1465" s="1066" t="e">
        <v>#VALUE!</v>
      </c>
      <c r="AI1465" s="1065" t="e">
        <f>TB_curr[[#This Row],[Synt]]&amp;TB_curr[[#This Row],[Line No. manual corr.]]</f>
        <v>#VALUE!</v>
      </c>
      <c r="AJ1465" s="1064">
        <f t="shared" si="111"/>
        <v>0</v>
      </c>
      <c r="AK1465" s="1064">
        <f t="shared" si="112"/>
        <v>0</v>
      </c>
      <c r="AL1465" s="1064">
        <f t="shared" si="113"/>
        <v>0</v>
      </c>
      <c r="AM1465" s="1064">
        <f t="shared" si="114"/>
        <v>0</v>
      </c>
      <c r="AN1465" s="1064"/>
      <c r="AO1465" s="1064">
        <f>TB_curr[[#This Row],[Closing balance]]+TB_curr[[#This Row],[Rounding]]</f>
        <v>0</v>
      </c>
    </row>
    <row r="1466" spans="30:41" x14ac:dyDescent="0.25">
      <c r="AD1466" s="1067" t="str">
        <f t="shared" si="110"/>
        <v/>
      </c>
      <c r="AE1466" s="1063" t="str">
        <f>IF(ISNA(VLOOKUP(TB_curr[[#This Row],[Synt]],GL[[#Headers],[#Data],[subtotal label]],1,FALSE)),0,(VLOOKUP(TB_curr[[#This Row],[Synt]],GL[[#Headers],[#Data],[subtotal label]],1,FALSE)))</f>
        <v/>
      </c>
      <c r="AF1466" s="1063" t="e">
        <f>IF((TB_curr[[#This Row],[Synt]]-TB_curr[[#This Row],[Subtotal Y/N]])=0,0,VLOOKUP(TB_curr[[#This Row],[Synt]],GL[[Account]:[Line]],3,FALSE))</f>
        <v>#VALUE!</v>
      </c>
      <c r="AG1466" s="1063" t="e">
        <f>VLOOKUP(TB_curr[[#This Row],[Synt]],GL[[Account]:[B/P]],4,FALSE)</f>
        <v>#N/A</v>
      </c>
      <c r="AH1466" s="1066" t="e">
        <v>#VALUE!</v>
      </c>
      <c r="AI1466" s="1065" t="e">
        <f>TB_curr[[#This Row],[Synt]]&amp;TB_curr[[#This Row],[Line No. manual corr.]]</f>
        <v>#VALUE!</v>
      </c>
      <c r="AJ1466" s="1064">
        <f t="shared" si="111"/>
        <v>0</v>
      </c>
      <c r="AK1466" s="1064">
        <f t="shared" si="112"/>
        <v>0</v>
      </c>
      <c r="AL1466" s="1064">
        <f t="shared" si="113"/>
        <v>0</v>
      </c>
      <c r="AM1466" s="1064">
        <f t="shared" si="114"/>
        <v>0</v>
      </c>
      <c r="AN1466" s="1064"/>
      <c r="AO1466" s="1064">
        <f>TB_curr[[#This Row],[Closing balance]]+TB_curr[[#This Row],[Rounding]]</f>
        <v>0</v>
      </c>
    </row>
    <row r="1467" spans="30:41" x14ac:dyDescent="0.25">
      <c r="AD1467" s="1067" t="str">
        <f t="shared" si="110"/>
        <v/>
      </c>
      <c r="AE1467" s="1063" t="str">
        <f>IF(ISNA(VLOOKUP(TB_curr[[#This Row],[Synt]],GL[[#Headers],[#Data],[subtotal label]],1,FALSE)),0,(VLOOKUP(TB_curr[[#This Row],[Synt]],GL[[#Headers],[#Data],[subtotal label]],1,FALSE)))</f>
        <v/>
      </c>
      <c r="AF1467" s="1063" t="e">
        <f>IF((TB_curr[[#This Row],[Synt]]-TB_curr[[#This Row],[Subtotal Y/N]])=0,0,VLOOKUP(TB_curr[[#This Row],[Synt]],GL[[Account]:[Line]],3,FALSE))</f>
        <v>#VALUE!</v>
      </c>
      <c r="AG1467" s="1063" t="e">
        <f>VLOOKUP(TB_curr[[#This Row],[Synt]],GL[[Account]:[B/P]],4,FALSE)</f>
        <v>#N/A</v>
      </c>
      <c r="AH1467" s="1066" t="e">
        <v>#VALUE!</v>
      </c>
      <c r="AI1467" s="1065" t="e">
        <f>TB_curr[[#This Row],[Synt]]&amp;TB_curr[[#This Row],[Line No. manual corr.]]</f>
        <v>#VALUE!</v>
      </c>
      <c r="AJ1467" s="1064">
        <f t="shared" si="111"/>
        <v>0</v>
      </c>
      <c r="AK1467" s="1064">
        <f t="shared" si="112"/>
        <v>0</v>
      </c>
      <c r="AL1467" s="1064">
        <f t="shared" si="113"/>
        <v>0</v>
      </c>
      <c r="AM1467" s="1064">
        <f t="shared" si="114"/>
        <v>0</v>
      </c>
      <c r="AN1467" s="1064"/>
      <c r="AO1467" s="1064">
        <f>TB_curr[[#This Row],[Closing balance]]+TB_curr[[#This Row],[Rounding]]</f>
        <v>0</v>
      </c>
    </row>
    <row r="1468" spans="30:41" x14ac:dyDescent="0.25">
      <c r="AD1468" s="1067" t="str">
        <f t="shared" si="110"/>
        <v/>
      </c>
      <c r="AE1468" s="1063" t="str">
        <f>IF(ISNA(VLOOKUP(TB_curr[[#This Row],[Synt]],GL[[#Headers],[#Data],[subtotal label]],1,FALSE)),0,(VLOOKUP(TB_curr[[#This Row],[Synt]],GL[[#Headers],[#Data],[subtotal label]],1,FALSE)))</f>
        <v/>
      </c>
      <c r="AF1468" s="1063" t="e">
        <f>IF((TB_curr[[#This Row],[Synt]]-TB_curr[[#This Row],[Subtotal Y/N]])=0,0,VLOOKUP(TB_curr[[#This Row],[Synt]],GL[[Account]:[Line]],3,FALSE))</f>
        <v>#VALUE!</v>
      </c>
      <c r="AG1468" s="1063" t="e">
        <f>VLOOKUP(TB_curr[[#This Row],[Synt]],GL[[Account]:[B/P]],4,FALSE)</f>
        <v>#N/A</v>
      </c>
      <c r="AH1468" s="1066" t="e">
        <v>#VALUE!</v>
      </c>
      <c r="AI1468" s="1065" t="e">
        <f>TB_curr[[#This Row],[Synt]]&amp;TB_curr[[#This Row],[Line No. manual corr.]]</f>
        <v>#VALUE!</v>
      </c>
      <c r="AJ1468" s="1064">
        <f t="shared" si="111"/>
        <v>0</v>
      </c>
      <c r="AK1468" s="1064">
        <f t="shared" si="112"/>
        <v>0</v>
      </c>
      <c r="AL1468" s="1064">
        <f t="shared" si="113"/>
        <v>0</v>
      </c>
      <c r="AM1468" s="1064">
        <f t="shared" si="114"/>
        <v>0</v>
      </c>
      <c r="AN1468" s="1064"/>
      <c r="AO1468" s="1064">
        <f>TB_curr[[#This Row],[Closing balance]]+TB_curr[[#This Row],[Rounding]]</f>
        <v>0</v>
      </c>
    </row>
    <row r="1469" spans="30:41" x14ac:dyDescent="0.25">
      <c r="AD1469" s="1067" t="str">
        <f t="shared" si="110"/>
        <v/>
      </c>
      <c r="AE1469" s="1063" t="str">
        <f>IF(ISNA(VLOOKUP(TB_curr[[#This Row],[Synt]],GL[[#Headers],[#Data],[subtotal label]],1,FALSE)),0,(VLOOKUP(TB_curr[[#This Row],[Synt]],GL[[#Headers],[#Data],[subtotal label]],1,FALSE)))</f>
        <v/>
      </c>
      <c r="AF1469" s="1063" t="e">
        <f>IF((TB_curr[[#This Row],[Synt]]-TB_curr[[#This Row],[Subtotal Y/N]])=0,0,VLOOKUP(TB_curr[[#This Row],[Synt]],GL[[Account]:[Line]],3,FALSE))</f>
        <v>#VALUE!</v>
      </c>
      <c r="AG1469" s="1063" t="e">
        <f>VLOOKUP(TB_curr[[#This Row],[Synt]],GL[[Account]:[B/P]],4,FALSE)</f>
        <v>#N/A</v>
      </c>
      <c r="AH1469" s="1066" t="e">
        <v>#VALUE!</v>
      </c>
      <c r="AI1469" s="1065" t="e">
        <f>TB_curr[[#This Row],[Synt]]&amp;TB_curr[[#This Row],[Line No. manual corr.]]</f>
        <v>#VALUE!</v>
      </c>
      <c r="AJ1469" s="1064">
        <f t="shared" si="111"/>
        <v>0</v>
      </c>
      <c r="AK1469" s="1064">
        <f t="shared" si="112"/>
        <v>0</v>
      </c>
      <c r="AL1469" s="1064">
        <f t="shared" si="113"/>
        <v>0</v>
      </c>
      <c r="AM1469" s="1064">
        <f t="shared" si="114"/>
        <v>0</v>
      </c>
      <c r="AN1469" s="1064"/>
      <c r="AO1469" s="1064">
        <f>TB_curr[[#This Row],[Closing balance]]+TB_curr[[#This Row],[Rounding]]</f>
        <v>0</v>
      </c>
    </row>
    <row r="1470" spans="30:41" x14ac:dyDescent="0.25">
      <c r="AD1470" s="1067" t="str">
        <f t="shared" si="110"/>
        <v/>
      </c>
      <c r="AE1470" s="1063" t="str">
        <f>IF(ISNA(VLOOKUP(TB_curr[[#This Row],[Synt]],GL[[#Headers],[#Data],[subtotal label]],1,FALSE)),0,(VLOOKUP(TB_curr[[#This Row],[Synt]],GL[[#Headers],[#Data],[subtotal label]],1,FALSE)))</f>
        <v/>
      </c>
      <c r="AF1470" s="1063" t="e">
        <f>IF((TB_curr[[#This Row],[Synt]]-TB_curr[[#This Row],[Subtotal Y/N]])=0,0,VLOOKUP(TB_curr[[#This Row],[Synt]],GL[[Account]:[Line]],3,FALSE))</f>
        <v>#VALUE!</v>
      </c>
      <c r="AG1470" s="1063" t="e">
        <f>VLOOKUP(TB_curr[[#This Row],[Synt]],GL[[Account]:[B/P]],4,FALSE)</f>
        <v>#N/A</v>
      </c>
      <c r="AH1470" s="1066" t="e">
        <v>#VALUE!</v>
      </c>
      <c r="AI1470" s="1065" t="e">
        <f>TB_curr[[#This Row],[Synt]]&amp;TB_curr[[#This Row],[Line No. manual corr.]]</f>
        <v>#VALUE!</v>
      </c>
      <c r="AJ1470" s="1064">
        <f t="shared" si="111"/>
        <v>0</v>
      </c>
      <c r="AK1470" s="1064">
        <f t="shared" si="112"/>
        <v>0</v>
      </c>
      <c r="AL1470" s="1064">
        <f t="shared" si="113"/>
        <v>0</v>
      </c>
      <c r="AM1470" s="1064">
        <f t="shared" si="114"/>
        <v>0</v>
      </c>
      <c r="AN1470" s="1064"/>
      <c r="AO1470" s="1064">
        <f>TB_curr[[#This Row],[Closing balance]]+TB_curr[[#This Row],[Rounding]]</f>
        <v>0</v>
      </c>
    </row>
    <row r="1471" spans="30:41" x14ac:dyDescent="0.25">
      <c r="AD1471" s="1067" t="str">
        <f t="shared" si="110"/>
        <v/>
      </c>
      <c r="AE1471" s="1063" t="str">
        <f>IF(ISNA(VLOOKUP(TB_curr[[#This Row],[Synt]],GL[[#Headers],[#Data],[subtotal label]],1,FALSE)),0,(VLOOKUP(TB_curr[[#This Row],[Synt]],GL[[#Headers],[#Data],[subtotal label]],1,FALSE)))</f>
        <v/>
      </c>
      <c r="AF1471" s="1063" t="e">
        <f>IF((TB_curr[[#This Row],[Synt]]-TB_curr[[#This Row],[Subtotal Y/N]])=0,0,VLOOKUP(TB_curr[[#This Row],[Synt]],GL[[Account]:[Line]],3,FALSE))</f>
        <v>#VALUE!</v>
      </c>
      <c r="AG1471" s="1063" t="e">
        <f>VLOOKUP(TB_curr[[#This Row],[Synt]],GL[[Account]:[B/P]],4,FALSE)</f>
        <v>#N/A</v>
      </c>
      <c r="AH1471" s="1066" t="e">
        <v>#VALUE!</v>
      </c>
      <c r="AI1471" s="1065" t="e">
        <f>TB_curr[[#This Row],[Synt]]&amp;TB_curr[[#This Row],[Line No. manual corr.]]</f>
        <v>#VALUE!</v>
      </c>
      <c r="AJ1471" s="1064">
        <f t="shared" si="111"/>
        <v>0</v>
      </c>
      <c r="AK1471" s="1064">
        <f t="shared" si="112"/>
        <v>0</v>
      </c>
      <c r="AL1471" s="1064">
        <f t="shared" si="113"/>
        <v>0</v>
      </c>
      <c r="AM1471" s="1064">
        <f t="shared" si="114"/>
        <v>0</v>
      </c>
      <c r="AN1471" s="1064"/>
      <c r="AO1471" s="1064">
        <f>TB_curr[[#This Row],[Closing balance]]+TB_curr[[#This Row],[Rounding]]</f>
        <v>0</v>
      </c>
    </row>
    <row r="1472" spans="30:41" x14ac:dyDescent="0.25">
      <c r="AD1472" s="1067" t="str">
        <f t="shared" si="110"/>
        <v/>
      </c>
      <c r="AE1472" s="1063" t="str">
        <f>IF(ISNA(VLOOKUP(TB_curr[[#This Row],[Synt]],GL[[#Headers],[#Data],[subtotal label]],1,FALSE)),0,(VLOOKUP(TB_curr[[#This Row],[Synt]],GL[[#Headers],[#Data],[subtotal label]],1,FALSE)))</f>
        <v/>
      </c>
      <c r="AF1472" s="1063" t="e">
        <f>IF((TB_curr[[#This Row],[Synt]]-TB_curr[[#This Row],[Subtotal Y/N]])=0,0,VLOOKUP(TB_curr[[#This Row],[Synt]],GL[[Account]:[Line]],3,FALSE))</f>
        <v>#VALUE!</v>
      </c>
      <c r="AG1472" s="1063" t="e">
        <f>VLOOKUP(TB_curr[[#This Row],[Synt]],GL[[Account]:[B/P]],4,FALSE)</f>
        <v>#N/A</v>
      </c>
      <c r="AH1472" s="1066" t="e">
        <v>#VALUE!</v>
      </c>
      <c r="AI1472" s="1065" t="e">
        <f>TB_curr[[#This Row],[Synt]]&amp;TB_curr[[#This Row],[Line No. manual corr.]]</f>
        <v>#VALUE!</v>
      </c>
      <c r="AJ1472" s="1064">
        <f t="shared" si="111"/>
        <v>0</v>
      </c>
      <c r="AK1472" s="1064">
        <f t="shared" si="112"/>
        <v>0</v>
      </c>
      <c r="AL1472" s="1064">
        <f t="shared" si="113"/>
        <v>0</v>
      </c>
      <c r="AM1472" s="1064">
        <f t="shared" si="114"/>
        <v>0</v>
      </c>
      <c r="AN1472" s="1064"/>
      <c r="AO1472" s="1064">
        <f>TB_curr[[#This Row],[Closing balance]]+TB_curr[[#This Row],[Rounding]]</f>
        <v>0</v>
      </c>
    </row>
    <row r="1473" spans="30:41" x14ac:dyDescent="0.25">
      <c r="AD1473" s="1067" t="str">
        <f t="shared" si="110"/>
        <v/>
      </c>
      <c r="AE1473" s="1063" t="str">
        <f>IF(ISNA(VLOOKUP(TB_curr[[#This Row],[Synt]],GL[[#Headers],[#Data],[subtotal label]],1,FALSE)),0,(VLOOKUP(TB_curr[[#This Row],[Synt]],GL[[#Headers],[#Data],[subtotal label]],1,FALSE)))</f>
        <v/>
      </c>
      <c r="AF1473" s="1063" t="e">
        <f>IF((TB_curr[[#This Row],[Synt]]-TB_curr[[#This Row],[Subtotal Y/N]])=0,0,VLOOKUP(TB_curr[[#This Row],[Synt]],GL[[Account]:[Line]],3,FALSE))</f>
        <v>#VALUE!</v>
      </c>
      <c r="AG1473" s="1063" t="e">
        <f>VLOOKUP(TB_curr[[#This Row],[Synt]],GL[[Account]:[B/P]],4,FALSE)</f>
        <v>#N/A</v>
      </c>
      <c r="AH1473" s="1066" t="e">
        <v>#VALUE!</v>
      </c>
      <c r="AI1473" s="1065" t="e">
        <f>TB_curr[[#This Row],[Synt]]&amp;TB_curr[[#This Row],[Line No. manual corr.]]</f>
        <v>#VALUE!</v>
      </c>
      <c r="AJ1473" s="1064">
        <f t="shared" si="111"/>
        <v>0</v>
      </c>
      <c r="AK1473" s="1064">
        <f t="shared" si="112"/>
        <v>0</v>
      </c>
      <c r="AL1473" s="1064">
        <f t="shared" si="113"/>
        <v>0</v>
      </c>
      <c r="AM1473" s="1064">
        <f t="shared" si="114"/>
        <v>0</v>
      </c>
      <c r="AN1473" s="1064"/>
      <c r="AO1473" s="1064">
        <f>TB_curr[[#This Row],[Closing balance]]+TB_curr[[#This Row],[Rounding]]</f>
        <v>0</v>
      </c>
    </row>
    <row r="1474" spans="30:41" x14ac:dyDescent="0.25">
      <c r="AD1474" s="1067" t="str">
        <f t="shared" si="110"/>
        <v/>
      </c>
      <c r="AE1474" s="1063" t="str">
        <f>IF(ISNA(VLOOKUP(TB_curr[[#This Row],[Synt]],GL[[#Headers],[#Data],[subtotal label]],1,FALSE)),0,(VLOOKUP(TB_curr[[#This Row],[Synt]],GL[[#Headers],[#Data],[subtotal label]],1,FALSE)))</f>
        <v/>
      </c>
      <c r="AF1474" s="1063" t="e">
        <f>IF((TB_curr[[#This Row],[Synt]]-TB_curr[[#This Row],[Subtotal Y/N]])=0,0,VLOOKUP(TB_curr[[#This Row],[Synt]],GL[[Account]:[Line]],3,FALSE))</f>
        <v>#VALUE!</v>
      </c>
      <c r="AG1474" s="1063" t="e">
        <f>VLOOKUP(TB_curr[[#This Row],[Synt]],GL[[Account]:[B/P]],4,FALSE)</f>
        <v>#N/A</v>
      </c>
      <c r="AH1474" s="1066" t="e">
        <v>#VALUE!</v>
      </c>
      <c r="AI1474" s="1065" t="e">
        <f>TB_curr[[#This Row],[Synt]]&amp;TB_curr[[#This Row],[Line No. manual corr.]]</f>
        <v>#VALUE!</v>
      </c>
      <c r="AJ1474" s="1064">
        <f t="shared" si="111"/>
        <v>0</v>
      </c>
      <c r="AK1474" s="1064">
        <f t="shared" si="112"/>
        <v>0</v>
      </c>
      <c r="AL1474" s="1064">
        <f t="shared" si="113"/>
        <v>0</v>
      </c>
      <c r="AM1474" s="1064">
        <f t="shared" si="114"/>
        <v>0</v>
      </c>
      <c r="AN1474" s="1064"/>
      <c r="AO1474" s="1064">
        <f>TB_curr[[#This Row],[Closing balance]]+TB_curr[[#This Row],[Rounding]]</f>
        <v>0</v>
      </c>
    </row>
    <row r="1475" spans="30:41" x14ac:dyDescent="0.25">
      <c r="AD1475" s="1067" t="str">
        <f t="shared" si="110"/>
        <v/>
      </c>
      <c r="AE1475" s="1063" t="str">
        <f>IF(ISNA(VLOOKUP(TB_curr[[#This Row],[Synt]],GL[[#Headers],[#Data],[subtotal label]],1,FALSE)),0,(VLOOKUP(TB_curr[[#This Row],[Synt]],GL[[#Headers],[#Data],[subtotal label]],1,FALSE)))</f>
        <v/>
      </c>
      <c r="AF1475" s="1063" t="e">
        <f>IF((TB_curr[[#This Row],[Synt]]-TB_curr[[#This Row],[Subtotal Y/N]])=0,0,VLOOKUP(TB_curr[[#This Row],[Synt]],GL[[Account]:[Line]],3,FALSE))</f>
        <v>#VALUE!</v>
      </c>
      <c r="AG1475" s="1063" t="e">
        <f>VLOOKUP(TB_curr[[#This Row],[Synt]],GL[[Account]:[B/P]],4,FALSE)</f>
        <v>#N/A</v>
      </c>
      <c r="AH1475" s="1066" t="e">
        <v>#VALUE!</v>
      </c>
      <c r="AI1475" s="1065" t="e">
        <f>TB_curr[[#This Row],[Synt]]&amp;TB_curr[[#This Row],[Line No. manual corr.]]</f>
        <v>#VALUE!</v>
      </c>
      <c r="AJ1475" s="1064">
        <f t="shared" si="111"/>
        <v>0</v>
      </c>
      <c r="AK1475" s="1064">
        <f t="shared" si="112"/>
        <v>0</v>
      </c>
      <c r="AL1475" s="1064">
        <f t="shared" si="113"/>
        <v>0</v>
      </c>
      <c r="AM1475" s="1064">
        <f t="shared" si="114"/>
        <v>0</v>
      </c>
      <c r="AN1475" s="1064"/>
      <c r="AO1475" s="1064">
        <f>TB_curr[[#This Row],[Closing balance]]+TB_curr[[#This Row],[Rounding]]</f>
        <v>0</v>
      </c>
    </row>
    <row r="1476" spans="30:41" x14ac:dyDescent="0.25">
      <c r="AD1476" s="1067" t="str">
        <f t="shared" si="110"/>
        <v/>
      </c>
      <c r="AE1476" s="1063" t="str">
        <f>IF(ISNA(VLOOKUP(TB_curr[[#This Row],[Synt]],GL[[#Headers],[#Data],[subtotal label]],1,FALSE)),0,(VLOOKUP(TB_curr[[#This Row],[Synt]],GL[[#Headers],[#Data],[subtotal label]],1,FALSE)))</f>
        <v/>
      </c>
      <c r="AF1476" s="1063" t="e">
        <f>IF((TB_curr[[#This Row],[Synt]]-TB_curr[[#This Row],[Subtotal Y/N]])=0,0,VLOOKUP(TB_curr[[#This Row],[Synt]],GL[[Account]:[Line]],3,FALSE))</f>
        <v>#VALUE!</v>
      </c>
      <c r="AG1476" s="1063" t="e">
        <f>VLOOKUP(TB_curr[[#This Row],[Synt]],GL[[Account]:[B/P]],4,FALSE)</f>
        <v>#N/A</v>
      </c>
      <c r="AH1476" s="1066" t="e">
        <v>#VALUE!</v>
      </c>
      <c r="AI1476" s="1065" t="e">
        <f>TB_curr[[#This Row],[Synt]]&amp;TB_curr[[#This Row],[Line No. manual corr.]]</f>
        <v>#VALUE!</v>
      </c>
      <c r="AJ1476" s="1064">
        <f t="shared" si="111"/>
        <v>0</v>
      </c>
      <c r="AK1476" s="1064">
        <f t="shared" si="112"/>
        <v>0</v>
      </c>
      <c r="AL1476" s="1064">
        <f t="shared" si="113"/>
        <v>0</v>
      </c>
      <c r="AM1476" s="1064">
        <f t="shared" si="114"/>
        <v>0</v>
      </c>
      <c r="AN1476" s="1064"/>
      <c r="AO1476" s="1064">
        <f>TB_curr[[#This Row],[Closing balance]]+TB_curr[[#This Row],[Rounding]]</f>
        <v>0</v>
      </c>
    </row>
    <row r="1477" spans="30:41" x14ac:dyDescent="0.25">
      <c r="AD1477" s="1067" t="str">
        <f t="shared" si="110"/>
        <v/>
      </c>
      <c r="AE1477" s="1063" t="str">
        <f>IF(ISNA(VLOOKUP(TB_curr[[#This Row],[Synt]],GL[[#Headers],[#Data],[subtotal label]],1,FALSE)),0,(VLOOKUP(TB_curr[[#This Row],[Synt]],GL[[#Headers],[#Data],[subtotal label]],1,FALSE)))</f>
        <v/>
      </c>
      <c r="AF1477" s="1063" t="e">
        <f>IF((TB_curr[[#This Row],[Synt]]-TB_curr[[#This Row],[Subtotal Y/N]])=0,0,VLOOKUP(TB_curr[[#This Row],[Synt]],GL[[Account]:[Line]],3,FALSE))</f>
        <v>#VALUE!</v>
      </c>
      <c r="AG1477" s="1063" t="e">
        <f>VLOOKUP(TB_curr[[#This Row],[Synt]],GL[[Account]:[B/P]],4,FALSE)</f>
        <v>#N/A</v>
      </c>
      <c r="AH1477" s="1066" t="e">
        <v>#VALUE!</v>
      </c>
      <c r="AI1477" s="1065" t="e">
        <f>TB_curr[[#This Row],[Synt]]&amp;TB_curr[[#This Row],[Line No. manual corr.]]</f>
        <v>#VALUE!</v>
      </c>
      <c r="AJ1477" s="1064">
        <f t="shared" si="111"/>
        <v>0</v>
      </c>
      <c r="AK1477" s="1064">
        <f t="shared" si="112"/>
        <v>0</v>
      </c>
      <c r="AL1477" s="1064">
        <f t="shared" si="113"/>
        <v>0</v>
      </c>
      <c r="AM1477" s="1064">
        <f t="shared" si="114"/>
        <v>0</v>
      </c>
      <c r="AN1477" s="1064"/>
      <c r="AO1477" s="1064">
        <f>TB_curr[[#This Row],[Closing balance]]+TB_curr[[#This Row],[Rounding]]</f>
        <v>0</v>
      </c>
    </row>
    <row r="1478" spans="30:41" x14ac:dyDescent="0.25">
      <c r="AD1478" s="1067" t="str">
        <f t="shared" si="110"/>
        <v/>
      </c>
      <c r="AE1478" s="1063" t="str">
        <f>IF(ISNA(VLOOKUP(TB_curr[[#This Row],[Synt]],GL[[#Headers],[#Data],[subtotal label]],1,FALSE)),0,(VLOOKUP(TB_curr[[#This Row],[Synt]],GL[[#Headers],[#Data],[subtotal label]],1,FALSE)))</f>
        <v/>
      </c>
      <c r="AF1478" s="1063" t="e">
        <f>IF((TB_curr[[#This Row],[Synt]]-TB_curr[[#This Row],[Subtotal Y/N]])=0,0,VLOOKUP(TB_curr[[#This Row],[Synt]],GL[[Account]:[Line]],3,FALSE))</f>
        <v>#VALUE!</v>
      </c>
      <c r="AG1478" s="1063" t="e">
        <f>VLOOKUP(TB_curr[[#This Row],[Synt]],GL[[Account]:[B/P]],4,FALSE)</f>
        <v>#N/A</v>
      </c>
      <c r="AH1478" s="1066" t="e">
        <v>#VALUE!</v>
      </c>
      <c r="AI1478" s="1065" t="e">
        <f>TB_curr[[#This Row],[Synt]]&amp;TB_curr[[#This Row],[Line No. manual corr.]]</f>
        <v>#VALUE!</v>
      </c>
      <c r="AJ1478" s="1064">
        <f t="shared" si="111"/>
        <v>0</v>
      </c>
      <c r="AK1478" s="1064">
        <f t="shared" si="112"/>
        <v>0</v>
      </c>
      <c r="AL1478" s="1064">
        <f t="shared" si="113"/>
        <v>0</v>
      </c>
      <c r="AM1478" s="1064">
        <f t="shared" si="114"/>
        <v>0</v>
      </c>
      <c r="AN1478" s="1064"/>
      <c r="AO1478" s="1064">
        <f>TB_curr[[#This Row],[Closing balance]]+TB_curr[[#This Row],[Rounding]]</f>
        <v>0</v>
      </c>
    </row>
    <row r="1479" spans="30:41" x14ac:dyDescent="0.25">
      <c r="AD1479" s="1067" t="str">
        <f t="shared" si="110"/>
        <v/>
      </c>
      <c r="AE1479" s="1063" t="str">
        <f>IF(ISNA(VLOOKUP(TB_curr[[#This Row],[Synt]],GL[[#Headers],[#Data],[subtotal label]],1,FALSE)),0,(VLOOKUP(TB_curr[[#This Row],[Synt]],GL[[#Headers],[#Data],[subtotal label]],1,FALSE)))</f>
        <v/>
      </c>
      <c r="AF1479" s="1063" t="e">
        <f>IF((TB_curr[[#This Row],[Synt]]-TB_curr[[#This Row],[Subtotal Y/N]])=0,0,VLOOKUP(TB_curr[[#This Row],[Synt]],GL[[Account]:[Line]],3,FALSE))</f>
        <v>#VALUE!</v>
      </c>
      <c r="AG1479" s="1063" t="e">
        <f>VLOOKUP(TB_curr[[#This Row],[Synt]],GL[[Account]:[B/P]],4,FALSE)</f>
        <v>#N/A</v>
      </c>
      <c r="AH1479" s="1066" t="e">
        <v>#VALUE!</v>
      </c>
      <c r="AI1479" s="1065" t="e">
        <f>TB_curr[[#This Row],[Synt]]&amp;TB_curr[[#This Row],[Line No. manual corr.]]</f>
        <v>#VALUE!</v>
      </c>
      <c r="AJ1479" s="1064">
        <f t="shared" si="111"/>
        <v>0</v>
      </c>
      <c r="AK1479" s="1064">
        <f t="shared" si="112"/>
        <v>0</v>
      </c>
      <c r="AL1479" s="1064">
        <f t="shared" si="113"/>
        <v>0</v>
      </c>
      <c r="AM1479" s="1064">
        <f t="shared" si="114"/>
        <v>0</v>
      </c>
      <c r="AN1479" s="1064"/>
      <c r="AO1479" s="1064">
        <f>TB_curr[[#This Row],[Closing balance]]+TB_curr[[#This Row],[Rounding]]</f>
        <v>0</v>
      </c>
    </row>
    <row r="1480" spans="30:41" x14ac:dyDescent="0.25">
      <c r="AD1480" s="1067" t="str">
        <f t="shared" ref="AD1480:AD1543" si="115">LEFT(B1480,3)</f>
        <v/>
      </c>
      <c r="AE1480" s="1063" t="str">
        <f>IF(ISNA(VLOOKUP(TB_curr[[#This Row],[Synt]],GL[[#Headers],[#Data],[subtotal label]],1,FALSE)),0,(VLOOKUP(TB_curr[[#This Row],[Synt]],GL[[#Headers],[#Data],[subtotal label]],1,FALSE)))</f>
        <v/>
      </c>
      <c r="AF1480" s="1063" t="e">
        <f>IF((TB_curr[[#This Row],[Synt]]-TB_curr[[#This Row],[Subtotal Y/N]])=0,0,VLOOKUP(TB_curr[[#This Row],[Synt]],GL[[Account]:[Line]],3,FALSE))</f>
        <v>#VALUE!</v>
      </c>
      <c r="AG1480" s="1063" t="e">
        <f>VLOOKUP(TB_curr[[#This Row],[Synt]],GL[[Account]:[B/P]],4,FALSE)</f>
        <v>#N/A</v>
      </c>
      <c r="AH1480" s="1066" t="e">
        <v>#VALUE!</v>
      </c>
      <c r="AI1480" s="1065" t="e">
        <f>TB_curr[[#This Row],[Synt]]&amp;TB_curr[[#This Row],[Line No. manual corr.]]</f>
        <v>#VALUE!</v>
      </c>
      <c r="AJ1480" s="1064">
        <f t="shared" ref="AJ1480:AJ1543" si="116">K1480-N1480</f>
        <v>0</v>
      </c>
      <c r="AK1480" s="1064">
        <f t="shared" ref="AK1480:AK1543" si="117">Q1480</f>
        <v>0</v>
      </c>
      <c r="AL1480" s="1064">
        <f t="shared" ref="AL1480:AL1543" si="118">U1480</f>
        <v>0</v>
      </c>
      <c r="AM1480" s="1064">
        <f t="shared" ref="AM1480:AM1543" si="119">X1480-AB1480</f>
        <v>0</v>
      </c>
      <c r="AN1480" s="1064"/>
      <c r="AO1480" s="1064">
        <f>TB_curr[[#This Row],[Closing balance]]+TB_curr[[#This Row],[Rounding]]</f>
        <v>0</v>
      </c>
    </row>
    <row r="1481" spans="30:41" x14ac:dyDescent="0.25">
      <c r="AD1481" s="1067" t="str">
        <f t="shared" si="115"/>
        <v/>
      </c>
      <c r="AE1481" s="1063" t="str">
        <f>IF(ISNA(VLOOKUP(TB_curr[[#This Row],[Synt]],GL[[#Headers],[#Data],[subtotal label]],1,FALSE)),0,(VLOOKUP(TB_curr[[#This Row],[Synt]],GL[[#Headers],[#Data],[subtotal label]],1,FALSE)))</f>
        <v/>
      </c>
      <c r="AF1481" s="1063" t="e">
        <f>IF((TB_curr[[#This Row],[Synt]]-TB_curr[[#This Row],[Subtotal Y/N]])=0,0,VLOOKUP(TB_curr[[#This Row],[Synt]],GL[[Account]:[Line]],3,FALSE))</f>
        <v>#VALUE!</v>
      </c>
      <c r="AG1481" s="1063" t="e">
        <f>VLOOKUP(TB_curr[[#This Row],[Synt]],GL[[Account]:[B/P]],4,FALSE)</f>
        <v>#N/A</v>
      </c>
      <c r="AH1481" s="1066" t="e">
        <v>#VALUE!</v>
      </c>
      <c r="AI1481" s="1065" t="e">
        <f>TB_curr[[#This Row],[Synt]]&amp;TB_curr[[#This Row],[Line No. manual corr.]]</f>
        <v>#VALUE!</v>
      </c>
      <c r="AJ1481" s="1064">
        <f t="shared" si="116"/>
        <v>0</v>
      </c>
      <c r="AK1481" s="1064">
        <f t="shared" si="117"/>
        <v>0</v>
      </c>
      <c r="AL1481" s="1064">
        <f t="shared" si="118"/>
        <v>0</v>
      </c>
      <c r="AM1481" s="1064">
        <f t="shared" si="119"/>
        <v>0</v>
      </c>
      <c r="AN1481" s="1064"/>
      <c r="AO1481" s="1064">
        <f>TB_curr[[#This Row],[Closing balance]]+TB_curr[[#This Row],[Rounding]]</f>
        <v>0</v>
      </c>
    </row>
    <row r="1482" spans="30:41" x14ac:dyDescent="0.25">
      <c r="AD1482" s="1067" t="str">
        <f t="shared" si="115"/>
        <v/>
      </c>
      <c r="AE1482" s="1063" t="str">
        <f>IF(ISNA(VLOOKUP(TB_curr[[#This Row],[Synt]],GL[[#Headers],[#Data],[subtotal label]],1,FALSE)),0,(VLOOKUP(TB_curr[[#This Row],[Synt]],GL[[#Headers],[#Data],[subtotal label]],1,FALSE)))</f>
        <v/>
      </c>
      <c r="AF1482" s="1063" t="e">
        <f>IF((TB_curr[[#This Row],[Synt]]-TB_curr[[#This Row],[Subtotal Y/N]])=0,0,VLOOKUP(TB_curr[[#This Row],[Synt]],GL[[Account]:[Line]],3,FALSE))</f>
        <v>#VALUE!</v>
      </c>
      <c r="AG1482" s="1063" t="e">
        <f>VLOOKUP(TB_curr[[#This Row],[Synt]],GL[[Account]:[B/P]],4,FALSE)</f>
        <v>#N/A</v>
      </c>
      <c r="AH1482" s="1066" t="e">
        <v>#VALUE!</v>
      </c>
      <c r="AI1482" s="1065" t="e">
        <f>TB_curr[[#This Row],[Synt]]&amp;TB_curr[[#This Row],[Line No. manual corr.]]</f>
        <v>#VALUE!</v>
      </c>
      <c r="AJ1482" s="1064">
        <f t="shared" si="116"/>
        <v>0</v>
      </c>
      <c r="AK1482" s="1064">
        <f t="shared" si="117"/>
        <v>0</v>
      </c>
      <c r="AL1482" s="1064">
        <f t="shared" si="118"/>
        <v>0</v>
      </c>
      <c r="AM1482" s="1064">
        <f t="shared" si="119"/>
        <v>0</v>
      </c>
      <c r="AN1482" s="1064"/>
      <c r="AO1482" s="1064">
        <f>TB_curr[[#This Row],[Closing balance]]+TB_curr[[#This Row],[Rounding]]</f>
        <v>0</v>
      </c>
    </row>
    <row r="1483" spans="30:41" x14ac:dyDescent="0.25">
      <c r="AD1483" s="1067" t="str">
        <f t="shared" si="115"/>
        <v/>
      </c>
      <c r="AE1483" s="1063" t="str">
        <f>IF(ISNA(VLOOKUP(TB_curr[[#This Row],[Synt]],GL[[#Headers],[#Data],[subtotal label]],1,FALSE)),0,(VLOOKUP(TB_curr[[#This Row],[Synt]],GL[[#Headers],[#Data],[subtotal label]],1,FALSE)))</f>
        <v/>
      </c>
      <c r="AF1483" s="1063" t="e">
        <f>IF((TB_curr[[#This Row],[Synt]]-TB_curr[[#This Row],[Subtotal Y/N]])=0,0,VLOOKUP(TB_curr[[#This Row],[Synt]],GL[[Account]:[Line]],3,FALSE))</f>
        <v>#VALUE!</v>
      </c>
      <c r="AG1483" s="1063" t="e">
        <f>VLOOKUP(TB_curr[[#This Row],[Synt]],GL[[Account]:[B/P]],4,FALSE)</f>
        <v>#N/A</v>
      </c>
      <c r="AH1483" s="1066" t="e">
        <v>#VALUE!</v>
      </c>
      <c r="AI1483" s="1065" t="e">
        <f>TB_curr[[#This Row],[Synt]]&amp;TB_curr[[#This Row],[Line No. manual corr.]]</f>
        <v>#VALUE!</v>
      </c>
      <c r="AJ1483" s="1064">
        <f t="shared" si="116"/>
        <v>0</v>
      </c>
      <c r="AK1483" s="1064">
        <f t="shared" si="117"/>
        <v>0</v>
      </c>
      <c r="AL1483" s="1064">
        <f t="shared" si="118"/>
        <v>0</v>
      </c>
      <c r="AM1483" s="1064">
        <f t="shared" si="119"/>
        <v>0</v>
      </c>
      <c r="AN1483" s="1064"/>
      <c r="AO1483" s="1064">
        <f>TB_curr[[#This Row],[Closing balance]]+TB_curr[[#This Row],[Rounding]]</f>
        <v>0</v>
      </c>
    </row>
    <row r="1484" spans="30:41" x14ac:dyDescent="0.25">
      <c r="AD1484" s="1067" t="str">
        <f t="shared" si="115"/>
        <v/>
      </c>
      <c r="AE1484" s="1063" t="str">
        <f>IF(ISNA(VLOOKUP(TB_curr[[#This Row],[Synt]],GL[[#Headers],[#Data],[subtotal label]],1,FALSE)),0,(VLOOKUP(TB_curr[[#This Row],[Synt]],GL[[#Headers],[#Data],[subtotal label]],1,FALSE)))</f>
        <v/>
      </c>
      <c r="AF1484" s="1063" t="e">
        <f>IF((TB_curr[[#This Row],[Synt]]-TB_curr[[#This Row],[Subtotal Y/N]])=0,0,VLOOKUP(TB_curr[[#This Row],[Synt]],GL[[Account]:[Line]],3,FALSE))</f>
        <v>#VALUE!</v>
      </c>
      <c r="AG1484" s="1063" t="e">
        <f>VLOOKUP(TB_curr[[#This Row],[Synt]],GL[[Account]:[B/P]],4,FALSE)</f>
        <v>#N/A</v>
      </c>
      <c r="AH1484" s="1066" t="e">
        <v>#VALUE!</v>
      </c>
      <c r="AI1484" s="1065" t="e">
        <f>TB_curr[[#This Row],[Synt]]&amp;TB_curr[[#This Row],[Line No. manual corr.]]</f>
        <v>#VALUE!</v>
      </c>
      <c r="AJ1484" s="1064">
        <f t="shared" si="116"/>
        <v>0</v>
      </c>
      <c r="AK1484" s="1064">
        <f t="shared" si="117"/>
        <v>0</v>
      </c>
      <c r="AL1484" s="1064">
        <f t="shared" si="118"/>
        <v>0</v>
      </c>
      <c r="AM1484" s="1064">
        <f t="shared" si="119"/>
        <v>0</v>
      </c>
      <c r="AN1484" s="1064"/>
      <c r="AO1484" s="1064">
        <f>TB_curr[[#This Row],[Closing balance]]+TB_curr[[#This Row],[Rounding]]</f>
        <v>0</v>
      </c>
    </row>
    <row r="1485" spans="30:41" x14ac:dyDescent="0.25">
      <c r="AD1485" s="1067" t="str">
        <f t="shared" si="115"/>
        <v/>
      </c>
      <c r="AE1485" s="1063" t="str">
        <f>IF(ISNA(VLOOKUP(TB_curr[[#This Row],[Synt]],GL[[#Headers],[#Data],[subtotal label]],1,FALSE)),0,(VLOOKUP(TB_curr[[#This Row],[Synt]],GL[[#Headers],[#Data],[subtotal label]],1,FALSE)))</f>
        <v/>
      </c>
      <c r="AF1485" s="1063" t="e">
        <f>IF((TB_curr[[#This Row],[Synt]]-TB_curr[[#This Row],[Subtotal Y/N]])=0,0,VLOOKUP(TB_curr[[#This Row],[Synt]],GL[[Account]:[Line]],3,FALSE))</f>
        <v>#VALUE!</v>
      </c>
      <c r="AG1485" s="1063" t="e">
        <f>VLOOKUP(TB_curr[[#This Row],[Synt]],GL[[Account]:[B/P]],4,FALSE)</f>
        <v>#N/A</v>
      </c>
      <c r="AH1485" s="1066" t="e">
        <v>#VALUE!</v>
      </c>
      <c r="AI1485" s="1065" t="e">
        <f>TB_curr[[#This Row],[Synt]]&amp;TB_curr[[#This Row],[Line No. manual corr.]]</f>
        <v>#VALUE!</v>
      </c>
      <c r="AJ1485" s="1064">
        <f t="shared" si="116"/>
        <v>0</v>
      </c>
      <c r="AK1485" s="1064">
        <f t="shared" si="117"/>
        <v>0</v>
      </c>
      <c r="AL1485" s="1064">
        <f t="shared" si="118"/>
        <v>0</v>
      </c>
      <c r="AM1485" s="1064">
        <f t="shared" si="119"/>
        <v>0</v>
      </c>
      <c r="AN1485" s="1064"/>
      <c r="AO1485" s="1064">
        <f>TB_curr[[#This Row],[Closing balance]]+TB_curr[[#This Row],[Rounding]]</f>
        <v>0</v>
      </c>
    </row>
    <row r="1486" spans="30:41" x14ac:dyDescent="0.25">
      <c r="AD1486" s="1067" t="str">
        <f t="shared" si="115"/>
        <v/>
      </c>
      <c r="AE1486" s="1063" t="str">
        <f>IF(ISNA(VLOOKUP(TB_curr[[#This Row],[Synt]],GL[[#Headers],[#Data],[subtotal label]],1,FALSE)),0,(VLOOKUP(TB_curr[[#This Row],[Synt]],GL[[#Headers],[#Data],[subtotal label]],1,FALSE)))</f>
        <v/>
      </c>
      <c r="AF1486" s="1063" t="e">
        <f>IF((TB_curr[[#This Row],[Synt]]-TB_curr[[#This Row],[Subtotal Y/N]])=0,0,VLOOKUP(TB_curr[[#This Row],[Synt]],GL[[Account]:[Line]],3,FALSE))</f>
        <v>#VALUE!</v>
      </c>
      <c r="AG1486" s="1063" t="e">
        <f>VLOOKUP(TB_curr[[#This Row],[Synt]],GL[[Account]:[B/P]],4,FALSE)</f>
        <v>#N/A</v>
      </c>
      <c r="AH1486" s="1066" t="e">
        <v>#VALUE!</v>
      </c>
      <c r="AI1486" s="1065" t="e">
        <f>TB_curr[[#This Row],[Synt]]&amp;TB_curr[[#This Row],[Line No. manual corr.]]</f>
        <v>#VALUE!</v>
      </c>
      <c r="AJ1486" s="1064">
        <f t="shared" si="116"/>
        <v>0</v>
      </c>
      <c r="AK1486" s="1064">
        <f t="shared" si="117"/>
        <v>0</v>
      </c>
      <c r="AL1486" s="1064">
        <f t="shared" si="118"/>
        <v>0</v>
      </c>
      <c r="AM1486" s="1064">
        <f t="shared" si="119"/>
        <v>0</v>
      </c>
      <c r="AN1486" s="1064"/>
      <c r="AO1486" s="1064">
        <f>TB_curr[[#This Row],[Closing balance]]+TB_curr[[#This Row],[Rounding]]</f>
        <v>0</v>
      </c>
    </row>
    <row r="1487" spans="30:41" x14ac:dyDescent="0.25">
      <c r="AD1487" s="1067" t="str">
        <f t="shared" si="115"/>
        <v/>
      </c>
      <c r="AE1487" s="1063" t="str">
        <f>IF(ISNA(VLOOKUP(TB_curr[[#This Row],[Synt]],GL[[#Headers],[#Data],[subtotal label]],1,FALSE)),0,(VLOOKUP(TB_curr[[#This Row],[Synt]],GL[[#Headers],[#Data],[subtotal label]],1,FALSE)))</f>
        <v/>
      </c>
      <c r="AF1487" s="1063" t="e">
        <f>IF((TB_curr[[#This Row],[Synt]]-TB_curr[[#This Row],[Subtotal Y/N]])=0,0,VLOOKUP(TB_curr[[#This Row],[Synt]],GL[[Account]:[Line]],3,FALSE))</f>
        <v>#VALUE!</v>
      </c>
      <c r="AG1487" s="1063" t="e">
        <f>VLOOKUP(TB_curr[[#This Row],[Synt]],GL[[Account]:[B/P]],4,FALSE)</f>
        <v>#N/A</v>
      </c>
      <c r="AH1487" s="1066" t="e">
        <v>#VALUE!</v>
      </c>
      <c r="AI1487" s="1065" t="e">
        <f>TB_curr[[#This Row],[Synt]]&amp;TB_curr[[#This Row],[Line No. manual corr.]]</f>
        <v>#VALUE!</v>
      </c>
      <c r="AJ1487" s="1064">
        <f t="shared" si="116"/>
        <v>0</v>
      </c>
      <c r="AK1487" s="1064">
        <f t="shared" si="117"/>
        <v>0</v>
      </c>
      <c r="AL1487" s="1064">
        <f t="shared" si="118"/>
        <v>0</v>
      </c>
      <c r="AM1487" s="1064">
        <f t="shared" si="119"/>
        <v>0</v>
      </c>
      <c r="AN1487" s="1064"/>
      <c r="AO1487" s="1064">
        <f>TB_curr[[#This Row],[Closing balance]]+TB_curr[[#This Row],[Rounding]]</f>
        <v>0</v>
      </c>
    </row>
    <row r="1488" spans="30:41" x14ac:dyDescent="0.25">
      <c r="AD1488" s="1067" t="str">
        <f t="shared" si="115"/>
        <v/>
      </c>
      <c r="AE1488" s="1063" t="str">
        <f>IF(ISNA(VLOOKUP(TB_curr[[#This Row],[Synt]],GL[[#Headers],[#Data],[subtotal label]],1,FALSE)),0,(VLOOKUP(TB_curr[[#This Row],[Synt]],GL[[#Headers],[#Data],[subtotal label]],1,FALSE)))</f>
        <v/>
      </c>
      <c r="AF1488" s="1063" t="e">
        <f>IF((TB_curr[[#This Row],[Synt]]-TB_curr[[#This Row],[Subtotal Y/N]])=0,0,VLOOKUP(TB_curr[[#This Row],[Synt]],GL[[Account]:[Line]],3,FALSE))</f>
        <v>#VALUE!</v>
      </c>
      <c r="AG1488" s="1063" t="e">
        <f>VLOOKUP(TB_curr[[#This Row],[Synt]],GL[[Account]:[B/P]],4,FALSE)</f>
        <v>#N/A</v>
      </c>
      <c r="AH1488" s="1066" t="e">
        <v>#VALUE!</v>
      </c>
      <c r="AI1488" s="1065" t="e">
        <f>TB_curr[[#This Row],[Synt]]&amp;TB_curr[[#This Row],[Line No. manual corr.]]</f>
        <v>#VALUE!</v>
      </c>
      <c r="AJ1488" s="1064">
        <f t="shared" si="116"/>
        <v>0</v>
      </c>
      <c r="AK1488" s="1064">
        <f t="shared" si="117"/>
        <v>0</v>
      </c>
      <c r="AL1488" s="1064">
        <f t="shared" si="118"/>
        <v>0</v>
      </c>
      <c r="AM1488" s="1064">
        <f t="shared" si="119"/>
        <v>0</v>
      </c>
      <c r="AN1488" s="1064"/>
      <c r="AO1488" s="1064">
        <f>TB_curr[[#This Row],[Closing balance]]+TB_curr[[#This Row],[Rounding]]</f>
        <v>0</v>
      </c>
    </row>
    <row r="1489" spans="30:41" x14ac:dyDescent="0.25">
      <c r="AD1489" s="1067" t="str">
        <f t="shared" si="115"/>
        <v/>
      </c>
      <c r="AE1489" s="1063" t="str">
        <f>IF(ISNA(VLOOKUP(TB_curr[[#This Row],[Synt]],GL[[#Headers],[#Data],[subtotal label]],1,FALSE)),0,(VLOOKUP(TB_curr[[#This Row],[Synt]],GL[[#Headers],[#Data],[subtotal label]],1,FALSE)))</f>
        <v/>
      </c>
      <c r="AF1489" s="1063" t="e">
        <f>IF((TB_curr[[#This Row],[Synt]]-TB_curr[[#This Row],[Subtotal Y/N]])=0,0,VLOOKUP(TB_curr[[#This Row],[Synt]],GL[[Account]:[Line]],3,FALSE))</f>
        <v>#VALUE!</v>
      </c>
      <c r="AG1489" s="1063" t="e">
        <f>VLOOKUP(TB_curr[[#This Row],[Synt]],GL[[Account]:[B/P]],4,FALSE)</f>
        <v>#N/A</v>
      </c>
      <c r="AH1489" s="1066" t="e">
        <v>#VALUE!</v>
      </c>
      <c r="AI1489" s="1065" t="e">
        <f>TB_curr[[#This Row],[Synt]]&amp;TB_curr[[#This Row],[Line No. manual corr.]]</f>
        <v>#VALUE!</v>
      </c>
      <c r="AJ1489" s="1064">
        <f t="shared" si="116"/>
        <v>0</v>
      </c>
      <c r="AK1489" s="1064">
        <f t="shared" si="117"/>
        <v>0</v>
      </c>
      <c r="AL1489" s="1064">
        <f t="shared" si="118"/>
        <v>0</v>
      </c>
      <c r="AM1489" s="1064">
        <f t="shared" si="119"/>
        <v>0</v>
      </c>
      <c r="AN1489" s="1064"/>
      <c r="AO1489" s="1064">
        <f>TB_curr[[#This Row],[Closing balance]]+TB_curr[[#This Row],[Rounding]]</f>
        <v>0</v>
      </c>
    </row>
    <row r="1490" spans="30:41" x14ac:dyDescent="0.25">
      <c r="AD1490" s="1067" t="str">
        <f t="shared" si="115"/>
        <v/>
      </c>
      <c r="AE1490" s="1063" t="str">
        <f>IF(ISNA(VLOOKUP(TB_curr[[#This Row],[Synt]],GL[[#Headers],[#Data],[subtotal label]],1,FALSE)),0,(VLOOKUP(TB_curr[[#This Row],[Synt]],GL[[#Headers],[#Data],[subtotal label]],1,FALSE)))</f>
        <v/>
      </c>
      <c r="AF1490" s="1063" t="e">
        <f>IF((TB_curr[[#This Row],[Synt]]-TB_curr[[#This Row],[Subtotal Y/N]])=0,0,VLOOKUP(TB_curr[[#This Row],[Synt]],GL[[Account]:[Line]],3,FALSE))</f>
        <v>#VALUE!</v>
      </c>
      <c r="AG1490" s="1063" t="e">
        <f>VLOOKUP(TB_curr[[#This Row],[Synt]],GL[[Account]:[B/P]],4,FALSE)</f>
        <v>#N/A</v>
      </c>
      <c r="AH1490" s="1066" t="e">
        <v>#VALUE!</v>
      </c>
      <c r="AI1490" s="1065" t="e">
        <f>TB_curr[[#This Row],[Synt]]&amp;TB_curr[[#This Row],[Line No. manual corr.]]</f>
        <v>#VALUE!</v>
      </c>
      <c r="AJ1490" s="1064">
        <f t="shared" si="116"/>
        <v>0</v>
      </c>
      <c r="AK1490" s="1064">
        <f t="shared" si="117"/>
        <v>0</v>
      </c>
      <c r="AL1490" s="1064">
        <f t="shared" si="118"/>
        <v>0</v>
      </c>
      <c r="AM1490" s="1064">
        <f t="shared" si="119"/>
        <v>0</v>
      </c>
      <c r="AN1490" s="1064"/>
      <c r="AO1490" s="1064">
        <f>TB_curr[[#This Row],[Closing balance]]+TB_curr[[#This Row],[Rounding]]</f>
        <v>0</v>
      </c>
    </row>
    <row r="1491" spans="30:41" x14ac:dyDescent="0.25">
      <c r="AD1491" s="1067" t="str">
        <f t="shared" si="115"/>
        <v/>
      </c>
      <c r="AE1491" s="1063" t="str">
        <f>IF(ISNA(VLOOKUP(TB_curr[[#This Row],[Synt]],GL[[#Headers],[#Data],[subtotal label]],1,FALSE)),0,(VLOOKUP(TB_curr[[#This Row],[Synt]],GL[[#Headers],[#Data],[subtotal label]],1,FALSE)))</f>
        <v/>
      </c>
      <c r="AF1491" s="1063" t="e">
        <f>IF((TB_curr[[#This Row],[Synt]]-TB_curr[[#This Row],[Subtotal Y/N]])=0,0,VLOOKUP(TB_curr[[#This Row],[Synt]],GL[[Account]:[Line]],3,FALSE))</f>
        <v>#VALUE!</v>
      </c>
      <c r="AG1491" s="1063" t="e">
        <f>VLOOKUP(TB_curr[[#This Row],[Synt]],GL[[Account]:[B/P]],4,FALSE)</f>
        <v>#N/A</v>
      </c>
      <c r="AH1491" s="1066" t="e">
        <v>#VALUE!</v>
      </c>
      <c r="AI1491" s="1065" t="e">
        <f>TB_curr[[#This Row],[Synt]]&amp;TB_curr[[#This Row],[Line No. manual corr.]]</f>
        <v>#VALUE!</v>
      </c>
      <c r="AJ1491" s="1064">
        <f t="shared" si="116"/>
        <v>0</v>
      </c>
      <c r="AK1491" s="1064">
        <f t="shared" si="117"/>
        <v>0</v>
      </c>
      <c r="AL1491" s="1064">
        <f t="shared" si="118"/>
        <v>0</v>
      </c>
      <c r="AM1491" s="1064">
        <f t="shared" si="119"/>
        <v>0</v>
      </c>
      <c r="AN1491" s="1064"/>
      <c r="AO1491" s="1064">
        <f>TB_curr[[#This Row],[Closing balance]]+TB_curr[[#This Row],[Rounding]]</f>
        <v>0</v>
      </c>
    </row>
    <row r="1492" spans="30:41" x14ac:dyDescent="0.25">
      <c r="AD1492" s="1067" t="str">
        <f t="shared" si="115"/>
        <v/>
      </c>
      <c r="AE1492" s="1063" t="str">
        <f>IF(ISNA(VLOOKUP(TB_curr[[#This Row],[Synt]],GL[[#Headers],[#Data],[subtotal label]],1,FALSE)),0,(VLOOKUP(TB_curr[[#This Row],[Synt]],GL[[#Headers],[#Data],[subtotal label]],1,FALSE)))</f>
        <v/>
      </c>
      <c r="AF1492" s="1063" t="e">
        <f>IF((TB_curr[[#This Row],[Synt]]-TB_curr[[#This Row],[Subtotal Y/N]])=0,0,VLOOKUP(TB_curr[[#This Row],[Synt]],GL[[Account]:[Line]],3,FALSE))</f>
        <v>#VALUE!</v>
      </c>
      <c r="AG1492" s="1063" t="e">
        <f>VLOOKUP(TB_curr[[#This Row],[Synt]],GL[[Account]:[B/P]],4,FALSE)</f>
        <v>#N/A</v>
      </c>
      <c r="AH1492" s="1066" t="e">
        <v>#VALUE!</v>
      </c>
      <c r="AI1492" s="1065" t="e">
        <f>TB_curr[[#This Row],[Synt]]&amp;TB_curr[[#This Row],[Line No. manual corr.]]</f>
        <v>#VALUE!</v>
      </c>
      <c r="AJ1492" s="1064">
        <f t="shared" si="116"/>
        <v>0</v>
      </c>
      <c r="AK1492" s="1064">
        <f t="shared" si="117"/>
        <v>0</v>
      </c>
      <c r="AL1492" s="1064">
        <f t="shared" si="118"/>
        <v>0</v>
      </c>
      <c r="AM1492" s="1064">
        <f t="shared" si="119"/>
        <v>0</v>
      </c>
      <c r="AN1492" s="1064"/>
      <c r="AO1492" s="1064">
        <f>TB_curr[[#This Row],[Closing balance]]+TB_curr[[#This Row],[Rounding]]</f>
        <v>0</v>
      </c>
    </row>
    <row r="1493" spans="30:41" x14ac:dyDescent="0.25">
      <c r="AD1493" s="1067" t="str">
        <f t="shared" si="115"/>
        <v/>
      </c>
      <c r="AE1493" s="1063" t="str">
        <f>IF(ISNA(VLOOKUP(TB_curr[[#This Row],[Synt]],GL[[#Headers],[#Data],[subtotal label]],1,FALSE)),0,(VLOOKUP(TB_curr[[#This Row],[Synt]],GL[[#Headers],[#Data],[subtotal label]],1,FALSE)))</f>
        <v/>
      </c>
      <c r="AF1493" s="1063" t="e">
        <f>IF((TB_curr[[#This Row],[Synt]]-TB_curr[[#This Row],[Subtotal Y/N]])=0,0,VLOOKUP(TB_curr[[#This Row],[Synt]],GL[[Account]:[Line]],3,FALSE))</f>
        <v>#VALUE!</v>
      </c>
      <c r="AG1493" s="1063" t="e">
        <f>VLOOKUP(TB_curr[[#This Row],[Synt]],GL[[Account]:[B/P]],4,FALSE)</f>
        <v>#N/A</v>
      </c>
      <c r="AH1493" s="1066" t="e">
        <v>#VALUE!</v>
      </c>
      <c r="AI1493" s="1065" t="e">
        <f>TB_curr[[#This Row],[Synt]]&amp;TB_curr[[#This Row],[Line No. manual corr.]]</f>
        <v>#VALUE!</v>
      </c>
      <c r="AJ1493" s="1064">
        <f t="shared" si="116"/>
        <v>0</v>
      </c>
      <c r="AK1493" s="1064">
        <f t="shared" si="117"/>
        <v>0</v>
      </c>
      <c r="AL1493" s="1064">
        <f t="shared" si="118"/>
        <v>0</v>
      </c>
      <c r="AM1493" s="1064">
        <f t="shared" si="119"/>
        <v>0</v>
      </c>
      <c r="AN1493" s="1064"/>
      <c r="AO1493" s="1064">
        <f>TB_curr[[#This Row],[Closing balance]]+TB_curr[[#This Row],[Rounding]]</f>
        <v>0</v>
      </c>
    </row>
    <row r="1494" spans="30:41" x14ac:dyDescent="0.25">
      <c r="AD1494" s="1067" t="str">
        <f t="shared" si="115"/>
        <v/>
      </c>
      <c r="AE1494" s="1063" t="str">
        <f>IF(ISNA(VLOOKUP(TB_curr[[#This Row],[Synt]],GL[[#Headers],[#Data],[subtotal label]],1,FALSE)),0,(VLOOKUP(TB_curr[[#This Row],[Synt]],GL[[#Headers],[#Data],[subtotal label]],1,FALSE)))</f>
        <v/>
      </c>
      <c r="AF1494" s="1063" t="e">
        <f>IF((TB_curr[[#This Row],[Synt]]-TB_curr[[#This Row],[Subtotal Y/N]])=0,0,VLOOKUP(TB_curr[[#This Row],[Synt]],GL[[Account]:[Line]],3,FALSE))</f>
        <v>#VALUE!</v>
      </c>
      <c r="AG1494" s="1063" t="e">
        <f>VLOOKUP(TB_curr[[#This Row],[Synt]],GL[[Account]:[B/P]],4,FALSE)</f>
        <v>#N/A</v>
      </c>
      <c r="AH1494" s="1066" t="e">
        <v>#VALUE!</v>
      </c>
      <c r="AI1494" s="1065" t="e">
        <f>TB_curr[[#This Row],[Synt]]&amp;TB_curr[[#This Row],[Line No. manual corr.]]</f>
        <v>#VALUE!</v>
      </c>
      <c r="AJ1494" s="1064">
        <f t="shared" si="116"/>
        <v>0</v>
      </c>
      <c r="AK1494" s="1064">
        <f t="shared" si="117"/>
        <v>0</v>
      </c>
      <c r="AL1494" s="1064">
        <f t="shared" si="118"/>
        <v>0</v>
      </c>
      <c r="AM1494" s="1064">
        <f t="shared" si="119"/>
        <v>0</v>
      </c>
      <c r="AN1494" s="1064"/>
      <c r="AO1494" s="1064">
        <f>TB_curr[[#This Row],[Closing balance]]+TB_curr[[#This Row],[Rounding]]</f>
        <v>0</v>
      </c>
    </row>
    <row r="1495" spans="30:41" x14ac:dyDescent="0.25">
      <c r="AD1495" s="1067" t="str">
        <f t="shared" si="115"/>
        <v/>
      </c>
      <c r="AE1495" s="1063" t="str">
        <f>IF(ISNA(VLOOKUP(TB_curr[[#This Row],[Synt]],GL[[#Headers],[#Data],[subtotal label]],1,FALSE)),0,(VLOOKUP(TB_curr[[#This Row],[Synt]],GL[[#Headers],[#Data],[subtotal label]],1,FALSE)))</f>
        <v/>
      </c>
      <c r="AF1495" s="1063" t="e">
        <f>IF((TB_curr[[#This Row],[Synt]]-TB_curr[[#This Row],[Subtotal Y/N]])=0,0,VLOOKUP(TB_curr[[#This Row],[Synt]],GL[[Account]:[Line]],3,FALSE))</f>
        <v>#VALUE!</v>
      </c>
      <c r="AG1495" s="1063" t="e">
        <f>VLOOKUP(TB_curr[[#This Row],[Synt]],GL[[Account]:[B/P]],4,FALSE)</f>
        <v>#N/A</v>
      </c>
      <c r="AH1495" s="1066" t="e">
        <v>#VALUE!</v>
      </c>
      <c r="AI1495" s="1065" t="e">
        <f>TB_curr[[#This Row],[Synt]]&amp;TB_curr[[#This Row],[Line No. manual corr.]]</f>
        <v>#VALUE!</v>
      </c>
      <c r="AJ1495" s="1064">
        <f t="shared" si="116"/>
        <v>0</v>
      </c>
      <c r="AK1495" s="1064">
        <f t="shared" si="117"/>
        <v>0</v>
      </c>
      <c r="AL1495" s="1064">
        <f t="shared" si="118"/>
        <v>0</v>
      </c>
      <c r="AM1495" s="1064">
        <f t="shared" si="119"/>
        <v>0</v>
      </c>
      <c r="AN1495" s="1064"/>
      <c r="AO1495" s="1064">
        <f>TB_curr[[#This Row],[Closing balance]]+TB_curr[[#This Row],[Rounding]]</f>
        <v>0</v>
      </c>
    </row>
    <row r="1496" spans="30:41" x14ac:dyDescent="0.25">
      <c r="AD1496" s="1067" t="str">
        <f t="shared" si="115"/>
        <v/>
      </c>
      <c r="AE1496" s="1063" t="str">
        <f>IF(ISNA(VLOOKUP(TB_curr[[#This Row],[Synt]],GL[[#Headers],[#Data],[subtotal label]],1,FALSE)),0,(VLOOKUP(TB_curr[[#This Row],[Synt]],GL[[#Headers],[#Data],[subtotal label]],1,FALSE)))</f>
        <v/>
      </c>
      <c r="AF1496" s="1063" t="e">
        <f>IF((TB_curr[[#This Row],[Synt]]-TB_curr[[#This Row],[Subtotal Y/N]])=0,0,VLOOKUP(TB_curr[[#This Row],[Synt]],GL[[Account]:[Line]],3,FALSE))</f>
        <v>#VALUE!</v>
      </c>
      <c r="AG1496" s="1063" t="e">
        <f>VLOOKUP(TB_curr[[#This Row],[Synt]],GL[[Account]:[B/P]],4,FALSE)</f>
        <v>#N/A</v>
      </c>
      <c r="AH1496" s="1066" t="e">
        <v>#VALUE!</v>
      </c>
      <c r="AI1496" s="1065" t="e">
        <f>TB_curr[[#This Row],[Synt]]&amp;TB_curr[[#This Row],[Line No. manual corr.]]</f>
        <v>#VALUE!</v>
      </c>
      <c r="AJ1496" s="1064">
        <f t="shared" si="116"/>
        <v>0</v>
      </c>
      <c r="AK1496" s="1064">
        <f t="shared" si="117"/>
        <v>0</v>
      </c>
      <c r="AL1496" s="1064">
        <f t="shared" si="118"/>
        <v>0</v>
      </c>
      <c r="AM1496" s="1064">
        <f t="shared" si="119"/>
        <v>0</v>
      </c>
      <c r="AN1496" s="1064"/>
      <c r="AO1496" s="1064">
        <f>TB_curr[[#This Row],[Closing balance]]+TB_curr[[#This Row],[Rounding]]</f>
        <v>0</v>
      </c>
    </row>
    <row r="1497" spans="30:41" x14ac:dyDescent="0.25">
      <c r="AD1497" s="1067" t="str">
        <f t="shared" si="115"/>
        <v/>
      </c>
      <c r="AE1497" s="1063" t="str">
        <f>IF(ISNA(VLOOKUP(TB_curr[[#This Row],[Synt]],GL[[#Headers],[#Data],[subtotal label]],1,FALSE)),0,(VLOOKUP(TB_curr[[#This Row],[Synt]],GL[[#Headers],[#Data],[subtotal label]],1,FALSE)))</f>
        <v/>
      </c>
      <c r="AF1497" s="1063" t="e">
        <f>IF((TB_curr[[#This Row],[Synt]]-TB_curr[[#This Row],[Subtotal Y/N]])=0,0,VLOOKUP(TB_curr[[#This Row],[Synt]],GL[[Account]:[Line]],3,FALSE))</f>
        <v>#VALUE!</v>
      </c>
      <c r="AG1497" s="1063" t="e">
        <f>VLOOKUP(TB_curr[[#This Row],[Synt]],GL[[Account]:[B/P]],4,FALSE)</f>
        <v>#N/A</v>
      </c>
      <c r="AH1497" s="1066" t="e">
        <v>#VALUE!</v>
      </c>
      <c r="AI1497" s="1065" t="e">
        <f>TB_curr[[#This Row],[Synt]]&amp;TB_curr[[#This Row],[Line No. manual corr.]]</f>
        <v>#VALUE!</v>
      </c>
      <c r="AJ1497" s="1064">
        <f t="shared" si="116"/>
        <v>0</v>
      </c>
      <c r="AK1497" s="1064">
        <f t="shared" si="117"/>
        <v>0</v>
      </c>
      <c r="AL1497" s="1064">
        <f t="shared" si="118"/>
        <v>0</v>
      </c>
      <c r="AM1497" s="1064">
        <f t="shared" si="119"/>
        <v>0</v>
      </c>
      <c r="AN1497" s="1064"/>
      <c r="AO1497" s="1064">
        <f>TB_curr[[#This Row],[Closing balance]]+TB_curr[[#This Row],[Rounding]]</f>
        <v>0</v>
      </c>
    </row>
    <row r="1498" spans="30:41" x14ac:dyDescent="0.25">
      <c r="AD1498" s="1067" t="str">
        <f t="shared" si="115"/>
        <v/>
      </c>
      <c r="AE1498" s="1063" t="str">
        <f>IF(ISNA(VLOOKUP(TB_curr[[#This Row],[Synt]],GL[[#Headers],[#Data],[subtotal label]],1,FALSE)),0,(VLOOKUP(TB_curr[[#This Row],[Synt]],GL[[#Headers],[#Data],[subtotal label]],1,FALSE)))</f>
        <v/>
      </c>
      <c r="AF1498" s="1063" t="e">
        <f>IF((TB_curr[[#This Row],[Synt]]-TB_curr[[#This Row],[Subtotal Y/N]])=0,0,VLOOKUP(TB_curr[[#This Row],[Synt]],GL[[Account]:[Line]],3,FALSE))</f>
        <v>#VALUE!</v>
      </c>
      <c r="AG1498" s="1063" t="e">
        <f>VLOOKUP(TB_curr[[#This Row],[Synt]],GL[[Account]:[B/P]],4,FALSE)</f>
        <v>#N/A</v>
      </c>
      <c r="AH1498" s="1066" t="e">
        <v>#VALUE!</v>
      </c>
      <c r="AI1498" s="1065" t="e">
        <f>TB_curr[[#This Row],[Synt]]&amp;TB_curr[[#This Row],[Line No. manual corr.]]</f>
        <v>#VALUE!</v>
      </c>
      <c r="AJ1498" s="1064">
        <f t="shared" si="116"/>
        <v>0</v>
      </c>
      <c r="AK1498" s="1064">
        <f t="shared" si="117"/>
        <v>0</v>
      </c>
      <c r="AL1498" s="1064">
        <f t="shared" si="118"/>
        <v>0</v>
      </c>
      <c r="AM1498" s="1064">
        <f t="shared" si="119"/>
        <v>0</v>
      </c>
      <c r="AN1498" s="1064"/>
      <c r="AO1498" s="1064">
        <f>TB_curr[[#This Row],[Closing balance]]+TB_curr[[#This Row],[Rounding]]</f>
        <v>0</v>
      </c>
    </row>
    <row r="1499" spans="30:41" x14ac:dyDescent="0.25">
      <c r="AD1499" s="1067" t="str">
        <f t="shared" si="115"/>
        <v/>
      </c>
      <c r="AE1499" s="1063" t="str">
        <f>IF(ISNA(VLOOKUP(TB_curr[[#This Row],[Synt]],GL[[#Headers],[#Data],[subtotal label]],1,FALSE)),0,(VLOOKUP(TB_curr[[#This Row],[Synt]],GL[[#Headers],[#Data],[subtotal label]],1,FALSE)))</f>
        <v/>
      </c>
      <c r="AF1499" s="1063" t="e">
        <f>IF((TB_curr[[#This Row],[Synt]]-TB_curr[[#This Row],[Subtotal Y/N]])=0,0,VLOOKUP(TB_curr[[#This Row],[Synt]],GL[[Account]:[Line]],3,FALSE))</f>
        <v>#VALUE!</v>
      </c>
      <c r="AG1499" s="1063" t="e">
        <f>VLOOKUP(TB_curr[[#This Row],[Synt]],GL[[Account]:[B/P]],4,FALSE)</f>
        <v>#N/A</v>
      </c>
      <c r="AH1499" s="1066" t="e">
        <v>#VALUE!</v>
      </c>
      <c r="AI1499" s="1065" t="e">
        <f>TB_curr[[#This Row],[Synt]]&amp;TB_curr[[#This Row],[Line No. manual corr.]]</f>
        <v>#VALUE!</v>
      </c>
      <c r="AJ1499" s="1064">
        <f t="shared" si="116"/>
        <v>0</v>
      </c>
      <c r="AK1499" s="1064">
        <f t="shared" si="117"/>
        <v>0</v>
      </c>
      <c r="AL1499" s="1064">
        <f t="shared" si="118"/>
        <v>0</v>
      </c>
      <c r="AM1499" s="1064">
        <f t="shared" si="119"/>
        <v>0</v>
      </c>
      <c r="AN1499" s="1064"/>
      <c r="AO1499" s="1064">
        <f>TB_curr[[#This Row],[Closing balance]]+TB_curr[[#This Row],[Rounding]]</f>
        <v>0</v>
      </c>
    </row>
    <row r="1500" spans="30:41" x14ac:dyDescent="0.25">
      <c r="AD1500" s="1067" t="str">
        <f t="shared" si="115"/>
        <v/>
      </c>
      <c r="AE1500" s="1063" t="str">
        <f>IF(ISNA(VLOOKUP(TB_curr[[#This Row],[Synt]],GL[[#Headers],[#Data],[subtotal label]],1,FALSE)),0,(VLOOKUP(TB_curr[[#This Row],[Synt]],GL[[#Headers],[#Data],[subtotal label]],1,FALSE)))</f>
        <v/>
      </c>
      <c r="AF1500" s="1063" t="e">
        <f>IF((TB_curr[[#This Row],[Synt]]-TB_curr[[#This Row],[Subtotal Y/N]])=0,0,VLOOKUP(TB_curr[[#This Row],[Synt]],GL[[Account]:[Line]],3,FALSE))</f>
        <v>#VALUE!</v>
      </c>
      <c r="AG1500" s="1063" t="e">
        <f>VLOOKUP(TB_curr[[#This Row],[Synt]],GL[[Account]:[B/P]],4,FALSE)</f>
        <v>#N/A</v>
      </c>
      <c r="AH1500" s="1066" t="e">
        <v>#VALUE!</v>
      </c>
      <c r="AI1500" s="1065" t="e">
        <f>TB_curr[[#This Row],[Synt]]&amp;TB_curr[[#This Row],[Line No. manual corr.]]</f>
        <v>#VALUE!</v>
      </c>
      <c r="AJ1500" s="1064">
        <f t="shared" si="116"/>
        <v>0</v>
      </c>
      <c r="AK1500" s="1064">
        <f t="shared" si="117"/>
        <v>0</v>
      </c>
      <c r="AL1500" s="1064">
        <f t="shared" si="118"/>
        <v>0</v>
      </c>
      <c r="AM1500" s="1064">
        <f t="shared" si="119"/>
        <v>0</v>
      </c>
      <c r="AN1500" s="1064"/>
      <c r="AO1500" s="1064">
        <f>TB_curr[[#This Row],[Closing balance]]+TB_curr[[#This Row],[Rounding]]</f>
        <v>0</v>
      </c>
    </row>
    <row r="1501" spans="30:41" x14ac:dyDescent="0.25">
      <c r="AD1501" s="1067" t="str">
        <f t="shared" si="115"/>
        <v/>
      </c>
      <c r="AE1501" s="1063" t="str">
        <f>IF(ISNA(VLOOKUP(TB_curr[[#This Row],[Synt]],GL[[#Headers],[#Data],[subtotal label]],1,FALSE)),0,(VLOOKUP(TB_curr[[#This Row],[Synt]],GL[[#Headers],[#Data],[subtotal label]],1,FALSE)))</f>
        <v/>
      </c>
      <c r="AF1501" s="1063" t="e">
        <f>IF((TB_curr[[#This Row],[Synt]]-TB_curr[[#This Row],[Subtotal Y/N]])=0,0,VLOOKUP(TB_curr[[#This Row],[Synt]],GL[[Account]:[Line]],3,FALSE))</f>
        <v>#VALUE!</v>
      </c>
      <c r="AG1501" s="1063" t="e">
        <f>VLOOKUP(TB_curr[[#This Row],[Synt]],GL[[Account]:[B/P]],4,FALSE)</f>
        <v>#N/A</v>
      </c>
      <c r="AH1501" s="1066" t="e">
        <v>#VALUE!</v>
      </c>
      <c r="AI1501" s="1065" t="e">
        <f>TB_curr[[#This Row],[Synt]]&amp;TB_curr[[#This Row],[Line No. manual corr.]]</f>
        <v>#VALUE!</v>
      </c>
      <c r="AJ1501" s="1064">
        <f t="shared" si="116"/>
        <v>0</v>
      </c>
      <c r="AK1501" s="1064">
        <f t="shared" si="117"/>
        <v>0</v>
      </c>
      <c r="AL1501" s="1064">
        <f t="shared" si="118"/>
        <v>0</v>
      </c>
      <c r="AM1501" s="1064">
        <f t="shared" si="119"/>
        <v>0</v>
      </c>
      <c r="AN1501" s="1064"/>
      <c r="AO1501" s="1064">
        <f>TB_curr[[#This Row],[Closing balance]]+TB_curr[[#This Row],[Rounding]]</f>
        <v>0</v>
      </c>
    </row>
    <row r="1502" spans="30:41" x14ac:dyDescent="0.25">
      <c r="AD1502" s="1067" t="str">
        <f t="shared" si="115"/>
        <v/>
      </c>
      <c r="AE1502" s="1063" t="str">
        <f>IF(ISNA(VLOOKUP(TB_curr[[#This Row],[Synt]],GL[[#Headers],[#Data],[subtotal label]],1,FALSE)),0,(VLOOKUP(TB_curr[[#This Row],[Synt]],GL[[#Headers],[#Data],[subtotal label]],1,FALSE)))</f>
        <v/>
      </c>
      <c r="AF1502" s="1063" t="e">
        <f>IF((TB_curr[[#This Row],[Synt]]-TB_curr[[#This Row],[Subtotal Y/N]])=0,0,VLOOKUP(TB_curr[[#This Row],[Synt]],GL[[Account]:[Line]],3,FALSE))</f>
        <v>#VALUE!</v>
      </c>
      <c r="AG1502" s="1063" t="e">
        <f>VLOOKUP(TB_curr[[#This Row],[Synt]],GL[[Account]:[B/P]],4,FALSE)</f>
        <v>#N/A</v>
      </c>
      <c r="AH1502" s="1066" t="e">
        <v>#VALUE!</v>
      </c>
      <c r="AI1502" s="1065" t="e">
        <f>TB_curr[[#This Row],[Synt]]&amp;TB_curr[[#This Row],[Line No. manual corr.]]</f>
        <v>#VALUE!</v>
      </c>
      <c r="AJ1502" s="1064">
        <f t="shared" si="116"/>
        <v>0</v>
      </c>
      <c r="AK1502" s="1064">
        <f t="shared" si="117"/>
        <v>0</v>
      </c>
      <c r="AL1502" s="1064">
        <f t="shared" si="118"/>
        <v>0</v>
      </c>
      <c r="AM1502" s="1064">
        <f t="shared" si="119"/>
        <v>0</v>
      </c>
      <c r="AN1502" s="1064"/>
      <c r="AO1502" s="1064">
        <f>TB_curr[[#This Row],[Closing balance]]+TB_curr[[#This Row],[Rounding]]</f>
        <v>0</v>
      </c>
    </row>
    <row r="1503" spans="30:41" x14ac:dyDescent="0.25">
      <c r="AD1503" s="1067" t="str">
        <f t="shared" si="115"/>
        <v/>
      </c>
      <c r="AE1503" s="1063" t="str">
        <f>IF(ISNA(VLOOKUP(TB_curr[[#This Row],[Synt]],GL[[#Headers],[#Data],[subtotal label]],1,FALSE)),0,(VLOOKUP(TB_curr[[#This Row],[Synt]],GL[[#Headers],[#Data],[subtotal label]],1,FALSE)))</f>
        <v/>
      </c>
      <c r="AF1503" s="1063" t="e">
        <f>IF((TB_curr[[#This Row],[Synt]]-TB_curr[[#This Row],[Subtotal Y/N]])=0,0,VLOOKUP(TB_curr[[#This Row],[Synt]],GL[[Account]:[Line]],3,FALSE))</f>
        <v>#VALUE!</v>
      </c>
      <c r="AG1503" s="1063" t="e">
        <f>VLOOKUP(TB_curr[[#This Row],[Synt]],GL[[Account]:[B/P]],4,FALSE)</f>
        <v>#N/A</v>
      </c>
      <c r="AH1503" s="1066" t="e">
        <v>#VALUE!</v>
      </c>
      <c r="AI1503" s="1065" t="e">
        <f>TB_curr[[#This Row],[Synt]]&amp;TB_curr[[#This Row],[Line No. manual corr.]]</f>
        <v>#VALUE!</v>
      </c>
      <c r="AJ1503" s="1064">
        <f t="shared" si="116"/>
        <v>0</v>
      </c>
      <c r="AK1503" s="1064">
        <f t="shared" si="117"/>
        <v>0</v>
      </c>
      <c r="AL1503" s="1064">
        <f t="shared" si="118"/>
        <v>0</v>
      </c>
      <c r="AM1503" s="1064">
        <f t="shared" si="119"/>
        <v>0</v>
      </c>
      <c r="AN1503" s="1064"/>
      <c r="AO1503" s="1064">
        <f>TB_curr[[#This Row],[Closing balance]]+TB_curr[[#This Row],[Rounding]]</f>
        <v>0</v>
      </c>
    </row>
    <row r="1504" spans="30:41" x14ac:dyDescent="0.25">
      <c r="AD1504" s="1067" t="str">
        <f t="shared" si="115"/>
        <v/>
      </c>
      <c r="AE1504" s="1063" t="str">
        <f>IF(ISNA(VLOOKUP(TB_curr[[#This Row],[Synt]],GL[[#Headers],[#Data],[subtotal label]],1,FALSE)),0,(VLOOKUP(TB_curr[[#This Row],[Synt]],GL[[#Headers],[#Data],[subtotal label]],1,FALSE)))</f>
        <v/>
      </c>
      <c r="AF1504" s="1063" t="e">
        <f>IF((TB_curr[[#This Row],[Synt]]-TB_curr[[#This Row],[Subtotal Y/N]])=0,0,VLOOKUP(TB_curr[[#This Row],[Synt]],GL[[Account]:[Line]],3,FALSE))</f>
        <v>#VALUE!</v>
      </c>
      <c r="AG1504" s="1063" t="e">
        <f>VLOOKUP(TB_curr[[#This Row],[Synt]],GL[[Account]:[B/P]],4,FALSE)</f>
        <v>#N/A</v>
      </c>
      <c r="AH1504" s="1066" t="e">
        <v>#VALUE!</v>
      </c>
      <c r="AI1504" s="1065" t="e">
        <f>TB_curr[[#This Row],[Synt]]&amp;TB_curr[[#This Row],[Line No. manual corr.]]</f>
        <v>#VALUE!</v>
      </c>
      <c r="AJ1504" s="1064">
        <f t="shared" si="116"/>
        <v>0</v>
      </c>
      <c r="AK1504" s="1064">
        <f t="shared" si="117"/>
        <v>0</v>
      </c>
      <c r="AL1504" s="1064">
        <f t="shared" si="118"/>
        <v>0</v>
      </c>
      <c r="AM1504" s="1064">
        <f t="shared" si="119"/>
        <v>0</v>
      </c>
      <c r="AN1504" s="1064"/>
      <c r="AO1504" s="1064">
        <f>TB_curr[[#This Row],[Closing balance]]+TB_curr[[#This Row],[Rounding]]</f>
        <v>0</v>
      </c>
    </row>
    <row r="1505" spans="30:41" x14ac:dyDescent="0.25">
      <c r="AD1505" s="1067" t="str">
        <f t="shared" si="115"/>
        <v/>
      </c>
      <c r="AE1505" s="1063" t="str">
        <f>IF(ISNA(VLOOKUP(TB_curr[[#This Row],[Synt]],GL[[#Headers],[#Data],[subtotal label]],1,FALSE)),0,(VLOOKUP(TB_curr[[#This Row],[Synt]],GL[[#Headers],[#Data],[subtotal label]],1,FALSE)))</f>
        <v/>
      </c>
      <c r="AF1505" s="1063" t="e">
        <f>IF((TB_curr[[#This Row],[Synt]]-TB_curr[[#This Row],[Subtotal Y/N]])=0,0,VLOOKUP(TB_curr[[#This Row],[Synt]],GL[[Account]:[Line]],3,FALSE))</f>
        <v>#VALUE!</v>
      </c>
      <c r="AG1505" s="1063" t="e">
        <f>VLOOKUP(TB_curr[[#This Row],[Synt]],GL[[Account]:[B/P]],4,FALSE)</f>
        <v>#N/A</v>
      </c>
      <c r="AH1505" s="1066" t="e">
        <v>#VALUE!</v>
      </c>
      <c r="AI1505" s="1065" t="e">
        <f>TB_curr[[#This Row],[Synt]]&amp;TB_curr[[#This Row],[Line No. manual corr.]]</f>
        <v>#VALUE!</v>
      </c>
      <c r="AJ1505" s="1064">
        <f t="shared" si="116"/>
        <v>0</v>
      </c>
      <c r="AK1505" s="1064">
        <f t="shared" si="117"/>
        <v>0</v>
      </c>
      <c r="AL1505" s="1064">
        <f t="shared" si="118"/>
        <v>0</v>
      </c>
      <c r="AM1505" s="1064">
        <f t="shared" si="119"/>
        <v>0</v>
      </c>
      <c r="AN1505" s="1064"/>
      <c r="AO1505" s="1064">
        <f>TB_curr[[#This Row],[Closing balance]]+TB_curr[[#This Row],[Rounding]]</f>
        <v>0</v>
      </c>
    </row>
    <row r="1506" spans="30:41" x14ac:dyDescent="0.25">
      <c r="AD1506" s="1067" t="str">
        <f t="shared" si="115"/>
        <v/>
      </c>
      <c r="AE1506" s="1063" t="str">
        <f>IF(ISNA(VLOOKUP(TB_curr[[#This Row],[Synt]],GL[[#Headers],[#Data],[subtotal label]],1,FALSE)),0,(VLOOKUP(TB_curr[[#This Row],[Synt]],GL[[#Headers],[#Data],[subtotal label]],1,FALSE)))</f>
        <v/>
      </c>
      <c r="AF1506" s="1063" t="e">
        <f>IF((TB_curr[[#This Row],[Synt]]-TB_curr[[#This Row],[Subtotal Y/N]])=0,0,VLOOKUP(TB_curr[[#This Row],[Synt]],GL[[Account]:[Line]],3,FALSE))</f>
        <v>#VALUE!</v>
      </c>
      <c r="AG1506" s="1063" t="e">
        <f>VLOOKUP(TB_curr[[#This Row],[Synt]],GL[[Account]:[B/P]],4,FALSE)</f>
        <v>#N/A</v>
      </c>
      <c r="AH1506" s="1066" t="e">
        <v>#VALUE!</v>
      </c>
      <c r="AI1506" s="1065" t="e">
        <f>TB_curr[[#This Row],[Synt]]&amp;TB_curr[[#This Row],[Line No. manual corr.]]</f>
        <v>#VALUE!</v>
      </c>
      <c r="AJ1506" s="1064">
        <f t="shared" si="116"/>
        <v>0</v>
      </c>
      <c r="AK1506" s="1064">
        <f t="shared" si="117"/>
        <v>0</v>
      </c>
      <c r="AL1506" s="1064">
        <f t="shared" si="118"/>
        <v>0</v>
      </c>
      <c r="AM1506" s="1064">
        <f t="shared" si="119"/>
        <v>0</v>
      </c>
      <c r="AN1506" s="1064"/>
      <c r="AO1506" s="1064">
        <f>TB_curr[[#This Row],[Closing balance]]+TB_curr[[#This Row],[Rounding]]</f>
        <v>0</v>
      </c>
    </row>
    <row r="1507" spans="30:41" x14ac:dyDescent="0.25">
      <c r="AD1507" s="1067" t="str">
        <f t="shared" si="115"/>
        <v/>
      </c>
      <c r="AE1507" s="1063" t="str">
        <f>IF(ISNA(VLOOKUP(TB_curr[[#This Row],[Synt]],GL[[#Headers],[#Data],[subtotal label]],1,FALSE)),0,(VLOOKUP(TB_curr[[#This Row],[Synt]],GL[[#Headers],[#Data],[subtotal label]],1,FALSE)))</f>
        <v/>
      </c>
      <c r="AF1507" s="1063" t="e">
        <f>IF((TB_curr[[#This Row],[Synt]]-TB_curr[[#This Row],[Subtotal Y/N]])=0,0,VLOOKUP(TB_curr[[#This Row],[Synt]],GL[[Account]:[Line]],3,FALSE))</f>
        <v>#VALUE!</v>
      </c>
      <c r="AG1507" s="1063" t="e">
        <f>VLOOKUP(TB_curr[[#This Row],[Synt]],GL[[Account]:[B/P]],4,FALSE)</f>
        <v>#N/A</v>
      </c>
      <c r="AH1507" s="1066" t="e">
        <v>#VALUE!</v>
      </c>
      <c r="AI1507" s="1065" t="e">
        <f>TB_curr[[#This Row],[Synt]]&amp;TB_curr[[#This Row],[Line No. manual corr.]]</f>
        <v>#VALUE!</v>
      </c>
      <c r="AJ1507" s="1064">
        <f t="shared" si="116"/>
        <v>0</v>
      </c>
      <c r="AK1507" s="1064">
        <f t="shared" si="117"/>
        <v>0</v>
      </c>
      <c r="AL1507" s="1064">
        <f t="shared" si="118"/>
        <v>0</v>
      </c>
      <c r="AM1507" s="1064">
        <f t="shared" si="119"/>
        <v>0</v>
      </c>
      <c r="AN1507" s="1064"/>
      <c r="AO1507" s="1064">
        <f>TB_curr[[#This Row],[Closing balance]]+TB_curr[[#This Row],[Rounding]]</f>
        <v>0</v>
      </c>
    </row>
    <row r="1508" spans="30:41" x14ac:dyDescent="0.25">
      <c r="AD1508" s="1067" t="str">
        <f t="shared" si="115"/>
        <v/>
      </c>
      <c r="AE1508" s="1063" t="str">
        <f>IF(ISNA(VLOOKUP(TB_curr[[#This Row],[Synt]],GL[[#Headers],[#Data],[subtotal label]],1,FALSE)),0,(VLOOKUP(TB_curr[[#This Row],[Synt]],GL[[#Headers],[#Data],[subtotal label]],1,FALSE)))</f>
        <v/>
      </c>
      <c r="AF1508" s="1063" t="e">
        <f>IF((TB_curr[[#This Row],[Synt]]-TB_curr[[#This Row],[Subtotal Y/N]])=0,0,VLOOKUP(TB_curr[[#This Row],[Synt]],GL[[Account]:[Line]],3,FALSE))</f>
        <v>#VALUE!</v>
      </c>
      <c r="AG1508" s="1063" t="e">
        <f>VLOOKUP(TB_curr[[#This Row],[Synt]],GL[[Account]:[B/P]],4,FALSE)</f>
        <v>#N/A</v>
      </c>
      <c r="AH1508" s="1066" t="e">
        <v>#VALUE!</v>
      </c>
      <c r="AI1508" s="1065" t="e">
        <f>TB_curr[[#This Row],[Synt]]&amp;TB_curr[[#This Row],[Line No. manual corr.]]</f>
        <v>#VALUE!</v>
      </c>
      <c r="AJ1508" s="1064">
        <f t="shared" si="116"/>
        <v>0</v>
      </c>
      <c r="AK1508" s="1064">
        <f t="shared" si="117"/>
        <v>0</v>
      </c>
      <c r="AL1508" s="1064">
        <f t="shared" si="118"/>
        <v>0</v>
      </c>
      <c r="AM1508" s="1064">
        <f t="shared" si="119"/>
        <v>0</v>
      </c>
      <c r="AN1508" s="1064"/>
      <c r="AO1508" s="1064">
        <f>TB_curr[[#This Row],[Closing balance]]+TB_curr[[#This Row],[Rounding]]</f>
        <v>0</v>
      </c>
    </row>
    <row r="1509" spans="30:41" x14ac:dyDescent="0.25">
      <c r="AD1509" s="1067" t="str">
        <f t="shared" si="115"/>
        <v/>
      </c>
      <c r="AE1509" s="1063" t="str">
        <f>IF(ISNA(VLOOKUP(TB_curr[[#This Row],[Synt]],GL[[#Headers],[#Data],[subtotal label]],1,FALSE)),0,(VLOOKUP(TB_curr[[#This Row],[Synt]],GL[[#Headers],[#Data],[subtotal label]],1,FALSE)))</f>
        <v/>
      </c>
      <c r="AF1509" s="1063" t="e">
        <f>IF((TB_curr[[#This Row],[Synt]]-TB_curr[[#This Row],[Subtotal Y/N]])=0,0,VLOOKUP(TB_curr[[#This Row],[Synt]],GL[[Account]:[Line]],3,FALSE))</f>
        <v>#VALUE!</v>
      </c>
      <c r="AG1509" s="1063" t="e">
        <f>VLOOKUP(TB_curr[[#This Row],[Synt]],GL[[Account]:[B/P]],4,FALSE)</f>
        <v>#N/A</v>
      </c>
      <c r="AH1509" s="1066" t="e">
        <v>#VALUE!</v>
      </c>
      <c r="AI1509" s="1065" t="e">
        <f>TB_curr[[#This Row],[Synt]]&amp;TB_curr[[#This Row],[Line No. manual corr.]]</f>
        <v>#VALUE!</v>
      </c>
      <c r="AJ1509" s="1064">
        <f t="shared" si="116"/>
        <v>0</v>
      </c>
      <c r="AK1509" s="1064">
        <f t="shared" si="117"/>
        <v>0</v>
      </c>
      <c r="AL1509" s="1064">
        <f t="shared" si="118"/>
        <v>0</v>
      </c>
      <c r="AM1509" s="1064">
        <f t="shared" si="119"/>
        <v>0</v>
      </c>
      <c r="AN1509" s="1064"/>
      <c r="AO1509" s="1064">
        <f>TB_curr[[#This Row],[Closing balance]]+TB_curr[[#This Row],[Rounding]]</f>
        <v>0</v>
      </c>
    </row>
    <row r="1510" spans="30:41" x14ac:dyDescent="0.25">
      <c r="AD1510" s="1067" t="str">
        <f t="shared" si="115"/>
        <v/>
      </c>
      <c r="AE1510" s="1063" t="str">
        <f>IF(ISNA(VLOOKUP(TB_curr[[#This Row],[Synt]],GL[[#Headers],[#Data],[subtotal label]],1,FALSE)),0,(VLOOKUP(TB_curr[[#This Row],[Synt]],GL[[#Headers],[#Data],[subtotal label]],1,FALSE)))</f>
        <v/>
      </c>
      <c r="AF1510" s="1063" t="e">
        <f>IF((TB_curr[[#This Row],[Synt]]-TB_curr[[#This Row],[Subtotal Y/N]])=0,0,VLOOKUP(TB_curr[[#This Row],[Synt]],GL[[Account]:[Line]],3,FALSE))</f>
        <v>#VALUE!</v>
      </c>
      <c r="AG1510" s="1063" t="e">
        <f>VLOOKUP(TB_curr[[#This Row],[Synt]],GL[[Account]:[B/P]],4,FALSE)</f>
        <v>#N/A</v>
      </c>
      <c r="AH1510" s="1066" t="e">
        <v>#VALUE!</v>
      </c>
      <c r="AI1510" s="1065" t="e">
        <f>TB_curr[[#This Row],[Synt]]&amp;TB_curr[[#This Row],[Line No. manual corr.]]</f>
        <v>#VALUE!</v>
      </c>
      <c r="AJ1510" s="1064">
        <f t="shared" si="116"/>
        <v>0</v>
      </c>
      <c r="AK1510" s="1064">
        <f t="shared" si="117"/>
        <v>0</v>
      </c>
      <c r="AL1510" s="1064">
        <f t="shared" si="118"/>
        <v>0</v>
      </c>
      <c r="AM1510" s="1064">
        <f t="shared" si="119"/>
        <v>0</v>
      </c>
      <c r="AN1510" s="1064"/>
      <c r="AO1510" s="1064">
        <f>TB_curr[[#This Row],[Closing balance]]+TB_curr[[#This Row],[Rounding]]</f>
        <v>0</v>
      </c>
    </row>
    <row r="1511" spans="30:41" x14ac:dyDescent="0.25">
      <c r="AD1511" s="1067" t="str">
        <f t="shared" si="115"/>
        <v/>
      </c>
      <c r="AE1511" s="1063" t="str">
        <f>IF(ISNA(VLOOKUP(TB_curr[[#This Row],[Synt]],GL[[#Headers],[#Data],[subtotal label]],1,FALSE)),0,(VLOOKUP(TB_curr[[#This Row],[Synt]],GL[[#Headers],[#Data],[subtotal label]],1,FALSE)))</f>
        <v/>
      </c>
      <c r="AF1511" s="1063" t="e">
        <f>IF((TB_curr[[#This Row],[Synt]]-TB_curr[[#This Row],[Subtotal Y/N]])=0,0,VLOOKUP(TB_curr[[#This Row],[Synt]],GL[[Account]:[Line]],3,FALSE))</f>
        <v>#VALUE!</v>
      </c>
      <c r="AG1511" s="1063" t="e">
        <f>VLOOKUP(TB_curr[[#This Row],[Synt]],GL[[Account]:[B/P]],4,FALSE)</f>
        <v>#N/A</v>
      </c>
      <c r="AH1511" s="1066" t="e">
        <v>#VALUE!</v>
      </c>
      <c r="AI1511" s="1065" t="e">
        <f>TB_curr[[#This Row],[Synt]]&amp;TB_curr[[#This Row],[Line No. manual corr.]]</f>
        <v>#VALUE!</v>
      </c>
      <c r="AJ1511" s="1064">
        <f t="shared" si="116"/>
        <v>0</v>
      </c>
      <c r="AK1511" s="1064">
        <f t="shared" si="117"/>
        <v>0</v>
      </c>
      <c r="AL1511" s="1064">
        <f t="shared" si="118"/>
        <v>0</v>
      </c>
      <c r="AM1511" s="1064">
        <f t="shared" si="119"/>
        <v>0</v>
      </c>
      <c r="AN1511" s="1064"/>
      <c r="AO1511" s="1064">
        <f>TB_curr[[#This Row],[Closing balance]]+TB_curr[[#This Row],[Rounding]]</f>
        <v>0</v>
      </c>
    </row>
    <row r="1512" spans="30:41" x14ac:dyDescent="0.25">
      <c r="AD1512" s="1067" t="str">
        <f t="shared" si="115"/>
        <v/>
      </c>
      <c r="AE1512" s="1063" t="str">
        <f>IF(ISNA(VLOOKUP(TB_curr[[#This Row],[Synt]],GL[[#Headers],[#Data],[subtotal label]],1,FALSE)),0,(VLOOKUP(TB_curr[[#This Row],[Synt]],GL[[#Headers],[#Data],[subtotal label]],1,FALSE)))</f>
        <v/>
      </c>
      <c r="AF1512" s="1063" t="e">
        <f>IF((TB_curr[[#This Row],[Synt]]-TB_curr[[#This Row],[Subtotal Y/N]])=0,0,VLOOKUP(TB_curr[[#This Row],[Synt]],GL[[Account]:[Line]],3,FALSE))</f>
        <v>#VALUE!</v>
      </c>
      <c r="AG1512" s="1063" t="e">
        <f>VLOOKUP(TB_curr[[#This Row],[Synt]],GL[[Account]:[B/P]],4,FALSE)</f>
        <v>#N/A</v>
      </c>
      <c r="AH1512" s="1066" t="e">
        <v>#VALUE!</v>
      </c>
      <c r="AI1512" s="1065" t="e">
        <f>TB_curr[[#This Row],[Synt]]&amp;TB_curr[[#This Row],[Line No. manual corr.]]</f>
        <v>#VALUE!</v>
      </c>
      <c r="AJ1512" s="1064">
        <f t="shared" si="116"/>
        <v>0</v>
      </c>
      <c r="AK1512" s="1064">
        <f t="shared" si="117"/>
        <v>0</v>
      </c>
      <c r="AL1512" s="1064">
        <f t="shared" si="118"/>
        <v>0</v>
      </c>
      <c r="AM1512" s="1064">
        <f t="shared" si="119"/>
        <v>0</v>
      </c>
      <c r="AN1512" s="1064"/>
      <c r="AO1512" s="1064">
        <f>TB_curr[[#This Row],[Closing balance]]+TB_curr[[#This Row],[Rounding]]</f>
        <v>0</v>
      </c>
    </row>
    <row r="1513" spans="30:41" x14ac:dyDescent="0.25">
      <c r="AD1513" s="1067" t="str">
        <f t="shared" si="115"/>
        <v/>
      </c>
      <c r="AE1513" s="1063" t="str">
        <f>IF(ISNA(VLOOKUP(TB_curr[[#This Row],[Synt]],GL[[#Headers],[#Data],[subtotal label]],1,FALSE)),0,(VLOOKUP(TB_curr[[#This Row],[Synt]],GL[[#Headers],[#Data],[subtotal label]],1,FALSE)))</f>
        <v/>
      </c>
      <c r="AF1513" s="1063" t="e">
        <f>IF((TB_curr[[#This Row],[Synt]]-TB_curr[[#This Row],[Subtotal Y/N]])=0,0,VLOOKUP(TB_curr[[#This Row],[Synt]],GL[[Account]:[Line]],3,FALSE))</f>
        <v>#VALUE!</v>
      </c>
      <c r="AG1513" s="1063" t="e">
        <f>VLOOKUP(TB_curr[[#This Row],[Synt]],GL[[Account]:[B/P]],4,FALSE)</f>
        <v>#N/A</v>
      </c>
      <c r="AH1513" s="1066" t="e">
        <v>#VALUE!</v>
      </c>
      <c r="AI1513" s="1065" t="e">
        <f>TB_curr[[#This Row],[Synt]]&amp;TB_curr[[#This Row],[Line No. manual corr.]]</f>
        <v>#VALUE!</v>
      </c>
      <c r="AJ1513" s="1064">
        <f t="shared" si="116"/>
        <v>0</v>
      </c>
      <c r="AK1513" s="1064">
        <f t="shared" si="117"/>
        <v>0</v>
      </c>
      <c r="AL1513" s="1064">
        <f t="shared" si="118"/>
        <v>0</v>
      </c>
      <c r="AM1513" s="1064">
        <f t="shared" si="119"/>
        <v>0</v>
      </c>
      <c r="AN1513" s="1064"/>
      <c r="AO1513" s="1064">
        <f>TB_curr[[#This Row],[Closing balance]]+TB_curr[[#This Row],[Rounding]]</f>
        <v>0</v>
      </c>
    </row>
    <row r="1514" spans="30:41" x14ac:dyDescent="0.25">
      <c r="AD1514" s="1067" t="str">
        <f t="shared" si="115"/>
        <v/>
      </c>
      <c r="AE1514" s="1063" t="str">
        <f>IF(ISNA(VLOOKUP(TB_curr[[#This Row],[Synt]],GL[[#Headers],[#Data],[subtotal label]],1,FALSE)),0,(VLOOKUP(TB_curr[[#This Row],[Synt]],GL[[#Headers],[#Data],[subtotal label]],1,FALSE)))</f>
        <v/>
      </c>
      <c r="AF1514" s="1063" t="e">
        <f>IF((TB_curr[[#This Row],[Synt]]-TB_curr[[#This Row],[Subtotal Y/N]])=0,0,VLOOKUP(TB_curr[[#This Row],[Synt]],GL[[Account]:[Line]],3,FALSE))</f>
        <v>#VALUE!</v>
      </c>
      <c r="AG1514" s="1063" t="e">
        <f>VLOOKUP(TB_curr[[#This Row],[Synt]],GL[[Account]:[B/P]],4,FALSE)</f>
        <v>#N/A</v>
      </c>
      <c r="AH1514" s="1066" t="e">
        <v>#VALUE!</v>
      </c>
      <c r="AI1514" s="1065" t="e">
        <f>TB_curr[[#This Row],[Synt]]&amp;TB_curr[[#This Row],[Line No. manual corr.]]</f>
        <v>#VALUE!</v>
      </c>
      <c r="AJ1514" s="1064">
        <f t="shared" si="116"/>
        <v>0</v>
      </c>
      <c r="AK1514" s="1064">
        <f t="shared" si="117"/>
        <v>0</v>
      </c>
      <c r="AL1514" s="1064">
        <f t="shared" si="118"/>
        <v>0</v>
      </c>
      <c r="AM1514" s="1064">
        <f t="shared" si="119"/>
        <v>0</v>
      </c>
      <c r="AN1514" s="1064"/>
      <c r="AO1514" s="1064">
        <f>TB_curr[[#This Row],[Closing balance]]+TB_curr[[#This Row],[Rounding]]</f>
        <v>0</v>
      </c>
    </row>
    <row r="1515" spans="30:41" x14ac:dyDescent="0.25">
      <c r="AD1515" s="1067" t="str">
        <f t="shared" si="115"/>
        <v/>
      </c>
      <c r="AE1515" s="1063" t="str">
        <f>IF(ISNA(VLOOKUP(TB_curr[[#This Row],[Synt]],GL[[#Headers],[#Data],[subtotal label]],1,FALSE)),0,(VLOOKUP(TB_curr[[#This Row],[Synt]],GL[[#Headers],[#Data],[subtotal label]],1,FALSE)))</f>
        <v/>
      </c>
      <c r="AF1515" s="1063" t="e">
        <f>IF((TB_curr[[#This Row],[Synt]]-TB_curr[[#This Row],[Subtotal Y/N]])=0,0,VLOOKUP(TB_curr[[#This Row],[Synt]],GL[[Account]:[Line]],3,FALSE))</f>
        <v>#VALUE!</v>
      </c>
      <c r="AG1515" s="1063" t="e">
        <f>VLOOKUP(TB_curr[[#This Row],[Synt]],GL[[Account]:[B/P]],4,FALSE)</f>
        <v>#N/A</v>
      </c>
      <c r="AH1515" s="1066" t="e">
        <v>#VALUE!</v>
      </c>
      <c r="AI1515" s="1065" t="e">
        <f>TB_curr[[#This Row],[Synt]]&amp;TB_curr[[#This Row],[Line No. manual corr.]]</f>
        <v>#VALUE!</v>
      </c>
      <c r="AJ1515" s="1064">
        <f t="shared" si="116"/>
        <v>0</v>
      </c>
      <c r="AK1515" s="1064">
        <f t="shared" si="117"/>
        <v>0</v>
      </c>
      <c r="AL1515" s="1064">
        <f t="shared" si="118"/>
        <v>0</v>
      </c>
      <c r="AM1515" s="1064">
        <f t="shared" si="119"/>
        <v>0</v>
      </c>
      <c r="AN1515" s="1064"/>
      <c r="AO1515" s="1064">
        <f>TB_curr[[#This Row],[Closing balance]]+TB_curr[[#This Row],[Rounding]]</f>
        <v>0</v>
      </c>
    </row>
    <row r="1516" spans="30:41" x14ac:dyDescent="0.25">
      <c r="AD1516" s="1067" t="str">
        <f t="shared" si="115"/>
        <v/>
      </c>
      <c r="AE1516" s="1063" t="str">
        <f>IF(ISNA(VLOOKUP(TB_curr[[#This Row],[Synt]],GL[[#Headers],[#Data],[subtotal label]],1,FALSE)),0,(VLOOKUP(TB_curr[[#This Row],[Synt]],GL[[#Headers],[#Data],[subtotal label]],1,FALSE)))</f>
        <v/>
      </c>
      <c r="AF1516" s="1063" t="e">
        <f>IF((TB_curr[[#This Row],[Synt]]-TB_curr[[#This Row],[Subtotal Y/N]])=0,0,VLOOKUP(TB_curr[[#This Row],[Synt]],GL[[Account]:[Line]],3,FALSE))</f>
        <v>#VALUE!</v>
      </c>
      <c r="AG1516" s="1063" t="e">
        <f>VLOOKUP(TB_curr[[#This Row],[Synt]],GL[[Account]:[B/P]],4,FALSE)</f>
        <v>#N/A</v>
      </c>
      <c r="AH1516" s="1066" t="e">
        <v>#VALUE!</v>
      </c>
      <c r="AI1516" s="1065" t="e">
        <f>TB_curr[[#This Row],[Synt]]&amp;TB_curr[[#This Row],[Line No. manual corr.]]</f>
        <v>#VALUE!</v>
      </c>
      <c r="AJ1516" s="1064">
        <f t="shared" si="116"/>
        <v>0</v>
      </c>
      <c r="AK1516" s="1064">
        <f t="shared" si="117"/>
        <v>0</v>
      </c>
      <c r="AL1516" s="1064">
        <f t="shared" si="118"/>
        <v>0</v>
      </c>
      <c r="AM1516" s="1064">
        <f t="shared" si="119"/>
        <v>0</v>
      </c>
      <c r="AN1516" s="1064"/>
      <c r="AO1516" s="1064">
        <f>TB_curr[[#This Row],[Closing balance]]+TB_curr[[#This Row],[Rounding]]</f>
        <v>0</v>
      </c>
    </row>
    <row r="1517" spans="30:41" x14ac:dyDescent="0.25">
      <c r="AD1517" s="1067" t="str">
        <f t="shared" si="115"/>
        <v/>
      </c>
      <c r="AE1517" s="1063" t="str">
        <f>IF(ISNA(VLOOKUP(TB_curr[[#This Row],[Synt]],GL[[#Headers],[#Data],[subtotal label]],1,FALSE)),0,(VLOOKUP(TB_curr[[#This Row],[Synt]],GL[[#Headers],[#Data],[subtotal label]],1,FALSE)))</f>
        <v/>
      </c>
      <c r="AF1517" s="1063" t="e">
        <f>IF((TB_curr[[#This Row],[Synt]]-TB_curr[[#This Row],[Subtotal Y/N]])=0,0,VLOOKUP(TB_curr[[#This Row],[Synt]],GL[[Account]:[Line]],3,FALSE))</f>
        <v>#VALUE!</v>
      </c>
      <c r="AG1517" s="1063" t="e">
        <f>VLOOKUP(TB_curr[[#This Row],[Synt]],GL[[Account]:[B/P]],4,FALSE)</f>
        <v>#N/A</v>
      </c>
      <c r="AH1517" s="1066" t="e">
        <v>#VALUE!</v>
      </c>
      <c r="AI1517" s="1065" t="e">
        <f>TB_curr[[#This Row],[Synt]]&amp;TB_curr[[#This Row],[Line No. manual corr.]]</f>
        <v>#VALUE!</v>
      </c>
      <c r="AJ1517" s="1064">
        <f t="shared" si="116"/>
        <v>0</v>
      </c>
      <c r="AK1517" s="1064">
        <f t="shared" si="117"/>
        <v>0</v>
      </c>
      <c r="AL1517" s="1064">
        <f t="shared" si="118"/>
        <v>0</v>
      </c>
      <c r="AM1517" s="1064">
        <f t="shared" si="119"/>
        <v>0</v>
      </c>
      <c r="AN1517" s="1064"/>
      <c r="AO1517" s="1064">
        <f>TB_curr[[#This Row],[Closing balance]]+TB_curr[[#This Row],[Rounding]]</f>
        <v>0</v>
      </c>
    </row>
    <row r="1518" spans="30:41" x14ac:dyDescent="0.25">
      <c r="AD1518" s="1067" t="str">
        <f t="shared" si="115"/>
        <v/>
      </c>
      <c r="AE1518" s="1063" t="str">
        <f>IF(ISNA(VLOOKUP(TB_curr[[#This Row],[Synt]],GL[[#Headers],[#Data],[subtotal label]],1,FALSE)),0,(VLOOKUP(TB_curr[[#This Row],[Synt]],GL[[#Headers],[#Data],[subtotal label]],1,FALSE)))</f>
        <v/>
      </c>
      <c r="AF1518" s="1063" t="e">
        <f>IF((TB_curr[[#This Row],[Synt]]-TB_curr[[#This Row],[Subtotal Y/N]])=0,0,VLOOKUP(TB_curr[[#This Row],[Synt]],GL[[Account]:[Line]],3,FALSE))</f>
        <v>#VALUE!</v>
      </c>
      <c r="AG1518" s="1063" t="e">
        <f>VLOOKUP(TB_curr[[#This Row],[Synt]],GL[[Account]:[B/P]],4,FALSE)</f>
        <v>#N/A</v>
      </c>
      <c r="AH1518" s="1066" t="e">
        <v>#VALUE!</v>
      </c>
      <c r="AI1518" s="1065" t="e">
        <f>TB_curr[[#This Row],[Synt]]&amp;TB_curr[[#This Row],[Line No. manual corr.]]</f>
        <v>#VALUE!</v>
      </c>
      <c r="AJ1518" s="1064">
        <f t="shared" si="116"/>
        <v>0</v>
      </c>
      <c r="AK1518" s="1064">
        <f t="shared" si="117"/>
        <v>0</v>
      </c>
      <c r="AL1518" s="1064">
        <f t="shared" si="118"/>
        <v>0</v>
      </c>
      <c r="AM1518" s="1064">
        <f t="shared" si="119"/>
        <v>0</v>
      </c>
      <c r="AN1518" s="1064"/>
      <c r="AO1518" s="1064">
        <f>TB_curr[[#This Row],[Closing balance]]+TB_curr[[#This Row],[Rounding]]</f>
        <v>0</v>
      </c>
    </row>
    <row r="1519" spans="30:41" x14ac:dyDescent="0.25">
      <c r="AD1519" s="1067" t="str">
        <f t="shared" si="115"/>
        <v/>
      </c>
      <c r="AE1519" s="1063" t="str">
        <f>IF(ISNA(VLOOKUP(TB_curr[[#This Row],[Synt]],GL[[#Headers],[#Data],[subtotal label]],1,FALSE)),0,(VLOOKUP(TB_curr[[#This Row],[Synt]],GL[[#Headers],[#Data],[subtotal label]],1,FALSE)))</f>
        <v/>
      </c>
      <c r="AF1519" s="1063" t="e">
        <f>IF((TB_curr[[#This Row],[Synt]]-TB_curr[[#This Row],[Subtotal Y/N]])=0,0,VLOOKUP(TB_curr[[#This Row],[Synt]],GL[[Account]:[Line]],3,FALSE))</f>
        <v>#VALUE!</v>
      </c>
      <c r="AG1519" s="1063" t="e">
        <f>VLOOKUP(TB_curr[[#This Row],[Synt]],GL[[Account]:[B/P]],4,FALSE)</f>
        <v>#N/A</v>
      </c>
      <c r="AH1519" s="1066" t="e">
        <v>#VALUE!</v>
      </c>
      <c r="AI1519" s="1065" t="e">
        <f>TB_curr[[#This Row],[Synt]]&amp;TB_curr[[#This Row],[Line No. manual corr.]]</f>
        <v>#VALUE!</v>
      </c>
      <c r="AJ1519" s="1064">
        <f t="shared" si="116"/>
        <v>0</v>
      </c>
      <c r="AK1519" s="1064">
        <f t="shared" si="117"/>
        <v>0</v>
      </c>
      <c r="AL1519" s="1064">
        <f t="shared" si="118"/>
        <v>0</v>
      </c>
      <c r="AM1519" s="1064">
        <f t="shared" si="119"/>
        <v>0</v>
      </c>
      <c r="AN1519" s="1064"/>
      <c r="AO1519" s="1064">
        <f>TB_curr[[#This Row],[Closing balance]]+TB_curr[[#This Row],[Rounding]]</f>
        <v>0</v>
      </c>
    </row>
    <row r="1520" spans="30:41" x14ac:dyDescent="0.25">
      <c r="AD1520" s="1067" t="str">
        <f t="shared" si="115"/>
        <v/>
      </c>
      <c r="AE1520" s="1063" t="str">
        <f>IF(ISNA(VLOOKUP(TB_curr[[#This Row],[Synt]],GL[[#Headers],[#Data],[subtotal label]],1,FALSE)),0,(VLOOKUP(TB_curr[[#This Row],[Synt]],GL[[#Headers],[#Data],[subtotal label]],1,FALSE)))</f>
        <v/>
      </c>
      <c r="AF1520" s="1063" t="e">
        <f>IF((TB_curr[[#This Row],[Synt]]-TB_curr[[#This Row],[Subtotal Y/N]])=0,0,VLOOKUP(TB_curr[[#This Row],[Synt]],GL[[Account]:[Line]],3,FALSE))</f>
        <v>#VALUE!</v>
      </c>
      <c r="AG1520" s="1063" t="e">
        <f>VLOOKUP(TB_curr[[#This Row],[Synt]],GL[[Account]:[B/P]],4,FALSE)</f>
        <v>#N/A</v>
      </c>
      <c r="AH1520" s="1066" t="e">
        <v>#VALUE!</v>
      </c>
      <c r="AI1520" s="1065" t="e">
        <f>TB_curr[[#This Row],[Synt]]&amp;TB_curr[[#This Row],[Line No. manual corr.]]</f>
        <v>#VALUE!</v>
      </c>
      <c r="AJ1520" s="1064">
        <f t="shared" si="116"/>
        <v>0</v>
      </c>
      <c r="AK1520" s="1064">
        <f t="shared" si="117"/>
        <v>0</v>
      </c>
      <c r="AL1520" s="1064">
        <f t="shared" si="118"/>
        <v>0</v>
      </c>
      <c r="AM1520" s="1064">
        <f t="shared" si="119"/>
        <v>0</v>
      </c>
      <c r="AN1520" s="1064"/>
      <c r="AO1520" s="1064">
        <f>TB_curr[[#This Row],[Closing balance]]+TB_curr[[#This Row],[Rounding]]</f>
        <v>0</v>
      </c>
    </row>
    <row r="1521" spans="30:41" x14ac:dyDescent="0.25">
      <c r="AD1521" s="1067" t="str">
        <f t="shared" si="115"/>
        <v/>
      </c>
      <c r="AE1521" s="1063" t="str">
        <f>IF(ISNA(VLOOKUP(TB_curr[[#This Row],[Synt]],GL[[#Headers],[#Data],[subtotal label]],1,FALSE)),0,(VLOOKUP(TB_curr[[#This Row],[Synt]],GL[[#Headers],[#Data],[subtotal label]],1,FALSE)))</f>
        <v/>
      </c>
      <c r="AF1521" s="1063" t="e">
        <f>IF((TB_curr[[#This Row],[Synt]]-TB_curr[[#This Row],[Subtotal Y/N]])=0,0,VLOOKUP(TB_curr[[#This Row],[Synt]],GL[[Account]:[Line]],3,FALSE))</f>
        <v>#VALUE!</v>
      </c>
      <c r="AG1521" s="1063" t="e">
        <f>VLOOKUP(TB_curr[[#This Row],[Synt]],GL[[Account]:[B/P]],4,FALSE)</f>
        <v>#N/A</v>
      </c>
      <c r="AH1521" s="1066" t="e">
        <v>#VALUE!</v>
      </c>
      <c r="AI1521" s="1065" t="e">
        <f>TB_curr[[#This Row],[Synt]]&amp;TB_curr[[#This Row],[Line No. manual corr.]]</f>
        <v>#VALUE!</v>
      </c>
      <c r="AJ1521" s="1064">
        <f t="shared" si="116"/>
        <v>0</v>
      </c>
      <c r="AK1521" s="1064">
        <f t="shared" si="117"/>
        <v>0</v>
      </c>
      <c r="AL1521" s="1064">
        <f t="shared" si="118"/>
        <v>0</v>
      </c>
      <c r="AM1521" s="1064">
        <f t="shared" si="119"/>
        <v>0</v>
      </c>
      <c r="AN1521" s="1064"/>
      <c r="AO1521" s="1064">
        <f>TB_curr[[#This Row],[Closing balance]]+TB_curr[[#This Row],[Rounding]]</f>
        <v>0</v>
      </c>
    </row>
    <row r="1522" spans="30:41" x14ac:dyDescent="0.25">
      <c r="AD1522" s="1067" t="str">
        <f t="shared" si="115"/>
        <v/>
      </c>
      <c r="AE1522" s="1063" t="str">
        <f>IF(ISNA(VLOOKUP(TB_curr[[#This Row],[Synt]],GL[[#Headers],[#Data],[subtotal label]],1,FALSE)),0,(VLOOKUP(TB_curr[[#This Row],[Synt]],GL[[#Headers],[#Data],[subtotal label]],1,FALSE)))</f>
        <v/>
      </c>
      <c r="AF1522" s="1063" t="e">
        <f>IF((TB_curr[[#This Row],[Synt]]-TB_curr[[#This Row],[Subtotal Y/N]])=0,0,VLOOKUP(TB_curr[[#This Row],[Synt]],GL[[Account]:[Line]],3,FALSE))</f>
        <v>#VALUE!</v>
      </c>
      <c r="AG1522" s="1063" t="e">
        <f>VLOOKUP(TB_curr[[#This Row],[Synt]],GL[[Account]:[B/P]],4,FALSE)</f>
        <v>#N/A</v>
      </c>
      <c r="AH1522" s="1066" t="e">
        <v>#VALUE!</v>
      </c>
      <c r="AI1522" s="1065" t="e">
        <f>TB_curr[[#This Row],[Synt]]&amp;TB_curr[[#This Row],[Line No. manual corr.]]</f>
        <v>#VALUE!</v>
      </c>
      <c r="AJ1522" s="1064">
        <f t="shared" si="116"/>
        <v>0</v>
      </c>
      <c r="AK1522" s="1064">
        <f t="shared" si="117"/>
        <v>0</v>
      </c>
      <c r="AL1522" s="1064">
        <f t="shared" si="118"/>
        <v>0</v>
      </c>
      <c r="AM1522" s="1064">
        <f t="shared" si="119"/>
        <v>0</v>
      </c>
      <c r="AN1522" s="1064"/>
      <c r="AO1522" s="1064">
        <f>TB_curr[[#This Row],[Closing balance]]+TB_curr[[#This Row],[Rounding]]</f>
        <v>0</v>
      </c>
    </row>
    <row r="1523" spans="30:41" x14ac:dyDescent="0.25">
      <c r="AD1523" s="1067" t="str">
        <f t="shared" si="115"/>
        <v/>
      </c>
      <c r="AE1523" s="1063" t="str">
        <f>IF(ISNA(VLOOKUP(TB_curr[[#This Row],[Synt]],GL[[#Headers],[#Data],[subtotal label]],1,FALSE)),0,(VLOOKUP(TB_curr[[#This Row],[Synt]],GL[[#Headers],[#Data],[subtotal label]],1,FALSE)))</f>
        <v/>
      </c>
      <c r="AF1523" s="1063" t="e">
        <f>IF((TB_curr[[#This Row],[Synt]]-TB_curr[[#This Row],[Subtotal Y/N]])=0,0,VLOOKUP(TB_curr[[#This Row],[Synt]],GL[[Account]:[Line]],3,FALSE))</f>
        <v>#VALUE!</v>
      </c>
      <c r="AG1523" s="1063" t="e">
        <f>VLOOKUP(TB_curr[[#This Row],[Synt]],GL[[Account]:[B/P]],4,FALSE)</f>
        <v>#N/A</v>
      </c>
      <c r="AH1523" s="1066" t="e">
        <v>#VALUE!</v>
      </c>
      <c r="AI1523" s="1065" t="e">
        <f>TB_curr[[#This Row],[Synt]]&amp;TB_curr[[#This Row],[Line No. manual corr.]]</f>
        <v>#VALUE!</v>
      </c>
      <c r="AJ1523" s="1064">
        <f t="shared" si="116"/>
        <v>0</v>
      </c>
      <c r="AK1523" s="1064">
        <f t="shared" si="117"/>
        <v>0</v>
      </c>
      <c r="AL1523" s="1064">
        <f t="shared" si="118"/>
        <v>0</v>
      </c>
      <c r="AM1523" s="1064">
        <f t="shared" si="119"/>
        <v>0</v>
      </c>
      <c r="AN1523" s="1064"/>
      <c r="AO1523" s="1064">
        <f>TB_curr[[#This Row],[Closing balance]]+TB_curr[[#This Row],[Rounding]]</f>
        <v>0</v>
      </c>
    </row>
    <row r="1524" spans="30:41" x14ac:dyDescent="0.25">
      <c r="AD1524" s="1067" t="str">
        <f t="shared" si="115"/>
        <v/>
      </c>
      <c r="AE1524" s="1063" t="str">
        <f>IF(ISNA(VLOOKUP(TB_curr[[#This Row],[Synt]],GL[[#Headers],[#Data],[subtotal label]],1,FALSE)),0,(VLOOKUP(TB_curr[[#This Row],[Synt]],GL[[#Headers],[#Data],[subtotal label]],1,FALSE)))</f>
        <v/>
      </c>
      <c r="AF1524" s="1063" t="e">
        <f>IF((TB_curr[[#This Row],[Synt]]-TB_curr[[#This Row],[Subtotal Y/N]])=0,0,VLOOKUP(TB_curr[[#This Row],[Synt]],GL[[Account]:[Line]],3,FALSE))</f>
        <v>#VALUE!</v>
      </c>
      <c r="AG1524" s="1063" t="e">
        <f>VLOOKUP(TB_curr[[#This Row],[Synt]],GL[[Account]:[B/P]],4,FALSE)</f>
        <v>#N/A</v>
      </c>
      <c r="AH1524" s="1066" t="e">
        <v>#VALUE!</v>
      </c>
      <c r="AI1524" s="1065" t="e">
        <f>TB_curr[[#This Row],[Synt]]&amp;TB_curr[[#This Row],[Line No. manual corr.]]</f>
        <v>#VALUE!</v>
      </c>
      <c r="AJ1524" s="1064">
        <f t="shared" si="116"/>
        <v>0</v>
      </c>
      <c r="AK1524" s="1064">
        <f t="shared" si="117"/>
        <v>0</v>
      </c>
      <c r="AL1524" s="1064">
        <f t="shared" si="118"/>
        <v>0</v>
      </c>
      <c r="AM1524" s="1064">
        <f t="shared" si="119"/>
        <v>0</v>
      </c>
      <c r="AN1524" s="1064"/>
      <c r="AO1524" s="1064">
        <f>TB_curr[[#This Row],[Closing balance]]+TB_curr[[#This Row],[Rounding]]</f>
        <v>0</v>
      </c>
    </row>
    <row r="1525" spans="30:41" x14ac:dyDescent="0.25">
      <c r="AD1525" s="1067" t="str">
        <f t="shared" si="115"/>
        <v/>
      </c>
      <c r="AE1525" s="1063" t="str">
        <f>IF(ISNA(VLOOKUP(TB_curr[[#This Row],[Synt]],GL[[#Headers],[#Data],[subtotal label]],1,FALSE)),0,(VLOOKUP(TB_curr[[#This Row],[Synt]],GL[[#Headers],[#Data],[subtotal label]],1,FALSE)))</f>
        <v/>
      </c>
      <c r="AF1525" s="1063" t="e">
        <f>IF((TB_curr[[#This Row],[Synt]]-TB_curr[[#This Row],[Subtotal Y/N]])=0,0,VLOOKUP(TB_curr[[#This Row],[Synt]],GL[[Account]:[Line]],3,FALSE))</f>
        <v>#VALUE!</v>
      </c>
      <c r="AG1525" s="1063" t="e">
        <f>VLOOKUP(TB_curr[[#This Row],[Synt]],GL[[Account]:[B/P]],4,FALSE)</f>
        <v>#N/A</v>
      </c>
      <c r="AH1525" s="1066" t="e">
        <v>#VALUE!</v>
      </c>
      <c r="AI1525" s="1065" t="e">
        <f>TB_curr[[#This Row],[Synt]]&amp;TB_curr[[#This Row],[Line No. manual corr.]]</f>
        <v>#VALUE!</v>
      </c>
      <c r="AJ1525" s="1064">
        <f t="shared" si="116"/>
        <v>0</v>
      </c>
      <c r="AK1525" s="1064">
        <f t="shared" si="117"/>
        <v>0</v>
      </c>
      <c r="AL1525" s="1064">
        <f t="shared" si="118"/>
        <v>0</v>
      </c>
      <c r="AM1525" s="1064">
        <f t="shared" si="119"/>
        <v>0</v>
      </c>
      <c r="AN1525" s="1064"/>
      <c r="AO1525" s="1064">
        <f>TB_curr[[#This Row],[Closing balance]]+TB_curr[[#This Row],[Rounding]]</f>
        <v>0</v>
      </c>
    </row>
    <row r="1526" spans="30:41" x14ac:dyDescent="0.25">
      <c r="AD1526" s="1067" t="str">
        <f t="shared" si="115"/>
        <v/>
      </c>
      <c r="AE1526" s="1063" t="str">
        <f>IF(ISNA(VLOOKUP(TB_curr[[#This Row],[Synt]],GL[[#Headers],[#Data],[subtotal label]],1,FALSE)),0,(VLOOKUP(TB_curr[[#This Row],[Synt]],GL[[#Headers],[#Data],[subtotal label]],1,FALSE)))</f>
        <v/>
      </c>
      <c r="AF1526" s="1063" t="e">
        <f>IF((TB_curr[[#This Row],[Synt]]-TB_curr[[#This Row],[Subtotal Y/N]])=0,0,VLOOKUP(TB_curr[[#This Row],[Synt]],GL[[Account]:[Line]],3,FALSE))</f>
        <v>#VALUE!</v>
      </c>
      <c r="AG1526" s="1063" t="e">
        <f>VLOOKUP(TB_curr[[#This Row],[Synt]],GL[[Account]:[B/P]],4,FALSE)</f>
        <v>#N/A</v>
      </c>
      <c r="AH1526" s="1066" t="e">
        <v>#VALUE!</v>
      </c>
      <c r="AI1526" s="1065" t="e">
        <f>TB_curr[[#This Row],[Synt]]&amp;TB_curr[[#This Row],[Line No. manual corr.]]</f>
        <v>#VALUE!</v>
      </c>
      <c r="AJ1526" s="1064">
        <f t="shared" si="116"/>
        <v>0</v>
      </c>
      <c r="AK1526" s="1064">
        <f t="shared" si="117"/>
        <v>0</v>
      </c>
      <c r="AL1526" s="1064">
        <f t="shared" si="118"/>
        <v>0</v>
      </c>
      <c r="AM1526" s="1064">
        <f t="shared" si="119"/>
        <v>0</v>
      </c>
      <c r="AN1526" s="1064"/>
      <c r="AO1526" s="1064">
        <f>TB_curr[[#This Row],[Closing balance]]+TB_curr[[#This Row],[Rounding]]</f>
        <v>0</v>
      </c>
    </row>
    <row r="1527" spans="30:41" x14ac:dyDescent="0.25">
      <c r="AD1527" s="1067" t="str">
        <f t="shared" si="115"/>
        <v/>
      </c>
      <c r="AE1527" s="1063" t="str">
        <f>IF(ISNA(VLOOKUP(TB_curr[[#This Row],[Synt]],GL[[#Headers],[#Data],[subtotal label]],1,FALSE)),0,(VLOOKUP(TB_curr[[#This Row],[Synt]],GL[[#Headers],[#Data],[subtotal label]],1,FALSE)))</f>
        <v/>
      </c>
      <c r="AF1527" s="1063" t="e">
        <f>IF((TB_curr[[#This Row],[Synt]]-TB_curr[[#This Row],[Subtotal Y/N]])=0,0,VLOOKUP(TB_curr[[#This Row],[Synt]],GL[[Account]:[Line]],3,FALSE))</f>
        <v>#VALUE!</v>
      </c>
      <c r="AG1527" s="1063" t="e">
        <f>VLOOKUP(TB_curr[[#This Row],[Synt]],GL[[Account]:[B/P]],4,FALSE)</f>
        <v>#N/A</v>
      </c>
      <c r="AH1527" s="1066" t="e">
        <v>#VALUE!</v>
      </c>
      <c r="AI1527" s="1065" t="e">
        <f>TB_curr[[#This Row],[Synt]]&amp;TB_curr[[#This Row],[Line No. manual corr.]]</f>
        <v>#VALUE!</v>
      </c>
      <c r="AJ1527" s="1064">
        <f t="shared" si="116"/>
        <v>0</v>
      </c>
      <c r="AK1527" s="1064">
        <f t="shared" si="117"/>
        <v>0</v>
      </c>
      <c r="AL1527" s="1064">
        <f t="shared" si="118"/>
        <v>0</v>
      </c>
      <c r="AM1527" s="1064">
        <f t="shared" si="119"/>
        <v>0</v>
      </c>
      <c r="AN1527" s="1064"/>
      <c r="AO1527" s="1064">
        <f>TB_curr[[#This Row],[Closing balance]]+TB_curr[[#This Row],[Rounding]]</f>
        <v>0</v>
      </c>
    </row>
    <row r="1528" spans="30:41" x14ac:dyDescent="0.25">
      <c r="AD1528" s="1067" t="str">
        <f t="shared" si="115"/>
        <v/>
      </c>
      <c r="AE1528" s="1063" t="str">
        <f>IF(ISNA(VLOOKUP(TB_curr[[#This Row],[Synt]],GL[[#Headers],[#Data],[subtotal label]],1,FALSE)),0,(VLOOKUP(TB_curr[[#This Row],[Synt]],GL[[#Headers],[#Data],[subtotal label]],1,FALSE)))</f>
        <v/>
      </c>
      <c r="AF1528" s="1063" t="e">
        <f>IF((TB_curr[[#This Row],[Synt]]-TB_curr[[#This Row],[Subtotal Y/N]])=0,0,VLOOKUP(TB_curr[[#This Row],[Synt]],GL[[Account]:[Line]],3,FALSE))</f>
        <v>#VALUE!</v>
      </c>
      <c r="AG1528" s="1063" t="e">
        <f>VLOOKUP(TB_curr[[#This Row],[Synt]],GL[[Account]:[B/P]],4,FALSE)</f>
        <v>#N/A</v>
      </c>
      <c r="AH1528" s="1066" t="e">
        <v>#VALUE!</v>
      </c>
      <c r="AI1528" s="1065" t="e">
        <f>TB_curr[[#This Row],[Synt]]&amp;TB_curr[[#This Row],[Line No. manual corr.]]</f>
        <v>#VALUE!</v>
      </c>
      <c r="AJ1528" s="1064">
        <f t="shared" si="116"/>
        <v>0</v>
      </c>
      <c r="AK1528" s="1064">
        <f t="shared" si="117"/>
        <v>0</v>
      </c>
      <c r="AL1528" s="1064">
        <f t="shared" si="118"/>
        <v>0</v>
      </c>
      <c r="AM1528" s="1064">
        <f t="shared" si="119"/>
        <v>0</v>
      </c>
      <c r="AN1528" s="1064"/>
      <c r="AO1528" s="1064">
        <f>TB_curr[[#This Row],[Closing balance]]+TB_curr[[#This Row],[Rounding]]</f>
        <v>0</v>
      </c>
    </row>
    <row r="1529" spans="30:41" x14ac:dyDescent="0.25">
      <c r="AD1529" s="1067" t="str">
        <f t="shared" si="115"/>
        <v/>
      </c>
      <c r="AE1529" s="1063" t="str">
        <f>IF(ISNA(VLOOKUP(TB_curr[[#This Row],[Synt]],GL[[#Headers],[#Data],[subtotal label]],1,FALSE)),0,(VLOOKUP(TB_curr[[#This Row],[Synt]],GL[[#Headers],[#Data],[subtotal label]],1,FALSE)))</f>
        <v/>
      </c>
      <c r="AF1529" s="1063" t="e">
        <f>IF((TB_curr[[#This Row],[Synt]]-TB_curr[[#This Row],[Subtotal Y/N]])=0,0,VLOOKUP(TB_curr[[#This Row],[Synt]],GL[[Account]:[Line]],3,FALSE))</f>
        <v>#VALUE!</v>
      </c>
      <c r="AG1529" s="1063" t="e">
        <f>VLOOKUP(TB_curr[[#This Row],[Synt]],GL[[Account]:[B/P]],4,FALSE)</f>
        <v>#N/A</v>
      </c>
      <c r="AH1529" s="1066" t="e">
        <v>#VALUE!</v>
      </c>
      <c r="AI1529" s="1065" t="e">
        <f>TB_curr[[#This Row],[Synt]]&amp;TB_curr[[#This Row],[Line No. manual corr.]]</f>
        <v>#VALUE!</v>
      </c>
      <c r="AJ1529" s="1064">
        <f t="shared" si="116"/>
        <v>0</v>
      </c>
      <c r="AK1529" s="1064">
        <f t="shared" si="117"/>
        <v>0</v>
      </c>
      <c r="AL1529" s="1064">
        <f t="shared" si="118"/>
        <v>0</v>
      </c>
      <c r="AM1529" s="1064">
        <f t="shared" si="119"/>
        <v>0</v>
      </c>
      <c r="AN1529" s="1064"/>
      <c r="AO1529" s="1064">
        <f>TB_curr[[#This Row],[Closing balance]]+TB_curr[[#This Row],[Rounding]]</f>
        <v>0</v>
      </c>
    </row>
    <row r="1530" spans="30:41" x14ac:dyDescent="0.25">
      <c r="AD1530" s="1067" t="str">
        <f t="shared" si="115"/>
        <v/>
      </c>
      <c r="AE1530" s="1063" t="str">
        <f>IF(ISNA(VLOOKUP(TB_curr[[#This Row],[Synt]],GL[[#Headers],[#Data],[subtotal label]],1,FALSE)),0,(VLOOKUP(TB_curr[[#This Row],[Synt]],GL[[#Headers],[#Data],[subtotal label]],1,FALSE)))</f>
        <v/>
      </c>
      <c r="AF1530" s="1063" t="e">
        <f>IF((TB_curr[[#This Row],[Synt]]-TB_curr[[#This Row],[Subtotal Y/N]])=0,0,VLOOKUP(TB_curr[[#This Row],[Synt]],GL[[Account]:[Line]],3,FALSE))</f>
        <v>#VALUE!</v>
      </c>
      <c r="AG1530" s="1063" t="e">
        <f>VLOOKUP(TB_curr[[#This Row],[Synt]],GL[[Account]:[B/P]],4,FALSE)</f>
        <v>#N/A</v>
      </c>
      <c r="AH1530" s="1066" t="e">
        <v>#VALUE!</v>
      </c>
      <c r="AI1530" s="1065" t="e">
        <f>TB_curr[[#This Row],[Synt]]&amp;TB_curr[[#This Row],[Line No. manual corr.]]</f>
        <v>#VALUE!</v>
      </c>
      <c r="AJ1530" s="1064">
        <f t="shared" si="116"/>
        <v>0</v>
      </c>
      <c r="AK1530" s="1064">
        <f t="shared" si="117"/>
        <v>0</v>
      </c>
      <c r="AL1530" s="1064">
        <f t="shared" si="118"/>
        <v>0</v>
      </c>
      <c r="AM1530" s="1064">
        <f t="shared" si="119"/>
        <v>0</v>
      </c>
      <c r="AN1530" s="1064"/>
      <c r="AO1530" s="1064">
        <f>TB_curr[[#This Row],[Closing balance]]+TB_curr[[#This Row],[Rounding]]</f>
        <v>0</v>
      </c>
    </row>
    <row r="1531" spans="30:41" x14ac:dyDescent="0.25">
      <c r="AD1531" s="1067" t="str">
        <f t="shared" si="115"/>
        <v/>
      </c>
      <c r="AE1531" s="1063" t="str">
        <f>IF(ISNA(VLOOKUP(TB_curr[[#This Row],[Synt]],GL[[#Headers],[#Data],[subtotal label]],1,FALSE)),0,(VLOOKUP(TB_curr[[#This Row],[Synt]],GL[[#Headers],[#Data],[subtotal label]],1,FALSE)))</f>
        <v/>
      </c>
      <c r="AF1531" s="1063" t="e">
        <f>IF((TB_curr[[#This Row],[Synt]]-TB_curr[[#This Row],[Subtotal Y/N]])=0,0,VLOOKUP(TB_curr[[#This Row],[Synt]],GL[[Account]:[Line]],3,FALSE))</f>
        <v>#VALUE!</v>
      </c>
      <c r="AG1531" s="1063" t="e">
        <f>VLOOKUP(TB_curr[[#This Row],[Synt]],GL[[Account]:[B/P]],4,FALSE)</f>
        <v>#N/A</v>
      </c>
      <c r="AH1531" s="1066" t="e">
        <v>#VALUE!</v>
      </c>
      <c r="AI1531" s="1065" t="e">
        <f>TB_curr[[#This Row],[Synt]]&amp;TB_curr[[#This Row],[Line No. manual corr.]]</f>
        <v>#VALUE!</v>
      </c>
      <c r="AJ1531" s="1064">
        <f t="shared" si="116"/>
        <v>0</v>
      </c>
      <c r="AK1531" s="1064">
        <f t="shared" si="117"/>
        <v>0</v>
      </c>
      <c r="AL1531" s="1064">
        <f t="shared" si="118"/>
        <v>0</v>
      </c>
      <c r="AM1531" s="1064">
        <f t="shared" si="119"/>
        <v>0</v>
      </c>
      <c r="AN1531" s="1064"/>
      <c r="AO1531" s="1064">
        <f>TB_curr[[#This Row],[Closing balance]]+TB_curr[[#This Row],[Rounding]]</f>
        <v>0</v>
      </c>
    </row>
    <row r="1532" spans="30:41" x14ac:dyDescent="0.25">
      <c r="AD1532" s="1067" t="str">
        <f t="shared" si="115"/>
        <v/>
      </c>
      <c r="AE1532" s="1063" t="str">
        <f>IF(ISNA(VLOOKUP(TB_curr[[#This Row],[Synt]],GL[[#Headers],[#Data],[subtotal label]],1,FALSE)),0,(VLOOKUP(TB_curr[[#This Row],[Synt]],GL[[#Headers],[#Data],[subtotal label]],1,FALSE)))</f>
        <v/>
      </c>
      <c r="AF1532" s="1063" t="e">
        <f>IF((TB_curr[[#This Row],[Synt]]-TB_curr[[#This Row],[Subtotal Y/N]])=0,0,VLOOKUP(TB_curr[[#This Row],[Synt]],GL[[Account]:[Line]],3,FALSE))</f>
        <v>#VALUE!</v>
      </c>
      <c r="AG1532" s="1063" t="e">
        <f>VLOOKUP(TB_curr[[#This Row],[Synt]],GL[[Account]:[B/P]],4,FALSE)</f>
        <v>#N/A</v>
      </c>
      <c r="AH1532" s="1066" t="e">
        <v>#VALUE!</v>
      </c>
      <c r="AI1532" s="1065" t="e">
        <f>TB_curr[[#This Row],[Synt]]&amp;TB_curr[[#This Row],[Line No. manual corr.]]</f>
        <v>#VALUE!</v>
      </c>
      <c r="AJ1532" s="1064">
        <f t="shared" si="116"/>
        <v>0</v>
      </c>
      <c r="AK1532" s="1064">
        <f t="shared" si="117"/>
        <v>0</v>
      </c>
      <c r="AL1532" s="1064">
        <f t="shared" si="118"/>
        <v>0</v>
      </c>
      <c r="AM1532" s="1064">
        <f t="shared" si="119"/>
        <v>0</v>
      </c>
      <c r="AN1532" s="1064"/>
      <c r="AO1532" s="1064">
        <f>TB_curr[[#This Row],[Closing balance]]+TB_curr[[#This Row],[Rounding]]</f>
        <v>0</v>
      </c>
    </row>
    <row r="1533" spans="30:41" x14ac:dyDescent="0.25">
      <c r="AD1533" s="1067" t="str">
        <f t="shared" si="115"/>
        <v/>
      </c>
      <c r="AE1533" s="1063" t="str">
        <f>IF(ISNA(VLOOKUP(TB_curr[[#This Row],[Synt]],GL[[#Headers],[#Data],[subtotal label]],1,FALSE)),0,(VLOOKUP(TB_curr[[#This Row],[Synt]],GL[[#Headers],[#Data],[subtotal label]],1,FALSE)))</f>
        <v/>
      </c>
      <c r="AF1533" s="1063" t="e">
        <f>IF((TB_curr[[#This Row],[Synt]]-TB_curr[[#This Row],[Subtotal Y/N]])=0,0,VLOOKUP(TB_curr[[#This Row],[Synt]],GL[[Account]:[Line]],3,FALSE))</f>
        <v>#VALUE!</v>
      </c>
      <c r="AG1533" s="1063" t="e">
        <f>VLOOKUP(TB_curr[[#This Row],[Synt]],GL[[Account]:[B/P]],4,FALSE)</f>
        <v>#N/A</v>
      </c>
      <c r="AH1533" s="1066" t="e">
        <v>#VALUE!</v>
      </c>
      <c r="AI1533" s="1065" t="e">
        <f>TB_curr[[#This Row],[Synt]]&amp;TB_curr[[#This Row],[Line No. manual corr.]]</f>
        <v>#VALUE!</v>
      </c>
      <c r="AJ1533" s="1064">
        <f t="shared" si="116"/>
        <v>0</v>
      </c>
      <c r="AK1533" s="1064">
        <f t="shared" si="117"/>
        <v>0</v>
      </c>
      <c r="AL1533" s="1064">
        <f t="shared" si="118"/>
        <v>0</v>
      </c>
      <c r="AM1533" s="1064">
        <f t="shared" si="119"/>
        <v>0</v>
      </c>
      <c r="AN1533" s="1064"/>
      <c r="AO1533" s="1064">
        <f>TB_curr[[#This Row],[Closing balance]]+TB_curr[[#This Row],[Rounding]]</f>
        <v>0</v>
      </c>
    </row>
    <row r="1534" spans="30:41" x14ac:dyDescent="0.25">
      <c r="AD1534" s="1067" t="str">
        <f t="shared" si="115"/>
        <v/>
      </c>
      <c r="AE1534" s="1063" t="str">
        <f>IF(ISNA(VLOOKUP(TB_curr[[#This Row],[Synt]],GL[[#Headers],[#Data],[subtotal label]],1,FALSE)),0,(VLOOKUP(TB_curr[[#This Row],[Synt]],GL[[#Headers],[#Data],[subtotal label]],1,FALSE)))</f>
        <v/>
      </c>
      <c r="AF1534" s="1063" t="e">
        <f>IF((TB_curr[[#This Row],[Synt]]-TB_curr[[#This Row],[Subtotal Y/N]])=0,0,VLOOKUP(TB_curr[[#This Row],[Synt]],GL[[Account]:[Line]],3,FALSE))</f>
        <v>#VALUE!</v>
      </c>
      <c r="AG1534" s="1063" t="e">
        <f>VLOOKUP(TB_curr[[#This Row],[Synt]],GL[[Account]:[B/P]],4,FALSE)</f>
        <v>#N/A</v>
      </c>
      <c r="AH1534" s="1066" t="e">
        <v>#VALUE!</v>
      </c>
      <c r="AI1534" s="1065" t="e">
        <f>TB_curr[[#This Row],[Synt]]&amp;TB_curr[[#This Row],[Line No. manual corr.]]</f>
        <v>#VALUE!</v>
      </c>
      <c r="AJ1534" s="1064">
        <f t="shared" si="116"/>
        <v>0</v>
      </c>
      <c r="AK1534" s="1064">
        <f t="shared" si="117"/>
        <v>0</v>
      </c>
      <c r="AL1534" s="1064">
        <f t="shared" si="118"/>
        <v>0</v>
      </c>
      <c r="AM1534" s="1064">
        <f t="shared" si="119"/>
        <v>0</v>
      </c>
      <c r="AN1534" s="1064"/>
      <c r="AO1534" s="1064">
        <f>TB_curr[[#This Row],[Closing balance]]+TB_curr[[#This Row],[Rounding]]</f>
        <v>0</v>
      </c>
    </row>
    <row r="1535" spans="30:41" x14ac:dyDescent="0.25">
      <c r="AD1535" s="1067" t="str">
        <f t="shared" si="115"/>
        <v/>
      </c>
      <c r="AE1535" s="1063" t="str">
        <f>IF(ISNA(VLOOKUP(TB_curr[[#This Row],[Synt]],GL[[#Headers],[#Data],[subtotal label]],1,FALSE)),0,(VLOOKUP(TB_curr[[#This Row],[Synt]],GL[[#Headers],[#Data],[subtotal label]],1,FALSE)))</f>
        <v/>
      </c>
      <c r="AF1535" s="1063" t="e">
        <f>IF((TB_curr[[#This Row],[Synt]]-TB_curr[[#This Row],[Subtotal Y/N]])=0,0,VLOOKUP(TB_curr[[#This Row],[Synt]],GL[[Account]:[Line]],3,FALSE))</f>
        <v>#VALUE!</v>
      </c>
      <c r="AG1535" s="1063" t="e">
        <f>VLOOKUP(TB_curr[[#This Row],[Synt]],GL[[Account]:[B/P]],4,FALSE)</f>
        <v>#N/A</v>
      </c>
      <c r="AH1535" s="1066" t="e">
        <v>#VALUE!</v>
      </c>
      <c r="AI1535" s="1065" t="e">
        <f>TB_curr[[#This Row],[Synt]]&amp;TB_curr[[#This Row],[Line No. manual corr.]]</f>
        <v>#VALUE!</v>
      </c>
      <c r="AJ1535" s="1064">
        <f t="shared" si="116"/>
        <v>0</v>
      </c>
      <c r="AK1535" s="1064">
        <f t="shared" si="117"/>
        <v>0</v>
      </c>
      <c r="AL1535" s="1064">
        <f t="shared" si="118"/>
        <v>0</v>
      </c>
      <c r="AM1535" s="1064">
        <f t="shared" si="119"/>
        <v>0</v>
      </c>
      <c r="AN1535" s="1064"/>
      <c r="AO1535" s="1064">
        <f>TB_curr[[#This Row],[Closing balance]]+TB_curr[[#This Row],[Rounding]]</f>
        <v>0</v>
      </c>
    </row>
    <row r="1536" spans="30:41" x14ac:dyDescent="0.25">
      <c r="AD1536" s="1067" t="str">
        <f t="shared" si="115"/>
        <v/>
      </c>
      <c r="AE1536" s="1063" t="str">
        <f>IF(ISNA(VLOOKUP(TB_curr[[#This Row],[Synt]],GL[[#Headers],[#Data],[subtotal label]],1,FALSE)),0,(VLOOKUP(TB_curr[[#This Row],[Synt]],GL[[#Headers],[#Data],[subtotal label]],1,FALSE)))</f>
        <v/>
      </c>
      <c r="AF1536" s="1063" t="e">
        <f>IF((TB_curr[[#This Row],[Synt]]-TB_curr[[#This Row],[Subtotal Y/N]])=0,0,VLOOKUP(TB_curr[[#This Row],[Synt]],GL[[Account]:[Line]],3,FALSE))</f>
        <v>#VALUE!</v>
      </c>
      <c r="AG1536" s="1063" t="e">
        <f>VLOOKUP(TB_curr[[#This Row],[Synt]],GL[[Account]:[B/P]],4,FALSE)</f>
        <v>#N/A</v>
      </c>
      <c r="AH1536" s="1066" t="e">
        <v>#VALUE!</v>
      </c>
      <c r="AI1536" s="1065" t="e">
        <f>TB_curr[[#This Row],[Synt]]&amp;TB_curr[[#This Row],[Line No. manual corr.]]</f>
        <v>#VALUE!</v>
      </c>
      <c r="AJ1536" s="1064">
        <f t="shared" si="116"/>
        <v>0</v>
      </c>
      <c r="AK1536" s="1064">
        <f t="shared" si="117"/>
        <v>0</v>
      </c>
      <c r="AL1536" s="1064">
        <f t="shared" si="118"/>
        <v>0</v>
      </c>
      <c r="AM1536" s="1064">
        <f t="shared" si="119"/>
        <v>0</v>
      </c>
      <c r="AN1536" s="1064"/>
      <c r="AO1536" s="1064">
        <f>TB_curr[[#This Row],[Closing balance]]+TB_curr[[#This Row],[Rounding]]</f>
        <v>0</v>
      </c>
    </row>
    <row r="1537" spans="30:41" x14ac:dyDescent="0.25">
      <c r="AD1537" s="1067" t="str">
        <f t="shared" si="115"/>
        <v/>
      </c>
      <c r="AE1537" s="1063" t="str">
        <f>IF(ISNA(VLOOKUP(TB_curr[[#This Row],[Synt]],GL[[#Headers],[#Data],[subtotal label]],1,FALSE)),0,(VLOOKUP(TB_curr[[#This Row],[Synt]],GL[[#Headers],[#Data],[subtotal label]],1,FALSE)))</f>
        <v/>
      </c>
      <c r="AF1537" s="1063" t="e">
        <f>IF((TB_curr[[#This Row],[Synt]]-TB_curr[[#This Row],[Subtotal Y/N]])=0,0,VLOOKUP(TB_curr[[#This Row],[Synt]],GL[[Account]:[Line]],3,FALSE))</f>
        <v>#VALUE!</v>
      </c>
      <c r="AG1537" s="1063" t="e">
        <f>VLOOKUP(TB_curr[[#This Row],[Synt]],GL[[Account]:[B/P]],4,FALSE)</f>
        <v>#N/A</v>
      </c>
      <c r="AH1537" s="1066" t="e">
        <v>#VALUE!</v>
      </c>
      <c r="AI1537" s="1065" t="e">
        <f>TB_curr[[#This Row],[Synt]]&amp;TB_curr[[#This Row],[Line No. manual corr.]]</f>
        <v>#VALUE!</v>
      </c>
      <c r="AJ1537" s="1064">
        <f t="shared" si="116"/>
        <v>0</v>
      </c>
      <c r="AK1537" s="1064">
        <f t="shared" si="117"/>
        <v>0</v>
      </c>
      <c r="AL1537" s="1064">
        <f t="shared" si="118"/>
        <v>0</v>
      </c>
      <c r="AM1537" s="1064">
        <f t="shared" si="119"/>
        <v>0</v>
      </c>
      <c r="AN1537" s="1064"/>
      <c r="AO1537" s="1064">
        <f>TB_curr[[#This Row],[Closing balance]]+TB_curr[[#This Row],[Rounding]]</f>
        <v>0</v>
      </c>
    </row>
    <row r="1538" spans="30:41" x14ac:dyDescent="0.25">
      <c r="AD1538" s="1067" t="str">
        <f t="shared" si="115"/>
        <v/>
      </c>
      <c r="AE1538" s="1063" t="str">
        <f>IF(ISNA(VLOOKUP(TB_curr[[#This Row],[Synt]],GL[[#Headers],[#Data],[subtotal label]],1,FALSE)),0,(VLOOKUP(TB_curr[[#This Row],[Synt]],GL[[#Headers],[#Data],[subtotal label]],1,FALSE)))</f>
        <v/>
      </c>
      <c r="AF1538" s="1063" t="e">
        <f>IF((TB_curr[[#This Row],[Synt]]-TB_curr[[#This Row],[Subtotal Y/N]])=0,0,VLOOKUP(TB_curr[[#This Row],[Synt]],GL[[Account]:[Line]],3,FALSE))</f>
        <v>#VALUE!</v>
      </c>
      <c r="AG1538" s="1063" t="e">
        <f>VLOOKUP(TB_curr[[#This Row],[Synt]],GL[[Account]:[B/P]],4,FALSE)</f>
        <v>#N/A</v>
      </c>
      <c r="AH1538" s="1066" t="e">
        <v>#VALUE!</v>
      </c>
      <c r="AI1538" s="1065" t="e">
        <f>TB_curr[[#This Row],[Synt]]&amp;TB_curr[[#This Row],[Line No. manual corr.]]</f>
        <v>#VALUE!</v>
      </c>
      <c r="AJ1538" s="1064">
        <f t="shared" si="116"/>
        <v>0</v>
      </c>
      <c r="AK1538" s="1064">
        <f t="shared" si="117"/>
        <v>0</v>
      </c>
      <c r="AL1538" s="1064">
        <f t="shared" si="118"/>
        <v>0</v>
      </c>
      <c r="AM1538" s="1064">
        <f t="shared" si="119"/>
        <v>0</v>
      </c>
      <c r="AN1538" s="1064"/>
      <c r="AO1538" s="1064">
        <f>TB_curr[[#This Row],[Closing balance]]+TB_curr[[#This Row],[Rounding]]</f>
        <v>0</v>
      </c>
    </row>
    <row r="1539" spans="30:41" x14ac:dyDescent="0.25">
      <c r="AD1539" s="1067" t="str">
        <f t="shared" si="115"/>
        <v/>
      </c>
      <c r="AE1539" s="1063" t="str">
        <f>IF(ISNA(VLOOKUP(TB_curr[[#This Row],[Synt]],GL[[#Headers],[#Data],[subtotal label]],1,FALSE)),0,(VLOOKUP(TB_curr[[#This Row],[Synt]],GL[[#Headers],[#Data],[subtotal label]],1,FALSE)))</f>
        <v/>
      </c>
      <c r="AF1539" s="1063" t="e">
        <f>IF((TB_curr[[#This Row],[Synt]]-TB_curr[[#This Row],[Subtotal Y/N]])=0,0,VLOOKUP(TB_curr[[#This Row],[Synt]],GL[[Account]:[Line]],3,FALSE))</f>
        <v>#VALUE!</v>
      </c>
      <c r="AG1539" s="1063" t="e">
        <f>VLOOKUP(TB_curr[[#This Row],[Synt]],GL[[Account]:[B/P]],4,FALSE)</f>
        <v>#N/A</v>
      </c>
      <c r="AH1539" s="1066" t="e">
        <v>#VALUE!</v>
      </c>
      <c r="AI1539" s="1065" t="e">
        <f>TB_curr[[#This Row],[Synt]]&amp;TB_curr[[#This Row],[Line No. manual corr.]]</f>
        <v>#VALUE!</v>
      </c>
      <c r="AJ1539" s="1064">
        <f t="shared" si="116"/>
        <v>0</v>
      </c>
      <c r="AK1539" s="1064">
        <f t="shared" si="117"/>
        <v>0</v>
      </c>
      <c r="AL1539" s="1064">
        <f t="shared" si="118"/>
        <v>0</v>
      </c>
      <c r="AM1539" s="1064">
        <f t="shared" si="119"/>
        <v>0</v>
      </c>
      <c r="AN1539" s="1064"/>
      <c r="AO1539" s="1064">
        <f>TB_curr[[#This Row],[Closing balance]]+TB_curr[[#This Row],[Rounding]]</f>
        <v>0</v>
      </c>
    </row>
    <row r="1540" spans="30:41" x14ac:dyDescent="0.25">
      <c r="AD1540" s="1067" t="str">
        <f t="shared" si="115"/>
        <v/>
      </c>
      <c r="AE1540" s="1063" t="str">
        <f>IF(ISNA(VLOOKUP(TB_curr[[#This Row],[Synt]],GL[[#Headers],[#Data],[subtotal label]],1,FALSE)),0,(VLOOKUP(TB_curr[[#This Row],[Synt]],GL[[#Headers],[#Data],[subtotal label]],1,FALSE)))</f>
        <v/>
      </c>
      <c r="AF1540" s="1063" t="e">
        <f>IF((TB_curr[[#This Row],[Synt]]-TB_curr[[#This Row],[Subtotal Y/N]])=0,0,VLOOKUP(TB_curr[[#This Row],[Synt]],GL[[Account]:[Line]],3,FALSE))</f>
        <v>#VALUE!</v>
      </c>
      <c r="AG1540" s="1063" t="e">
        <f>VLOOKUP(TB_curr[[#This Row],[Synt]],GL[[Account]:[B/P]],4,FALSE)</f>
        <v>#N/A</v>
      </c>
      <c r="AH1540" s="1066" t="e">
        <v>#VALUE!</v>
      </c>
      <c r="AI1540" s="1065" t="e">
        <f>TB_curr[[#This Row],[Synt]]&amp;TB_curr[[#This Row],[Line No. manual corr.]]</f>
        <v>#VALUE!</v>
      </c>
      <c r="AJ1540" s="1064">
        <f t="shared" si="116"/>
        <v>0</v>
      </c>
      <c r="AK1540" s="1064">
        <f t="shared" si="117"/>
        <v>0</v>
      </c>
      <c r="AL1540" s="1064">
        <f t="shared" si="118"/>
        <v>0</v>
      </c>
      <c r="AM1540" s="1064">
        <f t="shared" si="119"/>
        <v>0</v>
      </c>
      <c r="AN1540" s="1064"/>
      <c r="AO1540" s="1064">
        <f>TB_curr[[#This Row],[Closing balance]]+TB_curr[[#This Row],[Rounding]]</f>
        <v>0</v>
      </c>
    </row>
    <row r="1541" spans="30:41" x14ac:dyDescent="0.25">
      <c r="AD1541" s="1067" t="str">
        <f t="shared" si="115"/>
        <v/>
      </c>
      <c r="AE1541" s="1063" t="str">
        <f>IF(ISNA(VLOOKUP(TB_curr[[#This Row],[Synt]],GL[[#Headers],[#Data],[subtotal label]],1,FALSE)),0,(VLOOKUP(TB_curr[[#This Row],[Synt]],GL[[#Headers],[#Data],[subtotal label]],1,FALSE)))</f>
        <v/>
      </c>
      <c r="AF1541" s="1063" t="e">
        <f>IF((TB_curr[[#This Row],[Synt]]-TB_curr[[#This Row],[Subtotal Y/N]])=0,0,VLOOKUP(TB_curr[[#This Row],[Synt]],GL[[Account]:[Line]],3,FALSE))</f>
        <v>#VALUE!</v>
      </c>
      <c r="AG1541" s="1063" t="e">
        <f>VLOOKUP(TB_curr[[#This Row],[Synt]],GL[[Account]:[B/P]],4,FALSE)</f>
        <v>#N/A</v>
      </c>
      <c r="AH1541" s="1066" t="e">
        <v>#VALUE!</v>
      </c>
      <c r="AI1541" s="1065" t="e">
        <f>TB_curr[[#This Row],[Synt]]&amp;TB_curr[[#This Row],[Line No. manual corr.]]</f>
        <v>#VALUE!</v>
      </c>
      <c r="AJ1541" s="1064">
        <f t="shared" si="116"/>
        <v>0</v>
      </c>
      <c r="AK1541" s="1064">
        <f t="shared" si="117"/>
        <v>0</v>
      </c>
      <c r="AL1541" s="1064">
        <f t="shared" si="118"/>
        <v>0</v>
      </c>
      <c r="AM1541" s="1064">
        <f t="shared" si="119"/>
        <v>0</v>
      </c>
      <c r="AN1541" s="1064"/>
      <c r="AO1541" s="1064">
        <f>TB_curr[[#This Row],[Closing balance]]+TB_curr[[#This Row],[Rounding]]</f>
        <v>0</v>
      </c>
    </row>
    <row r="1542" spans="30:41" x14ac:dyDescent="0.25">
      <c r="AD1542" s="1067" t="str">
        <f t="shared" si="115"/>
        <v/>
      </c>
      <c r="AE1542" s="1063" t="str">
        <f>IF(ISNA(VLOOKUP(TB_curr[[#This Row],[Synt]],GL[[#Headers],[#Data],[subtotal label]],1,FALSE)),0,(VLOOKUP(TB_curr[[#This Row],[Synt]],GL[[#Headers],[#Data],[subtotal label]],1,FALSE)))</f>
        <v/>
      </c>
      <c r="AF1542" s="1063" t="e">
        <f>IF((TB_curr[[#This Row],[Synt]]-TB_curr[[#This Row],[Subtotal Y/N]])=0,0,VLOOKUP(TB_curr[[#This Row],[Synt]],GL[[Account]:[Line]],3,FALSE))</f>
        <v>#VALUE!</v>
      </c>
      <c r="AG1542" s="1063" t="e">
        <f>VLOOKUP(TB_curr[[#This Row],[Synt]],GL[[Account]:[B/P]],4,FALSE)</f>
        <v>#N/A</v>
      </c>
      <c r="AH1542" s="1066" t="e">
        <v>#VALUE!</v>
      </c>
      <c r="AI1542" s="1065" t="e">
        <f>TB_curr[[#This Row],[Synt]]&amp;TB_curr[[#This Row],[Line No. manual corr.]]</f>
        <v>#VALUE!</v>
      </c>
      <c r="AJ1542" s="1064">
        <f t="shared" si="116"/>
        <v>0</v>
      </c>
      <c r="AK1542" s="1064">
        <f t="shared" si="117"/>
        <v>0</v>
      </c>
      <c r="AL1542" s="1064">
        <f t="shared" si="118"/>
        <v>0</v>
      </c>
      <c r="AM1542" s="1064">
        <f t="shared" si="119"/>
        <v>0</v>
      </c>
      <c r="AN1542" s="1064"/>
      <c r="AO1542" s="1064">
        <f>TB_curr[[#This Row],[Closing balance]]+TB_curr[[#This Row],[Rounding]]</f>
        <v>0</v>
      </c>
    </row>
    <row r="1543" spans="30:41" x14ac:dyDescent="0.25">
      <c r="AD1543" s="1067" t="str">
        <f t="shared" si="115"/>
        <v/>
      </c>
      <c r="AE1543" s="1063" t="str">
        <f>IF(ISNA(VLOOKUP(TB_curr[[#This Row],[Synt]],GL[[#Headers],[#Data],[subtotal label]],1,FALSE)),0,(VLOOKUP(TB_curr[[#This Row],[Synt]],GL[[#Headers],[#Data],[subtotal label]],1,FALSE)))</f>
        <v/>
      </c>
      <c r="AF1543" s="1063" t="e">
        <f>IF((TB_curr[[#This Row],[Synt]]-TB_curr[[#This Row],[Subtotal Y/N]])=0,0,VLOOKUP(TB_curr[[#This Row],[Synt]],GL[[Account]:[Line]],3,FALSE))</f>
        <v>#VALUE!</v>
      </c>
      <c r="AG1543" s="1063" t="e">
        <f>VLOOKUP(TB_curr[[#This Row],[Synt]],GL[[Account]:[B/P]],4,FALSE)</f>
        <v>#N/A</v>
      </c>
      <c r="AH1543" s="1066" t="e">
        <v>#VALUE!</v>
      </c>
      <c r="AI1543" s="1065" t="e">
        <f>TB_curr[[#This Row],[Synt]]&amp;TB_curr[[#This Row],[Line No. manual corr.]]</f>
        <v>#VALUE!</v>
      </c>
      <c r="AJ1543" s="1064">
        <f t="shared" si="116"/>
        <v>0</v>
      </c>
      <c r="AK1543" s="1064">
        <f t="shared" si="117"/>
        <v>0</v>
      </c>
      <c r="AL1543" s="1064">
        <f t="shared" si="118"/>
        <v>0</v>
      </c>
      <c r="AM1543" s="1064">
        <f t="shared" si="119"/>
        <v>0</v>
      </c>
      <c r="AN1543" s="1064"/>
      <c r="AO1543" s="1064">
        <f>TB_curr[[#This Row],[Closing balance]]+TB_curr[[#This Row],[Rounding]]</f>
        <v>0</v>
      </c>
    </row>
    <row r="1544" spans="30:41" x14ac:dyDescent="0.25">
      <c r="AD1544" s="1067" t="str">
        <f t="shared" ref="AD1544:AD1599" si="120">LEFT(B1544,3)</f>
        <v/>
      </c>
      <c r="AE1544" s="1063" t="str">
        <f>IF(ISNA(VLOOKUP(TB_curr[[#This Row],[Synt]],GL[[#Headers],[#Data],[subtotal label]],1,FALSE)),0,(VLOOKUP(TB_curr[[#This Row],[Synt]],GL[[#Headers],[#Data],[subtotal label]],1,FALSE)))</f>
        <v/>
      </c>
      <c r="AF1544" s="1063" t="e">
        <f>IF((TB_curr[[#This Row],[Synt]]-TB_curr[[#This Row],[Subtotal Y/N]])=0,0,VLOOKUP(TB_curr[[#This Row],[Synt]],GL[[Account]:[Line]],3,FALSE))</f>
        <v>#VALUE!</v>
      </c>
      <c r="AG1544" s="1063" t="e">
        <f>VLOOKUP(TB_curr[[#This Row],[Synt]],GL[[Account]:[B/P]],4,FALSE)</f>
        <v>#N/A</v>
      </c>
      <c r="AH1544" s="1066" t="e">
        <v>#VALUE!</v>
      </c>
      <c r="AI1544" s="1065" t="e">
        <f>TB_curr[[#This Row],[Synt]]&amp;TB_curr[[#This Row],[Line No. manual corr.]]</f>
        <v>#VALUE!</v>
      </c>
      <c r="AJ1544" s="1064">
        <f t="shared" ref="AJ1544:AJ1599" si="121">K1544-N1544</f>
        <v>0</v>
      </c>
      <c r="AK1544" s="1064">
        <f t="shared" ref="AK1544:AK1599" si="122">Q1544</f>
        <v>0</v>
      </c>
      <c r="AL1544" s="1064">
        <f t="shared" ref="AL1544:AL1599" si="123">U1544</f>
        <v>0</v>
      </c>
      <c r="AM1544" s="1064">
        <f t="shared" ref="AM1544:AM1599" si="124">X1544-AB1544</f>
        <v>0</v>
      </c>
      <c r="AN1544" s="1064"/>
      <c r="AO1544" s="1064">
        <f>TB_curr[[#This Row],[Closing balance]]+TB_curr[[#This Row],[Rounding]]</f>
        <v>0</v>
      </c>
    </row>
    <row r="1545" spans="30:41" x14ac:dyDescent="0.25">
      <c r="AD1545" s="1067" t="str">
        <f t="shared" si="120"/>
        <v/>
      </c>
      <c r="AE1545" s="1063" t="str">
        <f>IF(ISNA(VLOOKUP(TB_curr[[#This Row],[Synt]],GL[[#Headers],[#Data],[subtotal label]],1,FALSE)),0,(VLOOKUP(TB_curr[[#This Row],[Synt]],GL[[#Headers],[#Data],[subtotal label]],1,FALSE)))</f>
        <v/>
      </c>
      <c r="AF1545" s="1063" t="e">
        <f>IF((TB_curr[[#This Row],[Synt]]-TB_curr[[#This Row],[Subtotal Y/N]])=0,0,VLOOKUP(TB_curr[[#This Row],[Synt]],GL[[Account]:[Line]],3,FALSE))</f>
        <v>#VALUE!</v>
      </c>
      <c r="AG1545" s="1063" t="e">
        <f>VLOOKUP(TB_curr[[#This Row],[Synt]],GL[[Account]:[B/P]],4,FALSE)</f>
        <v>#N/A</v>
      </c>
      <c r="AH1545" s="1066" t="e">
        <v>#VALUE!</v>
      </c>
      <c r="AI1545" s="1065" t="e">
        <f>TB_curr[[#This Row],[Synt]]&amp;TB_curr[[#This Row],[Line No. manual corr.]]</f>
        <v>#VALUE!</v>
      </c>
      <c r="AJ1545" s="1064">
        <f t="shared" si="121"/>
        <v>0</v>
      </c>
      <c r="AK1545" s="1064">
        <f t="shared" si="122"/>
        <v>0</v>
      </c>
      <c r="AL1545" s="1064">
        <f t="shared" si="123"/>
        <v>0</v>
      </c>
      <c r="AM1545" s="1064">
        <f t="shared" si="124"/>
        <v>0</v>
      </c>
      <c r="AN1545" s="1064"/>
      <c r="AO1545" s="1064">
        <f>TB_curr[[#This Row],[Closing balance]]+TB_curr[[#This Row],[Rounding]]</f>
        <v>0</v>
      </c>
    </row>
    <row r="1546" spans="30:41" x14ac:dyDescent="0.25">
      <c r="AD1546" s="1067" t="str">
        <f t="shared" si="120"/>
        <v/>
      </c>
      <c r="AE1546" s="1063" t="str">
        <f>IF(ISNA(VLOOKUP(TB_curr[[#This Row],[Synt]],GL[[#Headers],[#Data],[subtotal label]],1,FALSE)),0,(VLOOKUP(TB_curr[[#This Row],[Synt]],GL[[#Headers],[#Data],[subtotal label]],1,FALSE)))</f>
        <v/>
      </c>
      <c r="AF1546" s="1063" t="e">
        <f>IF((TB_curr[[#This Row],[Synt]]-TB_curr[[#This Row],[Subtotal Y/N]])=0,0,VLOOKUP(TB_curr[[#This Row],[Synt]],GL[[Account]:[Line]],3,FALSE))</f>
        <v>#VALUE!</v>
      </c>
      <c r="AG1546" s="1063" t="e">
        <f>VLOOKUP(TB_curr[[#This Row],[Synt]],GL[[Account]:[B/P]],4,FALSE)</f>
        <v>#N/A</v>
      </c>
      <c r="AH1546" s="1066" t="e">
        <v>#VALUE!</v>
      </c>
      <c r="AI1546" s="1065" t="e">
        <f>TB_curr[[#This Row],[Synt]]&amp;TB_curr[[#This Row],[Line No. manual corr.]]</f>
        <v>#VALUE!</v>
      </c>
      <c r="AJ1546" s="1064">
        <f t="shared" si="121"/>
        <v>0</v>
      </c>
      <c r="AK1546" s="1064">
        <f t="shared" si="122"/>
        <v>0</v>
      </c>
      <c r="AL1546" s="1064">
        <f t="shared" si="123"/>
        <v>0</v>
      </c>
      <c r="AM1546" s="1064">
        <f t="shared" si="124"/>
        <v>0</v>
      </c>
      <c r="AN1546" s="1064"/>
      <c r="AO1546" s="1064">
        <f>TB_curr[[#This Row],[Closing balance]]+TB_curr[[#This Row],[Rounding]]</f>
        <v>0</v>
      </c>
    </row>
    <row r="1547" spans="30:41" x14ac:dyDescent="0.25">
      <c r="AD1547" s="1067" t="str">
        <f t="shared" si="120"/>
        <v/>
      </c>
      <c r="AE1547" s="1063" t="str">
        <f>IF(ISNA(VLOOKUP(TB_curr[[#This Row],[Synt]],GL[[#Headers],[#Data],[subtotal label]],1,FALSE)),0,(VLOOKUP(TB_curr[[#This Row],[Synt]],GL[[#Headers],[#Data],[subtotal label]],1,FALSE)))</f>
        <v/>
      </c>
      <c r="AF1547" s="1063" t="e">
        <f>IF((TB_curr[[#This Row],[Synt]]-TB_curr[[#This Row],[Subtotal Y/N]])=0,0,VLOOKUP(TB_curr[[#This Row],[Synt]],GL[[Account]:[Line]],3,FALSE))</f>
        <v>#VALUE!</v>
      </c>
      <c r="AG1547" s="1063" t="e">
        <f>VLOOKUP(TB_curr[[#This Row],[Synt]],GL[[Account]:[B/P]],4,FALSE)</f>
        <v>#N/A</v>
      </c>
      <c r="AH1547" s="1066" t="e">
        <v>#VALUE!</v>
      </c>
      <c r="AI1547" s="1065" t="e">
        <f>TB_curr[[#This Row],[Synt]]&amp;TB_curr[[#This Row],[Line No. manual corr.]]</f>
        <v>#VALUE!</v>
      </c>
      <c r="AJ1547" s="1064">
        <f t="shared" si="121"/>
        <v>0</v>
      </c>
      <c r="AK1547" s="1064">
        <f t="shared" si="122"/>
        <v>0</v>
      </c>
      <c r="AL1547" s="1064">
        <f t="shared" si="123"/>
        <v>0</v>
      </c>
      <c r="AM1547" s="1064">
        <f t="shared" si="124"/>
        <v>0</v>
      </c>
      <c r="AN1547" s="1064"/>
      <c r="AO1547" s="1064">
        <f>TB_curr[[#This Row],[Closing balance]]+TB_curr[[#This Row],[Rounding]]</f>
        <v>0</v>
      </c>
    </row>
    <row r="1548" spans="30:41" x14ac:dyDescent="0.25">
      <c r="AD1548" s="1067" t="str">
        <f t="shared" si="120"/>
        <v/>
      </c>
      <c r="AE1548" s="1063" t="str">
        <f>IF(ISNA(VLOOKUP(TB_curr[[#This Row],[Synt]],GL[[#Headers],[#Data],[subtotal label]],1,FALSE)),0,(VLOOKUP(TB_curr[[#This Row],[Synt]],GL[[#Headers],[#Data],[subtotal label]],1,FALSE)))</f>
        <v/>
      </c>
      <c r="AF1548" s="1063" t="e">
        <f>IF((TB_curr[[#This Row],[Synt]]-TB_curr[[#This Row],[Subtotal Y/N]])=0,0,VLOOKUP(TB_curr[[#This Row],[Synt]],GL[[Account]:[Line]],3,FALSE))</f>
        <v>#VALUE!</v>
      </c>
      <c r="AG1548" s="1063" t="e">
        <f>VLOOKUP(TB_curr[[#This Row],[Synt]],GL[[Account]:[B/P]],4,FALSE)</f>
        <v>#N/A</v>
      </c>
      <c r="AH1548" s="1066" t="e">
        <v>#VALUE!</v>
      </c>
      <c r="AI1548" s="1065" t="e">
        <f>TB_curr[[#This Row],[Synt]]&amp;TB_curr[[#This Row],[Line No. manual corr.]]</f>
        <v>#VALUE!</v>
      </c>
      <c r="AJ1548" s="1064">
        <f t="shared" si="121"/>
        <v>0</v>
      </c>
      <c r="AK1548" s="1064">
        <f t="shared" si="122"/>
        <v>0</v>
      </c>
      <c r="AL1548" s="1064">
        <f t="shared" si="123"/>
        <v>0</v>
      </c>
      <c r="AM1548" s="1064">
        <f t="shared" si="124"/>
        <v>0</v>
      </c>
      <c r="AN1548" s="1064"/>
      <c r="AO1548" s="1064">
        <f>TB_curr[[#This Row],[Closing balance]]+TB_curr[[#This Row],[Rounding]]</f>
        <v>0</v>
      </c>
    </row>
    <row r="1549" spans="30:41" x14ac:dyDescent="0.25">
      <c r="AD1549" s="1067" t="str">
        <f t="shared" si="120"/>
        <v/>
      </c>
      <c r="AE1549" s="1063" t="str">
        <f>IF(ISNA(VLOOKUP(TB_curr[[#This Row],[Synt]],GL[[#Headers],[#Data],[subtotal label]],1,FALSE)),0,(VLOOKUP(TB_curr[[#This Row],[Synt]],GL[[#Headers],[#Data],[subtotal label]],1,FALSE)))</f>
        <v/>
      </c>
      <c r="AF1549" s="1063" t="e">
        <f>IF((TB_curr[[#This Row],[Synt]]-TB_curr[[#This Row],[Subtotal Y/N]])=0,0,VLOOKUP(TB_curr[[#This Row],[Synt]],GL[[Account]:[Line]],3,FALSE))</f>
        <v>#VALUE!</v>
      </c>
      <c r="AG1549" s="1063" t="e">
        <f>VLOOKUP(TB_curr[[#This Row],[Synt]],GL[[Account]:[B/P]],4,FALSE)</f>
        <v>#N/A</v>
      </c>
      <c r="AH1549" s="1066" t="e">
        <v>#VALUE!</v>
      </c>
      <c r="AI1549" s="1065" t="e">
        <f>TB_curr[[#This Row],[Synt]]&amp;TB_curr[[#This Row],[Line No. manual corr.]]</f>
        <v>#VALUE!</v>
      </c>
      <c r="AJ1549" s="1064">
        <f t="shared" si="121"/>
        <v>0</v>
      </c>
      <c r="AK1549" s="1064">
        <f t="shared" si="122"/>
        <v>0</v>
      </c>
      <c r="AL1549" s="1064">
        <f t="shared" si="123"/>
        <v>0</v>
      </c>
      <c r="AM1549" s="1064">
        <f t="shared" si="124"/>
        <v>0</v>
      </c>
      <c r="AN1549" s="1064"/>
      <c r="AO1549" s="1064">
        <f>TB_curr[[#This Row],[Closing balance]]+TB_curr[[#This Row],[Rounding]]</f>
        <v>0</v>
      </c>
    </row>
    <row r="1550" spans="30:41" x14ac:dyDescent="0.25">
      <c r="AD1550" s="1067" t="str">
        <f t="shared" si="120"/>
        <v/>
      </c>
      <c r="AE1550" s="1063" t="str">
        <f>IF(ISNA(VLOOKUP(TB_curr[[#This Row],[Synt]],GL[[#Headers],[#Data],[subtotal label]],1,FALSE)),0,(VLOOKUP(TB_curr[[#This Row],[Synt]],GL[[#Headers],[#Data],[subtotal label]],1,FALSE)))</f>
        <v/>
      </c>
      <c r="AF1550" s="1063" t="e">
        <f>IF((TB_curr[[#This Row],[Synt]]-TB_curr[[#This Row],[Subtotal Y/N]])=0,0,VLOOKUP(TB_curr[[#This Row],[Synt]],GL[[Account]:[Line]],3,FALSE))</f>
        <v>#VALUE!</v>
      </c>
      <c r="AG1550" s="1063" t="e">
        <f>VLOOKUP(TB_curr[[#This Row],[Synt]],GL[[Account]:[B/P]],4,FALSE)</f>
        <v>#N/A</v>
      </c>
      <c r="AH1550" s="1066" t="e">
        <v>#VALUE!</v>
      </c>
      <c r="AI1550" s="1065" t="e">
        <f>TB_curr[[#This Row],[Synt]]&amp;TB_curr[[#This Row],[Line No. manual corr.]]</f>
        <v>#VALUE!</v>
      </c>
      <c r="AJ1550" s="1064">
        <f t="shared" si="121"/>
        <v>0</v>
      </c>
      <c r="AK1550" s="1064">
        <f t="shared" si="122"/>
        <v>0</v>
      </c>
      <c r="AL1550" s="1064">
        <f t="shared" si="123"/>
        <v>0</v>
      </c>
      <c r="AM1550" s="1064">
        <f t="shared" si="124"/>
        <v>0</v>
      </c>
      <c r="AN1550" s="1064"/>
      <c r="AO1550" s="1064">
        <f>TB_curr[[#This Row],[Closing balance]]+TB_curr[[#This Row],[Rounding]]</f>
        <v>0</v>
      </c>
    </row>
    <row r="1551" spans="30:41" x14ac:dyDescent="0.25">
      <c r="AD1551" s="1067" t="str">
        <f t="shared" si="120"/>
        <v/>
      </c>
      <c r="AE1551" s="1063" t="str">
        <f>IF(ISNA(VLOOKUP(TB_curr[[#This Row],[Synt]],GL[[#Headers],[#Data],[subtotal label]],1,FALSE)),0,(VLOOKUP(TB_curr[[#This Row],[Synt]],GL[[#Headers],[#Data],[subtotal label]],1,FALSE)))</f>
        <v/>
      </c>
      <c r="AF1551" s="1063" t="e">
        <f>IF((TB_curr[[#This Row],[Synt]]-TB_curr[[#This Row],[Subtotal Y/N]])=0,0,VLOOKUP(TB_curr[[#This Row],[Synt]],GL[[Account]:[Line]],3,FALSE))</f>
        <v>#VALUE!</v>
      </c>
      <c r="AG1551" s="1063" t="e">
        <f>VLOOKUP(TB_curr[[#This Row],[Synt]],GL[[Account]:[B/P]],4,FALSE)</f>
        <v>#N/A</v>
      </c>
      <c r="AH1551" s="1066" t="e">
        <v>#VALUE!</v>
      </c>
      <c r="AI1551" s="1065" t="e">
        <f>TB_curr[[#This Row],[Synt]]&amp;TB_curr[[#This Row],[Line No. manual corr.]]</f>
        <v>#VALUE!</v>
      </c>
      <c r="AJ1551" s="1064">
        <f t="shared" si="121"/>
        <v>0</v>
      </c>
      <c r="AK1551" s="1064">
        <f t="shared" si="122"/>
        <v>0</v>
      </c>
      <c r="AL1551" s="1064">
        <f t="shared" si="123"/>
        <v>0</v>
      </c>
      <c r="AM1551" s="1064">
        <f t="shared" si="124"/>
        <v>0</v>
      </c>
      <c r="AN1551" s="1064"/>
      <c r="AO1551" s="1064">
        <f>TB_curr[[#This Row],[Closing balance]]+TB_curr[[#This Row],[Rounding]]</f>
        <v>0</v>
      </c>
    </row>
    <row r="1552" spans="30:41" x14ac:dyDescent="0.25">
      <c r="AD1552" s="1067" t="str">
        <f t="shared" si="120"/>
        <v/>
      </c>
      <c r="AE1552" s="1063" t="str">
        <f>IF(ISNA(VLOOKUP(TB_curr[[#This Row],[Synt]],GL[[#Headers],[#Data],[subtotal label]],1,FALSE)),0,(VLOOKUP(TB_curr[[#This Row],[Synt]],GL[[#Headers],[#Data],[subtotal label]],1,FALSE)))</f>
        <v/>
      </c>
      <c r="AF1552" s="1063" t="e">
        <f>IF((TB_curr[[#This Row],[Synt]]-TB_curr[[#This Row],[Subtotal Y/N]])=0,0,VLOOKUP(TB_curr[[#This Row],[Synt]],GL[[Account]:[Line]],3,FALSE))</f>
        <v>#VALUE!</v>
      </c>
      <c r="AG1552" s="1063" t="e">
        <f>VLOOKUP(TB_curr[[#This Row],[Synt]],GL[[Account]:[B/P]],4,FALSE)</f>
        <v>#N/A</v>
      </c>
      <c r="AH1552" s="1066" t="e">
        <v>#VALUE!</v>
      </c>
      <c r="AI1552" s="1065" t="e">
        <f>TB_curr[[#This Row],[Synt]]&amp;TB_curr[[#This Row],[Line No. manual corr.]]</f>
        <v>#VALUE!</v>
      </c>
      <c r="AJ1552" s="1064">
        <f t="shared" si="121"/>
        <v>0</v>
      </c>
      <c r="AK1552" s="1064">
        <f t="shared" si="122"/>
        <v>0</v>
      </c>
      <c r="AL1552" s="1064">
        <f t="shared" si="123"/>
        <v>0</v>
      </c>
      <c r="AM1552" s="1064">
        <f t="shared" si="124"/>
        <v>0</v>
      </c>
      <c r="AN1552" s="1064"/>
      <c r="AO1552" s="1064">
        <f>TB_curr[[#This Row],[Closing balance]]+TB_curr[[#This Row],[Rounding]]</f>
        <v>0</v>
      </c>
    </row>
    <row r="1553" spans="30:41" x14ac:dyDescent="0.25">
      <c r="AD1553" s="1067" t="str">
        <f t="shared" si="120"/>
        <v/>
      </c>
      <c r="AE1553" s="1063" t="str">
        <f>IF(ISNA(VLOOKUP(TB_curr[[#This Row],[Synt]],GL[[#Headers],[#Data],[subtotal label]],1,FALSE)),0,(VLOOKUP(TB_curr[[#This Row],[Synt]],GL[[#Headers],[#Data],[subtotal label]],1,FALSE)))</f>
        <v/>
      </c>
      <c r="AF1553" s="1063" t="e">
        <f>IF((TB_curr[[#This Row],[Synt]]-TB_curr[[#This Row],[Subtotal Y/N]])=0,0,VLOOKUP(TB_curr[[#This Row],[Synt]],GL[[Account]:[Line]],3,FALSE))</f>
        <v>#VALUE!</v>
      </c>
      <c r="AG1553" s="1063" t="e">
        <f>VLOOKUP(TB_curr[[#This Row],[Synt]],GL[[Account]:[B/P]],4,FALSE)</f>
        <v>#N/A</v>
      </c>
      <c r="AH1553" s="1066" t="e">
        <v>#VALUE!</v>
      </c>
      <c r="AI1553" s="1065" t="e">
        <f>TB_curr[[#This Row],[Synt]]&amp;TB_curr[[#This Row],[Line No. manual corr.]]</f>
        <v>#VALUE!</v>
      </c>
      <c r="AJ1553" s="1064">
        <f t="shared" si="121"/>
        <v>0</v>
      </c>
      <c r="AK1553" s="1064">
        <f t="shared" si="122"/>
        <v>0</v>
      </c>
      <c r="AL1553" s="1064">
        <f t="shared" si="123"/>
        <v>0</v>
      </c>
      <c r="AM1553" s="1064">
        <f t="shared" si="124"/>
        <v>0</v>
      </c>
      <c r="AN1553" s="1064"/>
      <c r="AO1553" s="1064">
        <f>TB_curr[[#This Row],[Closing balance]]+TB_curr[[#This Row],[Rounding]]</f>
        <v>0</v>
      </c>
    </row>
    <row r="1554" spans="30:41" x14ac:dyDescent="0.25">
      <c r="AD1554" s="1067" t="str">
        <f t="shared" si="120"/>
        <v/>
      </c>
      <c r="AE1554" s="1063" t="str">
        <f>IF(ISNA(VLOOKUP(TB_curr[[#This Row],[Synt]],GL[[#Headers],[#Data],[subtotal label]],1,FALSE)),0,(VLOOKUP(TB_curr[[#This Row],[Synt]],GL[[#Headers],[#Data],[subtotal label]],1,FALSE)))</f>
        <v/>
      </c>
      <c r="AF1554" s="1063" t="e">
        <f>IF((TB_curr[[#This Row],[Synt]]-TB_curr[[#This Row],[Subtotal Y/N]])=0,0,VLOOKUP(TB_curr[[#This Row],[Synt]],GL[[Account]:[Line]],3,FALSE))</f>
        <v>#VALUE!</v>
      </c>
      <c r="AG1554" s="1063" t="e">
        <f>VLOOKUP(TB_curr[[#This Row],[Synt]],GL[[Account]:[B/P]],4,FALSE)</f>
        <v>#N/A</v>
      </c>
      <c r="AH1554" s="1066" t="e">
        <v>#VALUE!</v>
      </c>
      <c r="AI1554" s="1065" t="e">
        <f>TB_curr[[#This Row],[Synt]]&amp;TB_curr[[#This Row],[Line No. manual corr.]]</f>
        <v>#VALUE!</v>
      </c>
      <c r="AJ1554" s="1064">
        <f t="shared" si="121"/>
        <v>0</v>
      </c>
      <c r="AK1554" s="1064">
        <f t="shared" si="122"/>
        <v>0</v>
      </c>
      <c r="AL1554" s="1064">
        <f t="shared" si="123"/>
        <v>0</v>
      </c>
      <c r="AM1554" s="1064">
        <f t="shared" si="124"/>
        <v>0</v>
      </c>
      <c r="AN1554" s="1064"/>
      <c r="AO1554" s="1064">
        <f>TB_curr[[#This Row],[Closing balance]]+TB_curr[[#This Row],[Rounding]]</f>
        <v>0</v>
      </c>
    </row>
    <row r="1555" spans="30:41" x14ac:dyDescent="0.25">
      <c r="AD1555" s="1067" t="str">
        <f t="shared" si="120"/>
        <v/>
      </c>
      <c r="AE1555" s="1063" t="str">
        <f>IF(ISNA(VLOOKUP(TB_curr[[#This Row],[Synt]],GL[[#Headers],[#Data],[subtotal label]],1,FALSE)),0,(VLOOKUP(TB_curr[[#This Row],[Synt]],GL[[#Headers],[#Data],[subtotal label]],1,FALSE)))</f>
        <v/>
      </c>
      <c r="AF1555" s="1063" t="e">
        <f>IF((TB_curr[[#This Row],[Synt]]-TB_curr[[#This Row],[Subtotal Y/N]])=0,0,VLOOKUP(TB_curr[[#This Row],[Synt]],GL[[Account]:[Line]],3,FALSE))</f>
        <v>#VALUE!</v>
      </c>
      <c r="AG1555" s="1063" t="e">
        <f>VLOOKUP(TB_curr[[#This Row],[Synt]],GL[[Account]:[B/P]],4,FALSE)</f>
        <v>#N/A</v>
      </c>
      <c r="AH1555" s="1066" t="e">
        <v>#VALUE!</v>
      </c>
      <c r="AI1555" s="1065" t="e">
        <f>TB_curr[[#This Row],[Synt]]&amp;TB_curr[[#This Row],[Line No. manual corr.]]</f>
        <v>#VALUE!</v>
      </c>
      <c r="AJ1555" s="1064">
        <f t="shared" si="121"/>
        <v>0</v>
      </c>
      <c r="AK1555" s="1064">
        <f t="shared" si="122"/>
        <v>0</v>
      </c>
      <c r="AL1555" s="1064">
        <f t="shared" si="123"/>
        <v>0</v>
      </c>
      <c r="AM1555" s="1064">
        <f t="shared" si="124"/>
        <v>0</v>
      </c>
      <c r="AN1555" s="1064"/>
      <c r="AO1555" s="1064">
        <f>TB_curr[[#This Row],[Closing balance]]+TB_curr[[#This Row],[Rounding]]</f>
        <v>0</v>
      </c>
    </row>
    <row r="1556" spans="30:41" x14ac:dyDescent="0.25">
      <c r="AD1556" s="1067" t="str">
        <f t="shared" si="120"/>
        <v/>
      </c>
      <c r="AE1556" s="1063" t="str">
        <f>IF(ISNA(VLOOKUP(TB_curr[[#This Row],[Synt]],GL[[#Headers],[#Data],[subtotal label]],1,FALSE)),0,(VLOOKUP(TB_curr[[#This Row],[Synt]],GL[[#Headers],[#Data],[subtotal label]],1,FALSE)))</f>
        <v/>
      </c>
      <c r="AF1556" s="1063" t="e">
        <f>IF((TB_curr[[#This Row],[Synt]]-TB_curr[[#This Row],[Subtotal Y/N]])=0,0,VLOOKUP(TB_curr[[#This Row],[Synt]],GL[[Account]:[Line]],3,FALSE))</f>
        <v>#VALUE!</v>
      </c>
      <c r="AG1556" s="1063" t="e">
        <f>VLOOKUP(TB_curr[[#This Row],[Synt]],GL[[Account]:[B/P]],4,FALSE)</f>
        <v>#N/A</v>
      </c>
      <c r="AH1556" s="1066" t="e">
        <v>#VALUE!</v>
      </c>
      <c r="AI1556" s="1065" t="e">
        <f>TB_curr[[#This Row],[Synt]]&amp;TB_curr[[#This Row],[Line No. manual corr.]]</f>
        <v>#VALUE!</v>
      </c>
      <c r="AJ1556" s="1064">
        <f t="shared" si="121"/>
        <v>0</v>
      </c>
      <c r="AK1556" s="1064">
        <f t="shared" si="122"/>
        <v>0</v>
      </c>
      <c r="AL1556" s="1064">
        <f t="shared" si="123"/>
        <v>0</v>
      </c>
      <c r="AM1556" s="1064">
        <f t="shared" si="124"/>
        <v>0</v>
      </c>
      <c r="AN1556" s="1064"/>
      <c r="AO1556" s="1064">
        <f>TB_curr[[#This Row],[Closing balance]]+TB_curr[[#This Row],[Rounding]]</f>
        <v>0</v>
      </c>
    </row>
    <row r="1557" spans="30:41" x14ac:dyDescent="0.25">
      <c r="AD1557" s="1067" t="str">
        <f t="shared" si="120"/>
        <v/>
      </c>
      <c r="AE1557" s="1063" t="str">
        <f>IF(ISNA(VLOOKUP(TB_curr[[#This Row],[Synt]],GL[[#Headers],[#Data],[subtotal label]],1,FALSE)),0,(VLOOKUP(TB_curr[[#This Row],[Synt]],GL[[#Headers],[#Data],[subtotal label]],1,FALSE)))</f>
        <v/>
      </c>
      <c r="AF1557" s="1063" t="e">
        <f>IF((TB_curr[[#This Row],[Synt]]-TB_curr[[#This Row],[Subtotal Y/N]])=0,0,VLOOKUP(TB_curr[[#This Row],[Synt]],GL[[Account]:[Line]],3,FALSE))</f>
        <v>#VALUE!</v>
      </c>
      <c r="AG1557" s="1063" t="e">
        <f>VLOOKUP(TB_curr[[#This Row],[Synt]],GL[[Account]:[B/P]],4,FALSE)</f>
        <v>#N/A</v>
      </c>
      <c r="AH1557" s="1066" t="e">
        <v>#VALUE!</v>
      </c>
      <c r="AI1557" s="1065" t="e">
        <f>TB_curr[[#This Row],[Synt]]&amp;TB_curr[[#This Row],[Line No. manual corr.]]</f>
        <v>#VALUE!</v>
      </c>
      <c r="AJ1557" s="1064">
        <f t="shared" si="121"/>
        <v>0</v>
      </c>
      <c r="AK1557" s="1064">
        <f t="shared" si="122"/>
        <v>0</v>
      </c>
      <c r="AL1557" s="1064">
        <f t="shared" si="123"/>
        <v>0</v>
      </c>
      <c r="AM1557" s="1064">
        <f t="shared" si="124"/>
        <v>0</v>
      </c>
      <c r="AN1557" s="1064"/>
      <c r="AO1557" s="1064">
        <f>TB_curr[[#This Row],[Closing balance]]+TB_curr[[#This Row],[Rounding]]</f>
        <v>0</v>
      </c>
    </row>
    <row r="1558" spans="30:41" x14ac:dyDescent="0.25">
      <c r="AD1558" s="1067" t="str">
        <f t="shared" si="120"/>
        <v/>
      </c>
      <c r="AE1558" s="1063" t="str">
        <f>IF(ISNA(VLOOKUP(TB_curr[[#This Row],[Synt]],GL[[#Headers],[#Data],[subtotal label]],1,FALSE)),0,(VLOOKUP(TB_curr[[#This Row],[Synt]],GL[[#Headers],[#Data],[subtotal label]],1,FALSE)))</f>
        <v/>
      </c>
      <c r="AF1558" s="1063" t="e">
        <f>IF((TB_curr[[#This Row],[Synt]]-TB_curr[[#This Row],[Subtotal Y/N]])=0,0,VLOOKUP(TB_curr[[#This Row],[Synt]],GL[[Account]:[Line]],3,FALSE))</f>
        <v>#VALUE!</v>
      </c>
      <c r="AG1558" s="1063" t="e">
        <f>VLOOKUP(TB_curr[[#This Row],[Synt]],GL[[Account]:[B/P]],4,FALSE)</f>
        <v>#N/A</v>
      </c>
      <c r="AH1558" s="1066" t="e">
        <v>#VALUE!</v>
      </c>
      <c r="AI1558" s="1065" t="e">
        <f>TB_curr[[#This Row],[Synt]]&amp;TB_curr[[#This Row],[Line No. manual corr.]]</f>
        <v>#VALUE!</v>
      </c>
      <c r="AJ1558" s="1064">
        <f t="shared" si="121"/>
        <v>0</v>
      </c>
      <c r="AK1558" s="1064">
        <f t="shared" si="122"/>
        <v>0</v>
      </c>
      <c r="AL1558" s="1064">
        <f t="shared" si="123"/>
        <v>0</v>
      </c>
      <c r="AM1558" s="1064">
        <f t="shared" si="124"/>
        <v>0</v>
      </c>
      <c r="AN1558" s="1064"/>
      <c r="AO1558" s="1064">
        <f>TB_curr[[#This Row],[Closing balance]]+TB_curr[[#This Row],[Rounding]]</f>
        <v>0</v>
      </c>
    </row>
    <row r="1559" spans="30:41" x14ac:dyDescent="0.25">
      <c r="AD1559" s="1067" t="str">
        <f t="shared" si="120"/>
        <v/>
      </c>
      <c r="AE1559" s="1063" t="str">
        <f>IF(ISNA(VLOOKUP(TB_curr[[#This Row],[Synt]],GL[[#Headers],[#Data],[subtotal label]],1,FALSE)),0,(VLOOKUP(TB_curr[[#This Row],[Synt]],GL[[#Headers],[#Data],[subtotal label]],1,FALSE)))</f>
        <v/>
      </c>
      <c r="AF1559" s="1063" t="e">
        <f>IF((TB_curr[[#This Row],[Synt]]-TB_curr[[#This Row],[Subtotal Y/N]])=0,0,VLOOKUP(TB_curr[[#This Row],[Synt]],GL[[Account]:[Line]],3,FALSE))</f>
        <v>#VALUE!</v>
      </c>
      <c r="AG1559" s="1063" t="e">
        <f>VLOOKUP(TB_curr[[#This Row],[Synt]],GL[[Account]:[B/P]],4,FALSE)</f>
        <v>#N/A</v>
      </c>
      <c r="AH1559" s="1066" t="e">
        <v>#VALUE!</v>
      </c>
      <c r="AI1559" s="1065" t="e">
        <f>TB_curr[[#This Row],[Synt]]&amp;TB_curr[[#This Row],[Line No. manual corr.]]</f>
        <v>#VALUE!</v>
      </c>
      <c r="AJ1559" s="1064">
        <f t="shared" si="121"/>
        <v>0</v>
      </c>
      <c r="AK1559" s="1064">
        <f t="shared" si="122"/>
        <v>0</v>
      </c>
      <c r="AL1559" s="1064">
        <f t="shared" si="123"/>
        <v>0</v>
      </c>
      <c r="AM1559" s="1064">
        <f t="shared" si="124"/>
        <v>0</v>
      </c>
      <c r="AN1559" s="1064"/>
      <c r="AO1559" s="1064">
        <f>TB_curr[[#This Row],[Closing balance]]+TB_curr[[#This Row],[Rounding]]</f>
        <v>0</v>
      </c>
    </row>
    <row r="1560" spans="30:41" x14ac:dyDescent="0.25">
      <c r="AD1560" s="1067" t="str">
        <f t="shared" si="120"/>
        <v/>
      </c>
      <c r="AE1560" s="1063" t="str">
        <f>IF(ISNA(VLOOKUP(TB_curr[[#This Row],[Synt]],GL[[#Headers],[#Data],[subtotal label]],1,FALSE)),0,(VLOOKUP(TB_curr[[#This Row],[Synt]],GL[[#Headers],[#Data],[subtotal label]],1,FALSE)))</f>
        <v/>
      </c>
      <c r="AF1560" s="1063" t="e">
        <f>IF((TB_curr[[#This Row],[Synt]]-TB_curr[[#This Row],[Subtotal Y/N]])=0,0,VLOOKUP(TB_curr[[#This Row],[Synt]],GL[[Account]:[Line]],3,FALSE))</f>
        <v>#VALUE!</v>
      </c>
      <c r="AG1560" s="1063" t="e">
        <f>VLOOKUP(TB_curr[[#This Row],[Synt]],GL[[Account]:[B/P]],4,FALSE)</f>
        <v>#N/A</v>
      </c>
      <c r="AH1560" s="1066" t="e">
        <v>#VALUE!</v>
      </c>
      <c r="AI1560" s="1065" t="e">
        <f>TB_curr[[#This Row],[Synt]]&amp;TB_curr[[#This Row],[Line No. manual corr.]]</f>
        <v>#VALUE!</v>
      </c>
      <c r="AJ1560" s="1064">
        <f t="shared" si="121"/>
        <v>0</v>
      </c>
      <c r="AK1560" s="1064">
        <f t="shared" si="122"/>
        <v>0</v>
      </c>
      <c r="AL1560" s="1064">
        <f t="shared" si="123"/>
        <v>0</v>
      </c>
      <c r="AM1560" s="1064">
        <f t="shared" si="124"/>
        <v>0</v>
      </c>
      <c r="AN1560" s="1064"/>
      <c r="AO1560" s="1064">
        <f>TB_curr[[#This Row],[Closing balance]]+TB_curr[[#This Row],[Rounding]]</f>
        <v>0</v>
      </c>
    </row>
    <row r="1561" spans="30:41" x14ac:dyDescent="0.25">
      <c r="AD1561" s="1067" t="str">
        <f t="shared" si="120"/>
        <v/>
      </c>
      <c r="AE1561" s="1063" t="str">
        <f>IF(ISNA(VLOOKUP(TB_curr[[#This Row],[Synt]],GL[[#Headers],[#Data],[subtotal label]],1,FALSE)),0,(VLOOKUP(TB_curr[[#This Row],[Synt]],GL[[#Headers],[#Data],[subtotal label]],1,FALSE)))</f>
        <v/>
      </c>
      <c r="AF1561" s="1063" t="e">
        <f>IF((TB_curr[[#This Row],[Synt]]-TB_curr[[#This Row],[Subtotal Y/N]])=0,0,VLOOKUP(TB_curr[[#This Row],[Synt]],GL[[Account]:[Line]],3,FALSE))</f>
        <v>#VALUE!</v>
      </c>
      <c r="AG1561" s="1063" t="e">
        <f>VLOOKUP(TB_curr[[#This Row],[Synt]],GL[[Account]:[B/P]],4,FALSE)</f>
        <v>#N/A</v>
      </c>
      <c r="AH1561" s="1066" t="e">
        <v>#VALUE!</v>
      </c>
      <c r="AI1561" s="1065" t="e">
        <f>TB_curr[[#This Row],[Synt]]&amp;TB_curr[[#This Row],[Line No. manual corr.]]</f>
        <v>#VALUE!</v>
      </c>
      <c r="AJ1561" s="1064">
        <f t="shared" si="121"/>
        <v>0</v>
      </c>
      <c r="AK1561" s="1064">
        <f t="shared" si="122"/>
        <v>0</v>
      </c>
      <c r="AL1561" s="1064">
        <f t="shared" si="123"/>
        <v>0</v>
      </c>
      <c r="AM1561" s="1064">
        <f t="shared" si="124"/>
        <v>0</v>
      </c>
      <c r="AN1561" s="1064"/>
      <c r="AO1561" s="1064">
        <f>TB_curr[[#This Row],[Closing balance]]+TB_curr[[#This Row],[Rounding]]</f>
        <v>0</v>
      </c>
    </row>
    <row r="1562" spans="30:41" x14ac:dyDescent="0.25">
      <c r="AD1562" s="1067" t="str">
        <f t="shared" si="120"/>
        <v/>
      </c>
      <c r="AE1562" s="1063" t="str">
        <f>IF(ISNA(VLOOKUP(TB_curr[[#This Row],[Synt]],GL[[#Headers],[#Data],[subtotal label]],1,FALSE)),0,(VLOOKUP(TB_curr[[#This Row],[Synt]],GL[[#Headers],[#Data],[subtotal label]],1,FALSE)))</f>
        <v/>
      </c>
      <c r="AF1562" s="1063" t="e">
        <f>IF((TB_curr[[#This Row],[Synt]]-TB_curr[[#This Row],[Subtotal Y/N]])=0,0,VLOOKUP(TB_curr[[#This Row],[Synt]],GL[[Account]:[Line]],3,FALSE))</f>
        <v>#VALUE!</v>
      </c>
      <c r="AG1562" s="1063" t="e">
        <f>VLOOKUP(TB_curr[[#This Row],[Synt]],GL[[Account]:[B/P]],4,FALSE)</f>
        <v>#N/A</v>
      </c>
      <c r="AH1562" s="1066" t="e">
        <v>#VALUE!</v>
      </c>
      <c r="AI1562" s="1065" t="e">
        <f>TB_curr[[#This Row],[Synt]]&amp;TB_curr[[#This Row],[Line No. manual corr.]]</f>
        <v>#VALUE!</v>
      </c>
      <c r="AJ1562" s="1064">
        <f t="shared" si="121"/>
        <v>0</v>
      </c>
      <c r="AK1562" s="1064">
        <f t="shared" si="122"/>
        <v>0</v>
      </c>
      <c r="AL1562" s="1064">
        <f t="shared" si="123"/>
        <v>0</v>
      </c>
      <c r="AM1562" s="1064">
        <f t="shared" si="124"/>
        <v>0</v>
      </c>
      <c r="AN1562" s="1064"/>
      <c r="AO1562" s="1064">
        <f>TB_curr[[#This Row],[Closing balance]]+TB_curr[[#This Row],[Rounding]]</f>
        <v>0</v>
      </c>
    </row>
    <row r="1563" spans="30:41" x14ac:dyDescent="0.25">
      <c r="AD1563" s="1067" t="str">
        <f t="shared" si="120"/>
        <v/>
      </c>
      <c r="AE1563" s="1063" t="str">
        <f>IF(ISNA(VLOOKUP(TB_curr[[#This Row],[Synt]],GL[[#Headers],[#Data],[subtotal label]],1,FALSE)),0,(VLOOKUP(TB_curr[[#This Row],[Synt]],GL[[#Headers],[#Data],[subtotal label]],1,FALSE)))</f>
        <v/>
      </c>
      <c r="AF1563" s="1063" t="e">
        <f>IF((TB_curr[[#This Row],[Synt]]-TB_curr[[#This Row],[Subtotal Y/N]])=0,0,VLOOKUP(TB_curr[[#This Row],[Synt]],GL[[Account]:[Line]],3,FALSE))</f>
        <v>#VALUE!</v>
      </c>
      <c r="AG1563" s="1063" t="e">
        <f>VLOOKUP(TB_curr[[#This Row],[Synt]],GL[[Account]:[B/P]],4,FALSE)</f>
        <v>#N/A</v>
      </c>
      <c r="AH1563" s="1066" t="e">
        <v>#VALUE!</v>
      </c>
      <c r="AI1563" s="1065" t="e">
        <f>TB_curr[[#This Row],[Synt]]&amp;TB_curr[[#This Row],[Line No. manual corr.]]</f>
        <v>#VALUE!</v>
      </c>
      <c r="AJ1563" s="1064">
        <f t="shared" si="121"/>
        <v>0</v>
      </c>
      <c r="AK1563" s="1064">
        <f t="shared" si="122"/>
        <v>0</v>
      </c>
      <c r="AL1563" s="1064">
        <f t="shared" si="123"/>
        <v>0</v>
      </c>
      <c r="AM1563" s="1064">
        <f t="shared" si="124"/>
        <v>0</v>
      </c>
      <c r="AN1563" s="1064"/>
      <c r="AO1563" s="1064">
        <f>TB_curr[[#This Row],[Closing balance]]+TB_curr[[#This Row],[Rounding]]</f>
        <v>0</v>
      </c>
    </row>
    <row r="1564" spans="30:41" x14ac:dyDescent="0.25">
      <c r="AD1564" s="1067" t="str">
        <f t="shared" si="120"/>
        <v/>
      </c>
      <c r="AE1564" s="1063" t="str">
        <f>IF(ISNA(VLOOKUP(TB_curr[[#This Row],[Synt]],GL[[#Headers],[#Data],[subtotal label]],1,FALSE)),0,(VLOOKUP(TB_curr[[#This Row],[Synt]],GL[[#Headers],[#Data],[subtotal label]],1,FALSE)))</f>
        <v/>
      </c>
      <c r="AF1564" s="1063" t="e">
        <f>IF((TB_curr[[#This Row],[Synt]]-TB_curr[[#This Row],[Subtotal Y/N]])=0,0,VLOOKUP(TB_curr[[#This Row],[Synt]],GL[[Account]:[Line]],3,FALSE))</f>
        <v>#VALUE!</v>
      </c>
      <c r="AG1564" s="1063" t="e">
        <f>VLOOKUP(TB_curr[[#This Row],[Synt]],GL[[Account]:[B/P]],4,FALSE)</f>
        <v>#N/A</v>
      </c>
      <c r="AH1564" s="1066" t="e">
        <v>#VALUE!</v>
      </c>
      <c r="AI1564" s="1065" t="e">
        <f>TB_curr[[#This Row],[Synt]]&amp;TB_curr[[#This Row],[Line No. manual corr.]]</f>
        <v>#VALUE!</v>
      </c>
      <c r="AJ1564" s="1064">
        <f t="shared" si="121"/>
        <v>0</v>
      </c>
      <c r="AK1564" s="1064">
        <f t="shared" si="122"/>
        <v>0</v>
      </c>
      <c r="AL1564" s="1064">
        <f t="shared" si="123"/>
        <v>0</v>
      </c>
      <c r="AM1564" s="1064">
        <f t="shared" si="124"/>
        <v>0</v>
      </c>
      <c r="AN1564" s="1064"/>
      <c r="AO1564" s="1064">
        <f>TB_curr[[#This Row],[Closing balance]]+TB_curr[[#This Row],[Rounding]]</f>
        <v>0</v>
      </c>
    </row>
    <row r="1565" spans="30:41" x14ac:dyDescent="0.25">
      <c r="AD1565" s="1067" t="str">
        <f t="shared" si="120"/>
        <v/>
      </c>
      <c r="AE1565" s="1063" t="str">
        <f>IF(ISNA(VLOOKUP(TB_curr[[#This Row],[Synt]],GL[[#Headers],[#Data],[subtotal label]],1,FALSE)),0,(VLOOKUP(TB_curr[[#This Row],[Synt]],GL[[#Headers],[#Data],[subtotal label]],1,FALSE)))</f>
        <v/>
      </c>
      <c r="AF1565" s="1063" t="e">
        <f>IF((TB_curr[[#This Row],[Synt]]-TB_curr[[#This Row],[Subtotal Y/N]])=0,0,VLOOKUP(TB_curr[[#This Row],[Synt]],GL[[Account]:[Line]],3,FALSE))</f>
        <v>#VALUE!</v>
      </c>
      <c r="AG1565" s="1063" t="e">
        <f>VLOOKUP(TB_curr[[#This Row],[Synt]],GL[[Account]:[B/P]],4,FALSE)</f>
        <v>#N/A</v>
      </c>
      <c r="AH1565" s="1066" t="e">
        <v>#VALUE!</v>
      </c>
      <c r="AI1565" s="1065" t="e">
        <f>TB_curr[[#This Row],[Synt]]&amp;TB_curr[[#This Row],[Line No. manual corr.]]</f>
        <v>#VALUE!</v>
      </c>
      <c r="AJ1565" s="1064">
        <f t="shared" si="121"/>
        <v>0</v>
      </c>
      <c r="AK1565" s="1064">
        <f t="shared" si="122"/>
        <v>0</v>
      </c>
      <c r="AL1565" s="1064">
        <f t="shared" si="123"/>
        <v>0</v>
      </c>
      <c r="AM1565" s="1064">
        <f t="shared" si="124"/>
        <v>0</v>
      </c>
      <c r="AN1565" s="1064"/>
      <c r="AO1565" s="1064">
        <f>TB_curr[[#This Row],[Closing balance]]+TB_curr[[#This Row],[Rounding]]</f>
        <v>0</v>
      </c>
    </row>
    <row r="1566" spans="30:41" x14ac:dyDescent="0.25">
      <c r="AD1566" s="1067" t="str">
        <f t="shared" si="120"/>
        <v/>
      </c>
      <c r="AE1566" s="1063" t="str">
        <f>IF(ISNA(VLOOKUP(TB_curr[[#This Row],[Synt]],GL[[#Headers],[#Data],[subtotal label]],1,FALSE)),0,(VLOOKUP(TB_curr[[#This Row],[Synt]],GL[[#Headers],[#Data],[subtotal label]],1,FALSE)))</f>
        <v/>
      </c>
      <c r="AF1566" s="1063" t="e">
        <f>IF((TB_curr[[#This Row],[Synt]]-TB_curr[[#This Row],[Subtotal Y/N]])=0,0,VLOOKUP(TB_curr[[#This Row],[Synt]],GL[[Account]:[Line]],3,FALSE))</f>
        <v>#VALUE!</v>
      </c>
      <c r="AG1566" s="1063" t="e">
        <f>VLOOKUP(TB_curr[[#This Row],[Synt]],GL[[Account]:[B/P]],4,FALSE)</f>
        <v>#N/A</v>
      </c>
      <c r="AH1566" s="1066" t="e">
        <v>#VALUE!</v>
      </c>
      <c r="AI1566" s="1065" t="e">
        <f>TB_curr[[#This Row],[Synt]]&amp;TB_curr[[#This Row],[Line No. manual corr.]]</f>
        <v>#VALUE!</v>
      </c>
      <c r="AJ1566" s="1064">
        <f t="shared" si="121"/>
        <v>0</v>
      </c>
      <c r="AK1566" s="1064">
        <f t="shared" si="122"/>
        <v>0</v>
      </c>
      <c r="AL1566" s="1064">
        <f t="shared" si="123"/>
        <v>0</v>
      </c>
      <c r="AM1566" s="1064">
        <f t="shared" si="124"/>
        <v>0</v>
      </c>
      <c r="AN1566" s="1064"/>
      <c r="AO1566" s="1064">
        <f>TB_curr[[#This Row],[Closing balance]]+TB_curr[[#This Row],[Rounding]]</f>
        <v>0</v>
      </c>
    </row>
    <row r="1567" spans="30:41" x14ac:dyDescent="0.25">
      <c r="AD1567" s="1067" t="str">
        <f t="shared" si="120"/>
        <v/>
      </c>
      <c r="AE1567" s="1063" t="str">
        <f>IF(ISNA(VLOOKUP(TB_curr[[#This Row],[Synt]],GL[[#Headers],[#Data],[subtotal label]],1,FALSE)),0,(VLOOKUP(TB_curr[[#This Row],[Synt]],GL[[#Headers],[#Data],[subtotal label]],1,FALSE)))</f>
        <v/>
      </c>
      <c r="AF1567" s="1063" t="e">
        <f>IF((TB_curr[[#This Row],[Synt]]-TB_curr[[#This Row],[Subtotal Y/N]])=0,0,VLOOKUP(TB_curr[[#This Row],[Synt]],GL[[Account]:[Line]],3,FALSE))</f>
        <v>#VALUE!</v>
      </c>
      <c r="AG1567" s="1063" t="e">
        <f>VLOOKUP(TB_curr[[#This Row],[Synt]],GL[[Account]:[B/P]],4,FALSE)</f>
        <v>#N/A</v>
      </c>
      <c r="AH1567" s="1066" t="e">
        <v>#VALUE!</v>
      </c>
      <c r="AI1567" s="1065" t="e">
        <f>TB_curr[[#This Row],[Synt]]&amp;TB_curr[[#This Row],[Line No. manual corr.]]</f>
        <v>#VALUE!</v>
      </c>
      <c r="AJ1567" s="1064">
        <f t="shared" si="121"/>
        <v>0</v>
      </c>
      <c r="AK1567" s="1064">
        <f t="shared" si="122"/>
        <v>0</v>
      </c>
      <c r="AL1567" s="1064">
        <f t="shared" si="123"/>
        <v>0</v>
      </c>
      <c r="AM1567" s="1064">
        <f t="shared" si="124"/>
        <v>0</v>
      </c>
      <c r="AN1567" s="1064"/>
      <c r="AO1567" s="1064">
        <f>TB_curr[[#This Row],[Closing balance]]+TB_curr[[#This Row],[Rounding]]</f>
        <v>0</v>
      </c>
    </row>
    <row r="1568" spans="30:41" x14ac:dyDescent="0.25">
      <c r="AD1568" s="1067" t="str">
        <f t="shared" si="120"/>
        <v/>
      </c>
      <c r="AE1568" s="1063" t="str">
        <f>IF(ISNA(VLOOKUP(TB_curr[[#This Row],[Synt]],GL[[#Headers],[#Data],[subtotal label]],1,FALSE)),0,(VLOOKUP(TB_curr[[#This Row],[Synt]],GL[[#Headers],[#Data],[subtotal label]],1,FALSE)))</f>
        <v/>
      </c>
      <c r="AF1568" s="1063" t="e">
        <f>IF((TB_curr[[#This Row],[Synt]]-TB_curr[[#This Row],[Subtotal Y/N]])=0,0,VLOOKUP(TB_curr[[#This Row],[Synt]],GL[[Account]:[Line]],3,FALSE))</f>
        <v>#VALUE!</v>
      </c>
      <c r="AG1568" s="1063" t="e">
        <f>VLOOKUP(TB_curr[[#This Row],[Synt]],GL[[Account]:[B/P]],4,FALSE)</f>
        <v>#N/A</v>
      </c>
      <c r="AH1568" s="1066" t="e">
        <v>#VALUE!</v>
      </c>
      <c r="AI1568" s="1065" t="e">
        <f>TB_curr[[#This Row],[Synt]]&amp;TB_curr[[#This Row],[Line No. manual corr.]]</f>
        <v>#VALUE!</v>
      </c>
      <c r="AJ1568" s="1064">
        <f t="shared" si="121"/>
        <v>0</v>
      </c>
      <c r="AK1568" s="1064">
        <f t="shared" si="122"/>
        <v>0</v>
      </c>
      <c r="AL1568" s="1064">
        <f t="shared" si="123"/>
        <v>0</v>
      </c>
      <c r="AM1568" s="1064">
        <f t="shared" si="124"/>
        <v>0</v>
      </c>
      <c r="AN1568" s="1064"/>
      <c r="AO1568" s="1064">
        <f>TB_curr[[#This Row],[Closing balance]]+TB_curr[[#This Row],[Rounding]]</f>
        <v>0</v>
      </c>
    </row>
    <row r="1569" spans="30:41" x14ac:dyDescent="0.25">
      <c r="AD1569" s="1067" t="str">
        <f t="shared" si="120"/>
        <v/>
      </c>
      <c r="AE1569" s="1063" t="str">
        <f>IF(ISNA(VLOOKUP(TB_curr[[#This Row],[Synt]],GL[[#Headers],[#Data],[subtotal label]],1,FALSE)),0,(VLOOKUP(TB_curr[[#This Row],[Synt]],GL[[#Headers],[#Data],[subtotal label]],1,FALSE)))</f>
        <v/>
      </c>
      <c r="AF1569" s="1063" t="e">
        <f>IF((TB_curr[[#This Row],[Synt]]-TB_curr[[#This Row],[Subtotal Y/N]])=0,0,VLOOKUP(TB_curr[[#This Row],[Synt]],GL[[Account]:[Line]],3,FALSE))</f>
        <v>#VALUE!</v>
      </c>
      <c r="AG1569" s="1063" t="e">
        <f>VLOOKUP(TB_curr[[#This Row],[Synt]],GL[[Account]:[B/P]],4,FALSE)</f>
        <v>#N/A</v>
      </c>
      <c r="AH1569" s="1066" t="e">
        <v>#VALUE!</v>
      </c>
      <c r="AI1569" s="1065" t="e">
        <f>TB_curr[[#This Row],[Synt]]&amp;TB_curr[[#This Row],[Line No. manual corr.]]</f>
        <v>#VALUE!</v>
      </c>
      <c r="AJ1569" s="1064">
        <f t="shared" si="121"/>
        <v>0</v>
      </c>
      <c r="AK1569" s="1064">
        <f t="shared" si="122"/>
        <v>0</v>
      </c>
      <c r="AL1569" s="1064">
        <f t="shared" si="123"/>
        <v>0</v>
      </c>
      <c r="AM1569" s="1064">
        <f t="shared" si="124"/>
        <v>0</v>
      </c>
      <c r="AN1569" s="1064"/>
      <c r="AO1569" s="1064">
        <f>TB_curr[[#This Row],[Closing balance]]+TB_curr[[#This Row],[Rounding]]</f>
        <v>0</v>
      </c>
    </row>
    <row r="1570" spans="30:41" x14ac:dyDescent="0.25">
      <c r="AD1570" s="1067" t="str">
        <f t="shared" si="120"/>
        <v/>
      </c>
      <c r="AE1570" s="1063" t="str">
        <f>IF(ISNA(VLOOKUP(TB_curr[[#This Row],[Synt]],GL[[#Headers],[#Data],[subtotal label]],1,FALSE)),0,(VLOOKUP(TB_curr[[#This Row],[Synt]],GL[[#Headers],[#Data],[subtotal label]],1,FALSE)))</f>
        <v/>
      </c>
      <c r="AF1570" s="1063" t="e">
        <f>IF((TB_curr[[#This Row],[Synt]]-TB_curr[[#This Row],[Subtotal Y/N]])=0,0,VLOOKUP(TB_curr[[#This Row],[Synt]],GL[[Account]:[Line]],3,FALSE))</f>
        <v>#VALUE!</v>
      </c>
      <c r="AG1570" s="1063" t="e">
        <f>VLOOKUP(TB_curr[[#This Row],[Synt]],GL[[Account]:[B/P]],4,FALSE)</f>
        <v>#N/A</v>
      </c>
      <c r="AH1570" s="1066" t="e">
        <v>#VALUE!</v>
      </c>
      <c r="AI1570" s="1065" t="e">
        <f>TB_curr[[#This Row],[Synt]]&amp;TB_curr[[#This Row],[Line No. manual corr.]]</f>
        <v>#VALUE!</v>
      </c>
      <c r="AJ1570" s="1064">
        <f t="shared" si="121"/>
        <v>0</v>
      </c>
      <c r="AK1570" s="1064">
        <f t="shared" si="122"/>
        <v>0</v>
      </c>
      <c r="AL1570" s="1064">
        <f t="shared" si="123"/>
        <v>0</v>
      </c>
      <c r="AM1570" s="1064">
        <f t="shared" si="124"/>
        <v>0</v>
      </c>
      <c r="AN1570" s="1064"/>
      <c r="AO1570" s="1064">
        <f>TB_curr[[#This Row],[Closing balance]]+TB_curr[[#This Row],[Rounding]]</f>
        <v>0</v>
      </c>
    </row>
    <row r="1571" spans="30:41" x14ac:dyDescent="0.25">
      <c r="AD1571" s="1067" t="str">
        <f t="shared" si="120"/>
        <v/>
      </c>
      <c r="AE1571" s="1063" t="str">
        <f>IF(ISNA(VLOOKUP(TB_curr[[#This Row],[Synt]],GL[[#Headers],[#Data],[subtotal label]],1,FALSE)),0,(VLOOKUP(TB_curr[[#This Row],[Synt]],GL[[#Headers],[#Data],[subtotal label]],1,FALSE)))</f>
        <v/>
      </c>
      <c r="AF1571" s="1063" t="e">
        <f>IF((TB_curr[[#This Row],[Synt]]-TB_curr[[#This Row],[Subtotal Y/N]])=0,0,VLOOKUP(TB_curr[[#This Row],[Synt]],GL[[Account]:[Line]],3,FALSE))</f>
        <v>#VALUE!</v>
      </c>
      <c r="AG1571" s="1063" t="e">
        <f>VLOOKUP(TB_curr[[#This Row],[Synt]],GL[[Account]:[B/P]],4,FALSE)</f>
        <v>#N/A</v>
      </c>
      <c r="AH1571" s="1066" t="e">
        <v>#VALUE!</v>
      </c>
      <c r="AI1571" s="1065" t="e">
        <f>TB_curr[[#This Row],[Synt]]&amp;TB_curr[[#This Row],[Line No. manual corr.]]</f>
        <v>#VALUE!</v>
      </c>
      <c r="AJ1571" s="1064">
        <f t="shared" si="121"/>
        <v>0</v>
      </c>
      <c r="AK1571" s="1064">
        <f t="shared" si="122"/>
        <v>0</v>
      </c>
      <c r="AL1571" s="1064">
        <f t="shared" si="123"/>
        <v>0</v>
      </c>
      <c r="AM1571" s="1064">
        <f t="shared" si="124"/>
        <v>0</v>
      </c>
      <c r="AN1571" s="1064"/>
      <c r="AO1571" s="1064">
        <f>TB_curr[[#This Row],[Closing balance]]+TB_curr[[#This Row],[Rounding]]</f>
        <v>0</v>
      </c>
    </row>
    <row r="1572" spans="30:41" x14ac:dyDescent="0.25">
      <c r="AD1572" s="1067" t="str">
        <f t="shared" si="120"/>
        <v/>
      </c>
      <c r="AE1572" s="1063" t="str">
        <f>IF(ISNA(VLOOKUP(TB_curr[[#This Row],[Synt]],GL[[#Headers],[#Data],[subtotal label]],1,FALSE)),0,(VLOOKUP(TB_curr[[#This Row],[Synt]],GL[[#Headers],[#Data],[subtotal label]],1,FALSE)))</f>
        <v/>
      </c>
      <c r="AF1572" s="1063" t="e">
        <f>IF((TB_curr[[#This Row],[Synt]]-TB_curr[[#This Row],[Subtotal Y/N]])=0,0,VLOOKUP(TB_curr[[#This Row],[Synt]],GL[[Account]:[Line]],3,FALSE))</f>
        <v>#VALUE!</v>
      </c>
      <c r="AG1572" s="1063" t="e">
        <f>VLOOKUP(TB_curr[[#This Row],[Synt]],GL[[Account]:[B/P]],4,FALSE)</f>
        <v>#N/A</v>
      </c>
      <c r="AH1572" s="1066" t="e">
        <v>#VALUE!</v>
      </c>
      <c r="AI1572" s="1065" t="e">
        <f>TB_curr[[#This Row],[Synt]]&amp;TB_curr[[#This Row],[Line No. manual corr.]]</f>
        <v>#VALUE!</v>
      </c>
      <c r="AJ1572" s="1064">
        <f t="shared" si="121"/>
        <v>0</v>
      </c>
      <c r="AK1572" s="1064">
        <f t="shared" si="122"/>
        <v>0</v>
      </c>
      <c r="AL1572" s="1064">
        <f t="shared" si="123"/>
        <v>0</v>
      </c>
      <c r="AM1572" s="1064">
        <f t="shared" si="124"/>
        <v>0</v>
      </c>
      <c r="AN1572" s="1064"/>
      <c r="AO1572" s="1064">
        <f>TB_curr[[#This Row],[Closing balance]]+TB_curr[[#This Row],[Rounding]]</f>
        <v>0</v>
      </c>
    </row>
    <row r="1573" spans="30:41" x14ac:dyDescent="0.25">
      <c r="AD1573" s="1067" t="str">
        <f t="shared" si="120"/>
        <v/>
      </c>
      <c r="AE1573" s="1063" t="str">
        <f>IF(ISNA(VLOOKUP(TB_curr[[#This Row],[Synt]],GL[[#Headers],[#Data],[subtotal label]],1,FALSE)),0,(VLOOKUP(TB_curr[[#This Row],[Synt]],GL[[#Headers],[#Data],[subtotal label]],1,FALSE)))</f>
        <v/>
      </c>
      <c r="AF1573" s="1063" t="e">
        <f>IF((TB_curr[[#This Row],[Synt]]-TB_curr[[#This Row],[Subtotal Y/N]])=0,0,VLOOKUP(TB_curr[[#This Row],[Synt]],GL[[Account]:[Line]],3,FALSE))</f>
        <v>#VALUE!</v>
      </c>
      <c r="AG1573" s="1063" t="e">
        <f>VLOOKUP(TB_curr[[#This Row],[Synt]],GL[[Account]:[B/P]],4,FALSE)</f>
        <v>#N/A</v>
      </c>
      <c r="AH1573" s="1066" t="e">
        <v>#VALUE!</v>
      </c>
      <c r="AI1573" s="1065" t="e">
        <f>TB_curr[[#This Row],[Synt]]&amp;TB_curr[[#This Row],[Line No. manual corr.]]</f>
        <v>#VALUE!</v>
      </c>
      <c r="AJ1573" s="1064">
        <f t="shared" si="121"/>
        <v>0</v>
      </c>
      <c r="AK1573" s="1064">
        <f t="shared" si="122"/>
        <v>0</v>
      </c>
      <c r="AL1573" s="1064">
        <f t="shared" si="123"/>
        <v>0</v>
      </c>
      <c r="AM1573" s="1064">
        <f t="shared" si="124"/>
        <v>0</v>
      </c>
      <c r="AN1573" s="1064"/>
      <c r="AO1573" s="1064">
        <f>TB_curr[[#This Row],[Closing balance]]+TB_curr[[#This Row],[Rounding]]</f>
        <v>0</v>
      </c>
    </row>
    <row r="1574" spans="30:41" x14ac:dyDescent="0.25">
      <c r="AD1574" s="1067" t="str">
        <f t="shared" si="120"/>
        <v/>
      </c>
      <c r="AE1574" s="1063" t="str">
        <f>IF(ISNA(VLOOKUP(TB_curr[[#This Row],[Synt]],GL[[#Headers],[#Data],[subtotal label]],1,FALSE)),0,(VLOOKUP(TB_curr[[#This Row],[Synt]],GL[[#Headers],[#Data],[subtotal label]],1,FALSE)))</f>
        <v/>
      </c>
      <c r="AF1574" s="1063" t="e">
        <f>IF((TB_curr[[#This Row],[Synt]]-TB_curr[[#This Row],[Subtotal Y/N]])=0,0,VLOOKUP(TB_curr[[#This Row],[Synt]],GL[[Account]:[Line]],3,FALSE))</f>
        <v>#VALUE!</v>
      </c>
      <c r="AG1574" s="1063" t="e">
        <f>VLOOKUP(TB_curr[[#This Row],[Synt]],GL[[Account]:[B/P]],4,FALSE)</f>
        <v>#N/A</v>
      </c>
      <c r="AH1574" s="1066" t="e">
        <v>#VALUE!</v>
      </c>
      <c r="AI1574" s="1065" t="e">
        <f>TB_curr[[#This Row],[Synt]]&amp;TB_curr[[#This Row],[Line No. manual corr.]]</f>
        <v>#VALUE!</v>
      </c>
      <c r="AJ1574" s="1064">
        <f t="shared" si="121"/>
        <v>0</v>
      </c>
      <c r="AK1574" s="1064">
        <f t="shared" si="122"/>
        <v>0</v>
      </c>
      <c r="AL1574" s="1064">
        <f t="shared" si="123"/>
        <v>0</v>
      </c>
      <c r="AM1574" s="1064">
        <f t="shared" si="124"/>
        <v>0</v>
      </c>
      <c r="AN1574" s="1064"/>
      <c r="AO1574" s="1064">
        <f>TB_curr[[#This Row],[Closing balance]]+TB_curr[[#This Row],[Rounding]]</f>
        <v>0</v>
      </c>
    </row>
    <row r="1575" spans="30:41" x14ac:dyDescent="0.25">
      <c r="AD1575" s="1067" t="str">
        <f t="shared" si="120"/>
        <v/>
      </c>
      <c r="AE1575" s="1063" t="str">
        <f>IF(ISNA(VLOOKUP(TB_curr[[#This Row],[Synt]],GL[[#Headers],[#Data],[subtotal label]],1,FALSE)),0,(VLOOKUP(TB_curr[[#This Row],[Synt]],GL[[#Headers],[#Data],[subtotal label]],1,FALSE)))</f>
        <v/>
      </c>
      <c r="AF1575" s="1063" t="e">
        <f>IF((TB_curr[[#This Row],[Synt]]-TB_curr[[#This Row],[Subtotal Y/N]])=0,0,VLOOKUP(TB_curr[[#This Row],[Synt]],GL[[Account]:[Line]],3,FALSE))</f>
        <v>#VALUE!</v>
      </c>
      <c r="AG1575" s="1063" t="e">
        <f>VLOOKUP(TB_curr[[#This Row],[Synt]],GL[[Account]:[B/P]],4,FALSE)</f>
        <v>#N/A</v>
      </c>
      <c r="AH1575" s="1066" t="e">
        <v>#VALUE!</v>
      </c>
      <c r="AI1575" s="1065" t="e">
        <f>TB_curr[[#This Row],[Synt]]&amp;TB_curr[[#This Row],[Line No. manual corr.]]</f>
        <v>#VALUE!</v>
      </c>
      <c r="AJ1575" s="1064">
        <f t="shared" si="121"/>
        <v>0</v>
      </c>
      <c r="AK1575" s="1064">
        <f t="shared" si="122"/>
        <v>0</v>
      </c>
      <c r="AL1575" s="1064">
        <f t="shared" si="123"/>
        <v>0</v>
      </c>
      <c r="AM1575" s="1064">
        <f t="shared" si="124"/>
        <v>0</v>
      </c>
      <c r="AN1575" s="1064"/>
      <c r="AO1575" s="1064">
        <f>TB_curr[[#This Row],[Closing balance]]+TB_curr[[#This Row],[Rounding]]</f>
        <v>0</v>
      </c>
    </row>
    <row r="1576" spans="30:41" x14ac:dyDescent="0.25">
      <c r="AD1576" s="1067" t="str">
        <f t="shared" si="120"/>
        <v/>
      </c>
      <c r="AE1576" s="1063" t="str">
        <f>IF(ISNA(VLOOKUP(TB_curr[[#This Row],[Synt]],GL[[#Headers],[#Data],[subtotal label]],1,FALSE)),0,(VLOOKUP(TB_curr[[#This Row],[Synt]],GL[[#Headers],[#Data],[subtotal label]],1,FALSE)))</f>
        <v/>
      </c>
      <c r="AF1576" s="1063" t="e">
        <f>IF((TB_curr[[#This Row],[Synt]]-TB_curr[[#This Row],[Subtotal Y/N]])=0,0,VLOOKUP(TB_curr[[#This Row],[Synt]],GL[[Account]:[Line]],3,FALSE))</f>
        <v>#VALUE!</v>
      </c>
      <c r="AG1576" s="1063" t="e">
        <f>VLOOKUP(TB_curr[[#This Row],[Synt]],GL[[Account]:[B/P]],4,FALSE)</f>
        <v>#N/A</v>
      </c>
      <c r="AH1576" s="1066" t="e">
        <v>#VALUE!</v>
      </c>
      <c r="AI1576" s="1065" t="e">
        <f>TB_curr[[#This Row],[Synt]]&amp;TB_curr[[#This Row],[Line No. manual corr.]]</f>
        <v>#VALUE!</v>
      </c>
      <c r="AJ1576" s="1064">
        <f t="shared" si="121"/>
        <v>0</v>
      </c>
      <c r="AK1576" s="1064">
        <f t="shared" si="122"/>
        <v>0</v>
      </c>
      <c r="AL1576" s="1064">
        <f t="shared" si="123"/>
        <v>0</v>
      </c>
      <c r="AM1576" s="1064">
        <f t="shared" si="124"/>
        <v>0</v>
      </c>
      <c r="AN1576" s="1064"/>
      <c r="AO1576" s="1064">
        <f>TB_curr[[#This Row],[Closing balance]]+TB_curr[[#This Row],[Rounding]]</f>
        <v>0</v>
      </c>
    </row>
    <row r="1577" spans="30:41" x14ac:dyDescent="0.25">
      <c r="AD1577" s="1067" t="str">
        <f t="shared" si="120"/>
        <v/>
      </c>
      <c r="AE1577" s="1063" t="str">
        <f>IF(ISNA(VLOOKUP(TB_curr[[#This Row],[Synt]],GL[[#Headers],[#Data],[subtotal label]],1,FALSE)),0,(VLOOKUP(TB_curr[[#This Row],[Synt]],GL[[#Headers],[#Data],[subtotal label]],1,FALSE)))</f>
        <v/>
      </c>
      <c r="AF1577" s="1063" t="e">
        <f>IF((TB_curr[[#This Row],[Synt]]-TB_curr[[#This Row],[Subtotal Y/N]])=0,0,VLOOKUP(TB_curr[[#This Row],[Synt]],GL[[Account]:[Line]],3,FALSE))</f>
        <v>#VALUE!</v>
      </c>
      <c r="AG1577" s="1063" t="e">
        <f>VLOOKUP(TB_curr[[#This Row],[Synt]],GL[[Account]:[B/P]],4,FALSE)</f>
        <v>#N/A</v>
      </c>
      <c r="AH1577" s="1066" t="e">
        <v>#VALUE!</v>
      </c>
      <c r="AI1577" s="1065" t="e">
        <f>TB_curr[[#This Row],[Synt]]&amp;TB_curr[[#This Row],[Line No. manual corr.]]</f>
        <v>#VALUE!</v>
      </c>
      <c r="AJ1577" s="1064">
        <f t="shared" si="121"/>
        <v>0</v>
      </c>
      <c r="AK1577" s="1064">
        <f t="shared" si="122"/>
        <v>0</v>
      </c>
      <c r="AL1577" s="1064">
        <f t="shared" si="123"/>
        <v>0</v>
      </c>
      <c r="AM1577" s="1064">
        <f t="shared" si="124"/>
        <v>0</v>
      </c>
      <c r="AN1577" s="1064"/>
      <c r="AO1577" s="1064">
        <f>TB_curr[[#This Row],[Closing balance]]+TB_curr[[#This Row],[Rounding]]</f>
        <v>0</v>
      </c>
    </row>
    <row r="1578" spans="30:41" x14ac:dyDescent="0.25">
      <c r="AD1578" s="1067" t="str">
        <f t="shared" si="120"/>
        <v/>
      </c>
      <c r="AE1578" s="1063" t="str">
        <f>IF(ISNA(VLOOKUP(TB_curr[[#This Row],[Synt]],GL[[#Headers],[#Data],[subtotal label]],1,FALSE)),0,(VLOOKUP(TB_curr[[#This Row],[Synt]],GL[[#Headers],[#Data],[subtotal label]],1,FALSE)))</f>
        <v/>
      </c>
      <c r="AF1578" s="1063" t="e">
        <f>IF((TB_curr[[#This Row],[Synt]]-TB_curr[[#This Row],[Subtotal Y/N]])=0,0,VLOOKUP(TB_curr[[#This Row],[Synt]],GL[[Account]:[Line]],3,FALSE))</f>
        <v>#VALUE!</v>
      </c>
      <c r="AG1578" s="1063" t="e">
        <f>VLOOKUP(TB_curr[[#This Row],[Synt]],GL[[Account]:[B/P]],4,FALSE)</f>
        <v>#N/A</v>
      </c>
      <c r="AH1578" s="1066" t="e">
        <v>#VALUE!</v>
      </c>
      <c r="AI1578" s="1065" t="e">
        <f>TB_curr[[#This Row],[Synt]]&amp;TB_curr[[#This Row],[Line No. manual corr.]]</f>
        <v>#VALUE!</v>
      </c>
      <c r="AJ1578" s="1064">
        <f t="shared" si="121"/>
        <v>0</v>
      </c>
      <c r="AK1578" s="1064">
        <f t="shared" si="122"/>
        <v>0</v>
      </c>
      <c r="AL1578" s="1064">
        <f t="shared" si="123"/>
        <v>0</v>
      </c>
      <c r="AM1578" s="1064">
        <f t="shared" si="124"/>
        <v>0</v>
      </c>
      <c r="AN1578" s="1064"/>
      <c r="AO1578" s="1064">
        <f>TB_curr[[#This Row],[Closing balance]]+TB_curr[[#This Row],[Rounding]]</f>
        <v>0</v>
      </c>
    </row>
    <row r="1579" spans="30:41" x14ac:dyDescent="0.25">
      <c r="AD1579" s="1067" t="str">
        <f t="shared" si="120"/>
        <v/>
      </c>
      <c r="AE1579" s="1063" t="str">
        <f>IF(ISNA(VLOOKUP(TB_curr[[#This Row],[Synt]],GL[[#Headers],[#Data],[subtotal label]],1,FALSE)),0,(VLOOKUP(TB_curr[[#This Row],[Synt]],GL[[#Headers],[#Data],[subtotal label]],1,FALSE)))</f>
        <v/>
      </c>
      <c r="AF1579" s="1063" t="e">
        <f>IF((TB_curr[[#This Row],[Synt]]-TB_curr[[#This Row],[Subtotal Y/N]])=0,0,VLOOKUP(TB_curr[[#This Row],[Synt]],GL[[Account]:[Line]],3,FALSE))</f>
        <v>#VALUE!</v>
      </c>
      <c r="AG1579" s="1063" t="e">
        <f>VLOOKUP(TB_curr[[#This Row],[Synt]],GL[[Account]:[B/P]],4,FALSE)</f>
        <v>#N/A</v>
      </c>
      <c r="AH1579" s="1066" t="e">
        <v>#VALUE!</v>
      </c>
      <c r="AI1579" s="1065" t="e">
        <f>TB_curr[[#This Row],[Synt]]&amp;TB_curr[[#This Row],[Line No. manual corr.]]</f>
        <v>#VALUE!</v>
      </c>
      <c r="AJ1579" s="1064">
        <f t="shared" si="121"/>
        <v>0</v>
      </c>
      <c r="AK1579" s="1064">
        <f t="shared" si="122"/>
        <v>0</v>
      </c>
      <c r="AL1579" s="1064">
        <f t="shared" si="123"/>
        <v>0</v>
      </c>
      <c r="AM1579" s="1064">
        <f t="shared" si="124"/>
        <v>0</v>
      </c>
      <c r="AN1579" s="1064"/>
      <c r="AO1579" s="1064">
        <f>TB_curr[[#This Row],[Closing balance]]+TB_curr[[#This Row],[Rounding]]</f>
        <v>0</v>
      </c>
    </row>
    <row r="1580" spans="30:41" x14ac:dyDescent="0.25">
      <c r="AD1580" s="1067" t="str">
        <f t="shared" si="120"/>
        <v/>
      </c>
      <c r="AE1580" s="1063" t="str">
        <f>IF(ISNA(VLOOKUP(TB_curr[[#This Row],[Synt]],GL[[#Headers],[#Data],[subtotal label]],1,FALSE)),0,(VLOOKUP(TB_curr[[#This Row],[Synt]],GL[[#Headers],[#Data],[subtotal label]],1,FALSE)))</f>
        <v/>
      </c>
      <c r="AF1580" s="1063" t="e">
        <f>IF((TB_curr[[#This Row],[Synt]]-TB_curr[[#This Row],[Subtotal Y/N]])=0,0,VLOOKUP(TB_curr[[#This Row],[Synt]],GL[[Account]:[Line]],3,FALSE))</f>
        <v>#VALUE!</v>
      </c>
      <c r="AG1580" s="1063" t="e">
        <f>VLOOKUP(TB_curr[[#This Row],[Synt]],GL[[Account]:[B/P]],4,FALSE)</f>
        <v>#N/A</v>
      </c>
      <c r="AH1580" s="1066" t="e">
        <v>#VALUE!</v>
      </c>
      <c r="AI1580" s="1065" t="e">
        <f>TB_curr[[#This Row],[Synt]]&amp;TB_curr[[#This Row],[Line No. manual corr.]]</f>
        <v>#VALUE!</v>
      </c>
      <c r="AJ1580" s="1064">
        <f t="shared" si="121"/>
        <v>0</v>
      </c>
      <c r="AK1580" s="1064">
        <f t="shared" si="122"/>
        <v>0</v>
      </c>
      <c r="AL1580" s="1064">
        <f t="shared" si="123"/>
        <v>0</v>
      </c>
      <c r="AM1580" s="1064">
        <f t="shared" si="124"/>
        <v>0</v>
      </c>
      <c r="AN1580" s="1064"/>
      <c r="AO1580" s="1064">
        <f>TB_curr[[#This Row],[Closing balance]]+TB_curr[[#This Row],[Rounding]]</f>
        <v>0</v>
      </c>
    </row>
    <row r="1581" spans="30:41" x14ac:dyDescent="0.25">
      <c r="AD1581" s="1067" t="str">
        <f t="shared" si="120"/>
        <v/>
      </c>
      <c r="AE1581" s="1063" t="str">
        <f>IF(ISNA(VLOOKUP(TB_curr[[#This Row],[Synt]],GL[[#Headers],[#Data],[subtotal label]],1,FALSE)),0,(VLOOKUP(TB_curr[[#This Row],[Synt]],GL[[#Headers],[#Data],[subtotal label]],1,FALSE)))</f>
        <v/>
      </c>
      <c r="AF1581" s="1063" t="e">
        <f>IF((TB_curr[[#This Row],[Synt]]-TB_curr[[#This Row],[Subtotal Y/N]])=0,0,VLOOKUP(TB_curr[[#This Row],[Synt]],GL[[Account]:[Line]],3,FALSE))</f>
        <v>#VALUE!</v>
      </c>
      <c r="AG1581" s="1063" t="e">
        <f>VLOOKUP(TB_curr[[#This Row],[Synt]],GL[[Account]:[B/P]],4,FALSE)</f>
        <v>#N/A</v>
      </c>
      <c r="AH1581" s="1066" t="e">
        <v>#VALUE!</v>
      </c>
      <c r="AI1581" s="1065" t="e">
        <f>TB_curr[[#This Row],[Synt]]&amp;TB_curr[[#This Row],[Line No. manual corr.]]</f>
        <v>#VALUE!</v>
      </c>
      <c r="AJ1581" s="1064">
        <f t="shared" si="121"/>
        <v>0</v>
      </c>
      <c r="AK1581" s="1064">
        <f t="shared" si="122"/>
        <v>0</v>
      </c>
      <c r="AL1581" s="1064">
        <f t="shared" si="123"/>
        <v>0</v>
      </c>
      <c r="AM1581" s="1064">
        <f t="shared" si="124"/>
        <v>0</v>
      </c>
      <c r="AN1581" s="1064"/>
      <c r="AO1581" s="1064">
        <f>TB_curr[[#This Row],[Closing balance]]+TB_curr[[#This Row],[Rounding]]</f>
        <v>0</v>
      </c>
    </row>
    <row r="1582" spans="30:41" x14ac:dyDescent="0.25">
      <c r="AD1582" s="1067" t="str">
        <f t="shared" si="120"/>
        <v/>
      </c>
      <c r="AE1582" s="1063" t="str">
        <f>IF(ISNA(VLOOKUP(TB_curr[[#This Row],[Synt]],GL[[#Headers],[#Data],[subtotal label]],1,FALSE)),0,(VLOOKUP(TB_curr[[#This Row],[Synt]],GL[[#Headers],[#Data],[subtotal label]],1,FALSE)))</f>
        <v/>
      </c>
      <c r="AF1582" s="1063" t="e">
        <f>IF((TB_curr[[#This Row],[Synt]]-TB_curr[[#This Row],[Subtotal Y/N]])=0,0,VLOOKUP(TB_curr[[#This Row],[Synt]],GL[[Account]:[Line]],3,FALSE))</f>
        <v>#VALUE!</v>
      </c>
      <c r="AG1582" s="1063" t="e">
        <f>VLOOKUP(TB_curr[[#This Row],[Synt]],GL[[Account]:[B/P]],4,FALSE)</f>
        <v>#N/A</v>
      </c>
      <c r="AH1582" s="1066" t="e">
        <v>#VALUE!</v>
      </c>
      <c r="AI1582" s="1065" t="e">
        <f>TB_curr[[#This Row],[Synt]]&amp;TB_curr[[#This Row],[Line No. manual corr.]]</f>
        <v>#VALUE!</v>
      </c>
      <c r="AJ1582" s="1064">
        <f t="shared" si="121"/>
        <v>0</v>
      </c>
      <c r="AK1582" s="1064">
        <f t="shared" si="122"/>
        <v>0</v>
      </c>
      <c r="AL1582" s="1064">
        <f t="shared" si="123"/>
        <v>0</v>
      </c>
      <c r="AM1582" s="1064">
        <f t="shared" si="124"/>
        <v>0</v>
      </c>
      <c r="AN1582" s="1064"/>
      <c r="AO1582" s="1064">
        <f>TB_curr[[#This Row],[Closing balance]]+TB_curr[[#This Row],[Rounding]]</f>
        <v>0</v>
      </c>
    </row>
    <row r="1583" spans="30:41" x14ac:dyDescent="0.25">
      <c r="AD1583" s="1067" t="str">
        <f t="shared" si="120"/>
        <v/>
      </c>
      <c r="AE1583" s="1063" t="str">
        <f>IF(ISNA(VLOOKUP(TB_curr[[#This Row],[Synt]],GL[[#Headers],[#Data],[subtotal label]],1,FALSE)),0,(VLOOKUP(TB_curr[[#This Row],[Synt]],GL[[#Headers],[#Data],[subtotal label]],1,FALSE)))</f>
        <v/>
      </c>
      <c r="AF1583" s="1063" t="e">
        <f>IF((TB_curr[[#This Row],[Synt]]-TB_curr[[#This Row],[Subtotal Y/N]])=0,0,VLOOKUP(TB_curr[[#This Row],[Synt]],GL[[Account]:[Line]],3,FALSE))</f>
        <v>#VALUE!</v>
      </c>
      <c r="AG1583" s="1063" t="e">
        <f>VLOOKUP(TB_curr[[#This Row],[Synt]],GL[[Account]:[B/P]],4,FALSE)</f>
        <v>#N/A</v>
      </c>
      <c r="AH1583" s="1066" t="e">
        <v>#VALUE!</v>
      </c>
      <c r="AI1583" s="1065" t="e">
        <f>TB_curr[[#This Row],[Synt]]&amp;TB_curr[[#This Row],[Line No. manual corr.]]</f>
        <v>#VALUE!</v>
      </c>
      <c r="AJ1583" s="1064">
        <f t="shared" si="121"/>
        <v>0</v>
      </c>
      <c r="AK1583" s="1064">
        <f t="shared" si="122"/>
        <v>0</v>
      </c>
      <c r="AL1583" s="1064">
        <f t="shared" si="123"/>
        <v>0</v>
      </c>
      <c r="AM1583" s="1064">
        <f t="shared" si="124"/>
        <v>0</v>
      </c>
      <c r="AN1583" s="1064"/>
      <c r="AO1583" s="1064">
        <f>TB_curr[[#This Row],[Closing balance]]+TB_curr[[#This Row],[Rounding]]</f>
        <v>0</v>
      </c>
    </row>
    <row r="1584" spans="30:41" x14ac:dyDescent="0.25">
      <c r="AD1584" s="1067" t="str">
        <f t="shared" si="120"/>
        <v/>
      </c>
      <c r="AE1584" s="1063" t="str">
        <f>IF(ISNA(VLOOKUP(TB_curr[[#This Row],[Synt]],GL[[#Headers],[#Data],[subtotal label]],1,FALSE)),0,(VLOOKUP(TB_curr[[#This Row],[Synt]],GL[[#Headers],[#Data],[subtotal label]],1,FALSE)))</f>
        <v/>
      </c>
      <c r="AF1584" s="1063" t="e">
        <f>IF((TB_curr[[#This Row],[Synt]]-TB_curr[[#This Row],[Subtotal Y/N]])=0,0,VLOOKUP(TB_curr[[#This Row],[Synt]],GL[[Account]:[Line]],3,FALSE))</f>
        <v>#VALUE!</v>
      </c>
      <c r="AG1584" s="1063" t="e">
        <f>VLOOKUP(TB_curr[[#This Row],[Synt]],GL[[Account]:[B/P]],4,FALSE)</f>
        <v>#N/A</v>
      </c>
      <c r="AH1584" s="1066" t="e">
        <v>#VALUE!</v>
      </c>
      <c r="AI1584" s="1065" t="e">
        <f>TB_curr[[#This Row],[Synt]]&amp;TB_curr[[#This Row],[Line No. manual corr.]]</f>
        <v>#VALUE!</v>
      </c>
      <c r="AJ1584" s="1064">
        <f t="shared" si="121"/>
        <v>0</v>
      </c>
      <c r="AK1584" s="1064">
        <f t="shared" si="122"/>
        <v>0</v>
      </c>
      <c r="AL1584" s="1064">
        <f t="shared" si="123"/>
        <v>0</v>
      </c>
      <c r="AM1584" s="1064">
        <f t="shared" si="124"/>
        <v>0</v>
      </c>
      <c r="AN1584" s="1064"/>
      <c r="AO1584" s="1064">
        <f>TB_curr[[#This Row],[Closing balance]]+TB_curr[[#This Row],[Rounding]]</f>
        <v>0</v>
      </c>
    </row>
    <row r="1585" spans="30:41" x14ac:dyDescent="0.25">
      <c r="AD1585" s="1067" t="str">
        <f t="shared" si="120"/>
        <v/>
      </c>
      <c r="AE1585" s="1063" t="str">
        <f>IF(ISNA(VLOOKUP(TB_curr[[#This Row],[Synt]],GL[[#Headers],[#Data],[subtotal label]],1,FALSE)),0,(VLOOKUP(TB_curr[[#This Row],[Synt]],GL[[#Headers],[#Data],[subtotal label]],1,FALSE)))</f>
        <v/>
      </c>
      <c r="AF1585" s="1063" t="e">
        <f>IF((TB_curr[[#This Row],[Synt]]-TB_curr[[#This Row],[Subtotal Y/N]])=0,0,VLOOKUP(TB_curr[[#This Row],[Synt]],GL[[Account]:[Line]],3,FALSE))</f>
        <v>#VALUE!</v>
      </c>
      <c r="AG1585" s="1063" t="e">
        <f>VLOOKUP(TB_curr[[#This Row],[Synt]],GL[[Account]:[B/P]],4,FALSE)</f>
        <v>#N/A</v>
      </c>
      <c r="AH1585" s="1066" t="e">
        <v>#VALUE!</v>
      </c>
      <c r="AI1585" s="1065" t="e">
        <f>TB_curr[[#This Row],[Synt]]&amp;TB_curr[[#This Row],[Line No. manual corr.]]</f>
        <v>#VALUE!</v>
      </c>
      <c r="AJ1585" s="1064">
        <f t="shared" si="121"/>
        <v>0</v>
      </c>
      <c r="AK1585" s="1064">
        <f t="shared" si="122"/>
        <v>0</v>
      </c>
      <c r="AL1585" s="1064">
        <f t="shared" si="123"/>
        <v>0</v>
      </c>
      <c r="AM1585" s="1064">
        <f t="shared" si="124"/>
        <v>0</v>
      </c>
      <c r="AN1585" s="1064"/>
      <c r="AO1585" s="1064">
        <f>TB_curr[[#This Row],[Closing balance]]+TB_curr[[#This Row],[Rounding]]</f>
        <v>0</v>
      </c>
    </row>
    <row r="1586" spans="30:41" x14ac:dyDescent="0.25">
      <c r="AD1586" s="1067" t="str">
        <f t="shared" si="120"/>
        <v/>
      </c>
      <c r="AE1586" s="1063" t="str">
        <f>IF(ISNA(VLOOKUP(TB_curr[[#This Row],[Synt]],GL[[#Headers],[#Data],[subtotal label]],1,FALSE)),0,(VLOOKUP(TB_curr[[#This Row],[Synt]],GL[[#Headers],[#Data],[subtotal label]],1,FALSE)))</f>
        <v/>
      </c>
      <c r="AF1586" s="1063" t="e">
        <f>IF((TB_curr[[#This Row],[Synt]]-TB_curr[[#This Row],[Subtotal Y/N]])=0,0,VLOOKUP(TB_curr[[#This Row],[Synt]],GL[[Account]:[Line]],3,FALSE))</f>
        <v>#VALUE!</v>
      </c>
      <c r="AG1586" s="1063" t="e">
        <f>VLOOKUP(TB_curr[[#This Row],[Synt]],GL[[Account]:[B/P]],4,FALSE)</f>
        <v>#N/A</v>
      </c>
      <c r="AH1586" s="1066" t="e">
        <v>#VALUE!</v>
      </c>
      <c r="AI1586" s="1065" t="e">
        <f>TB_curr[[#This Row],[Synt]]&amp;TB_curr[[#This Row],[Line No. manual corr.]]</f>
        <v>#VALUE!</v>
      </c>
      <c r="AJ1586" s="1064">
        <f t="shared" si="121"/>
        <v>0</v>
      </c>
      <c r="AK1586" s="1064">
        <f t="shared" si="122"/>
        <v>0</v>
      </c>
      <c r="AL1586" s="1064">
        <f t="shared" si="123"/>
        <v>0</v>
      </c>
      <c r="AM1586" s="1064">
        <f t="shared" si="124"/>
        <v>0</v>
      </c>
      <c r="AN1586" s="1064"/>
      <c r="AO1586" s="1064">
        <f>TB_curr[[#This Row],[Closing balance]]+TB_curr[[#This Row],[Rounding]]</f>
        <v>0</v>
      </c>
    </row>
    <row r="1587" spans="30:41" x14ac:dyDescent="0.25">
      <c r="AD1587" s="1067" t="str">
        <f t="shared" si="120"/>
        <v/>
      </c>
      <c r="AE1587" s="1063" t="str">
        <f>IF(ISNA(VLOOKUP(TB_curr[[#This Row],[Synt]],GL[[#Headers],[#Data],[subtotal label]],1,FALSE)),0,(VLOOKUP(TB_curr[[#This Row],[Synt]],GL[[#Headers],[#Data],[subtotal label]],1,FALSE)))</f>
        <v/>
      </c>
      <c r="AF1587" s="1063" t="e">
        <f>IF((TB_curr[[#This Row],[Synt]]-TB_curr[[#This Row],[Subtotal Y/N]])=0,0,VLOOKUP(TB_curr[[#This Row],[Synt]],GL[[Account]:[Line]],3,FALSE))</f>
        <v>#VALUE!</v>
      </c>
      <c r="AG1587" s="1063" t="e">
        <f>VLOOKUP(TB_curr[[#This Row],[Synt]],GL[[Account]:[B/P]],4,FALSE)</f>
        <v>#N/A</v>
      </c>
      <c r="AH1587" s="1066" t="e">
        <v>#VALUE!</v>
      </c>
      <c r="AI1587" s="1065" t="e">
        <f>TB_curr[[#This Row],[Synt]]&amp;TB_curr[[#This Row],[Line No. manual corr.]]</f>
        <v>#VALUE!</v>
      </c>
      <c r="AJ1587" s="1064">
        <f t="shared" si="121"/>
        <v>0</v>
      </c>
      <c r="AK1587" s="1064">
        <f t="shared" si="122"/>
        <v>0</v>
      </c>
      <c r="AL1587" s="1064">
        <f t="shared" si="123"/>
        <v>0</v>
      </c>
      <c r="AM1587" s="1064">
        <f t="shared" si="124"/>
        <v>0</v>
      </c>
      <c r="AN1587" s="1064"/>
      <c r="AO1587" s="1064">
        <f>TB_curr[[#This Row],[Closing balance]]+TB_curr[[#This Row],[Rounding]]</f>
        <v>0</v>
      </c>
    </row>
    <row r="1588" spans="30:41" x14ac:dyDescent="0.25">
      <c r="AD1588" s="1067" t="str">
        <f t="shared" si="120"/>
        <v/>
      </c>
      <c r="AE1588" s="1063" t="str">
        <f>IF(ISNA(VLOOKUP(TB_curr[[#This Row],[Synt]],GL[[#Headers],[#Data],[subtotal label]],1,FALSE)),0,(VLOOKUP(TB_curr[[#This Row],[Synt]],GL[[#Headers],[#Data],[subtotal label]],1,FALSE)))</f>
        <v/>
      </c>
      <c r="AF1588" s="1063" t="e">
        <f>IF((TB_curr[[#This Row],[Synt]]-TB_curr[[#This Row],[Subtotal Y/N]])=0,0,VLOOKUP(TB_curr[[#This Row],[Synt]],GL[[Account]:[Line]],3,FALSE))</f>
        <v>#VALUE!</v>
      </c>
      <c r="AG1588" s="1063" t="e">
        <f>VLOOKUP(TB_curr[[#This Row],[Synt]],GL[[Account]:[B/P]],4,FALSE)</f>
        <v>#N/A</v>
      </c>
      <c r="AH1588" s="1066" t="e">
        <v>#VALUE!</v>
      </c>
      <c r="AI1588" s="1065" t="e">
        <f>TB_curr[[#This Row],[Synt]]&amp;TB_curr[[#This Row],[Line No. manual corr.]]</f>
        <v>#VALUE!</v>
      </c>
      <c r="AJ1588" s="1064">
        <f t="shared" si="121"/>
        <v>0</v>
      </c>
      <c r="AK1588" s="1064">
        <f t="shared" si="122"/>
        <v>0</v>
      </c>
      <c r="AL1588" s="1064">
        <f t="shared" si="123"/>
        <v>0</v>
      </c>
      <c r="AM1588" s="1064">
        <f t="shared" si="124"/>
        <v>0</v>
      </c>
      <c r="AN1588" s="1064"/>
      <c r="AO1588" s="1064">
        <f>TB_curr[[#This Row],[Closing balance]]+TB_curr[[#This Row],[Rounding]]</f>
        <v>0</v>
      </c>
    </row>
    <row r="1589" spans="30:41" x14ac:dyDescent="0.25">
      <c r="AD1589" s="1067" t="str">
        <f t="shared" si="120"/>
        <v/>
      </c>
      <c r="AE1589" s="1063" t="str">
        <f>IF(ISNA(VLOOKUP(TB_curr[[#This Row],[Synt]],GL[[#Headers],[#Data],[subtotal label]],1,FALSE)),0,(VLOOKUP(TB_curr[[#This Row],[Synt]],GL[[#Headers],[#Data],[subtotal label]],1,FALSE)))</f>
        <v/>
      </c>
      <c r="AF1589" s="1063" t="e">
        <f>IF((TB_curr[[#This Row],[Synt]]-TB_curr[[#This Row],[Subtotal Y/N]])=0,0,VLOOKUP(TB_curr[[#This Row],[Synt]],GL[[Account]:[Line]],3,FALSE))</f>
        <v>#VALUE!</v>
      </c>
      <c r="AG1589" s="1063" t="e">
        <f>VLOOKUP(TB_curr[[#This Row],[Synt]],GL[[Account]:[B/P]],4,FALSE)</f>
        <v>#N/A</v>
      </c>
      <c r="AH1589" s="1066" t="e">
        <v>#VALUE!</v>
      </c>
      <c r="AI1589" s="1065" t="e">
        <f>TB_curr[[#This Row],[Synt]]&amp;TB_curr[[#This Row],[Line No. manual corr.]]</f>
        <v>#VALUE!</v>
      </c>
      <c r="AJ1589" s="1064">
        <f t="shared" si="121"/>
        <v>0</v>
      </c>
      <c r="AK1589" s="1064">
        <f t="shared" si="122"/>
        <v>0</v>
      </c>
      <c r="AL1589" s="1064">
        <f t="shared" si="123"/>
        <v>0</v>
      </c>
      <c r="AM1589" s="1064">
        <f t="shared" si="124"/>
        <v>0</v>
      </c>
      <c r="AN1589" s="1064"/>
      <c r="AO1589" s="1064">
        <f>TB_curr[[#This Row],[Closing balance]]+TB_curr[[#This Row],[Rounding]]</f>
        <v>0</v>
      </c>
    </row>
    <row r="1590" spans="30:41" x14ac:dyDescent="0.25">
      <c r="AD1590" s="1067" t="str">
        <f t="shared" si="120"/>
        <v/>
      </c>
      <c r="AE1590" s="1063" t="str">
        <f>IF(ISNA(VLOOKUP(TB_curr[[#This Row],[Synt]],GL[[#Headers],[#Data],[subtotal label]],1,FALSE)),0,(VLOOKUP(TB_curr[[#This Row],[Synt]],GL[[#Headers],[#Data],[subtotal label]],1,FALSE)))</f>
        <v/>
      </c>
      <c r="AF1590" s="1063" t="e">
        <f>IF((TB_curr[[#This Row],[Synt]]-TB_curr[[#This Row],[Subtotal Y/N]])=0,0,VLOOKUP(TB_curr[[#This Row],[Synt]],GL[[Account]:[Line]],3,FALSE))</f>
        <v>#VALUE!</v>
      </c>
      <c r="AG1590" s="1063" t="e">
        <f>VLOOKUP(TB_curr[[#This Row],[Synt]],GL[[Account]:[B/P]],4,FALSE)</f>
        <v>#N/A</v>
      </c>
      <c r="AH1590" s="1066" t="e">
        <v>#VALUE!</v>
      </c>
      <c r="AI1590" s="1065" t="e">
        <f>TB_curr[[#This Row],[Synt]]&amp;TB_curr[[#This Row],[Line No. manual corr.]]</f>
        <v>#VALUE!</v>
      </c>
      <c r="AJ1590" s="1064">
        <f t="shared" si="121"/>
        <v>0</v>
      </c>
      <c r="AK1590" s="1064">
        <f t="shared" si="122"/>
        <v>0</v>
      </c>
      <c r="AL1590" s="1064">
        <f t="shared" si="123"/>
        <v>0</v>
      </c>
      <c r="AM1590" s="1064">
        <f t="shared" si="124"/>
        <v>0</v>
      </c>
      <c r="AN1590" s="1064"/>
      <c r="AO1590" s="1064">
        <f>TB_curr[[#This Row],[Closing balance]]+TB_curr[[#This Row],[Rounding]]</f>
        <v>0</v>
      </c>
    </row>
    <row r="1591" spans="30:41" x14ac:dyDescent="0.25">
      <c r="AD1591" s="1067" t="str">
        <f t="shared" si="120"/>
        <v/>
      </c>
      <c r="AE1591" s="1063" t="str">
        <f>IF(ISNA(VLOOKUP(TB_curr[[#This Row],[Synt]],GL[[#Headers],[#Data],[subtotal label]],1,FALSE)),0,(VLOOKUP(TB_curr[[#This Row],[Synt]],GL[[#Headers],[#Data],[subtotal label]],1,FALSE)))</f>
        <v/>
      </c>
      <c r="AF1591" s="1063" t="e">
        <f>IF((TB_curr[[#This Row],[Synt]]-TB_curr[[#This Row],[Subtotal Y/N]])=0,0,VLOOKUP(TB_curr[[#This Row],[Synt]],GL[[Account]:[Line]],3,FALSE))</f>
        <v>#VALUE!</v>
      </c>
      <c r="AG1591" s="1063" t="e">
        <f>VLOOKUP(TB_curr[[#This Row],[Synt]],GL[[Account]:[B/P]],4,FALSE)</f>
        <v>#N/A</v>
      </c>
      <c r="AH1591" s="1066" t="e">
        <v>#VALUE!</v>
      </c>
      <c r="AI1591" s="1065" t="e">
        <f>TB_curr[[#This Row],[Synt]]&amp;TB_curr[[#This Row],[Line No. manual corr.]]</f>
        <v>#VALUE!</v>
      </c>
      <c r="AJ1591" s="1064">
        <f t="shared" si="121"/>
        <v>0</v>
      </c>
      <c r="AK1591" s="1064">
        <f t="shared" si="122"/>
        <v>0</v>
      </c>
      <c r="AL1591" s="1064">
        <f t="shared" si="123"/>
        <v>0</v>
      </c>
      <c r="AM1591" s="1064">
        <f t="shared" si="124"/>
        <v>0</v>
      </c>
      <c r="AN1591" s="1064"/>
      <c r="AO1591" s="1064">
        <f>TB_curr[[#This Row],[Closing balance]]+TB_curr[[#This Row],[Rounding]]</f>
        <v>0</v>
      </c>
    </row>
    <row r="1592" spans="30:41" x14ac:dyDescent="0.25">
      <c r="AD1592" s="1067" t="str">
        <f t="shared" si="120"/>
        <v/>
      </c>
      <c r="AE1592" s="1063" t="str">
        <f>IF(ISNA(VLOOKUP(TB_curr[[#This Row],[Synt]],GL[[#Headers],[#Data],[subtotal label]],1,FALSE)),0,(VLOOKUP(TB_curr[[#This Row],[Synt]],GL[[#Headers],[#Data],[subtotal label]],1,FALSE)))</f>
        <v/>
      </c>
      <c r="AF1592" s="1063" t="e">
        <f>IF((TB_curr[[#This Row],[Synt]]-TB_curr[[#This Row],[Subtotal Y/N]])=0,0,VLOOKUP(TB_curr[[#This Row],[Synt]],GL[[Account]:[Line]],3,FALSE))</f>
        <v>#VALUE!</v>
      </c>
      <c r="AG1592" s="1063" t="e">
        <f>VLOOKUP(TB_curr[[#This Row],[Synt]],GL[[Account]:[B/P]],4,FALSE)</f>
        <v>#N/A</v>
      </c>
      <c r="AH1592" s="1066" t="e">
        <v>#VALUE!</v>
      </c>
      <c r="AI1592" s="1065" t="e">
        <f>TB_curr[[#This Row],[Synt]]&amp;TB_curr[[#This Row],[Line No. manual corr.]]</f>
        <v>#VALUE!</v>
      </c>
      <c r="AJ1592" s="1064">
        <f t="shared" si="121"/>
        <v>0</v>
      </c>
      <c r="AK1592" s="1064">
        <f t="shared" si="122"/>
        <v>0</v>
      </c>
      <c r="AL1592" s="1064">
        <f t="shared" si="123"/>
        <v>0</v>
      </c>
      <c r="AM1592" s="1064">
        <f t="shared" si="124"/>
        <v>0</v>
      </c>
      <c r="AN1592" s="1064"/>
      <c r="AO1592" s="1064">
        <f>TB_curr[[#This Row],[Closing balance]]+TB_curr[[#This Row],[Rounding]]</f>
        <v>0</v>
      </c>
    </row>
    <row r="1593" spans="30:41" x14ac:dyDescent="0.25">
      <c r="AD1593" s="1067" t="str">
        <f t="shared" si="120"/>
        <v/>
      </c>
      <c r="AE1593" s="1063" t="str">
        <f>IF(ISNA(VLOOKUP(TB_curr[[#This Row],[Synt]],GL[[#Headers],[#Data],[subtotal label]],1,FALSE)),0,(VLOOKUP(TB_curr[[#This Row],[Synt]],GL[[#Headers],[#Data],[subtotal label]],1,FALSE)))</f>
        <v/>
      </c>
      <c r="AF1593" s="1063" t="e">
        <f>IF((TB_curr[[#This Row],[Synt]]-TB_curr[[#This Row],[Subtotal Y/N]])=0,0,VLOOKUP(TB_curr[[#This Row],[Synt]],GL[[Account]:[Line]],3,FALSE))</f>
        <v>#VALUE!</v>
      </c>
      <c r="AG1593" s="1063" t="e">
        <f>VLOOKUP(TB_curr[[#This Row],[Synt]],GL[[Account]:[B/P]],4,FALSE)</f>
        <v>#N/A</v>
      </c>
      <c r="AH1593" s="1066" t="e">
        <v>#VALUE!</v>
      </c>
      <c r="AI1593" s="1065" t="e">
        <f>TB_curr[[#This Row],[Synt]]&amp;TB_curr[[#This Row],[Line No. manual corr.]]</f>
        <v>#VALUE!</v>
      </c>
      <c r="AJ1593" s="1064">
        <f t="shared" si="121"/>
        <v>0</v>
      </c>
      <c r="AK1593" s="1064">
        <f t="shared" si="122"/>
        <v>0</v>
      </c>
      <c r="AL1593" s="1064">
        <f t="shared" si="123"/>
        <v>0</v>
      </c>
      <c r="AM1593" s="1064">
        <f t="shared" si="124"/>
        <v>0</v>
      </c>
      <c r="AN1593" s="1064"/>
      <c r="AO1593" s="1064">
        <f>TB_curr[[#This Row],[Closing balance]]+TB_curr[[#This Row],[Rounding]]</f>
        <v>0</v>
      </c>
    </row>
    <row r="1594" spans="30:41" x14ac:dyDescent="0.25">
      <c r="AD1594" s="1067" t="str">
        <f t="shared" si="120"/>
        <v/>
      </c>
      <c r="AE1594" s="1063" t="str">
        <f>IF(ISNA(VLOOKUP(TB_curr[[#This Row],[Synt]],GL[[#Headers],[#Data],[subtotal label]],1,FALSE)),0,(VLOOKUP(TB_curr[[#This Row],[Synt]],GL[[#Headers],[#Data],[subtotal label]],1,FALSE)))</f>
        <v/>
      </c>
      <c r="AF1594" s="1063" t="e">
        <f>IF((TB_curr[[#This Row],[Synt]]-TB_curr[[#This Row],[Subtotal Y/N]])=0,0,VLOOKUP(TB_curr[[#This Row],[Synt]],GL[[Account]:[Line]],3,FALSE))</f>
        <v>#VALUE!</v>
      </c>
      <c r="AG1594" s="1063" t="e">
        <f>VLOOKUP(TB_curr[[#This Row],[Synt]],GL[[Account]:[B/P]],4,FALSE)</f>
        <v>#N/A</v>
      </c>
      <c r="AH1594" s="1066" t="e">
        <v>#VALUE!</v>
      </c>
      <c r="AI1594" s="1065" t="e">
        <f>TB_curr[[#This Row],[Synt]]&amp;TB_curr[[#This Row],[Line No. manual corr.]]</f>
        <v>#VALUE!</v>
      </c>
      <c r="AJ1594" s="1064">
        <f t="shared" si="121"/>
        <v>0</v>
      </c>
      <c r="AK1594" s="1064">
        <f t="shared" si="122"/>
        <v>0</v>
      </c>
      <c r="AL1594" s="1064">
        <f t="shared" si="123"/>
        <v>0</v>
      </c>
      <c r="AM1594" s="1064">
        <f t="shared" si="124"/>
        <v>0</v>
      </c>
      <c r="AN1594" s="1064"/>
      <c r="AO1594" s="1064">
        <f>TB_curr[[#This Row],[Closing balance]]+TB_curr[[#This Row],[Rounding]]</f>
        <v>0</v>
      </c>
    </row>
    <row r="1595" spans="30:41" x14ac:dyDescent="0.25">
      <c r="AD1595" s="1067" t="str">
        <f t="shared" si="120"/>
        <v/>
      </c>
      <c r="AE1595" s="1063" t="str">
        <f>IF(ISNA(VLOOKUP(TB_curr[[#This Row],[Synt]],GL[[#Headers],[#Data],[subtotal label]],1,FALSE)),0,(VLOOKUP(TB_curr[[#This Row],[Synt]],GL[[#Headers],[#Data],[subtotal label]],1,FALSE)))</f>
        <v/>
      </c>
      <c r="AF1595" s="1063" t="e">
        <f>IF((TB_curr[[#This Row],[Synt]]-TB_curr[[#This Row],[Subtotal Y/N]])=0,0,VLOOKUP(TB_curr[[#This Row],[Synt]],GL[[Account]:[Line]],3,FALSE))</f>
        <v>#VALUE!</v>
      </c>
      <c r="AG1595" s="1063" t="e">
        <f>VLOOKUP(TB_curr[[#This Row],[Synt]],GL[[Account]:[B/P]],4,FALSE)</f>
        <v>#N/A</v>
      </c>
      <c r="AH1595" s="1066" t="e">
        <v>#VALUE!</v>
      </c>
      <c r="AI1595" s="1065" t="e">
        <f>TB_curr[[#This Row],[Synt]]&amp;TB_curr[[#This Row],[Line No. manual corr.]]</f>
        <v>#VALUE!</v>
      </c>
      <c r="AJ1595" s="1064">
        <f t="shared" si="121"/>
        <v>0</v>
      </c>
      <c r="AK1595" s="1064">
        <f t="shared" si="122"/>
        <v>0</v>
      </c>
      <c r="AL1595" s="1064">
        <f t="shared" si="123"/>
        <v>0</v>
      </c>
      <c r="AM1595" s="1064">
        <f t="shared" si="124"/>
        <v>0</v>
      </c>
      <c r="AN1595" s="1064"/>
      <c r="AO1595" s="1064">
        <f>TB_curr[[#This Row],[Closing balance]]+TB_curr[[#This Row],[Rounding]]</f>
        <v>0</v>
      </c>
    </row>
    <row r="1596" spans="30:41" x14ac:dyDescent="0.25">
      <c r="AD1596" s="1067" t="str">
        <f t="shared" si="120"/>
        <v/>
      </c>
      <c r="AE1596" s="1063" t="str">
        <f>IF(ISNA(VLOOKUP(TB_curr[[#This Row],[Synt]],GL[[#Headers],[#Data],[subtotal label]],1,FALSE)),0,(VLOOKUP(TB_curr[[#This Row],[Synt]],GL[[#Headers],[#Data],[subtotal label]],1,FALSE)))</f>
        <v/>
      </c>
      <c r="AF1596" s="1063" t="e">
        <f>IF((TB_curr[[#This Row],[Synt]]-TB_curr[[#This Row],[Subtotal Y/N]])=0,0,VLOOKUP(TB_curr[[#This Row],[Synt]],GL[[Account]:[Line]],3,FALSE))</f>
        <v>#VALUE!</v>
      </c>
      <c r="AG1596" s="1063" t="e">
        <f>VLOOKUP(TB_curr[[#This Row],[Synt]],GL[[Account]:[B/P]],4,FALSE)</f>
        <v>#N/A</v>
      </c>
      <c r="AH1596" s="1066" t="e">
        <v>#VALUE!</v>
      </c>
      <c r="AI1596" s="1065" t="e">
        <f>TB_curr[[#This Row],[Synt]]&amp;TB_curr[[#This Row],[Line No. manual corr.]]</f>
        <v>#VALUE!</v>
      </c>
      <c r="AJ1596" s="1064">
        <f t="shared" si="121"/>
        <v>0</v>
      </c>
      <c r="AK1596" s="1064">
        <f t="shared" si="122"/>
        <v>0</v>
      </c>
      <c r="AL1596" s="1064">
        <f t="shared" si="123"/>
        <v>0</v>
      </c>
      <c r="AM1596" s="1064">
        <f t="shared" si="124"/>
        <v>0</v>
      </c>
      <c r="AN1596" s="1064"/>
      <c r="AO1596" s="1064">
        <f>TB_curr[[#This Row],[Closing balance]]+TB_curr[[#This Row],[Rounding]]</f>
        <v>0</v>
      </c>
    </row>
    <row r="1597" spans="30:41" x14ac:dyDescent="0.25">
      <c r="AD1597" s="1067" t="str">
        <f t="shared" si="120"/>
        <v/>
      </c>
      <c r="AE1597" s="1063" t="str">
        <f>IF(ISNA(VLOOKUP(TB_curr[[#This Row],[Synt]],GL[[#Headers],[#Data],[subtotal label]],1,FALSE)),0,(VLOOKUP(TB_curr[[#This Row],[Synt]],GL[[#Headers],[#Data],[subtotal label]],1,FALSE)))</f>
        <v/>
      </c>
      <c r="AF1597" s="1063" t="e">
        <f>IF((TB_curr[[#This Row],[Synt]]-TB_curr[[#This Row],[Subtotal Y/N]])=0,0,VLOOKUP(TB_curr[[#This Row],[Synt]],GL[[Account]:[Line]],3,FALSE))</f>
        <v>#VALUE!</v>
      </c>
      <c r="AG1597" s="1063" t="e">
        <f>VLOOKUP(TB_curr[[#This Row],[Synt]],GL[[Account]:[B/P]],4,FALSE)</f>
        <v>#N/A</v>
      </c>
      <c r="AH1597" s="1066" t="e">
        <v>#VALUE!</v>
      </c>
      <c r="AI1597" s="1065" t="e">
        <f>TB_curr[[#This Row],[Synt]]&amp;TB_curr[[#This Row],[Line No. manual corr.]]</f>
        <v>#VALUE!</v>
      </c>
      <c r="AJ1597" s="1064">
        <f t="shared" si="121"/>
        <v>0</v>
      </c>
      <c r="AK1597" s="1064">
        <f t="shared" si="122"/>
        <v>0</v>
      </c>
      <c r="AL1597" s="1064">
        <f t="shared" si="123"/>
        <v>0</v>
      </c>
      <c r="AM1597" s="1064">
        <f t="shared" si="124"/>
        <v>0</v>
      </c>
      <c r="AN1597" s="1064"/>
      <c r="AO1597" s="1064">
        <f>TB_curr[[#This Row],[Closing balance]]+TB_curr[[#This Row],[Rounding]]</f>
        <v>0</v>
      </c>
    </row>
    <row r="1598" spans="30:41" x14ac:dyDescent="0.25">
      <c r="AD1598" s="1067" t="str">
        <f t="shared" si="120"/>
        <v/>
      </c>
      <c r="AE1598" s="1063" t="str">
        <f>IF(ISNA(VLOOKUP(TB_curr[[#This Row],[Synt]],GL[[#Headers],[#Data],[subtotal label]],1,FALSE)),0,(VLOOKUP(TB_curr[[#This Row],[Synt]],GL[[#Headers],[#Data],[subtotal label]],1,FALSE)))</f>
        <v/>
      </c>
      <c r="AF1598" s="1063" t="e">
        <f>IF((TB_curr[[#This Row],[Synt]]-TB_curr[[#This Row],[Subtotal Y/N]])=0,0,VLOOKUP(TB_curr[[#This Row],[Synt]],GL[[Account]:[Line]],3,FALSE))</f>
        <v>#VALUE!</v>
      </c>
      <c r="AG1598" s="1063" t="e">
        <f>VLOOKUP(TB_curr[[#This Row],[Synt]],GL[[Account]:[B/P]],4,FALSE)</f>
        <v>#N/A</v>
      </c>
      <c r="AH1598" s="1066" t="e">
        <v>#VALUE!</v>
      </c>
      <c r="AI1598" s="1065" t="e">
        <f>TB_curr[[#This Row],[Synt]]&amp;TB_curr[[#This Row],[Line No. manual corr.]]</f>
        <v>#VALUE!</v>
      </c>
      <c r="AJ1598" s="1064">
        <f t="shared" si="121"/>
        <v>0</v>
      </c>
      <c r="AK1598" s="1064">
        <f t="shared" si="122"/>
        <v>0</v>
      </c>
      <c r="AL1598" s="1064">
        <f t="shared" si="123"/>
        <v>0</v>
      </c>
      <c r="AM1598" s="1064">
        <f t="shared" si="124"/>
        <v>0</v>
      </c>
      <c r="AN1598" s="1064"/>
      <c r="AO1598" s="1064">
        <f>TB_curr[[#This Row],[Closing balance]]+TB_curr[[#This Row],[Rounding]]</f>
        <v>0</v>
      </c>
    </row>
    <row r="1599" spans="30:41" x14ac:dyDescent="0.25">
      <c r="AD1599" s="1067" t="str">
        <f t="shared" si="120"/>
        <v/>
      </c>
      <c r="AE1599" s="1063" t="str">
        <f>IF(ISNA(VLOOKUP(TB_curr[[#This Row],[Synt]],GL[[#Headers],[#Data],[subtotal label]],1,FALSE)),0,(VLOOKUP(TB_curr[[#This Row],[Synt]],GL[[#Headers],[#Data],[subtotal label]],1,FALSE)))</f>
        <v/>
      </c>
      <c r="AF1599" s="1063" t="e">
        <f>IF((TB_curr[[#This Row],[Synt]]-TB_curr[[#This Row],[Subtotal Y/N]])=0,0,VLOOKUP(TB_curr[[#This Row],[Synt]],GL[[Account]:[Line]],3,FALSE))</f>
        <v>#VALUE!</v>
      </c>
      <c r="AG1599" s="1063" t="e">
        <f>VLOOKUP(TB_curr[[#This Row],[Synt]],GL[[Account]:[B/P]],4,FALSE)</f>
        <v>#N/A</v>
      </c>
      <c r="AH1599" s="1066" t="e">
        <v>#VALUE!</v>
      </c>
      <c r="AI1599" s="1065" t="e">
        <f>TB_curr[[#This Row],[Synt]]&amp;TB_curr[[#This Row],[Line No. manual corr.]]</f>
        <v>#VALUE!</v>
      </c>
      <c r="AJ1599" s="1064">
        <f t="shared" si="121"/>
        <v>0</v>
      </c>
      <c r="AK1599" s="1064">
        <f t="shared" si="122"/>
        <v>0</v>
      </c>
      <c r="AL1599" s="1064">
        <f t="shared" si="123"/>
        <v>0</v>
      </c>
      <c r="AM1599" s="1064">
        <f t="shared" si="124"/>
        <v>0</v>
      </c>
      <c r="AN1599" s="1064"/>
      <c r="AO1599" s="1064">
        <f>TB_curr[[#This Row],[Closing balance]]+TB_curr[[#This Row],[Rounding]]</f>
        <v>0</v>
      </c>
    </row>
    <row r="1600" spans="30:41" x14ac:dyDescent="0.2">
      <c r="AD1600" s="1158" t="s">
        <v>1539</v>
      </c>
      <c r="AE1600" s="1158"/>
      <c r="AF1600" s="1158"/>
      <c r="AG1600" s="1158"/>
      <c r="AH1600" s="1158"/>
      <c r="AI1600" s="1158"/>
      <c r="AJ1600" s="1159">
        <f>SUBTOTAL(109,TB_curr[Opening balance])</f>
        <v>0</v>
      </c>
      <c r="AK1600" s="1159">
        <f>SUBTOTAL(109,TB_curr[Turnover MD])</f>
        <v>0</v>
      </c>
      <c r="AL1600" s="1159">
        <f>SUBTOTAL(109,TB_curr[Turnover D])</f>
        <v>0</v>
      </c>
      <c r="AM1600" s="1159">
        <f>SUBTOTAL(109,TB_curr[Closing balance])</f>
        <v>0</v>
      </c>
      <c r="AN1600" s="1159">
        <f>SUBTOTAL(109,TB_curr[Rounding])</f>
        <v>0</v>
      </c>
      <c r="AO1600" s="1159">
        <f>SUBTOTAL(109,TB_curr[Final balance])</f>
        <v>0</v>
      </c>
    </row>
  </sheetData>
  <mergeCells count="291">
    <mergeCell ref="K54:L54"/>
    <mergeCell ref="N54:O54"/>
    <mergeCell ref="Q54:S54"/>
    <mergeCell ref="U54:V54"/>
    <mergeCell ref="X54:Z54"/>
    <mergeCell ref="AB54:AC54"/>
    <mergeCell ref="K56:L56"/>
    <mergeCell ref="N56:O56"/>
    <mergeCell ref="Q56:S56"/>
    <mergeCell ref="U56:V56"/>
    <mergeCell ref="X56:Z56"/>
    <mergeCell ref="AB56:AC56"/>
    <mergeCell ref="K52:L52"/>
    <mergeCell ref="N52:O52"/>
    <mergeCell ref="Q52:S52"/>
    <mergeCell ref="U52:V52"/>
    <mergeCell ref="X52:Z52"/>
    <mergeCell ref="AB52:AC52"/>
    <mergeCell ref="K53:L53"/>
    <mergeCell ref="N53:O53"/>
    <mergeCell ref="Q53:S53"/>
    <mergeCell ref="U53:V53"/>
    <mergeCell ref="X53:Z53"/>
    <mergeCell ref="AB53:AC53"/>
    <mergeCell ref="K50:L50"/>
    <mergeCell ref="N50:O50"/>
    <mergeCell ref="Q50:S50"/>
    <mergeCell ref="U50:V50"/>
    <mergeCell ref="X50:Z50"/>
    <mergeCell ref="AB50:AC50"/>
    <mergeCell ref="K51:L51"/>
    <mergeCell ref="N51:O51"/>
    <mergeCell ref="Q51:S51"/>
    <mergeCell ref="U51:V51"/>
    <mergeCell ref="X51:Z51"/>
    <mergeCell ref="AB51:AC51"/>
    <mergeCell ref="K48:L48"/>
    <mergeCell ref="N48:O48"/>
    <mergeCell ref="Q48:S48"/>
    <mergeCell ref="U48:V48"/>
    <mergeCell ref="X48:Z48"/>
    <mergeCell ref="AB48:AC48"/>
    <mergeCell ref="K49:L49"/>
    <mergeCell ref="N49:O49"/>
    <mergeCell ref="Q49:S49"/>
    <mergeCell ref="U49:V49"/>
    <mergeCell ref="X49:Z49"/>
    <mergeCell ref="AB49:AC49"/>
    <mergeCell ref="K46:L46"/>
    <mergeCell ref="N46:O46"/>
    <mergeCell ref="Q46:S46"/>
    <mergeCell ref="U46:V46"/>
    <mergeCell ref="X46:Z46"/>
    <mergeCell ref="AB46:AC46"/>
    <mergeCell ref="K47:L47"/>
    <mergeCell ref="N47:O47"/>
    <mergeCell ref="Q47:S47"/>
    <mergeCell ref="U47:V47"/>
    <mergeCell ref="X47:Z47"/>
    <mergeCell ref="AB47:AC47"/>
    <mergeCell ref="K44:L44"/>
    <mergeCell ref="N44:O44"/>
    <mergeCell ref="Q44:S44"/>
    <mergeCell ref="U44:V44"/>
    <mergeCell ref="X44:Z44"/>
    <mergeCell ref="AB44:AC44"/>
    <mergeCell ref="K45:L45"/>
    <mergeCell ref="N45:O45"/>
    <mergeCell ref="Q45:S45"/>
    <mergeCell ref="U45:V45"/>
    <mergeCell ref="X45:Z45"/>
    <mergeCell ref="AB45:AC45"/>
    <mergeCell ref="K42:L42"/>
    <mergeCell ref="N42:O42"/>
    <mergeCell ref="Q42:S42"/>
    <mergeCell ref="U42:V42"/>
    <mergeCell ref="X42:Z42"/>
    <mergeCell ref="AB42:AC42"/>
    <mergeCell ref="K43:L43"/>
    <mergeCell ref="N43:O43"/>
    <mergeCell ref="Q43:S43"/>
    <mergeCell ref="U43:V43"/>
    <mergeCell ref="X43:Z43"/>
    <mergeCell ref="AB43:AC43"/>
    <mergeCell ref="K40:L40"/>
    <mergeCell ref="N40:O40"/>
    <mergeCell ref="Q40:S40"/>
    <mergeCell ref="U40:V40"/>
    <mergeCell ref="X40:Z40"/>
    <mergeCell ref="AB40:AC40"/>
    <mergeCell ref="K41:L41"/>
    <mergeCell ref="N41:O41"/>
    <mergeCell ref="Q41:S41"/>
    <mergeCell ref="U41:V41"/>
    <mergeCell ref="X41:Z41"/>
    <mergeCell ref="AB41:AC41"/>
    <mergeCell ref="K38:L38"/>
    <mergeCell ref="N38:O38"/>
    <mergeCell ref="Q38:S38"/>
    <mergeCell ref="U38:V38"/>
    <mergeCell ref="X38:Z38"/>
    <mergeCell ref="AB38:AC38"/>
    <mergeCell ref="K39:L39"/>
    <mergeCell ref="N39:O39"/>
    <mergeCell ref="Q39:S39"/>
    <mergeCell ref="U39:V39"/>
    <mergeCell ref="X39:Z39"/>
    <mergeCell ref="AB39:AC39"/>
    <mergeCell ref="K36:L36"/>
    <mergeCell ref="N36:O36"/>
    <mergeCell ref="Q36:S36"/>
    <mergeCell ref="U36:V36"/>
    <mergeCell ref="X36:Z36"/>
    <mergeCell ref="AB36:AC36"/>
    <mergeCell ref="K37:L37"/>
    <mergeCell ref="N37:O37"/>
    <mergeCell ref="Q37:S37"/>
    <mergeCell ref="U37:V37"/>
    <mergeCell ref="X37:Z37"/>
    <mergeCell ref="AB37:AC37"/>
    <mergeCell ref="K34:L34"/>
    <mergeCell ref="N34:O34"/>
    <mergeCell ref="Q34:S34"/>
    <mergeCell ref="U34:V34"/>
    <mergeCell ref="X34:Z34"/>
    <mergeCell ref="AB34:AC34"/>
    <mergeCell ref="K35:L35"/>
    <mergeCell ref="N35:O35"/>
    <mergeCell ref="Q35:S35"/>
    <mergeCell ref="U35:V35"/>
    <mergeCell ref="X35:Z35"/>
    <mergeCell ref="AB35:AC35"/>
    <mergeCell ref="K32:L32"/>
    <mergeCell ref="N32:O32"/>
    <mergeCell ref="Q32:S32"/>
    <mergeCell ref="U32:V32"/>
    <mergeCell ref="X32:Z32"/>
    <mergeCell ref="AB32:AC32"/>
    <mergeCell ref="K33:L33"/>
    <mergeCell ref="N33:O33"/>
    <mergeCell ref="Q33:S33"/>
    <mergeCell ref="U33:V33"/>
    <mergeCell ref="X33:Z33"/>
    <mergeCell ref="AB33:AC33"/>
    <mergeCell ref="K30:L30"/>
    <mergeCell ref="N30:O30"/>
    <mergeCell ref="Q30:S30"/>
    <mergeCell ref="U30:V30"/>
    <mergeCell ref="X30:Z30"/>
    <mergeCell ref="AB30:AC30"/>
    <mergeCell ref="K31:L31"/>
    <mergeCell ref="N31:O31"/>
    <mergeCell ref="Q31:S31"/>
    <mergeCell ref="U31:V31"/>
    <mergeCell ref="X31:Z31"/>
    <mergeCell ref="AB31:AC31"/>
    <mergeCell ref="Y1:AC1"/>
    <mergeCell ref="Y2:AC2"/>
    <mergeCell ref="R5:S5"/>
    <mergeCell ref="AB8:AC8"/>
    <mergeCell ref="K8:L8"/>
    <mergeCell ref="N8:O8"/>
    <mergeCell ref="Q8:S8"/>
    <mergeCell ref="U8:V8"/>
    <mergeCell ref="X8:Z8"/>
    <mergeCell ref="AB10:AC10"/>
    <mergeCell ref="K10:L10"/>
    <mergeCell ref="N10:O10"/>
    <mergeCell ref="Q10:S10"/>
    <mergeCell ref="U10:V10"/>
    <mergeCell ref="X10:Z10"/>
    <mergeCell ref="AB9:AC9"/>
    <mergeCell ref="K9:L9"/>
    <mergeCell ref="N9:O9"/>
    <mergeCell ref="Q9:S9"/>
    <mergeCell ref="U9:V9"/>
    <mergeCell ref="X9:Z9"/>
    <mergeCell ref="AB12:AC12"/>
    <mergeCell ref="K12:L12"/>
    <mergeCell ref="N12:O12"/>
    <mergeCell ref="Q12:S12"/>
    <mergeCell ref="U12:V12"/>
    <mergeCell ref="X12:Z12"/>
    <mergeCell ref="AB11:AC11"/>
    <mergeCell ref="K11:L11"/>
    <mergeCell ref="N11:O11"/>
    <mergeCell ref="Q11:S11"/>
    <mergeCell ref="U11:V11"/>
    <mergeCell ref="X11:Z11"/>
    <mergeCell ref="AB14:AC14"/>
    <mergeCell ref="K14:L14"/>
    <mergeCell ref="N14:O14"/>
    <mergeCell ref="Q14:S14"/>
    <mergeCell ref="U14:V14"/>
    <mergeCell ref="X14:Z14"/>
    <mergeCell ref="AB13:AC13"/>
    <mergeCell ref="K13:L13"/>
    <mergeCell ref="N13:O13"/>
    <mergeCell ref="Q13:S13"/>
    <mergeCell ref="U13:V13"/>
    <mergeCell ref="X13:Z13"/>
    <mergeCell ref="AB16:AC16"/>
    <mergeCell ref="K16:L16"/>
    <mergeCell ref="N16:O16"/>
    <mergeCell ref="Q16:S16"/>
    <mergeCell ref="U16:V16"/>
    <mergeCell ref="X16:Z16"/>
    <mergeCell ref="AB15:AC15"/>
    <mergeCell ref="K15:L15"/>
    <mergeCell ref="N15:O15"/>
    <mergeCell ref="Q15:S15"/>
    <mergeCell ref="U15:V15"/>
    <mergeCell ref="X15:Z15"/>
    <mergeCell ref="AB18:AC18"/>
    <mergeCell ref="K18:L18"/>
    <mergeCell ref="N18:O18"/>
    <mergeCell ref="Q18:S18"/>
    <mergeCell ref="U18:V18"/>
    <mergeCell ref="X18:Z18"/>
    <mergeCell ref="AB17:AC17"/>
    <mergeCell ref="K17:L17"/>
    <mergeCell ref="N17:O17"/>
    <mergeCell ref="Q17:S17"/>
    <mergeCell ref="U17:V17"/>
    <mergeCell ref="X17:Z17"/>
    <mergeCell ref="AB20:AC20"/>
    <mergeCell ref="K20:L20"/>
    <mergeCell ref="N20:O20"/>
    <mergeCell ref="Q20:S20"/>
    <mergeCell ref="U20:V20"/>
    <mergeCell ref="X20:Z20"/>
    <mergeCell ref="AB19:AC19"/>
    <mergeCell ref="K19:L19"/>
    <mergeCell ref="N19:O19"/>
    <mergeCell ref="Q19:S19"/>
    <mergeCell ref="U19:V19"/>
    <mergeCell ref="X19:Z19"/>
    <mergeCell ref="AB22:AC22"/>
    <mergeCell ref="K22:L22"/>
    <mergeCell ref="N22:O22"/>
    <mergeCell ref="Q22:S22"/>
    <mergeCell ref="U22:V22"/>
    <mergeCell ref="X22:Z22"/>
    <mergeCell ref="AB21:AC21"/>
    <mergeCell ref="K21:L21"/>
    <mergeCell ref="N21:O21"/>
    <mergeCell ref="Q21:S21"/>
    <mergeCell ref="U21:V21"/>
    <mergeCell ref="X21:Z21"/>
    <mergeCell ref="AB24:AC24"/>
    <mergeCell ref="K24:L24"/>
    <mergeCell ref="N24:O24"/>
    <mergeCell ref="Q24:S24"/>
    <mergeCell ref="U24:V24"/>
    <mergeCell ref="X24:Z24"/>
    <mergeCell ref="AB23:AC23"/>
    <mergeCell ref="K23:L23"/>
    <mergeCell ref="N23:O23"/>
    <mergeCell ref="Q23:S23"/>
    <mergeCell ref="U23:V23"/>
    <mergeCell ref="X23:Z23"/>
    <mergeCell ref="AB26:AC26"/>
    <mergeCell ref="K26:L26"/>
    <mergeCell ref="N26:O26"/>
    <mergeCell ref="Q26:S26"/>
    <mergeCell ref="U26:V26"/>
    <mergeCell ref="X26:Z26"/>
    <mergeCell ref="AB25:AC25"/>
    <mergeCell ref="K25:L25"/>
    <mergeCell ref="N25:O25"/>
    <mergeCell ref="Q25:S25"/>
    <mergeCell ref="U25:V25"/>
    <mergeCell ref="X25:Z25"/>
    <mergeCell ref="AB27:AC27"/>
    <mergeCell ref="K27:L27"/>
    <mergeCell ref="N27:O27"/>
    <mergeCell ref="Q27:S27"/>
    <mergeCell ref="U27:V27"/>
    <mergeCell ref="X27:Z27"/>
    <mergeCell ref="AB29:AC29"/>
    <mergeCell ref="K29:L29"/>
    <mergeCell ref="N29:O29"/>
    <mergeCell ref="Q29:S29"/>
    <mergeCell ref="U29:V29"/>
    <mergeCell ref="X29:Z29"/>
    <mergeCell ref="K28:L28"/>
    <mergeCell ref="N28:O28"/>
    <mergeCell ref="Q28:S28"/>
    <mergeCell ref="U28:V28"/>
    <mergeCell ref="X28:Z28"/>
    <mergeCell ref="AB28:AC28"/>
  </mergeCells>
  <conditionalFormatting sqref="AD1:AE1048576">
    <cfRule type="cellIs" dxfId="139" priority="4" operator="equal">
      <formula>0</formula>
    </cfRule>
  </conditionalFormatting>
  <conditionalFormatting sqref="AH8:AI1599">
    <cfRule type="cellIs" dxfId="138" priority="3" operator="equal">
      <formula>0</formula>
    </cfRule>
  </conditionalFormatting>
  <conditionalFormatting sqref="AO6">
    <cfRule type="cellIs" dxfId="137" priority="1" operator="between">
      <formula>-0.01</formula>
      <formula>0.01</formula>
    </cfRule>
    <cfRule type="cellIs" dxfId="136" priority="2" operator="equal">
      <formula>0</formula>
    </cfRule>
  </conditionalFormatting>
  <printOptions gridLinesSet="0"/>
  <pageMargins left="0" right="0" top="0" bottom="0" header="0" footer="0"/>
  <pageSetup paperSize="9" scale="0" fitToWidth="0" fitToHeight="0" orientation="landscape" horizontalDpi="1" verticalDpi="1"/>
  <headerFooter alignWithMargins="0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600"/>
  <sheetViews>
    <sheetView showGridLines="0" topLeftCell="B1" zoomScale="90" zoomScaleNormal="90" workbookViewId="0">
      <pane xSplit="3" ySplit="7" topLeftCell="E8" activePane="bottomRight" state="frozen"/>
      <selection activeCell="B1" sqref="B1"/>
      <selection pane="topRight" activeCell="E1" sqref="E1"/>
      <selection pane="bottomLeft" activeCell="B8" sqref="B8"/>
      <selection pane="bottomRight" activeCell="B1" sqref="B1:AC1048576"/>
    </sheetView>
  </sheetViews>
  <sheetFormatPr defaultColWidth="9.140625" defaultRowHeight="15" x14ac:dyDescent="0.25"/>
  <cols>
    <col min="1" max="1" width="0" style="1063" hidden="1" customWidth="1"/>
    <col min="2" max="2" width="6" style="1106" customWidth="1"/>
    <col min="3" max="3" width="4.28515625" style="1106" customWidth="1"/>
    <col min="4" max="4" width="1.42578125" style="1106" customWidth="1"/>
    <col min="5" max="5" width="6.7109375" style="1106" customWidth="1"/>
    <col min="6" max="6" width="12.28515625" style="1106" customWidth="1"/>
    <col min="7" max="7" width="3" style="1106" customWidth="1"/>
    <col min="8" max="8" width="20.5703125" style="1106" customWidth="1"/>
    <col min="9" max="9" width="11.7109375" style="1106" customWidth="1"/>
    <col min="10" max="10" width="1.42578125" style="1106" customWidth="1"/>
    <col min="11" max="11" width="4.42578125" style="1106" customWidth="1"/>
    <col min="12" max="12" width="10.28515625" style="1106" customWidth="1"/>
    <col min="13" max="13" width="1.42578125" style="1106" customWidth="1"/>
    <col min="14" max="14" width="4.42578125" style="1106" customWidth="1"/>
    <col min="15" max="15" width="10.28515625" style="1106" customWidth="1"/>
    <col min="16" max="16" width="1.42578125" style="1106" customWidth="1"/>
    <col min="17" max="17" width="4.42578125" style="1106" customWidth="1"/>
    <col min="18" max="18" width="7.28515625" style="1106" customWidth="1"/>
    <col min="19" max="19" width="3" style="1106" customWidth="1"/>
    <col min="20" max="20" width="1.42578125" style="1106" customWidth="1"/>
    <col min="21" max="21" width="4.42578125" style="1106" customWidth="1"/>
    <col min="22" max="22" width="10.28515625" style="1106" customWidth="1"/>
    <col min="23" max="23" width="1.42578125" style="1106" customWidth="1"/>
    <col min="24" max="24" width="1.140625" style="1106" customWidth="1"/>
    <col min="25" max="25" width="4.7109375" style="1106" customWidth="1"/>
    <col min="26" max="26" width="8.85546875" style="1106" customWidth="1"/>
    <col min="27" max="27" width="1.140625" style="1106" customWidth="1"/>
    <col min="28" max="28" width="5.85546875" style="1106" customWidth="1"/>
    <col min="29" max="29" width="8.85546875" style="1106" customWidth="1"/>
    <col min="30" max="30" width="9.140625" style="1063"/>
    <col min="31" max="31" width="8" style="1063" customWidth="1"/>
    <col min="32" max="32" width="9.7109375" style="1063" customWidth="1"/>
    <col min="33" max="33" width="9.7109375" style="1063" hidden="1" customWidth="1"/>
    <col min="34" max="34" width="11.140625" style="1063" customWidth="1"/>
    <col min="35" max="35" width="9.7109375" style="1063" hidden="1" customWidth="1"/>
    <col min="36" max="36" width="16.5703125" style="1063" customWidth="1"/>
    <col min="37" max="37" width="14.85546875" style="1063" bestFit="1" customWidth="1"/>
    <col min="38" max="38" width="14" style="1063" bestFit="1" customWidth="1"/>
    <col min="39" max="39" width="16" style="1063" customWidth="1"/>
    <col min="40" max="40" width="11.85546875" style="1063" bestFit="1" customWidth="1"/>
    <col min="41" max="41" width="15" style="1063" bestFit="1" customWidth="1"/>
    <col min="42" max="42" width="8.85546875" style="1063" customWidth="1"/>
    <col min="43" max="16384" width="9.140625" style="1063"/>
  </cols>
  <sheetData>
    <row r="1" spans="2:42" ht="18" x14ac:dyDescent="0.25">
      <c r="B1" s="1099"/>
      <c r="Y1" s="1213"/>
      <c r="Z1" s="1212"/>
      <c r="AA1" s="1212"/>
      <c r="AB1" s="1212"/>
      <c r="AC1" s="1212"/>
    </row>
    <row r="2" spans="2:42" x14ac:dyDescent="0.25">
      <c r="Y2" s="1213"/>
      <c r="Z2" s="1212"/>
      <c r="AA2" s="1212"/>
      <c r="AB2" s="1212"/>
      <c r="AC2" s="1212"/>
    </row>
    <row r="3" spans="2:42" ht="12.75" thickBot="1" x14ac:dyDescent="0.25">
      <c r="B3" s="1100"/>
      <c r="C3" s="1101"/>
      <c r="D3" s="1101"/>
      <c r="E3" s="1101"/>
      <c r="F3" s="1101"/>
      <c r="G3" s="1101"/>
      <c r="H3" s="1101"/>
      <c r="I3" s="1101"/>
      <c r="J3" s="1101"/>
      <c r="K3" s="1101"/>
      <c r="L3" s="1101"/>
      <c r="M3" s="1101"/>
      <c r="N3" s="1101"/>
      <c r="O3" s="1101"/>
      <c r="P3" s="1101"/>
      <c r="Q3" s="1101"/>
      <c r="R3" s="1101"/>
      <c r="S3" s="1101"/>
      <c r="T3" s="1101"/>
      <c r="U3" s="1101"/>
      <c r="V3" s="1101"/>
      <c r="W3" s="1101"/>
      <c r="X3" s="1101"/>
      <c r="Y3" s="1101"/>
      <c r="Z3" s="1101"/>
      <c r="AA3" s="1101"/>
      <c r="AB3" s="1101"/>
      <c r="AC3" s="1101"/>
      <c r="AM3" s="1072" t="s">
        <v>1883</v>
      </c>
      <c r="AN3" s="1071">
        <f>SUMIF(TB_prev[[#Headers],[#Data],[BS/PL]],"BS",TB_prev[[#Headers],[#Data],[Closing balance]])</f>
        <v>0</v>
      </c>
      <c r="AO3" s="1071">
        <f>GL!I1</f>
        <v>0</v>
      </c>
    </row>
    <row r="4" spans="2:42" ht="12.75" thickTop="1" x14ac:dyDescent="0.2">
      <c r="B4" s="1102"/>
      <c r="C4" s="1102"/>
      <c r="D4" s="1102"/>
      <c r="E4" s="1102"/>
      <c r="F4" s="1102"/>
      <c r="G4" s="1102"/>
      <c r="H4" s="1102"/>
      <c r="I4" s="1102"/>
      <c r="J4" s="1102"/>
      <c r="K4" s="1102"/>
      <c r="L4" s="1102"/>
      <c r="M4" s="1102"/>
      <c r="N4" s="1102"/>
      <c r="O4" s="1102"/>
      <c r="P4" s="1102"/>
      <c r="Q4" s="1102"/>
      <c r="R4" s="1102"/>
      <c r="S4" s="1102"/>
      <c r="T4" s="1102"/>
      <c r="U4" s="1102"/>
      <c r="V4" s="1102"/>
      <c r="W4" s="1102"/>
      <c r="X4" s="1102"/>
      <c r="Y4" s="1102"/>
      <c r="Z4" s="1102"/>
      <c r="AA4" s="1102"/>
      <c r="AB4" s="1102"/>
      <c r="AC4" s="1102"/>
      <c r="AM4" s="1072" t="s">
        <v>1882</v>
      </c>
      <c r="AN4" s="1071">
        <f>SUMIF(TB_prev[[#Headers],[#Data],[BS/PL]],"PL",TB_prev[[#Headers],[#Data],[Closing balance]])</f>
        <v>0</v>
      </c>
      <c r="AO4" s="1071">
        <f>GL!I2</f>
        <v>0</v>
      </c>
    </row>
    <row r="5" spans="2:42" x14ac:dyDescent="0.2">
      <c r="B5" s="1103"/>
      <c r="L5" s="1108"/>
      <c r="O5" s="1108"/>
      <c r="R5" s="1214"/>
      <c r="S5" s="1212"/>
      <c r="V5" s="1108"/>
      <c r="Z5" s="1108"/>
      <c r="AC5" s="1108"/>
      <c r="AM5" s="1072" t="s">
        <v>1881</v>
      </c>
      <c r="AN5" s="1071">
        <f>$AM$1600</f>
        <v>0</v>
      </c>
      <c r="AO5" s="1071">
        <f>GL!I3</f>
        <v>0</v>
      </c>
      <c r="AP5" s="1070"/>
    </row>
    <row r="6" spans="2:42" x14ac:dyDescent="0.25">
      <c r="E6" s="1103"/>
      <c r="AO6" s="1064">
        <f>$AO$1600</f>
        <v>-1</v>
      </c>
      <c r="AP6" s="1070"/>
    </row>
    <row r="7" spans="2:42" ht="30.75" customHeight="1" x14ac:dyDescent="0.25">
      <c r="B7" s="1107"/>
      <c r="C7" s="1107"/>
      <c r="D7" s="1107"/>
      <c r="E7" s="1107"/>
      <c r="F7" s="1107"/>
      <c r="G7" s="1107"/>
      <c r="H7" s="1107"/>
      <c r="I7" s="1107"/>
      <c r="J7" s="1107"/>
      <c r="K7" s="1107"/>
      <c r="L7" s="1107"/>
      <c r="M7" s="1107"/>
      <c r="N7" s="1107"/>
      <c r="O7" s="1107"/>
      <c r="P7" s="1107"/>
      <c r="Q7" s="1107"/>
      <c r="R7" s="1107"/>
      <c r="S7" s="1107"/>
      <c r="T7" s="1107"/>
      <c r="U7" s="1107"/>
      <c r="V7" s="1107"/>
      <c r="W7" s="1107"/>
      <c r="X7" s="1107"/>
      <c r="Y7" s="1107"/>
      <c r="Z7" s="1107"/>
      <c r="AA7" s="1107"/>
      <c r="AB7" s="1107"/>
      <c r="AC7" s="1107"/>
      <c r="AD7" s="1068" t="s">
        <v>1880</v>
      </c>
      <c r="AE7" s="1068" t="s">
        <v>1879</v>
      </c>
      <c r="AF7" s="1068" t="s">
        <v>1878</v>
      </c>
      <c r="AG7" s="1068" t="s">
        <v>1877</v>
      </c>
      <c r="AH7" s="1069" t="s">
        <v>1876</v>
      </c>
      <c r="AI7" s="1068" t="s">
        <v>1875</v>
      </c>
      <c r="AJ7" s="1068" t="s">
        <v>1540</v>
      </c>
      <c r="AK7" s="1068" t="s">
        <v>1874</v>
      </c>
      <c r="AL7" s="1068" t="s">
        <v>1873</v>
      </c>
      <c r="AM7" s="1068" t="s">
        <v>1541</v>
      </c>
      <c r="AN7" s="1068" t="s">
        <v>1872</v>
      </c>
      <c r="AO7" s="1067" t="s">
        <v>1871</v>
      </c>
    </row>
    <row r="8" spans="2:42" ht="12" x14ac:dyDescent="0.25">
      <c r="B8" s="1109"/>
      <c r="C8" s="1109"/>
      <c r="D8" s="1109"/>
      <c r="E8" s="1109"/>
      <c r="F8" s="1109"/>
      <c r="G8" s="1109"/>
      <c r="H8" s="1109"/>
      <c r="I8" s="1109"/>
      <c r="J8" s="1109"/>
      <c r="K8" s="1215"/>
      <c r="L8" s="1216"/>
      <c r="M8" s="1109"/>
      <c r="N8" s="1215"/>
      <c r="O8" s="1216"/>
      <c r="P8" s="1109"/>
      <c r="Q8" s="1215"/>
      <c r="R8" s="1216"/>
      <c r="S8" s="1216"/>
      <c r="T8" s="1109"/>
      <c r="U8" s="1215"/>
      <c r="V8" s="1216"/>
      <c r="W8" s="1109"/>
      <c r="X8" s="1215"/>
      <c r="Y8" s="1216"/>
      <c r="Z8" s="1216"/>
      <c r="AA8" s="1109"/>
      <c r="AB8" s="1215"/>
      <c r="AC8" s="1216"/>
      <c r="AD8" s="1067" t="str">
        <f t="shared" ref="AD8:AD71" si="0">LEFT(B8,3)</f>
        <v/>
      </c>
      <c r="AE8" s="1063" t="str">
        <f>IF(ISNA(VLOOKUP(TB_prev[[#This Row],[Synt]],GL[[#Headers],[#Data],[subtotal label]],1,FALSE)),0,(VLOOKUP(TB_prev[[#This Row],[Synt]],GL[[#Headers],[#Data],[subtotal label]],1,FALSE)))</f>
        <v/>
      </c>
      <c r="AF8" s="1063" t="e">
        <f>IF((TB_prev[[#This Row],[Synt]]-TB_prev[[#This Row],[Subtotal Y/N]])=0,0,VLOOKUP(TB_prev[[#This Row],[Synt]],GL[[Account]:[Line]],3,FALSE))</f>
        <v>#VALUE!</v>
      </c>
      <c r="AG8" s="1063" t="e">
        <f>VLOOKUP(TB_prev[[#This Row],[Synt]],GL[[Account]:[B/P]],4,FALSE)</f>
        <v>#N/A</v>
      </c>
      <c r="AH8" s="1066" t="s">
        <v>794</v>
      </c>
      <c r="AI8" s="1065" t="str">
        <f>TB_prev[[#This Row],[Synt]]&amp;TB_prev[[#This Row],[Line No. manual corr.]]</f>
        <v>06</v>
      </c>
      <c r="AJ8" s="1064">
        <f t="shared" ref="AJ8:AJ71" si="1">K8-N8</f>
        <v>0</v>
      </c>
      <c r="AK8" s="1064">
        <f t="shared" ref="AK8:AK71" si="2">Q8</f>
        <v>0</v>
      </c>
      <c r="AL8" s="1064">
        <f t="shared" ref="AL8:AL71" si="3">U8</f>
        <v>0</v>
      </c>
      <c r="AM8" s="1064">
        <f t="shared" ref="AM8:AM71" si="4">X8-AB8</f>
        <v>0</v>
      </c>
      <c r="AN8" s="1064"/>
      <c r="AO8" s="1064">
        <f>TB_prev[[#This Row],[Closing balance]]+TB_prev[[#This Row],[Rounding]]</f>
        <v>0</v>
      </c>
    </row>
    <row r="9" spans="2:42" x14ac:dyDescent="0.25">
      <c r="B9" s="1104"/>
      <c r="E9" s="1104"/>
      <c r="K9" s="1211"/>
      <c r="L9" s="1212"/>
      <c r="N9" s="1211"/>
      <c r="O9" s="1212"/>
      <c r="Q9" s="1211"/>
      <c r="R9" s="1212"/>
      <c r="S9" s="1212"/>
      <c r="U9" s="1211"/>
      <c r="V9" s="1212"/>
      <c r="X9" s="1211"/>
      <c r="Y9" s="1212"/>
      <c r="Z9" s="1212"/>
      <c r="AB9" s="1211"/>
      <c r="AC9" s="1212"/>
      <c r="AD9" s="1067" t="str">
        <f t="shared" si="0"/>
        <v/>
      </c>
      <c r="AE9" s="1063" t="str">
        <f>IF(ISNA(VLOOKUP(TB_prev[[#This Row],[Synt]],GL[[#Headers],[#Data],[subtotal label]],1,FALSE)),0,(VLOOKUP(TB_prev[[#This Row],[Synt]],GL[[#Headers],[#Data],[subtotal label]],1,FALSE)))</f>
        <v/>
      </c>
      <c r="AF9" s="1063" t="e">
        <f>IF((TB_prev[[#This Row],[Synt]]-TB_prev[[#This Row],[Subtotal Y/N]])=0,0,VLOOKUP(TB_prev[[#This Row],[Synt]],GL[[Account]:[Line]],3,FALSE))</f>
        <v>#VALUE!</v>
      </c>
      <c r="AG9" s="1063" t="e">
        <f>VLOOKUP(TB_prev[[#This Row],[Synt]],GL[[Account]:[B/P]],4,FALSE)</f>
        <v>#N/A</v>
      </c>
      <c r="AH9" s="1066" t="s">
        <v>794</v>
      </c>
      <c r="AI9" s="1065" t="str">
        <f>TB_prev[[#This Row],[Synt]]&amp;TB_prev[[#This Row],[Line No. manual corr.]]</f>
        <v>06</v>
      </c>
      <c r="AJ9" s="1064">
        <f t="shared" si="1"/>
        <v>0</v>
      </c>
      <c r="AK9" s="1064">
        <f t="shared" si="2"/>
        <v>0</v>
      </c>
      <c r="AL9" s="1064">
        <f t="shared" si="3"/>
        <v>0</v>
      </c>
      <c r="AM9" s="1064">
        <f t="shared" si="4"/>
        <v>0</v>
      </c>
      <c r="AN9" s="1064"/>
      <c r="AO9" s="1064">
        <f>TB_prev[[#This Row],[Closing balance]]+TB_prev[[#This Row],[Rounding]]</f>
        <v>0</v>
      </c>
    </row>
    <row r="10" spans="2:42" x14ac:dyDescent="0.25">
      <c r="B10" s="1104"/>
      <c r="E10" s="1104"/>
      <c r="K10" s="1211"/>
      <c r="L10" s="1212"/>
      <c r="N10" s="1211"/>
      <c r="O10" s="1212"/>
      <c r="Q10" s="1211"/>
      <c r="R10" s="1212"/>
      <c r="S10" s="1212"/>
      <c r="U10" s="1211"/>
      <c r="V10" s="1212"/>
      <c r="X10" s="1211"/>
      <c r="Y10" s="1212"/>
      <c r="Z10" s="1212"/>
      <c r="AB10" s="1211"/>
      <c r="AC10" s="1212"/>
      <c r="AD10" s="1067" t="str">
        <f t="shared" si="0"/>
        <v/>
      </c>
      <c r="AE10" s="1063" t="str">
        <f>IF(ISNA(VLOOKUP(TB_prev[[#This Row],[Synt]],GL[[#Headers],[#Data],[subtotal label]],1,FALSE)),0,(VLOOKUP(TB_prev[[#This Row],[Synt]],GL[[#Headers],[#Data],[subtotal label]],1,FALSE)))</f>
        <v/>
      </c>
      <c r="AF10" s="1063" t="e">
        <f>IF((TB_prev[[#This Row],[Synt]]-TB_prev[[#This Row],[Subtotal Y/N]])=0,0,VLOOKUP(TB_prev[[#This Row],[Synt]],GL[[Account]:[Line]],3,FALSE))</f>
        <v>#VALUE!</v>
      </c>
      <c r="AG10" s="1063" t="e">
        <f>VLOOKUP(TB_prev[[#This Row],[Synt]],GL[[Account]:[B/P]],4,FALSE)</f>
        <v>#N/A</v>
      </c>
      <c r="AH10" s="1066" t="s">
        <v>836</v>
      </c>
      <c r="AI10" s="1065" t="str">
        <f>TB_prev[[#This Row],[Synt]]&amp;TB_prev[[#This Row],[Line No. manual corr.]]</f>
        <v>22</v>
      </c>
      <c r="AJ10" s="1064">
        <f t="shared" si="1"/>
        <v>0</v>
      </c>
      <c r="AK10" s="1064">
        <f t="shared" si="2"/>
        <v>0</v>
      </c>
      <c r="AL10" s="1064">
        <f t="shared" si="3"/>
        <v>0</v>
      </c>
      <c r="AM10" s="1064">
        <f t="shared" si="4"/>
        <v>0</v>
      </c>
      <c r="AN10" s="1064"/>
      <c r="AO10" s="1064">
        <f>TB_prev[[#This Row],[Closing balance]]+TB_prev[[#This Row],[Rounding]]</f>
        <v>0</v>
      </c>
    </row>
    <row r="11" spans="2:42" x14ac:dyDescent="0.25">
      <c r="B11" s="1104"/>
      <c r="E11" s="1104"/>
      <c r="K11" s="1211"/>
      <c r="L11" s="1212"/>
      <c r="N11" s="1211"/>
      <c r="O11" s="1212"/>
      <c r="Q11" s="1211"/>
      <c r="R11" s="1212"/>
      <c r="S11" s="1212"/>
      <c r="U11" s="1211"/>
      <c r="V11" s="1212"/>
      <c r="X11" s="1211"/>
      <c r="Y11" s="1212"/>
      <c r="Z11" s="1212"/>
      <c r="AB11" s="1211"/>
      <c r="AC11" s="1212"/>
      <c r="AD11" s="1067" t="str">
        <f t="shared" si="0"/>
        <v/>
      </c>
      <c r="AE11" s="1063" t="str">
        <f>IF(ISNA(VLOOKUP(TB_prev[[#This Row],[Synt]],GL[[#Headers],[#Data],[subtotal label]],1,FALSE)),0,(VLOOKUP(TB_prev[[#This Row],[Synt]],GL[[#Headers],[#Data],[subtotal label]],1,FALSE)))</f>
        <v/>
      </c>
      <c r="AF11" s="1063" t="e">
        <f>IF((TB_prev[[#This Row],[Synt]]-TB_prev[[#This Row],[Subtotal Y/N]])=0,0,VLOOKUP(TB_prev[[#This Row],[Synt]],GL[[Account]:[Line]],3,FALSE))</f>
        <v>#VALUE!</v>
      </c>
      <c r="AG11" s="1063" t="e">
        <f>VLOOKUP(TB_prev[[#This Row],[Synt]],GL[[Account]:[B/P]],4,FALSE)</f>
        <v>#N/A</v>
      </c>
      <c r="AH11" s="1066" t="s">
        <v>836</v>
      </c>
      <c r="AI11" s="1065" t="str">
        <f>TB_prev[[#This Row],[Synt]]&amp;TB_prev[[#This Row],[Line No. manual corr.]]</f>
        <v>22</v>
      </c>
      <c r="AJ11" s="1064">
        <f t="shared" si="1"/>
        <v>0</v>
      </c>
      <c r="AK11" s="1064">
        <f t="shared" si="2"/>
        <v>0</v>
      </c>
      <c r="AL11" s="1064">
        <f t="shared" si="3"/>
        <v>0</v>
      </c>
      <c r="AM11" s="1064">
        <f t="shared" si="4"/>
        <v>0</v>
      </c>
      <c r="AN11" s="1064"/>
      <c r="AO11" s="1064">
        <f>TB_prev[[#This Row],[Closing balance]]+TB_prev[[#This Row],[Rounding]]</f>
        <v>0</v>
      </c>
    </row>
    <row r="12" spans="2:42" x14ac:dyDescent="0.25">
      <c r="B12" s="1104"/>
      <c r="E12" s="1104"/>
      <c r="K12" s="1211"/>
      <c r="L12" s="1212"/>
      <c r="N12" s="1211"/>
      <c r="O12" s="1212"/>
      <c r="Q12" s="1211"/>
      <c r="R12" s="1212"/>
      <c r="S12" s="1212"/>
      <c r="U12" s="1211"/>
      <c r="V12" s="1212"/>
      <c r="X12" s="1211"/>
      <c r="Y12" s="1212"/>
      <c r="Z12" s="1212"/>
      <c r="AB12" s="1211"/>
      <c r="AC12" s="1212"/>
      <c r="AD12" s="1067" t="str">
        <f t="shared" si="0"/>
        <v/>
      </c>
      <c r="AE12" s="1063" t="str">
        <f>IF(ISNA(VLOOKUP(TB_prev[[#This Row],[Synt]],GL[[#Headers],[#Data],[subtotal label]],1,FALSE)),0,(VLOOKUP(TB_prev[[#This Row],[Synt]],GL[[#Headers],[#Data],[subtotal label]],1,FALSE)))</f>
        <v/>
      </c>
      <c r="AF12" s="1063" t="e">
        <f>IF((TB_prev[[#This Row],[Synt]]-TB_prev[[#This Row],[Subtotal Y/N]])=0,0,VLOOKUP(TB_prev[[#This Row],[Synt]],GL[[Account]:[Line]],3,FALSE))</f>
        <v>#VALUE!</v>
      </c>
      <c r="AG12" s="1063" t="e">
        <f>VLOOKUP(TB_prev[[#This Row],[Synt]],GL[[Account]:[B/P]],4,FALSE)</f>
        <v>#N/A</v>
      </c>
      <c r="AH12" s="1066" t="s">
        <v>887</v>
      </c>
      <c r="AI12" s="1065" t="str">
        <f>TB_prev[[#This Row],[Synt]]&amp;TB_prev[[#This Row],[Line No. manual corr.]]</f>
        <v>39</v>
      </c>
      <c r="AJ12" s="1064">
        <f t="shared" si="1"/>
        <v>0</v>
      </c>
      <c r="AK12" s="1064">
        <f t="shared" si="2"/>
        <v>0</v>
      </c>
      <c r="AL12" s="1064">
        <f t="shared" si="3"/>
        <v>0</v>
      </c>
      <c r="AM12" s="1064">
        <f t="shared" si="4"/>
        <v>0</v>
      </c>
      <c r="AN12" s="1064"/>
      <c r="AO12" s="1064">
        <f>TB_prev[[#This Row],[Closing balance]]+TB_prev[[#This Row],[Rounding]]</f>
        <v>0</v>
      </c>
    </row>
    <row r="13" spans="2:42" x14ac:dyDescent="0.25">
      <c r="B13" s="1104"/>
      <c r="E13" s="1104"/>
      <c r="K13" s="1211"/>
      <c r="L13" s="1212"/>
      <c r="N13" s="1211"/>
      <c r="O13" s="1212"/>
      <c r="Q13" s="1211"/>
      <c r="R13" s="1212"/>
      <c r="S13" s="1212"/>
      <c r="U13" s="1211"/>
      <c r="V13" s="1212"/>
      <c r="X13" s="1211"/>
      <c r="Y13" s="1212"/>
      <c r="Z13" s="1212"/>
      <c r="AB13" s="1211"/>
      <c r="AC13" s="1212"/>
      <c r="AD13" s="1067" t="str">
        <f t="shared" si="0"/>
        <v/>
      </c>
      <c r="AE13" s="1063" t="str">
        <f>IF(ISNA(VLOOKUP(TB_prev[[#This Row],[Synt]],GL[[#Headers],[#Data],[subtotal label]],1,FALSE)),0,(VLOOKUP(TB_prev[[#This Row],[Synt]],GL[[#Headers],[#Data],[subtotal label]],1,FALSE)))</f>
        <v/>
      </c>
      <c r="AF13" s="1063" t="e">
        <f>IF((TB_prev[[#This Row],[Synt]]-TB_prev[[#This Row],[Subtotal Y/N]])=0,0,VLOOKUP(TB_prev[[#This Row],[Synt]],GL[[Account]:[Line]],3,FALSE))</f>
        <v>#VALUE!</v>
      </c>
      <c r="AG13" s="1063" t="e">
        <f>VLOOKUP(TB_prev[[#This Row],[Synt]],GL[[Account]:[B/P]],4,FALSE)</f>
        <v>#N/A</v>
      </c>
      <c r="AH13" s="1066" t="s">
        <v>827</v>
      </c>
      <c r="AI13" s="1065" t="str">
        <f>TB_prev[[#This Row],[Synt]]&amp;TB_prev[[#This Row],[Line No. manual corr.]]</f>
        <v>19</v>
      </c>
      <c r="AJ13" s="1064">
        <f t="shared" si="1"/>
        <v>0</v>
      </c>
      <c r="AK13" s="1064">
        <f t="shared" si="2"/>
        <v>0</v>
      </c>
      <c r="AL13" s="1064">
        <f t="shared" si="3"/>
        <v>0</v>
      </c>
      <c r="AM13" s="1064">
        <f t="shared" si="4"/>
        <v>0</v>
      </c>
      <c r="AN13" s="1064"/>
      <c r="AO13" s="1064">
        <f>TB_prev[[#This Row],[Closing balance]]+TB_prev[[#This Row],[Rounding]]</f>
        <v>0</v>
      </c>
    </row>
    <row r="14" spans="2:42" x14ac:dyDescent="0.25">
      <c r="B14" s="1104"/>
      <c r="E14" s="1104"/>
      <c r="K14" s="1211"/>
      <c r="L14" s="1212"/>
      <c r="N14" s="1211"/>
      <c r="O14" s="1212"/>
      <c r="Q14" s="1211"/>
      <c r="R14" s="1212"/>
      <c r="S14" s="1212"/>
      <c r="U14" s="1211"/>
      <c r="V14" s="1212"/>
      <c r="X14" s="1211"/>
      <c r="Y14" s="1212"/>
      <c r="Z14" s="1212"/>
      <c r="AB14" s="1211"/>
      <c r="AC14" s="1212"/>
      <c r="AD14" s="1067" t="str">
        <f t="shared" si="0"/>
        <v/>
      </c>
      <c r="AE14" s="1063" t="str">
        <f>IF(ISNA(VLOOKUP(TB_prev[[#This Row],[Synt]],GL[[#Headers],[#Data],[subtotal label]],1,FALSE)),0,(VLOOKUP(TB_prev[[#This Row],[Synt]],GL[[#Headers],[#Data],[subtotal label]],1,FALSE)))</f>
        <v/>
      </c>
      <c r="AF14" s="1063" t="e">
        <f>IF((TB_prev[[#This Row],[Synt]]-TB_prev[[#This Row],[Subtotal Y/N]])=0,0,VLOOKUP(TB_prev[[#This Row],[Synt]],GL[[Account]:[Line]],3,FALSE))</f>
        <v>#VALUE!</v>
      </c>
      <c r="AG14" s="1063" t="e">
        <f>VLOOKUP(TB_prev[[#This Row],[Synt]],GL[[Account]:[B/P]],4,FALSE)</f>
        <v>#N/A</v>
      </c>
      <c r="AH14" s="1066" t="s">
        <v>827</v>
      </c>
      <c r="AI14" s="1065" t="str">
        <f>TB_prev[[#This Row],[Synt]]&amp;TB_prev[[#This Row],[Line No. manual corr.]]</f>
        <v>19</v>
      </c>
      <c r="AJ14" s="1064">
        <f t="shared" si="1"/>
        <v>0</v>
      </c>
      <c r="AK14" s="1064">
        <f t="shared" si="2"/>
        <v>0</v>
      </c>
      <c r="AL14" s="1064">
        <f t="shared" si="3"/>
        <v>0</v>
      </c>
      <c r="AM14" s="1064">
        <f t="shared" si="4"/>
        <v>0</v>
      </c>
      <c r="AN14" s="1064"/>
      <c r="AO14" s="1064">
        <f>TB_prev[[#This Row],[Closing balance]]+TB_prev[[#This Row],[Rounding]]</f>
        <v>0</v>
      </c>
    </row>
    <row r="15" spans="2:42" x14ac:dyDescent="0.25">
      <c r="B15" s="1104"/>
      <c r="E15" s="1104"/>
      <c r="K15" s="1211"/>
      <c r="L15" s="1212"/>
      <c r="N15" s="1211"/>
      <c r="O15" s="1212"/>
      <c r="Q15" s="1211"/>
      <c r="R15" s="1212"/>
      <c r="S15" s="1212"/>
      <c r="U15" s="1211"/>
      <c r="V15" s="1212"/>
      <c r="X15" s="1211"/>
      <c r="Y15" s="1212"/>
      <c r="Z15" s="1212"/>
      <c r="AB15" s="1211"/>
      <c r="AC15" s="1212"/>
      <c r="AD15" s="1067" t="str">
        <f t="shared" si="0"/>
        <v/>
      </c>
      <c r="AE15" s="1063" t="str">
        <f>IF(ISNA(VLOOKUP(TB_prev[[#This Row],[Synt]],GL[[#Headers],[#Data],[subtotal label]],1,FALSE)),0,(VLOOKUP(TB_prev[[#This Row],[Synt]],GL[[#Headers],[#Data],[subtotal label]],1,FALSE)))</f>
        <v/>
      </c>
      <c r="AF15" s="1063" t="e">
        <f>IF((TB_prev[[#This Row],[Synt]]-TB_prev[[#This Row],[Subtotal Y/N]])=0,0,VLOOKUP(TB_prev[[#This Row],[Synt]],GL[[Account]:[Line]],3,FALSE))</f>
        <v>#VALUE!</v>
      </c>
      <c r="AG15" s="1063" t="e">
        <f>VLOOKUP(TB_prev[[#This Row],[Synt]],GL[[Account]:[B/P]],4,FALSE)</f>
        <v>#N/A</v>
      </c>
      <c r="AH15" s="1066" t="s">
        <v>893</v>
      </c>
      <c r="AI15" s="1065" t="str">
        <f>TB_prev[[#This Row],[Synt]]&amp;TB_prev[[#This Row],[Line No. manual corr.]]</f>
        <v>41</v>
      </c>
      <c r="AJ15" s="1064">
        <f t="shared" si="1"/>
        <v>0</v>
      </c>
      <c r="AK15" s="1064">
        <f t="shared" si="2"/>
        <v>0</v>
      </c>
      <c r="AL15" s="1064">
        <f t="shared" si="3"/>
        <v>0</v>
      </c>
      <c r="AM15" s="1064">
        <f t="shared" si="4"/>
        <v>0</v>
      </c>
      <c r="AN15" s="1064"/>
      <c r="AO15" s="1064">
        <f>TB_prev[[#This Row],[Closing balance]]+TB_prev[[#This Row],[Rounding]]</f>
        <v>0</v>
      </c>
    </row>
    <row r="16" spans="2:42" x14ac:dyDescent="0.25">
      <c r="B16" s="1104"/>
      <c r="E16" s="1104"/>
      <c r="K16" s="1211"/>
      <c r="L16" s="1212"/>
      <c r="N16" s="1211"/>
      <c r="O16" s="1212"/>
      <c r="Q16" s="1211"/>
      <c r="R16" s="1212"/>
      <c r="S16" s="1212"/>
      <c r="U16" s="1211"/>
      <c r="V16" s="1212"/>
      <c r="X16" s="1211"/>
      <c r="Y16" s="1212"/>
      <c r="Z16" s="1212"/>
      <c r="AB16" s="1211"/>
      <c r="AC16" s="1212"/>
      <c r="AD16" s="1067" t="str">
        <f t="shared" si="0"/>
        <v/>
      </c>
      <c r="AE16" s="1063" t="str">
        <f>IF(ISNA(VLOOKUP(TB_prev[[#This Row],[Synt]],GL[[#Headers],[#Data],[subtotal label]],1,FALSE)),0,(VLOOKUP(TB_prev[[#This Row],[Synt]],GL[[#Headers],[#Data],[subtotal label]],1,FALSE)))</f>
        <v/>
      </c>
      <c r="AF16" s="1063" t="e">
        <f>IF((TB_prev[[#This Row],[Synt]]-TB_prev[[#This Row],[Subtotal Y/N]])=0,0,VLOOKUP(TB_prev[[#This Row],[Synt]],GL[[Account]:[Line]],3,FALSE))</f>
        <v>#VALUE!</v>
      </c>
      <c r="AG16" s="1063" t="e">
        <f>VLOOKUP(TB_prev[[#This Row],[Synt]],GL[[Account]:[B/P]],4,FALSE)</f>
        <v>#N/A</v>
      </c>
      <c r="AH16" s="1066" t="s">
        <v>896</v>
      </c>
      <c r="AI16" s="1065" t="str">
        <f>TB_prev[[#This Row],[Synt]]&amp;TB_prev[[#This Row],[Line No. manual corr.]]</f>
        <v>42</v>
      </c>
      <c r="AJ16" s="1064">
        <f t="shared" si="1"/>
        <v>0</v>
      </c>
      <c r="AK16" s="1064">
        <f t="shared" si="2"/>
        <v>0</v>
      </c>
      <c r="AL16" s="1064">
        <f t="shared" si="3"/>
        <v>0</v>
      </c>
      <c r="AM16" s="1064">
        <f t="shared" si="4"/>
        <v>0</v>
      </c>
      <c r="AN16" s="1064"/>
      <c r="AO16" s="1064">
        <f>TB_prev[[#This Row],[Closing balance]]+TB_prev[[#This Row],[Rounding]]</f>
        <v>0</v>
      </c>
    </row>
    <row r="17" spans="2:41" x14ac:dyDescent="0.25">
      <c r="B17" s="1104"/>
      <c r="E17" s="1104"/>
      <c r="K17" s="1211"/>
      <c r="L17" s="1212"/>
      <c r="N17" s="1211"/>
      <c r="O17" s="1212"/>
      <c r="Q17" s="1211"/>
      <c r="R17" s="1212"/>
      <c r="S17" s="1212"/>
      <c r="U17" s="1211"/>
      <c r="V17" s="1212"/>
      <c r="X17" s="1211"/>
      <c r="Y17" s="1212"/>
      <c r="Z17" s="1212"/>
      <c r="AB17" s="1211"/>
      <c r="AC17" s="1212"/>
      <c r="AD17" s="1067" t="str">
        <f t="shared" si="0"/>
        <v/>
      </c>
      <c r="AE17" s="1063" t="str">
        <f>IF(ISNA(VLOOKUP(TB_prev[[#This Row],[Synt]],GL[[#Headers],[#Data],[subtotal label]],1,FALSE)),0,(VLOOKUP(TB_prev[[#This Row],[Synt]],GL[[#Headers],[#Data],[subtotal label]],1,FALSE)))</f>
        <v/>
      </c>
      <c r="AF17" s="1063" t="e">
        <f>IF((TB_prev[[#This Row],[Synt]]-TB_prev[[#This Row],[Subtotal Y/N]])=0,0,VLOOKUP(TB_prev[[#This Row],[Synt]],GL[[Account]:[Line]],3,FALSE))</f>
        <v>#VALUE!</v>
      </c>
      <c r="AG17" s="1063" t="e">
        <f>VLOOKUP(TB_prev[[#This Row],[Synt]],GL[[Account]:[B/P]],4,FALSE)</f>
        <v>#N/A</v>
      </c>
      <c r="AH17" s="1066" t="s">
        <v>851</v>
      </c>
      <c r="AI17" s="1065" t="str">
        <f>TB_prev[[#This Row],[Synt]]&amp;TB_prev[[#This Row],[Line No. manual corr.]]</f>
        <v>27</v>
      </c>
      <c r="AJ17" s="1064">
        <f t="shared" si="1"/>
        <v>0</v>
      </c>
      <c r="AK17" s="1064">
        <f t="shared" si="2"/>
        <v>0</v>
      </c>
      <c r="AL17" s="1064">
        <f t="shared" si="3"/>
        <v>0</v>
      </c>
      <c r="AM17" s="1064">
        <f t="shared" si="4"/>
        <v>0</v>
      </c>
      <c r="AN17" s="1064"/>
      <c r="AO17" s="1064">
        <f>TB_prev[[#This Row],[Closing balance]]+TB_prev[[#This Row],[Rounding]]</f>
        <v>0</v>
      </c>
    </row>
    <row r="18" spans="2:41" x14ac:dyDescent="0.25">
      <c r="B18" s="1104"/>
      <c r="E18" s="1104"/>
      <c r="K18" s="1211"/>
      <c r="L18" s="1212"/>
      <c r="N18" s="1211"/>
      <c r="O18" s="1212"/>
      <c r="Q18" s="1211"/>
      <c r="R18" s="1212"/>
      <c r="S18" s="1212"/>
      <c r="U18" s="1211"/>
      <c r="V18" s="1212"/>
      <c r="X18" s="1211"/>
      <c r="Y18" s="1212"/>
      <c r="Z18" s="1212"/>
      <c r="AB18" s="1211"/>
      <c r="AC18" s="1212"/>
      <c r="AD18" s="1067" t="str">
        <f t="shared" si="0"/>
        <v/>
      </c>
      <c r="AE18" s="1063" t="str">
        <f>IF(ISNA(VLOOKUP(TB_prev[[#This Row],[Synt]],GL[[#Headers],[#Data],[subtotal label]],1,FALSE)),0,(VLOOKUP(TB_prev[[#This Row],[Synt]],GL[[#Headers],[#Data],[subtotal label]],1,FALSE)))</f>
        <v/>
      </c>
      <c r="AF18" s="1063" t="e">
        <f>IF((TB_prev[[#This Row],[Synt]]-TB_prev[[#This Row],[Subtotal Y/N]])=0,0,VLOOKUP(TB_prev[[#This Row],[Synt]],GL[[Account]:[Line]],3,FALSE))</f>
        <v>#VALUE!</v>
      </c>
      <c r="AG18" s="1063" t="e">
        <f>VLOOKUP(TB_prev[[#This Row],[Synt]],GL[[Account]:[B/P]],4,FALSE)</f>
        <v>#N/A</v>
      </c>
      <c r="AH18" s="1066" t="s">
        <v>866</v>
      </c>
      <c r="AI18" s="1065" t="str">
        <f>TB_prev[[#This Row],[Synt]]&amp;TB_prev[[#This Row],[Line No. manual corr.]]</f>
        <v>32</v>
      </c>
      <c r="AJ18" s="1064">
        <f t="shared" si="1"/>
        <v>0</v>
      </c>
      <c r="AK18" s="1064">
        <f t="shared" si="2"/>
        <v>0</v>
      </c>
      <c r="AL18" s="1064">
        <f t="shared" si="3"/>
        <v>0</v>
      </c>
      <c r="AM18" s="1064">
        <f t="shared" si="4"/>
        <v>0</v>
      </c>
      <c r="AN18" s="1064"/>
      <c r="AO18" s="1064">
        <f>TB_prev[[#This Row],[Closing balance]]+TB_prev[[#This Row],[Rounding]]</f>
        <v>0</v>
      </c>
    </row>
    <row r="19" spans="2:41" x14ac:dyDescent="0.25">
      <c r="B19" s="1104"/>
      <c r="E19" s="1104"/>
      <c r="K19" s="1211"/>
      <c r="L19" s="1212"/>
      <c r="N19" s="1211"/>
      <c r="O19" s="1212"/>
      <c r="Q19" s="1211"/>
      <c r="R19" s="1212"/>
      <c r="S19" s="1212"/>
      <c r="U19" s="1211"/>
      <c r="V19" s="1212"/>
      <c r="X19" s="1211"/>
      <c r="Y19" s="1212"/>
      <c r="Z19" s="1212"/>
      <c r="AB19" s="1211"/>
      <c r="AC19" s="1212"/>
      <c r="AD19" s="1067" t="str">
        <f t="shared" si="0"/>
        <v/>
      </c>
      <c r="AE19" s="1063" t="str">
        <f>IF(ISNA(VLOOKUP(TB_prev[[#This Row],[Synt]],GL[[#Headers],[#Data],[subtotal label]],1,FALSE)),0,(VLOOKUP(TB_prev[[#This Row],[Synt]],GL[[#Headers],[#Data],[subtotal label]],1,FALSE)))</f>
        <v/>
      </c>
      <c r="AF19" s="1063" t="e">
        <f>IF((TB_prev[[#This Row],[Synt]]-TB_prev[[#This Row],[Subtotal Y/N]])=0,0,VLOOKUP(TB_prev[[#This Row],[Synt]],GL[[Account]:[Line]],3,FALSE))</f>
        <v>#VALUE!</v>
      </c>
      <c r="AG19" s="1063" t="e">
        <f>VLOOKUP(TB_prev[[#This Row],[Synt]],GL[[Account]:[B/P]],4,FALSE)</f>
        <v>#N/A</v>
      </c>
      <c r="AH19" s="1066" t="s">
        <v>866</v>
      </c>
      <c r="AI19" s="1065" t="str">
        <f>TB_prev[[#This Row],[Synt]]&amp;TB_prev[[#This Row],[Line No. manual corr.]]</f>
        <v>32</v>
      </c>
      <c r="AJ19" s="1064">
        <f t="shared" si="1"/>
        <v>0</v>
      </c>
      <c r="AK19" s="1064">
        <f t="shared" si="2"/>
        <v>0</v>
      </c>
      <c r="AL19" s="1064">
        <f t="shared" si="3"/>
        <v>0</v>
      </c>
      <c r="AM19" s="1064">
        <f t="shared" si="4"/>
        <v>0</v>
      </c>
      <c r="AN19" s="1064"/>
      <c r="AO19" s="1064">
        <f>TB_prev[[#This Row],[Closing balance]]+TB_prev[[#This Row],[Rounding]]</f>
        <v>0</v>
      </c>
    </row>
    <row r="20" spans="2:41" x14ac:dyDescent="0.25">
      <c r="B20" s="1104"/>
      <c r="E20" s="1104"/>
      <c r="K20" s="1211"/>
      <c r="L20" s="1212"/>
      <c r="N20" s="1211"/>
      <c r="O20" s="1212"/>
      <c r="Q20" s="1211"/>
      <c r="R20" s="1212"/>
      <c r="S20" s="1212"/>
      <c r="U20" s="1211"/>
      <c r="V20" s="1212"/>
      <c r="X20" s="1211"/>
      <c r="Y20" s="1212"/>
      <c r="Z20" s="1212"/>
      <c r="AB20" s="1211"/>
      <c r="AC20" s="1212"/>
      <c r="AD20" s="1067" t="str">
        <f t="shared" si="0"/>
        <v/>
      </c>
      <c r="AE20" s="1063" t="str">
        <f>IF(ISNA(VLOOKUP(TB_prev[[#This Row],[Synt]],GL[[#Headers],[#Data],[subtotal label]],1,FALSE)),0,(VLOOKUP(TB_prev[[#This Row],[Synt]],GL[[#Headers],[#Data],[subtotal label]],1,FALSE)))</f>
        <v/>
      </c>
      <c r="AF20" s="1063" t="e">
        <f>IF((TB_prev[[#This Row],[Synt]]-TB_prev[[#This Row],[Subtotal Y/N]])=0,0,VLOOKUP(TB_prev[[#This Row],[Synt]],GL[[Account]:[Line]],3,FALSE))</f>
        <v>#VALUE!</v>
      </c>
      <c r="AG20" s="1063" t="e">
        <f>VLOOKUP(TB_prev[[#This Row],[Synt]],GL[[Account]:[B/P]],4,FALSE)</f>
        <v>#N/A</v>
      </c>
      <c r="AH20" s="1066" t="e">
        <v>#N/A</v>
      </c>
      <c r="AI20" s="1065" t="e">
        <f>TB_prev[[#This Row],[Synt]]&amp;TB_prev[[#This Row],[Line No. manual corr.]]</f>
        <v>#N/A</v>
      </c>
      <c r="AJ20" s="1064">
        <f t="shared" si="1"/>
        <v>0</v>
      </c>
      <c r="AK20" s="1064">
        <f t="shared" si="2"/>
        <v>0</v>
      </c>
      <c r="AL20" s="1064">
        <f t="shared" si="3"/>
        <v>0</v>
      </c>
      <c r="AM20" s="1064">
        <f t="shared" si="4"/>
        <v>0</v>
      </c>
      <c r="AN20" s="1064"/>
      <c r="AO20" s="1064">
        <f>TB_prev[[#This Row],[Closing balance]]+TB_prev[[#This Row],[Rounding]]</f>
        <v>0</v>
      </c>
    </row>
    <row r="21" spans="2:41" x14ac:dyDescent="0.25">
      <c r="B21" s="1104"/>
      <c r="E21" s="1104"/>
      <c r="K21" s="1211"/>
      <c r="L21" s="1212"/>
      <c r="N21" s="1211"/>
      <c r="O21" s="1212"/>
      <c r="Q21" s="1211"/>
      <c r="R21" s="1212"/>
      <c r="S21" s="1212"/>
      <c r="U21" s="1211"/>
      <c r="V21" s="1212"/>
      <c r="X21" s="1211"/>
      <c r="Y21" s="1212"/>
      <c r="Z21" s="1212"/>
      <c r="AB21" s="1211"/>
      <c r="AC21" s="1212"/>
      <c r="AD21" s="1067" t="str">
        <f t="shared" si="0"/>
        <v/>
      </c>
      <c r="AE21" s="1063" t="str">
        <f>IF(ISNA(VLOOKUP(TB_prev[[#This Row],[Synt]],GL[[#Headers],[#Data],[subtotal label]],1,FALSE)),0,(VLOOKUP(TB_prev[[#This Row],[Synt]],GL[[#Headers],[#Data],[subtotal label]],1,FALSE)))</f>
        <v/>
      </c>
      <c r="AF21" s="1063" t="e">
        <f>IF((TB_prev[[#This Row],[Synt]]-TB_prev[[#This Row],[Subtotal Y/N]])=0,0,VLOOKUP(TB_prev[[#This Row],[Synt]],GL[[Account]:[Line]],3,FALSE))</f>
        <v>#VALUE!</v>
      </c>
      <c r="AG21" s="1063" t="e">
        <f>VLOOKUP(TB_prev[[#This Row],[Synt]],GL[[Account]:[B/P]],4,FALSE)</f>
        <v>#N/A</v>
      </c>
      <c r="AH21" s="1066" t="s">
        <v>2012</v>
      </c>
      <c r="AI21" s="1065" t="str">
        <f>TB_prev[[#This Row],[Synt]]&amp;TB_prev[[#This Row],[Line No. manual corr.]]</f>
        <v>210</v>
      </c>
      <c r="AJ21" s="1064">
        <f t="shared" si="1"/>
        <v>0</v>
      </c>
      <c r="AK21" s="1064">
        <f t="shared" si="2"/>
        <v>0</v>
      </c>
      <c r="AL21" s="1064">
        <f t="shared" si="3"/>
        <v>0</v>
      </c>
      <c r="AM21" s="1064">
        <f t="shared" si="4"/>
        <v>0</v>
      </c>
      <c r="AN21" s="1064"/>
      <c r="AO21" s="1064">
        <f>TB_prev[[#This Row],[Closing balance]]+TB_prev[[#This Row],[Rounding]]</f>
        <v>0</v>
      </c>
    </row>
    <row r="22" spans="2:41" x14ac:dyDescent="0.25">
      <c r="B22" s="1104"/>
      <c r="E22" s="1104"/>
      <c r="K22" s="1211"/>
      <c r="L22" s="1212"/>
      <c r="N22" s="1211"/>
      <c r="O22" s="1212"/>
      <c r="Q22" s="1211"/>
      <c r="R22" s="1212"/>
      <c r="S22" s="1212"/>
      <c r="U22" s="1211"/>
      <c r="V22" s="1212"/>
      <c r="X22" s="1211"/>
      <c r="Y22" s="1212"/>
      <c r="Z22" s="1212"/>
      <c r="AB22" s="1211"/>
      <c r="AC22" s="1212"/>
      <c r="AD22" s="1067" t="str">
        <f t="shared" si="0"/>
        <v/>
      </c>
      <c r="AE22" s="1063" t="str">
        <f>IF(ISNA(VLOOKUP(TB_prev[[#This Row],[Synt]],GL[[#Headers],[#Data],[subtotal label]],1,FALSE)),0,(VLOOKUP(TB_prev[[#This Row],[Synt]],GL[[#Headers],[#Data],[subtotal label]],1,FALSE)))</f>
        <v/>
      </c>
      <c r="AF22" s="1063" t="e">
        <f>IF((TB_prev[[#This Row],[Synt]]-TB_prev[[#This Row],[Subtotal Y/N]])=0,0,VLOOKUP(TB_prev[[#This Row],[Synt]],GL[[Account]:[Line]],3,FALSE))</f>
        <v>#VALUE!</v>
      </c>
      <c r="AG22" s="1063" t="e">
        <f>VLOOKUP(TB_prev[[#This Row],[Synt]],GL[[Account]:[B/P]],4,FALSE)</f>
        <v>#N/A</v>
      </c>
      <c r="AH22" s="1066" t="s">
        <v>1825</v>
      </c>
      <c r="AI22" s="1065" t="str">
        <f>TB_prev[[#This Row],[Synt]]&amp;TB_prev[[#This Row],[Line No. manual corr.]]</f>
        <v>211</v>
      </c>
      <c r="AJ22" s="1064">
        <f t="shared" si="1"/>
        <v>0</v>
      </c>
      <c r="AK22" s="1064">
        <f t="shared" si="2"/>
        <v>0</v>
      </c>
      <c r="AL22" s="1064">
        <f t="shared" si="3"/>
        <v>0</v>
      </c>
      <c r="AM22" s="1064">
        <f t="shared" si="4"/>
        <v>0</v>
      </c>
      <c r="AN22" s="1064"/>
      <c r="AO22" s="1064">
        <f>TB_prev[[#This Row],[Closing balance]]+TB_prev[[#This Row],[Rounding]]</f>
        <v>0</v>
      </c>
    </row>
    <row r="23" spans="2:41" x14ac:dyDescent="0.25">
      <c r="B23" s="1104"/>
      <c r="E23" s="1104"/>
      <c r="K23" s="1211"/>
      <c r="L23" s="1212"/>
      <c r="N23" s="1211"/>
      <c r="O23" s="1212"/>
      <c r="Q23" s="1211"/>
      <c r="R23" s="1212"/>
      <c r="S23" s="1212"/>
      <c r="U23" s="1211"/>
      <c r="V23" s="1212"/>
      <c r="X23" s="1211"/>
      <c r="Y23" s="1212"/>
      <c r="Z23" s="1212"/>
      <c r="AB23" s="1211"/>
      <c r="AC23" s="1212"/>
      <c r="AD23" s="1067" t="str">
        <f t="shared" si="0"/>
        <v/>
      </c>
      <c r="AE23" s="1063" t="str">
        <f>IF(ISNA(VLOOKUP(TB_prev[[#This Row],[Synt]],GL[[#Headers],[#Data],[subtotal label]],1,FALSE)),0,(VLOOKUP(TB_prev[[#This Row],[Synt]],GL[[#Headers],[#Data],[subtotal label]],1,FALSE)))</f>
        <v/>
      </c>
      <c r="AF23" s="1063" t="e">
        <f>IF((TB_prev[[#This Row],[Synt]]-TB_prev[[#This Row],[Subtotal Y/N]])=0,0,VLOOKUP(TB_prev[[#This Row],[Synt]],GL[[Account]:[Line]],3,FALSE))</f>
        <v>#VALUE!</v>
      </c>
      <c r="AG23" s="1063" t="e">
        <f>VLOOKUP(TB_prev[[#This Row],[Synt]],GL[[Account]:[B/P]],4,FALSE)</f>
        <v>#N/A</v>
      </c>
      <c r="AH23" s="1066" t="s">
        <v>1825</v>
      </c>
      <c r="AI23" s="1065" t="str">
        <f>TB_prev[[#This Row],[Synt]]&amp;TB_prev[[#This Row],[Line No. manual corr.]]</f>
        <v>211</v>
      </c>
      <c r="AJ23" s="1064">
        <f t="shared" si="1"/>
        <v>0</v>
      </c>
      <c r="AK23" s="1064">
        <f t="shared" si="2"/>
        <v>0</v>
      </c>
      <c r="AL23" s="1064">
        <f t="shared" si="3"/>
        <v>0</v>
      </c>
      <c r="AM23" s="1064">
        <f t="shared" si="4"/>
        <v>0</v>
      </c>
      <c r="AN23" s="1064"/>
      <c r="AO23" s="1064">
        <f>TB_prev[[#This Row],[Closing balance]]+TB_prev[[#This Row],[Rounding]]</f>
        <v>0</v>
      </c>
    </row>
    <row r="24" spans="2:41" x14ac:dyDescent="0.25">
      <c r="B24" s="1104"/>
      <c r="E24" s="1104"/>
      <c r="K24" s="1211"/>
      <c r="L24" s="1212"/>
      <c r="N24" s="1211"/>
      <c r="O24" s="1212"/>
      <c r="Q24" s="1211"/>
      <c r="R24" s="1212"/>
      <c r="S24" s="1212"/>
      <c r="U24" s="1211"/>
      <c r="V24" s="1212"/>
      <c r="X24" s="1211"/>
      <c r="Y24" s="1212"/>
      <c r="Z24" s="1212"/>
      <c r="AB24" s="1211"/>
      <c r="AC24" s="1212"/>
      <c r="AD24" s="1067" t="str">
        <f t="shared" si="0"/>
        <v/>
      </c>
      <c r="AE24" s="1063" t="str">
        <f>IF(ISNA(VLOOKUP(TB_prev[[#This Row],[Synt]],GL[[#Headers],[#Data],[subtotal label]],1,FALSE)),0,(VLOOKUP(TB_prev[[#This Row],[Synt]],GL[[#Headers],[#Data],[subtotal label]],1,FALSE)))</f>
        <v/>
      </c>
      <c r="AF24" s="1063" t="e">
        <f>IF((TB_prev[[#This Row],[Synt]]-TB_prev[[#This Row],[Subtotal Y/N]])=0,0,VLOOKUP(TB_prev[[#This Row],[Synt]],GL[[Account]:[Line]],3,FALSE))</f>
        <v>#VALUE!</v>
      </c>
      <c r="AG24" s="1063" t="e">
        <f>VLOOKUP(TB_prev[[#This Row],[Synt]],GL[[Account]:[B/P]],4,FALSE)</f>
        <v>#N/A</v>
      </c>
      <c r="AH24" s="1066" t="s">
        <v>1993</v>
      </c>
      <c r="AI24" s="1065" t="str">
        <f>TB_prev[[#This Row],[Synt]]&amp;TB_prev[[#This Row],[Line No. manual corr.]]</f>
        <v>213</v>
      </c>
      <c r="AJ24" s="1064">
        <f t="shared" si="1"/>
        <v>0</v>
      </c>
      <c r="AK24" s="1064">
        <f t="shared" si="2"/>
        <v>0</v>
      </c>
      <c r="AL24" s="1064">
        <f t="shared" si="3"/>
        <v>0</v>
      </c>
      <c r="AM24" s="1064">
        <f t="shared" si="4"/>
        <v>0</v>
      </c>
      <c r="AN24" s="1064"/>
      <c r="AO24" s="1064">
        <f>TB_prev[[#This Row],[Closing balance]]+TB_prev[[#This Row],[Rounding]]</f>
        <v>0</v>
      </c>
    </row>
    <row r="25" spans="2:41" x14ac:dyDescent="0.25">
      <c r="B25" s="1104"/>
      <c r="E25" s="1104"/>
      <c r="K25" s="1211"/>
      <c r="L25" s="1212"/>
      <c r="N25" s="1211"/>
      <c r="O25" s="1212"/>
      <c r="Q25" s="1211"/>
      <c r="R25" s="1212"/>
      <c r="S25" s="1212"/>
      <c r="U25" s="1211"/>
      <c r="V25" s="1212"/>
      <c r="X25" s="1211"/>
      <c r="Y25" s="1212"/>
      <c r="Z25" s="1212"/>
      <c r="AB25" s="1211"/>
      <c r="AC25" s="1212"/>
      <c r="AD25" s="1067" t="str">
        <f t="shared" si="0"/>
        <v/>
      </c>
      <c r="AE25" s="1063" t="str">
        <f>IF(ISNA(VLOOKUP(TB_prev[[#This Row],[Synt]],GL[[#Headers],[#Data],[subtotal label]],1,FALSE)),0,(VLOOKUP(TB_prev[[#This Row],[Synt]],GL[[#Headers],[#Data],[subtotal label]],1,FALSE)))</f>
        <v/>
      </c>
      <c r="AF25" s="1063" t="e">
        <f>IF((TB_prev[[#This Row],[Synt]]-TB_prev[[#This Row],[Subtotal Y/N]])=0,0,VLOOKUP(TB_prev[[#This Row],[Synt]],GL[[Account]:[Line]],3,FALSE))</f>
        <v>#VALUE!</v>
      </c>
      <c r="AG25" s="1063" t="e">
        <f>VLOOKUP(TB_prev[[#This Row],[Synt]],GL[[Account]:[B/P]],4,FALSE)</f>
        <v>#N/A</v>
      </c>
      <c r="AH25" s="1066" t="s">
        <v>2014</v>
      </c>
      <c r="AI25" s="1065" t="str">
        <f>TB_prev[[#This Row],[Synt]]&amp;TB_prev[[#This Row],[Line No. manual corr.]]</f>
        <v>217</v>
      </c>
      <c r="AJ25" s="1064">
        <f t="shared" si="1"/>
        <v>0</v>
      </c>
      <c r="AK25" s="1064">
        <f t="shared" si="2"/>
        <v>0</v>
      </c>
      <c r="AL25" s="1064">
        <f t="shared" si="3"/>
        <v>0</v>
      </c>
      <c r="AM25" s="1064">
        <f t="shared" si="4"/>
        <v>0</v>
      </c>
      <c r="AN25" s="1064"/>
      <c r="AO25" s="1064">
        <f>TB_prev[[#This Row],[Closing balance]]+TB_prev[[#This Row],[Rounding]]</f>
        <v>0</v>
      </c>
    </row>
    <row r="26" spans="2:41" x14ac:dyDescent="0.25">
      <c r="B26" s="1104"/>
      <c r="E26" s="1104"/>
      <c r="K26" s="1211"/>
      <c r="L26" s="1212"/>
      <c r="N26" s="1211"/>
      <c r="O26" s="1212"/>
      <c r="Q26" s="1211"/>
      <c r="R26" s="1212"/>
      <c r="S26" s="1212"/>
      <c r="U26" s="1211"/>
      <c r="V26" s="1212"/>
      <c r="X26" s="1211"/>
      <c r="Y26" s="1212"/>
      <c r="Z26" s="1212"/>
      <c r="AB26" s="1211"/>
      <c r="AC26" s="1212"/>
      <c r="AD26" s="1067" t="str">
        <f t="shared" si="0"/>
        <v/>
      </c>
      <c r="AE26" s="1063" t="str">
        <f>IF(ISNA(VLOOKUP(TB_prev[[#This Row],[Synt]],GL[[#Headers],[#Data],[subtotal label]],1,FALSE)),0,(VLOOKUP(TB_prev[[#This Row],[Synt]],GL[[#Headers],[#Data],[subtotal label]],1,FALSE)))</f>
        <v/>
      </c>
      <c r="AF26" s="1063" t="e">
        <f>IF((TB_prev[[#This Row],[Synt]]-TB_prev[[#This Row],[Subtotal Y/N]])=0,0,VLOOKUP(TB_prev[[#This Row],[Synt]],GL[[Account]:[Line]],3,FALSE))</f>
        <v>#VALUE!</v>
      </c>
      <c r="AG26" s="1063" t="e">
        <f>VLOOKUP(TB_prev[[#This Row],[Synt]],GL[[Account]:[B/P]],4,FALSE)</f>
        <v>#N/A</v>
      </c>
      <c r="AH26" s="1066" t="s">
        <v>2014</v>
      </c>
      <c r="AI26" s="1065" t="str">
        <f>TB_prev[[#This Row],[Synt]]&amp;TB_prev[[#This Row],[Line No. manual corr.]]</f>
        <v>217</v>
      </c>
      <c r="AJ26" s="1064">
        <f t="shared" si="1"/>
        <v>0</v>
      </c>
      <c r="AK26" s="1064">
        <f t="shared" si="2"/>
        <v>0</v>
      </c>
      <c r="AL26" s="1064">
        <f t="shared" si="3"/>
        <v>0</v>
      </c>
      <c r="AM26" s="1064">
        <f t="shared" si="4"/>
        <v>0</v>
      </c>
      <c r="AN26" s="1064"/>
      <c r="AO26" s="1064">
        <f>TB_prev[[#This Row],[Closing balance]]+TB_prev[[#This Row],[Rounding]]</f>
        <v>0</v>
      </c>
    </row>
    <row r="27" spans="2:41" x14ac:dyDescent="0.25">
      <c r="B27" s="1104"/>
      <c r="E27" s="1104"/>
      <c r="K27" s="1211"/>
      <c r="L27" s="1212"/>
      <c r="N27" s="1211"/>
      <c r="O27" s="1212"/>
      <c r="Q27" s="1211"/>
      <c r="R27" s="1212"/>
      <c r="S27" s="1212"/>
      <c r="U27" s="1211"/>
      <c r="V27" s="1212"/>
      <c r="X27" s="1211"/>
      <c r="Y27" s="1212"/>
      <c r="Z27" s="1212"/>
      <c r="AB27" s="1211"/>
      <c r="AC27" s="1212"/>
      <c r="AD27" s="1067" t="str">
        <f t="shared" si="0"/>
        <v/>
      </c>
      <c r="AE27" s="1063" t="str">
        <f>IF(ISNA(VLOOKUP(TB_prev[[#This Row],[Synt]],GL[[#Headers],[#Data],[subtotal label]],1,FALSE)),0,(VLOOKUP(TB_prev[[#This Row],[Synt]],GL[[#Headers],[#Data],[subtotal label]],1,FALSE)))</f>
        <v/>
      </c>
      <c r="AF27" s="1063" t="e">
        <f>IF((TB_prev[[#This Row],[Synt]]-TB_prev[[#This Row],[Subtotal Y/N]])=0,0,VLOOKUP(TB_prev[[#This Row],[Synt]],GL[[Account]:[Line]],3,FALSE))</f>
        <v>#VALUE!</v>
      </c>
      <c r="AG27" s="1063" t="e">
        <f>VLOOKUP(TB_prev[[#This Row],[Synt]],GL[[Account]:[B/P]],4,FALSE)</f>
        <v>#N/A</v>
      </c>
      <c r="AH27" s="1066" t="s">
        <v>2015</v>
      </c>
      <c r="AI27" s="1065" t="str">
        <f>TB_prev[[#This Row],[Synt]]&amp;TB_prev[[#This Row],[Line No. manual corr.]]</f>
        <v>214</v>
      </c>
      <c r="AJ27" s="1064">
        <f t="shared" si="1"/>
        <v>0</v>
      </c>
      <c r="AK27" s="1064">
        <f t="shared" si="2"/>
        <v>0</v>
      </c>
      <c r="AL27" s="1064">
        <f t="shared" si="3"/>
        <v>0</v>
      </c>
      <c r="AM27" s="1064">
        <f t="shared" si="4"/>
        <v>0</v>
      </c>
      <c r="AN27" s="1064"/>
      <c r="AO27" s="1064">
        <f>TB_prev[[#This Row],[Closing balance]]+TB_prev[[#This Row],[Rounding]]</f>
        <v>0</v>
      </c>
    </row>
    <row r="28" spans="2:41" x14ac:dyDescent="0.25">
      <c r="B28" s="1104"/>
      <c r="E28" s="1104"/>
      <c r="K28" s="1211"/>
      <c r="L28" s="1212"/>
      <c r="N28" s="1211"/>
      <c r="O28" s="1212"/>
      <c r="Q28" s="1211"/>
      <c r="R28" s="1212"/>
      <c r="S28" s="1212"/>
      <c r="U28" s="1211"/>
      <c r="V28" s="1212"/>
      <c r="X28" s="1211"/>
      <c r="Y28" s="1212"/>
      <c r="Z28" s="1212"/>
      <c r="AB28" s="1211"/>
      <c r="AC28" s="1212"/>
      <c r="AD28" s="1067" t="str">
        <f t="shared" si="0"/>
        <v/>
      </c>
      <c r="AE28" s="1063" t="str">
        <f>IF(ISNA(VLOOKUP(TB_prev[[#This Row],[Synt]],GL[[#Headers],[#Data],[subtotal label]],1,FALSE)),0,(VLOOKUP(TB_prev[[#This Row],[Synt]],GL[[#Headers],[#Data],[subtotal label]],1,FALSE)))</f>
        <v/>
      </c>
      <c r="AF28" s="1063" t="e">
        <f>IF((TB_prev[[#This Row],[Synt]]-TB_prev[[#This Row],[Subtotal Y/N]])=0,0,VLOOKUP(TB_prev[[#This Row],[Synt]],GL[[Account]:[Line]],3,FALSE))</f>
        <v>#VALUE!</v>
      </c>
      <c r="AG28" s="1063" t="e">
        <f>VLOOKUP(TB_prev[[#This Row],[Synt]],GL[[Account]:[B/P]],4,FALSE)</f>
        <v>#N/A</v>
      </c>
      <c r="AH28" s="1066" t="s">
        <v>2015</v>
      </c>
      <c r="AI28" s="1065" t="str">
        <f>TB_prev[[#This Row],[Synt]]&amp;TB_prev[[#This Row],[Line No. manual corr.]]</f>
        <v>214</v>
      </c>
      <c r="AJ28" s="1064">
        <f t="shared" si="1"/>
        <v>0</v>
      </c>
      <c r="AK28" s="1064">
        <f t="shared" si="2"/>
        <v>0</v>
      </c>
      <c r="AL28" s="1064">
        <f t="shared" si="3"/>
        <v>0</v>
      </c>
      <c r="AM28" s="1064">
        <f t="shared" si="4"/>
        <v>0</v>
      </c>
      <c r="AN28" s="1064"/>
      <c r="AO28" s="1064">
        <f>TB_prev[[#This Row],[Closing balance]]+TB_prev[[#This Row],[Rounding]]</f>
        <v>0</v>
      </c>
    </row>
    <row r="29" spans="2:41" ht="12" x14ac:dyDescent="0.25">
      <c r="B29" s="1107"/>
      <c r="C29" s="1107"/>
      <c r="D29" s="1107"/>
      <c r="E29" s="1107"/>
      <c r="F29" s="1107"/>
      <c r="G29" s="1107"/>
      <c r="H29" s="1107"/>
      <c r="I29" s="1107"/>
      <c r="J29" s="1107"/>
      <c r="K29" s="1217"/>
      <c r="L29" s="1218"/>
      <c r="M29" s="1107"/>
      <c r="N29" s="1217"/>
      <c r="O29" s="1218"/>
      <c r="P29" s="1107"/>
      <c r="Q29" s="1217"/>
      <c r="R29" s="1218"/>
      <c r="S29" s="1218"/>
      <c r="T29" s="1107"/>
      <c r="U29" s="1217"/>
      <c r="V29" s="1218"/>
      <c r="W29" s="1107"/>
      <c r="X29" s="1217"/>
      <c r="Y29" s="1218"/>
      <c r="Z29" s="1218"/>
      <c r="AA29" s="1107"/>
      <c r="AB29" s="1217"/>
      <c r="AC29" s="1218"/>
      <c r="AD29" s="1067" t="str">
        <f t="shared" si="0"/>
        <v/>
      </c>
      <c r="AE29" s="1063" t="str">
        <f>IF(ISNA(VLOOKUP(TB_prev[[#This Row],[Synt]],GL[[#Headers],[#Data],[subtotal label]],1,FALSE)),0,(VLOOKUP(TB_prev[[#This Row],[Synt]],GL[[#Headers],[#Data],[subtotal label]],1,FALSE)))</f>
        <v/>
      </c>
      <c r="AF29" s="1063" t="e">
        <f>IF((TB_prev[[#This Row],[Synt]]-TB_prev[[#This Row],[Subtotal Y/N]])=0,0,VLOOKUP(TB_prev[[#This Row],[Synt]],GL[[Account]:[Line]],3,FALSE))</f>
        <v>#VALUE!</v>
      </c>
      <c r="AG29" s="1063" t="e">
        <f>VLOOKUP(TB_prev[[#This Row],[Synt]],GL[[Account]:[B/P]],4,FALSE)</f>
        <v>#N/A</v>
      </c>
      <c r="AH29" s="1066" t="e">
        <v>#N/A</v>
      </c>
      <c r="AI29" s="1065" t="e">
        <f>TB_prev[[#This Row],[Synt]]&amp;TB_prev[[#This Row],[Line No. manual corr.]]</f>
        <v>#N/A</v>
      </c>
      <c r="AJ29" s="1064">
        <f t="shared" si="1"/>
        <v>0</v>
      </c>
      <c r="AK29" s="1064">
        <f t="shared" si="2"/>
        <v>0</v>
      </c>
      <c r="AL29" s="1064">
        <f t="shared" si="3"/>
        <v>0</v>
      </c>
      <c r="AM29" s="1064">
        <f t="shared" si="4"/>
        <v>0</v>
      </c>
      <c r="AN29" s="1064"/>
      <c r="AO29" s="1064">
        <f>TB_prev[[#This Row],[Closing balance]]+TB_prev[[#This Row],[Rounding]]</f>
        <v>0</v>
      </c>
    </row>
    <row r="30" spans="2:41" ht="12" x14ac:dyDescent="0.25">
      <c r="B30" s="1109"/>
      <c r="C30" s="1109"/>
      <c r="D30" s="1109"/>
      <c r="E30" s="1109"/>
      <c r="F30" s="1109"/>
      <c r="G30" s="1109"/>
      <c r="H30" s="1109"/>
      <c r="I30" s="1109"/>
      <c r="J30" s="1109"/>
      <c r="K30" s="1109"/>
      <c r="L30" s="1109"/>
      <c r="M30" s="1109"/>
      <c r="N30" s="1109"/>
      <c r="O30" s="1109"/>
      <c r="P30" s="1109"/>
      <c r="Q30" s="1109"/>
      <c r="R30" s="1109"/>
      <c r="S30" s="1109"/>
      <c r="T30" s="1109"/>
      <c r="U30" s="1109"/>
      <c r="V30" s="1109"/>
      <c r="W30" s="1109"/>
      <c r="X30" s="1109"/>
      <c r="Y30" s="1109"/>
      <c r="Z30" s="1109"/>
      <c r="AA30" s="1109"/>
      <c r="AB30" s="1109"/>
      <c r="AC30" s="1109"/>
      <c r="AD30" s="1067" t="str">
        <f t="shared" si="0"/>
        <v/>
      </c>
      <c r="AE30" s="1063" t="str">
        <f>IF(ISNA(VLOOKUP(TB_prev[[#This Row],[Synt]],GL[[#Headers],[#Data],[subtotal label]],1,FALSE)),0,(VLOOKUP(TB_prev[[#This Row],[Synt]],GL[[#Headers],[#Data],[subtotal label]],1,FALSE)))</f>
        <v/>
      </c>
      <c r="AF30" s="1063" t="e">
        <f>IF((TB_prev[[#This Row],[Synt]]-TB_prev[[#This Row],[Subtotal Y/N]])=0,0,VLOOKUP(TB_prev[[#This Row],[Synt]],GL[[Account]:[Line]],3,FALSE))</f>
        <v>#VALUE!</v>
      </c>
      <c r="AG30" s="1063" t="e">
        <f>VLOOKUP(TB_prev[[#This Row],[Synt]],GL[[Account]:[B/P]],4,FALSE)</f>
        <v>#N/A</v>
      </c>
      <c r="AH30" s="1066" t="e">
        <v>#VALUE!</v>
      </c>
      <c r="AI30" s="1065" t="e">
        <f>TB_prev[[#This Row],[Synt]]&amp;TB_prev[[#This Row],[Line No. manual corr.]]</f>
        <v>#VALUE!</v>
      </c>
      <c r="AJ30" s="1064">
        <f t="shared" si="1"/>
        <v>0</v>
      </c>
      <c r="AK30" s="1064">
        <f t="shared" si="2"/>
        <v>0</v>
      </c>
      <c r="AL30" s="1064">
        <f t="shared" si="3"/>
        <v>0</v>
      </c>
      <c r="AM30" s="1064">
        <f t="shared" si="4"/>
        <v>0</v>
      </c>
      <c r="AN30" s="1064"/>
      <c r="AO30" s="1064">
        <f>TB_prev[[#This Row],[Closing balance]]+TB_prev[[#This Row],[Rounding]]</f>
        <v>0</v>
      </c>
    </row>
    <row r="31" spans="2:41" ht="12" x14ac:dyDescent="0.25">
      <c r="B31" s="1107"/>
      <c r="C31" s="1107"/>
      <c r="D31" s="1107"/>
      <c r="E31" s="1105"/>
      <c r="F31" s="1107"/>
      <c r="G31" s="1107"/>
      <c r="H31" s="1107"/>
      <c r="I31" s="1107"/>
      <c r="J31" s="1107"/>
      <c r="K31" s="1219"/>
      <c r="L31" s="1218"/>
      <c r="M31" s="1107"/>
      <c r="N31" s="1219"/>
      <c r="O31" s="1218"/>
      <c r="P31" s="1107"/>
      <c r="Q31" s="1219"/>
      <c r="R31" s="1218"/>
      <c r="S31" s="1218"/>
      <c r="T31" s="1107"/>
      <c r="U31" s="1219"/>
      <c r="V31" s="1218"/>
      <c r="W31" s="1107"/>
      <c r="X31" s="1219"/>
      <c r="Y31" s="1218"/>
      <c r="Z31" s="1218"/>
      <c r="AA31" s="1107"/>
      <c r="AB31" s="1219"/>
      <c r="AC31" s="1218"/>
      <c r="AD31" s="1067" t="str">
        <f t="shared" si="0"/>
        <v/>
      </c>
      <c r="AE31" s="1063" t="str">
        <f>IF(ISNA(VLOOKUP(TB_prev[[#This Row],[Synt]],GL[[#Headers],[#Data],[subtotal label]],1,FALSE)),0,(VLOOKUP(TB_prev[[#This Row],[Synt]],GL[[#Headers],[#Data],[subtotal label]],1,FALSE)))</f>
        <v/>
      </c>
      <c r="AF31" s="1063" t="e">
        <f>IF((TB_prev[[#This Row],[Synt]]-TB_prev[[#This Row],[Subtotal Y/N]])=0,0,VLOOKUP(TB_prev[[#This Row],[Synt]],GL[[Account]:[Line]],3,FALSE))</f>
        <v>#VALUE!</v>
      </c>
      <c r="AG31" s="1063" t="e">
        <f>VLOOKUP(TB_prev[[#This Row],[Synt]],GL[[Account]:[B/P]],4,FALSE)</f>
        <v>#N/A</v>
      </c>
      <c r="AH31" s="1066" t="e">
        <v>#VALUE!</v>
      </c>
      <c r="AI31" s="1065" t="e">
        <f>TB_prev[[#This Row],[Synt]]&amp;TB_prev[[#This Row],[Line No. manual corr.]]</f>
        <v>#VALUE!</v>
      </c>
      <c r="AJ31" s="1064">
        <f t="shared" si="1"/>
        <v>0</v>
      </c>
      <c r="AK31" s="1064">
        <f t="shared" si="2"/>
        <v>0</v>
      </c>
      <c r="AL31" s="1064">
        <f t="shared" si="3"/>
        <v>0</v>
      </c>
      <c r="AM31" s="1064">
        <f t="shared" si="4"/>
        <v>0</v>
      </c>
      <c r="AN31" s="1064"/>
      <c r="AO31" s="1064">
        <f>TB_prev[[#This Row],[Closing balance]]+TB_prev[[#This Row],[Rounding]]</f>
        <v>0</v>
      </c>
    </row>
    <row r="32" spans="2:41" ht="12" x14ac:dyDescent="0.25">
      <c r="B32" s="1109"/>
      <c r="C32" s="1109"/>
      <c r="D32" s="1109"/>
      <c r="E32" s="1109"/>
      <c r="F32" s="1109"/>
      <c r="G32" s="1109"/>
      <c r="H32" s="1109"/>
      <c r="I32" s="1109"/>
      <c r="J32" s="1109"/>
      <c r="K32" s="1109"/>
      <c r="L32" s="1109"/>
      <c r="M32" s="1109"/>
      <c r="N32" s="1109"/>
      <c r="O32" s="1109"/>
      <c r="P32" s="1109"/>
      <c r="Q32" s="1109"/>
      <c r="R32" s="1109"/>
      <c r="S32" s="1109"/>
      <c r="T32" s="1109"/>
      <c r="U32" s="1109"/>
      <c r="V32" s="1109"/>
      <c r="W32" s="1109"/>
      <c r="X32" s="1109"/>
      <c r="Y32" s="1109"/>
      <c r="Z32" s="1109"/>
      <c r="AA32" s="1109"/>
      <c r="AB32" s="1109"/>
      <c r="AC32" s="1109"/>
      <c r="AD32" s="1067" t="str">
        <f t="shared" si="0"/>
        <v/>
      </c>
      <c r="AE32" s="1063" t="str">
        <f>IF(ISNA(VLOOKUP(TB_prev[[#This Row],[Synt]],GL[[#Headers],[#Data],[subtotal label]],1,FALSE)),0,(VLOOKUP(TB_prev[[#This Row],[Synt]],GL[[#Headers],[#Data],[subtotal label]],1,FALSE)))</f>
        <v/>
      </c>
      <c r="AF32" s="1063" t="e">
        <f>IF((TB_prev[[#This Row],[Synt]]-TB_prev[[#This Row],[Subtotal Y/N]])=0,0,VLOOKUP(TB_prev[[#This Row],[Synt]],GL[[Account]:[Line]],3,FALSE))</f>
        <v>#VALUE!</v>
      </c>
      <c r="AG32" s="1063" t="e">
        <f>VLOOKUP(TB_prev[[#This Row],[Synt]],GL[[Account]:[B/P]],4,FALSE)</f>
        <v>#N/A</v>
      </c>
      <c r="AH32" s="1066" t="e">
        <v>#VALUE!</v>
      </c>
      <c r="AI32" s="1065" t="e">
        <f>TB_prev[[#This Row],[Synt]]&amp;TB_prev[[#This Row],[Line No. manual corr.]]</f>
        <v>#VALUE!</v>
      </c>
      <c r="AJ32" s="1064">
        <f t="shared" si="1"/>
        <v>0</v>
      </c>
      <c r="AK32" s="1064">
        <f t="shared" si="2"/>
        <v>0</v>
      </c>
      <c r="AL32" s="1064">
        <f t="shared" si="3"/>
        <v>0</v>
      </c>
      <c r="AM32" s="1064">
        <f t="shared" si="4"/>
        <v>0</v>
      </c>
      <c r="AN32" s="1064"/>
      <c r="AO32" s="1064">
        <f>TB_prev[[#This Row],[Closing balance]]+TB_prev[[#This Row],[Rounding]]</f>
        <v>0</v>
      </c>
    </row>
    <row r="33" spans="30:41" x14ac:dyDescent="0.25">
      <c r="AD33" s="1067" t="str">
        <f t="shared" si="0"/>
        <v/>
      </c>
      <c r="AE33" s="1063" t="str">
        <f>IF(ISNA(VLOOKUP(TB_prev[[#This Row],[Synt]],GL[[#Headers],[#Data],[subtotal label]],1,FALSE)),0,(VLOOKUP(TB_prev[[#This Row],[Synt]],GL[[#Headers],[#Data],[subtotal label]],1,FALSE)))</f>
        <v/>
      </c>
      <c r="AF33" s="1063" t="e">
        <f>IF((TB_prev[[#This Row],[Synt]]-TB_prev[[#This Row],[Subtotal Y/N]])=0,0,VLOOKUP(TB_prev[[#This Row],[Synt]],GL[[Account]:[Line]],3,FALSE))</f>
        <v>#VALUE!</v>
      </c>
      <c r="AG33" s="1063" t="e">
        <f>VLOOKUP(TB_prev[[#This Row],[Synt]],GL[[Account]:[B/P]],4,FALSE)</f>
        <v>#N/A</v>
      </c>
      <c r="AH33" s="1066" t="e">
        <v>#VALUE!</v>
      </c>
      <c r="AI33" s="1065" t="e">
        <f>TB_prev[[#This Row],[Synt]]&amp;TB_prev[[#This Row],[Line No. manual corr.]]</f>
        <v>#VALUE!</v>
      </c>
      <c r="AJ33" s="1064">
        <f t="shared" si="1"/>
        <v>0</v>
      </c>
      <c r="AK33" s="1064">
        <f t="shared" si="2"/>
        <v>0</v>
      </c>
      <c r="AL33" s="1064">
        <f t="shared" si="3"/>
        <v>0</v>
      </c>
      <c r="AM33" s="1064">
        <f t="shared" si="4"/>
        <v>0</v>
      </c>
      <c r="AN33" s="1064"/>
      <c r="AO33" s="1064">
        <f>TB_prev[[#This Row],[Closing balance]]+TB_prev[[#This Row],[Rounding]]</f>
        <v>0</v>
      </c>
    </row>
    <row r="34" spans="30:41" x14ac:dyDescent="0.25">
      <c r="AD34" s="1067" t="str">
        <f t="shared" si="0"/>
        <v/>
      </c>
      <c r="AE34" s="1063" t="str">
        <f>IF(ISNA(VLOOKUP(TB_prev[[#This Row],[Synt]],GL[[#Headers],[#Data],[subtotal label]],1,FALSE)),0,(VLOOKUP(TB_prev[[#This Row],[Synt]],GL[[#Headers],[#Data],[subtotal label]],1,FALSE)))</f>
        <v/>
      </c>
      <c r="AF34" s="1063" t="e">
        <f>IF((TB_prev[[#This Row],[Synt]]-TB_prev[[#This Row],[Subtotal Y/N]])=0,0,VLOOKUP(TB_prev[[#This Row],[Synt]],GL[[Account]:[Line]],3,FALSE))</f>
        <v>#VALUE!</v>
      </c>
      <c r="AG34" s="1063" t="e">
        <f>VLOOKUP(TB_prev[[#This Row],[Synt]],GL[[Account]:[B/P]],4,FALSE)</f>
        <v>#N/A</v>
      </c>
      <c r="AH34" s="1066" t="e">
        <v>#VALUE!</v>
      </c>
      <c r="AI34" s="1065" t="e">
        <f>TB_prev[[#This Row],[Synt]]&amp;TB_prev[[#This Row],[Line No. manual corr.]]</f>
        <v>#VALUE!</v>
      </c>
      <c r="AJ34" s="1064">
        <f t="shared" si="1"/>
        <v>0</v>
      </c>
      <c r="AK34" s="1064">
        <f t="shared" si="2"/>
        <v>0</v>
      </c>
      <c r="AL34" s="1064">
        <f t="shared" si="3"/>
        <v>0</v>
      </c>
      <c r="AM34" s="1064">
        <f t="shared" si="4"/>
        <v>0</v>
      </c>
      <c r="AN34" s="1064"/>
      <c r="AO34" s="1064">
        <f>TB_prev[[#This Row],[Closing balance]]+TB_prev[[#This Row],[Rounding]]</f>
        <v>0</v>
      </c>
    </row>
    <row r="35" spans="30:41" x14ac:dyDescent="0.25">
      <c r="AD35" s="1067" t="str">
        <f t="shared" si="0"/>
        <v/>
      </c>
      <c r="AE35" s="1063" t="str">
        <f>IF(ISNA(VLOOKUP(TB_prev[[#This Row],[Synt]],GL[[#Headers],[#Data],[subtotal label]],1,FALSE)),0,(VLOOKUP(TB_prev[[#This Row],[Synt]],GL[[#Headers],[#Data],[subtotal label]],1,FALSE)))</f>
        <v/>
      </c>
      <c r="AF35" s="1063" t="e">
        <f>IF((TB_prev[[#This Row],[Synt]]-TB_prev[[#This Row],[Subtotal Y/N]])=0,0,VLOOKUP(TB_prev[[#This Row],[Synt]],GL[[Account]:[Line]],3,FALSE))</f>
        <v>#VALUE!</v>
      </c>
      <c r="AG35" s="1063" t="e">
        <f>VLOOKUP(TB_prev[[#This Row],[Synt]],GL[[Account]:[B/P]],4,FALSE)</f>
        <v>#N/A</v>
      </c>
      <c r="AH35" s="1066" t="e">
        <v>#VALUE!</v>
      </c>
      <c r="AI35" s="1065" t="e">
        <f>TB_prev[[#This Row],[Synt]]&amp;TB_prev[[#This Row],[Line No. manual corr.]]</f>
        <v>#VALUE!</v>
      </c>
      <c r="AJ35" s="1064">
        <f t="shared" si="1"/>
        <v>0</v>
      </c>
      <c r="AK35" s="1064">
        <f t="shared" si="2"/>
        <v>0</v>
      </c>
      <c r="AL35" s="1064">
        <f t="shared" si="3"/>
        <v>0</v>
      </c>
      <c r="AM35" s="1064">
        <f t="shared" si="4"/>
        <v>0</v>
      </c>
      <c r="AN35" s="1064"/>
      <c r="AO35" s="1064">
        <f>TB_prev[[#This Row],[Closing balance]]+TB_prev[[#This Row],[Rounding]]</f>
        <v>0</v>
      </c>
    </row>
    <row r="36" spans="30:41" x14ac:dyDescent="0.25">
      <c r="AD36" s="1067" t="str">
        <f t="shared" si="0"/>
        <v/>
      </c>
      <c r="AE36" s="1063" t="str">
        <f>IF(ISNA(VLOOKUP(TB_prev[[#This Row],[Synt]],GL[[#Headers],[#Data],[subtotal label]],1,FALSE)),0,(VLOOKUP(TB_prev[[#This Row],[Synt]],GL[[#Headers],[#Data],[subtotal label]],1,FALSE)))</f>
        <v/>
      </c>
      <c r="AF36" s="1063" t="e">
        <f>IF((TB_prev[[#This Row],[Synt]]-TB_prev[[#This Row],[Subtotal Y/N]])=0,0,VLOOKUP(TB_prev[[#This Row],[Synt]],GL[[Account]:[Line]],3,FALSE))</f>
        <v>#VALUE!</v>
      </c>
      <c r="AG36" s="1063" t="e">
        <f>VLOOKUP(TB_prev[[#This Row],[Synt]],GL[[Account]:[B/P]],4,FALSE)</f>
        <v>#N/A</v>
      </c>
      <c r="AH36" s="1066" t="e">
        <v>#VALUE!</v>
      </c>
      <c r="AI36" s="1065" t="e">
        <f>TB_prev[[#This Row],[Synt]]&amp;TB_prev[[#This Row],[Line No. manual corr.]]</f>
        <v>#VALUE!</v>
      </c>
      <c r="AJ36" s="1064">
        <f t="shared" si="1"/>
        <v>0</v>
      </c>
      <c r="AK36" s="1064">
        <f t="shared" si="2"/>
        <v>0</v>
      </c>
      <c r="AL36" s="1064">
        <f t="shared" si="3"/>
        <v>0</v>
      </c>
      <c r="AM36" s="1064">
        <f t="shared" si="4"/>
        <v>0</v>
      </c>
      <c r="AN36" s="1064"/>
      <c r="AO36" s="1064">
        <f>TB_prev[[#This Row],[Closing balance]]+TB_prev[[#This Row],[Rounding]]</f>
        <v>0</v>
      </c>
    </row>
    <row r="37" spans="30:41" x14ac:dyDescent="0.25">
      <c r="AD37" s="1067" t="str">
        <f t="shared" si="0"/>
        <v/>
      </c>
      <c r="AE37" s="1063" t="str">
        <f>IF(ISNA(VLOOKUP(TB_prev[[#This Row],[Synt]],GL[[#Headers],[#Data],[subtotal label]],1,FALSE)),0,(VLOOKUP(TB_prev[[#This Row],[Synt]],GL[[#Headers],[#Data],[subtotal label]],1,FALSE)))</f>
        <v/>
      </c>
      <c r="AF37" s="1063" t="e">
        <f>IF((TB_prev[[#This Row],[Synt]]-TB_prev[[#This Row],[Subtotal Y/N]])=0,0,VLOOKUP(TB_prev[[#This Row],[Synt]],GL[[Account]:[Line]],3,FALSE))</f>
        <v>#VALUE!</v>
      </c>
      <c r="AG37" s="1063" t="e">
        <f>VLOOKUP(TB_prev[[#This Row],[Synt]],GL[[Account]:[B/P]],4,FALSE)</f>
        <v>#N/A</v>
      </c>
      <c r="AH37" s="1066" t="e">
        <v>#VALUE!</v>
      </c>
      <c r="AI37" s="1065" t="e">
        <f>TB_prev[[#This Row],[Synt]]&amp;TB_prev[[#This Row],[Line No. manual corr.]]</f>
        <v>#VALUE!</v>
      </c>
      <c r="AJ37" s="1064">
        <f t="shared" si="1"/>
        <v>0</v>
      </c>
      <c r="AK37" s="1064">
        <f t="shared" si="2"/>
        <v>0</v>
      </c>
      <c r="AL37" s="1064">
        <f t="shared" si="3"/>
        <v>0</v>
      </c>
      <c r="AM37" s="1064">
        <f t="shared" si="4"/>
        <v>0</v>
      </c>
      <c r="AN37" s="1064"/>
      <c r="AO37" s="1064">
        <f>TB_prev[[#This Row],[Closing balance]]+TB_prev[[#This Row],[Rounding]]</f>
        <v>0</v>
      </c>
    </row>
    <row r="38" spans="30:41" x14ac:dyDescent="0.25">
      <c r="AD38" s="1067" t="str">
        <f t="shared" si="0"/>
        <v/>
      </c>
      <c r="AE38" s="1063" t="str">
        <f>IF(ISNA(VLOOKUP(TB_prev[[#This Row],[Synt]],GL[[#Headers],[#Data],[subtotal label]],1,FALSE)),0,(VLOOKUP(TB_prev[[#This Row],[Synt]],GL[[#Headers],[#Data],[subtotal label]],1,FALSE)))</f>
        <v/>
      </c>
      <c r="AF38" s="1063" t="e">
        <f>IF((TB_prev[[#This Row],[Synt]]-TB_prev[[#This Row],[Subtotal Y/N]])=0,0,VLOOKUP(TB_prev[[#This Row],[Synt]],GL[[Account]:[Line]],3,FALSE))</f>
        <v>#VALUE!</v>
      </c>
      <c r="AG38" s="1063" t="e">
        <f>VLOOKUP(TB_prev[[#This Row],[Synt]],GL[[Account]:[B/P]],4,FALSE)</f>
        <v>#N/A</v>
      </c>
      <c r="AH38" s="1066" t="e">
        <v>#VALUE!</v>
      </c>
      <c r="AI38" s="1065" t="e">
        <f>TB_prev[[#This Row],[Synt]]&amp;TB_prev[[#This Row],[Line No. manual corr.]]</f>
        <v>#VALUE!</v>
      </c>
      <c r="AJ38" s="1064">
        <f t="shared" si="1"/>
        <v>0</v>
      </c>
      <c r="AK38" s="1064">
        <f t="shared" si="2"/>
        <v>0</v>
      </c>
      <c r="AL38" s="1064">
        <f t="shared" si="3"/>
        <v>0</v>
      </c>
      <c r="AM38" s="1064">
        <f t="shared" si="4"/>
        <v>0</v>
      </c>
      <c r="AN38" s="1064"/>
      <c r="AO38" s="1064">
        <f>TB_prev[[#This Row],[Closing balance]]+TB_prev[[#This Row],[Rounding]]</f>
        <v>0</v>
      </c>
    </row>
    <row r="39" spans="30:41" x14ac:dyDescent="0.25">
      <c r="AD39" s="1067" t="str">
        <f t="shared" si="0"/>
        <v/>
      </c>
      <c r="AE39" s="1063" t="str">
        <f>IF(ISNA(VLOOKUP(TB_prev[[#This Row],[Synt]],GL[[#Headers],[#Data],[subtotal label]],1,FALSE)),0,(VLOOKUP(TB_prev[[#This Row],[Synt]],GL[[#Headers],[#Data],[subtotal label]],1,FALSE)))</f>
        <v/>
      </c>
      <c r="AF39" s="1063" t="e">
        <f>IF((TB_prev[[#This Row],[Synt]]-TB_prev[[#This Row],[Subtotal Y/N]])=0,0,VLOOKUP(TB_prev[[#This Row],[Synt]],GL[[Account]:[Line]],3,FALSE))</f>
        <v>#VALUE!</v>
      </c>
      <c r="AG39" s="1063" t="e">
        <f>VLOOKUP(TB_prev[[#This Row],[Synt]],GL[[Account]:[B/P]],4,FALSE)</f>
        <v>#N/A</v>
      </c>
      <c r="AH39" s="1066" t="e">
        <v>#VALUE!</v>
      </c>
      <c r="AI39" s="1065" t="e">
        <f>TB_prev[[#This Row],[Synt]]&amp;TB_prev[[#This Row],[Line No. manual corr.]]</f>
        <v>#VALUE!</v>
      </c>
      <c r="AJ39" s="1064">
        <f t="shared" si="1"/>
        <v>0</v>
      </c>
      <c r="AK39" s="1064">
        <f t="shared" si="2"/>
        <v>0</v>
      </c>
      <c r="AL39" s="1064">
        <f t="shared" si="3"/>
        <v>0</v>
      </c>
      <c r="AM39" s="1064">
        <f t="shared" si="4"/>
        <v>0</v>
      </c>
      <c r="AN39" s="1064"/>
      <c r="AO39" s="1064">
        <f>TB_prev[[#This Row],[Closing balance]]+TB_prev[[#This Row],[Rounding]]</f>
        <v>0</v>
      </c>
    </row>
    <row r="40" spans="30:41" x14ac:dyDescent="0.25">
      <c r="AD40" s="1067" t="str">
        <f t="shared" si="0"/>
        <v/>
      </c>
      <c r="AE40" s="1063" t="str">
        <f>IF(ISNA(VLOOKUP(TB_prev[[#This Row],[Synt]],GL[[#Headers],[#Data],[subtotal label]],1,FALSE)),0,(VLOOKUP(TB_prev[[#This Row],[Synt]],GL[[#Headers],[#Data],[subtotal label]],1,FALSE)))</f>
        <v/>
      </c>
      <c r="AF40" s="1063" t="e">
        <f>IF((TB_prev[[#This Row],[Synt]]-TB_prev[[#This Row],[Subtotal Y/N]])=0,0,VLOOKUP(TB_prev[[#This Row],[Synt]],GL[[Account]:[Line]],3,FALSE))</f>
        <v>#VALUE!</v>
      </c>
      <c r="AG40" s="1063" t="e">
        <f>VLOOKUP(TB_prev[[#This Row],[Synt]],GL[[Account]:[B/P]],4,FALSE)</f>
        <v>#N/A</v>
      </c>
      <c r="AH40" s="1066" t="e">
        <v>#VALUE!</v>
      </c>
      <c r="AI40" s="1065" t="e">
        <f>TB_prev[[#This Row],[Synt]]&amp;TB_prev[[#This Row],[Line No. manual corr.]]</f>
        <v>#VALUE!</v>
      </c>
      <c r="AJ40" s="1064">
        <f t="shared" si="1"/>
        <v>0</v>
      </c>
      <c r="AK40" s="1064">
        <f t="shared" si="2"/>
        <v>0</v>
      </c>
      <c r="AL40" s="1064">
        <f t="shared" si="3"/>
        <v>0</v>
      </c>
      <c r="AM40" s="1064">
        <f t="shared" si="4"/>
        <v>0</v>
      </c>
      <c r="AN40" s="1064"/>
      <c r="AO40" s="1064">
        <f>TB_prev[[#This Row],[Closing balance]]+TB_prev[[#This Row],[Rounding]]</f>
        <v>0</v>
      </c>
    </row>
    <row r="41" spans="30:41" x14ac:dyDescent="0.25">
      <c r="AD41" s="1067" t="str">
        <f t="shared" si="0"/>
        <v/>
      </c>
      <c r="AE41" s="1063" t="str">
        <f>IF(ISNA(VLOOKUP(TB_prev[[#This Row],[Synt]],GL[[#Headers],[#Data],[subtotal label]],1,FALSE)),0,(VLOOKUP(TB_prev[[#This Row],[Synt]],GL[[#Headers],[#Data],[subtotal label]],1,FALSE)))</f>
        <v/>
      </c>
      <c r="AF41" s="1063" t="e">
        <f>IF((TB_prev[[#This Row],[Synt]]-TB_prev[[#This Row],[Subtotal Y/N]])=0,0,VLOOKUP(TB_prev[[#This Row],[Synt]],GL[[Account]:[Line]],3,FALSE))</f>
        <v>#VALUE!</v>
      </c>
      <c r="AG41" s="1063" t="e">
        <f>VLOOKUP(TB_prev[[#This Row],[Synt]],GL[[Account]:[B/P]],4,FALSE)</f>
        <v>#N/A</v>
      </c>
      <c r="AH41" s="1066" t="e">
        <v>#VALUE!</v>
      </c>
      <c r="AI41" s="1065" t="e">
        <f>TB_prev[[#This Row],[Synt]]&amp;TB_prev[[#This Row],[Line No. manual corr.]]</f>
        <v>#VALUE!</v>
      </c>
      <c r="AJ41" s="1064">
        <f t="shared" si="1"/>
        <v>0</v>
      </c>
      <c r="AK41" s="1064">
        <f t="shared" si="2"/>
        <v>0</v>
      </c>
      <c r="AL41" s="1064">
        <f t="shared" si="3"/>
        <v>0</v>
      </c>
      <c r="AM41" s="1064">
        <f t="shared" si="4"/>
        <v>0</v>
      </c>
      <c r="AN41" s="1064"/>
      <c r="AO41" s="1064">
        <f>TB_prev[[#This Row],[Closing balance]]+TB_prev[[#This Row],[Rounding]]</f>
        <v>0</v>
      </c>
    </row>
    <row r="42" spans="30:41" x14ac:dyDescent="0.25">
      <c r="AD42" s="1067" t="str">
        <f t="shared" si="0"/>
        <v/>
      </c>
      <c r="AE42" s="1063" t="str">
        <f>IF(ISNA(VLOOKUP(TB_prev[[#This Row],[Synt]],GL[[#Headers],[#Data],[subtotal label]],1,FALSE)),0,(VLOOKUP(TB_prev[[#This Row],[Synt]],GL[[#Headers],[#Data],[subtotal label]],1,FALSE)))</f>
        <v/>
      </c>
      <c r="AF42" s="1063" t="e">
        <f>IF((TB_prev[[#This Row],[Synt]]-TB_prev[[#This Row],[Subtotal Y/N]])=0,0,VLOOKUP(TB_prev[[#This Row],[Synt]],GL[[Account]:[Line]],3,FALSE))</f>
        <v>#VALUE!</v>
      </c>
      <c r="AG42" s="1063" t="e">
        <f>VLOOKUP(TB_prev[[#This Row],[Synt]],GL[[Account]:[B/P]],4,FALSE)</f>
        <v>#N/A</v>
      </c>
      <c r="AH42" s="1066" t="e">
        <v>#VALUE!</v>
      </c>
      <c r="AI42" s="1065" t="e">
        <f>TB_prev[[#This Row],[Synt]]&amp;TB_prev[[#This Row],[Line No. manual corr.]]</f>
        <v>#VALUE!</v>
      </c>
      <c r="AJ42" s="1064">
        <f t="shared" si="1"/>
        <v>0</v>
      </c>
      <c r="AK42" s="1064">
        <f t="shared" si="2"/>
        <v>0</v>
      </c>
      <c r="AL42" s="1064">
        <f t="shared" si="3"/>
        <v>0</v>
      </c>
      <c r="AM42" s="1064">
        <f t="shared" si="4"/>
        <v>0</v>
      </c>
      <c r="AN42" s="1064"/>
      <c r="AO42" s="1064">
        <f>TB_prev[[#This Row],[Closing balance]]+TB_prev[[#This Row],[Rounding]]</f>
        <v>0</v>
      </c>
    </row>
    <row r="43" spans="30:41" x14ac:dyDescent="0.25">
      <c r="AD43" s="1067" t="str">
        <f t="shared" si="0"/>
        <v/>
      </c>
      <c r="AE43" s="1063" t="str">
        <f>IF(ISNA(VLOOKUP(TB_prev[[#This Row],[Synt]],GL[[#Headers],[#Data],[subtotal label]],1,FALSE)),0,(VLOOKUP(TB_prev[[#This Row],[Synt]],GL[[#Headers],[#Data],[subtotal label]],1,FALSE)))</f>
        <v/>
      </c>
      <c r="AF43" s="1063" t="e">
        <f>IF((TB_prev[[#This Row],[Synt]]-TB_prev[[#This Row],[Subtotal Y/N]])=0,0,VLOOKUP(TB_prev[[#This Row],[Synt]],GL[[Account]:[Line]],3,FALSE))</f>
        <v>#VALUE!</v>
      </c>
      <c r="AG43" s="1063" t="e">
        <f>VLOOKUP(TB_prev[[#This Row],[Synt]],GL[[Account]:[B/P]],4,FALSE)</f>
        <v>#N/A</v>
      </c>
      <c r="AH43" s="1066" t="e">
        <v>#VALUE!</v>
      </c>
      <c r="AI43" s="1065" t="e">
        <f>TB_prev[[#This Row],[Synt]]&amp;TB_prev[[#This Row],[Line No. manual corr.]]</f>
        <v>#VALUE!</v>
      </c>
      <c r="AJ43" s="1064">
        <f t="shared" si="1"/>
        <v>0</v>
      </c>
      <c r="AK43" s="1064">
        <f t="shared" si="2"/>
        <v>0</v>
      </c>
      <c r="AL43" s="1064">
        <f t="shared" si="3"/>
        <v>0</v>
      </c>
      <c r="AM43" s="1064">
        <f t="shared" si="4"/>
        <v>0</v>
      </c>
      <c r="AN43" s="1064"/>
      <c r="AO43" s="1064">
        <f>TB_prev[[#This Row],[Closing balance]]+TB_prev[[#This Row],[Rounding]]</f>
        <v>0</v>
      </c>
    </row>
    <row r="44" spans="30:41" x14ac:dyDescent="0.25">
      <c r="AD44" s="1067" t="str">
        <f t="shared" si="0"/>
        <v/>
      </c>
      <c r="AE44" s="1063" t="str">
        <f>IF(ISNA(VLOOKUP(TB_prev[[#This Row],[Synt]],GL[[#Headers],[#Data],[subtotal label]],1,FALSE)),0,(VLOOKUP(TB_prev[[#This Row],[Synt]],GL[[#Headers],[#Data],[subtotal label]],1,FALSE)))</f>
        <v/>
      </c>
      <c r="AF44" s="1063" t="e">
        <f>IF((TB_prev[[#This Row],[Synt]]-TB_prev[[#This Row],[Subtotal Y/N]])=0,0,VLOOKUP(TB_prev[[#This Row],[Synt]],GL[[Account]:[Line]],3,FALSE))</f>
        <v>#VALUE!</v>
      </c>
      <c r="AG44" s="1063" t="e">
        <f>VLOOKUP(TB_prev[[#This Row],[Synt]],GL[[Account]:[B/P]],4,FALSE)</f>
        <v>#N/A</v>
      </c>
      <c r="AH44" s="1066" t="e">
        <v>#VALUE!</v>
      </c>
      <c r="AI44" s="1065" t="e">
        <f>TB_prev[[#This Row],[Synt]]&amp;TB_prev[[#This Row],[Line No. manual corr.]]</f>
        <v>#VALUE!</v>
      </c>
      <c r="AJ44" s="1064">
        <f t="shared" si="1"/>
        <v>0</v>
      </c>
      <c r="AK44" s="1064">
        <f t="shared" si="2"/>
        <v>0</v>
      </c>
      <c r="AL44" s="1064">
        <f t="shared" si="3"/>
        <v>0</v>
      </c>
      <c r="AM44" s="1064">
        <f t="shared" si="4"/>
        <v>0</v>
      </c>
      <c r="AN44" s="1064"/>
      <c r="AO44" s="1064">
        <f>TB_prev[[#This Row],[Closing balance]]+TB_prev[[#This Row],[Rounding]]</f>
        <v>0</v>
      </c>
    </row>
    <row r="45" spans="30:41" x14ac:dyDescent="0.25">
      <c r="AD45" s="1067" t="str">
        <f t="shared" si="0"/>
        <v/>
      </c>
      <c r="AE45" s="1063" t="str">
        <f>IF(ISNA(VLOOKUP(TB_prev[[#This Row],[Synt]],GL[[#Headers],[#Data],[subtotal label]],1,FALSE)),0,(VLOOKUP(TB_prev[[#This Row],[Synt]],GL[[#Headers],[#Data],[subtotal label]],1,FALSE)))</f>
        <v/>
      </c>
      <c r="AF45" s="1063" t="e">
        <f>IF((TB_prev[[#This Row],[Synt]]-TB_prev[[#This Row],[Subtotal Y/N]])=0,0,VLOOKUP(TB_prev[[#This Row],[Synt]],GL[[Account]:[Line]],3,FALSE))</f>
        <v>#VALUE!</v>
      </c>
      <c r="AG45" s="1063" t="e">
        <f>VLOOKUP(TB_prev[[#This Row],[Synt]],GL[[Account]:[B/P]],4,FALSE)</f>
        <v>#N/A</v>
      </c>
      <c r="AH45" s="1066" t="e">
        <v>#VALUE!</v>
      </c>
      <c r="AI45" s="1065" t="e">
        <f>TB_prev[[#This Row],[Synt]]&amp;TB_prev[[#This Row],[Line No. manual corr.]]</f>
        <v>#VALUE!</v>
      </c>
      <c r="AJ45" s="1064">
        <f t="shared" si="1"/>
        <v>0</v>
      </c>
      <c r="AK45" s="1064">
        <f t="shared" si="2"/>
        <v>0</v>
      </c>
      <c r="AL45" s="1064">
        <f t="shared" si="3"/>
        <v>0</v>
      </c>
      <c r="AM45" s="1064">
        <f t="shared" si="4"/>
        <v>0</v>
      </c>
      <c r="AN45" s="1064"/>
      <c r="AO45" s="1064">
        <f>TB_prev[[#This Row],[Closing balance]]+TB_prev[[#This Row],[Rounding]]</f>
        <v>0</v>
      </c>
    </row>
    <row r="46" spans="30:41" x14ac:dyDescent="0.25">
      <c r="AD46" s="1067" t="str">
        <f t="shared" si="0"/>
        <v/>
      </c>
      <c r="AE46" s="1063" t="str">
        <f>IF(ISNA(VLOOKUP(TB_prev[[#This Row],[Synt]],GL[[#Headers],[#Data],[subtotal label]],1,FALSE)),0,(VLOOKUP(TB_prev[[#This Row],[Synt]],GL[[#Headers],[#Data],[subtotal label]],1,FALSE)))</f>
        <v/>
      </c>
      <c r="AF46" s="1063" t="e">
        <f>IF((TB_prev[[#This Row],[Synt]]-TB_prev[[#This Row],[Subtotal Y/N]])=0,0,VLOOKUP(TB_prev[[#This Row],[Synt]],GL[[Account]:[Line]],3,FALSE))</f>
        <v>#VALUE!</v>
      </c>
      <c r="AG46" s="1063" t="e">
        <f>VLOOKUP(TB_prev[[#This Row],[Synt]],GL[[Account]:[B/P]],4,FALSE)</f>
        <v>#N/A</v>
      </c>
      <c r="AH46" s="1066" t="e">
        <v>#VALUE!</v>
      </c>
      <c r="AI46" s="1065" t="e">
        <f>TB_prev[[#This Row],[Synt]]&amp;TB_prev[[#This Row],[Line No. manual corr.]]</f>
        <v>#VALUE!</v>
      </c>
      <c r="AJ46" s="1064">
        <f t="shared" si="1"/>
        <v>0</v>
      </c>
      <c r="AK46" s="1064">
        <f t="shared" si="2"/>
        <v>0</v>
      </c>
      <c r="AL46" s="1064">
        <f t="shared" si="3"/>
        <v>0</v>
      </c>
      <c r="AM46" s="1064">
        <f t="shared" si="4"/>
        <v>0</v>
      </c>
      <c r="AN46" s="1064"/>
      <c r="AO46" s="1064">
        <f>TB_prev[[#This Row],[Closing balance]]+TB_prev[[#This Row],[Rounding]]</f>
        <v>0</v>
      </c>
    </row>
    <row r="47" spans="30:41" x14ac:dyDescent="0.25">
      <c r="AD47" s="1067" t="str">
        <f t="shared" si="0"/>
        <v/>
      </c>
      <c r="AE47" s="1063" t="str">
        <f>IF(ISNA(VLOOKUP(TB_prev[[#This Row],[Synt]],GL[[#Headers],[#Data],[subtotal label]],1,FALSE)),0,(VLOOKUP(TB_prev[[#This Row],[Synt]],GL[[#Headers],[#Data],[subtotal label]],1,FALSE)))</f>
        <v/>
      </c>
      <c r="AF47" s="1063" t="e">
        <f>IF((TB_prev[[#This Row],[Synt]]-TB_prev[[#This Row],[Subtotal Y/N]])=0,0,VLOOKUP(TB_prev[[#This Row],[Synt]],GL[[Account]:[Line]],3,FALSE))</f>
        <v>#VALUE!</v>
      </c>
      <c r="AG47" s="1063" t="e">
        <f>VLOOKUP(TB_prev[[#This Row],[Synt]],GL[[Account]:[B/P]],4,FALSE)</f>
        <v>#N/A</v>
      </c>
      <c r="AH47" s="1066" t="e">
        <v>#VALUE!</v>
      </c>
      <c r="AI47" s="1065" t="e">
        <f>TB_prev[[#This Row],[Synt]]&amp;TB_prev[[#This Row],[Line No. manual corr.]]</f>
        <v>#VALUE!</v>
      </c>
      <c r="AJ47" s="1064">
        <f t="shared" si="1"/>
        <v>0</v>
      </c>
      <c r="AK47" s="1064">
        <f t="shared" si="2"/>
        <v>0</v>
      </c>
      <c r="AL47" s="1064">
        <f t="shared" si="3"/>
        <v>0</v>
      </c>
      <c r="AM47" s="1064">
        <f t="shared" si="4"/>
        <v>0</v>
      </c>
      <c r="AN47" s="1064"/>
      <c r="AO47" s="1064">
        <f>TB_prev[[#This Row],[Closing balance]]+TB_prev[[#This Row],[Rounding]]</f>
        <v>0</v>
      </c>
    </row>
    <row r="48" spans="30:41" x14ac:dyDescent="0.25">
      <c r="AD48" s="1067" t="str">
        <f t="shared" si="0"/>
        <v/>
      </c>
      <c r="AE48" s="1063" t="str">
        <f>IF(ISNA(VLOOKUP(TB_prev[[#This Row],[Synt]],GL[[#Headers],[#Data],[subtotal label]],1,FALSE)),0,(VLOOKUP(TB_prev[[#This Row],[Synt]],GL[[#Headers],[#Data],[subtotal label]],1,FALSE)))</f>
        <v/>
      </c>
      <c r="AF48" s="1063" t="e">
        <f>IF((TB_prev[[#This Row],[Synt]]-TB_prev[[#This Row],[Subtotal Y/N]])=0,0,VLOOKUP(TB_prev[[#This Row],[Synt]],GL[[Account]:[Line]],3,FALSE))</f>
        <v>#VALUE!</v>
      </c>
      <c r="AG48" s="1063" t="e">
        <f>VLOOKUP(TB_prev[[#This Row],[Synt]],GL[[Account]:[B/P]],4,FALSE)</f>
        <v>#N/A</v>
      </c>
      <c r="AH48" s="1066" t="e">
        <v>#VALUE!</v>
      </c>
      <c r="AI48" s="1065" t="e">
        <f>TB_prev[[#This Row],[Synt]]&amp;TB_prev[[#This Row],[Line No. manual corr.]]</f>
        <v>#VALUE!</v>
      </c>
      <c r="AJ48" s="1064">
        <f t="shared" si="1"/>
        <v>0</v>
      </c>
      <c r="AK48" s="1064">
        <f t="shared" si="2"/>
        <v>0</v>
      </c>
      <c r="AL48" s="1064">
        <f t="shared" si="3"/>
        <v>0</v>
      </c>
      <c r="AM48" s="1064">
        <f t="shared" si="4"/>
        <v>0</v>
      </c>
      <c r="AN48" s="1064"/>
      <c r="AO48" s="1064">
        <f>TB_prev[[#This Row],[Closing balance]]+TB_prev[[#This Row],[Rounding]]</f>
        <v>0</v>
      </c>
    </row>
    <row r="49" spans="30:41" x14ac:dyDescent="0.25">
      <c r="AD49" s="1067" t="str">
        <f t="shared" si="0"/>
        <v/>
      </c>
      <c r="AE49" s="1063" t="str">
        <f>IF(ISNA(VLOOKUP(TB_prev[[#This Row],[Synt]],GL[[#Headers],[#Data],[subtotal label]],1,FALSE)),0,(VLOOKUP(TB_prev[[#This Row],[Synt]],GL[[#Headers],[#Data],[subtotal label]],1,FALSE)))</f>
        <v/>
      </c>
      <c r="AF49" s="1063" t="e">
        <f>IF((TB_prev[[#This Row],[Synt]]-TB_prev[[#This Row],[Subtotal Y/N]])=0,0,VLOOKUP(TB_prev[[#This Row],[Synt]],GL[[Account]:[Line]],3,FALSE))</f>
        <v>#VALUE!</v>
      </c>
      <c r="AG49" s="1063" t="e">
        <f>VLOOKUP(TB_prev[[#This Row],[Synt]],GL[[Account]:[B/P]],4,FALSE)</f>
        <v>#N/A</v>
      </c>
      <c r="AH49" s="1066" t="e">
        <v>#VALUE!</v>
      </c>
      <c r="AI49" s="1065" t="e">
        <f>TB_prev[[#This Row],[Synt]]&amp;TB_prev[[#This Row],[Line No. manual corr.]]</f>
        <v>#VALUE!</v>
      </c>
      <c r="AJ49" s="1064">
        <f t="shared" si="1"/>
        <v>0</v>
      </c>
      <c r="AK49" s="1064">
        <f t="shared" si="2"/>
        <v>0</v>
      </c>
      <c r="AL49" s="1064">
        <f t="shared" si="3"/>
        <v>0</v>
      </c>
      <c r="AM49" s="1064">
        <f t="shared" si="4"/>
        <v>0</v>
      </c>
      <c r="AN49" s="1064"/>
      <c r="AO49" s="1064">
        <f>TB_prev[[#This Row],[Closing balance]]+TB_prev[[#This Row],[Rounding]]</f>
        <v>0</v>
      </c>
    </row>
    <row r="50" spans="30:41" x14ac:dyDescent="0.25">
      <c r="AD50" s="1067" t="str">
        <f t="shared" si="0"/>
        <v/>
      </c>
      <c r="AE50" s="1063" t="str">
        <f>IF(ISNA(VLOOKUP(TB_prev[[#This Row],[Synt]],GL[[#Headers],[#Data],[subtotal label]],1,FALSE)),0,(VLOOKUP(TB_prev[[#This Row],[Synt]],GL[[#Headers],[#Data],[subtotal label]],1,FALSE)))</f>
        <v/>
      </c>
      <c r="AF50" s="1063" t="e">
        <f>IF((TB_prev[[#This Row],[Synt]]-TB_prev[[#This Row],[Subtotal Y/N]])=0,0,VLOOKUP(TB_prev[[#This Row],[Synt]],GL[[Account]:[Line]],3,FALSE))</f>
        <v>#VALUE!</v>
      </c>
      <c r="AG50" s="1063" t="e">
        <f>VLOOKUP(TB_prev[[#This Row],[Synt]],GL[[Account]:[B/P]],4,FALSE)</f>
        <v>#N/A</v>
      </c>
      <c r="AH50" s="1066" t="e">
        <v>#VALUE!</v>
      </c>
      <c r="AI50" s="1065" t="e">
        <f>TB_prev[[#This Row],[Synt]]&amp;TB_prev[[#This Row],[Line No. manual corr.]]</f>
        <v>#VALUE!</v>
      </c>
      <c r="AJ50" s="1064">
        <f t="shared" si="1"/>
        <v>0</v>
      </c>
      <c r="AK50" s="1064">
        <f t="shared" si="2"/>
        <v>0</v>
      </c>
      <c r="AL50" s="1064">
        <f t="shared" si="3"/>
        <v>0</v>
      </c>
      <c r="AM50" s="1064">
        <f t="shared" si="4"/>
        <v>0</v>
      </c>
      <c r="AN50" s="1064"/>
      <c r="AO50" s="1064">
        <f>TB_prev[[#This Row],[Closing balance]]+TB_prev[[#This Row],[Rounding]]</f>
        <v>0</v>
      </c>
    </row>
    <row r="51" spans="30:41" x14ac:dyDescent="0.25">
      <c r="AD51" s="1067" t="str">
        <f t="shared" si="0"/>
        <v/>
      </c>
      <c r="AE51" s="1063" t="str">
        <f>IF(ISNA(VLOOKUP(TB_prev[[#This Row],[Synt]],GL[[#Headers],[#Data],[subtotal label]],1,FALSE)),0,(VLOOKUP(TB_prev[[#This Row],[Synt]],GL[[#Headers],[#Data],[subtotal label]],1,FALSE)))</f>
        <v/>
      </c>
      <c r="AF51" s="1063" t="e">
        <f>IF((TB_prev[[#This Row],[Synt]]-TB_prev[[#This Row],[Subtotal Y/N]])=0,0,VLOOKUP(TB_prev[[#This Row],[Synt]],GL[[Account]:[Line]],3,FALSE))</f>
        <v>#VALUE!</v>
      </c>
      <c r="AG51" s="1063" t="e">
        <f>VLOOKUP(TB_prev[[#This Row],[Synt]],GL[[Account]:[B/P]],4,FALSE)</f>
        <v>#N/A</v>
      </c>
      <c r="AH51" s="1066" t="e">
        <v>#VALUE!</v>
      </c>
      <c r="AI51" s="1065" t="e">
        <f>TB_prev[[#This Row],[Synt]]&amp;TB_prev[[#This Row],[Line No. manual corr.]]</f>
        <v>#VALUE!</v>
      </c>
      <c r="AJ51" s="1064">
        <f t="shared" si="1"/>
        <v>0</v>
      </c>
      <c r="AK51" s="1064">
        <f t="shared" si="2"/>
        <v>0</v>
      </c>
      <c r="AL51" s="1064">
        <f t="shared" si="3"/>
        <v>0</v>
      </c>
      <c r="AM51" s="1064">
        <f t="shared" si="4"/>
        <v>0</v>
      </c>
      <c r="AN51" s="1064"/>
      <c r="AO51" s="1064">
        <f>TB_prev[[#This Row],[Closing balance]]+TB_prev[[#This Row],[Rounding]]</f>
        <v>0</v>
      </c>
    </row>
    <row r="52" spans="30:41" x14ac:dyDescent="0.25">
      <c r="AD52" s="1067" t="str">
        <f t="shared" si="0"/>
        <v/>
      </c>
      <c r="AE52" s="1063" t="str">
        <f>IF(ISNA(VLOOKUP(TB_prev[[#This Row],[Synt]],GL[[#Headers],[#Data],[subtotal label]],1,FALSE)),0,(VLOOKUP(TB_prev[[#This Row],[Synt]],GL[[#Headers],[#Data],[subtotal label]],1,FALSE)))</f>
        <v/>
      </c>
      <c r="AF52" s="1063" t="e">
        <f>IF((TB_prev[[#This Row],[Synt]]-TB_prev[[#This Row],[Subtotal Y/N]])=0,0,VLOOKUP(TB_prev[[#This Row],[Synt]],GL[[Account]:[Line]],3,FALSE))</f>
        <v>#VALUE!</v>
      </c>
      <c r="AG52" s="1063" t="e">
        <f>VLOOKUP(TB_prev[[#This Row],[Synt]],GL[[Account]:[B/P]],4,FALSE)</f>
        <v>#N/A</v>
      </c>
      <c r="AH52" s="1066" t="e">
        <v>#VALUE!</v>
      </c>
      <c r="AI52" s="1065" t="e">
        <f>TB_prev[[#This Row],[Synt]]&amp;TB_prev[[#This Row],[Line No. manual corr.]]</f>
        <v>#VALUE!</v>
      </c>
      <c r="AJ52" s="1064">
        <f t="shared" si="1"/>
        <v>0</v>
      </c>
      <c r="AK52" s="1064">
        <f t="shared" si="2"/>
        <v>0</v>
      </c>
      <c r="AL52" s="1064">
        <f t="shared" si="3"/>
        <v>0</v>
      </c>
      <c r="AM52" s="1064">
        <f t="shared" si="4"/>
        <v>0</v>
      </c>
      <c r="AN52" s="1064">
        <v>-1</v>
      </c>
      <c r="AO52" s="1064">
        <f>TB_prev[[#This Row],[Closing balance]]+TB_prev[[#This Row],[Rounding]]</f>
        <v>-1</v>
      </c>
    </row>
    <row r="53" spans="30:41" x14ac:dyDescent="0.25">
      <c r="AD53" s="1067" t="str">
        <f t="shared" si="0"/>
        <v/>
      </c>
      <c r="AE53" s="1063" t="str">
        <f>IF(ISNA(VLOOKUP(TB_prev[[#This Row],[Synt]],GL[[#Headers],[#Data],[subtotal label]],1,FALSE)),0,(VLOOKUP(TB_prev[[#This Row],[Synt]],GL[[#Headers],[#Data],[subtotal label]],1,FALSE)))</f>
        <v/>
      </c>
      <c r="AF53" s="1063" t="e">
        <f>IF((TB_prev[[#This Row],[Synt]]-TB_prev[[#This Row],[Subtotal Y/N]])=0,0,VLOOKUP(TB_prev[[#This Row],[Synt]],GL[[Account]:[Line]],3,FALSE))</f>
        <v>#VALUE!</v>
      </c>
      <c r="AG53" s="1063" t="e">
        <f>VLOOKUP(TB_prev[[#This Row],[Synt]],GL[[Account]:[B/P]],4,FALSE)</f>
        <v>#N/A</v>
      </c>
      <c r="AH53" s="1066" t="e">
        <v>#VALUE!</v>
      </c>
      <c r="AI53" s="1065" t="e">
        <f>TB_prev[[#This Row],[Synt]]&amp;TB_prev[[#This Row],[Line No. manual corr.]]</f>
        <v>#VALUE!</v>
      </c>
      <c r="AJ53" s="1064">
        <f t="shared" si="1"/>
        <v>0</v>
      </c>
      <c r="AK53" s="1064">
        <f t="shared" si="2"/>
        <v>0</v>
      </c>
      <c r="AL53" s="1064">
        <f t="shared" si="3"/>
        <v>0</v>
      </c>
      <c r="AM53" s="1064">
        <f t="shared" si="4"/>
        <v>0</v>
      </c>
      <c r="AN53" s="1064"/>
      <c r="AO53" s="1064">
        <f>TB_prev[[#This Row],[Closing balance]]+TB_prev[[#This Row],[Rounding]]</f>
        <v>0</v>
      </c>
    </row>
    <row r="54" spans="30:41" x14ac:dyDescent="0.25">
      <c r="AD54" s="1067" t="str">
        <f t="shared" si="0"/>
        <v/>
      </c>
      <c r="AE54" s="1063" t="str">
        <f>IF(ISNA(VLOOKUP(TB_prev[[#This Row],[Synt]],GL[[#Headers],[#Data],[subtotal label]],1,FALSE)),0,(VLOOKUP(TB_prev[[#This Row],[Synt]],GL[[#Headers],[#Data],[subtotal label]],1,FALSE)))</f>
        <v/>
      </c>
      <c r="AF54" s="1063" t="e">
        <f>IF((TB_prev[[#This Row],[Synt]]-TB_prev[[#This Row],[Subtotal Y/N]])=0,0,VLOOKUP(TB_prev[[#This Row],[Synt]],GL[[Account]:[Line]],3,FALSE))</f>
        <v>#VALUE!</v>
      </c>
      <c r="AG54" s="1063" t="e">
        <f>VLOOKUP(TB_prev[[#This Row],[Synt]],GL[[Account]:[B/P]],4,FALSE)</f>
        <v>#N/A</v>
      </c>
      <c r="AH54" s="1066" t="e">
        <v>#VALUE!</v>
      </c>
      <c r="AI54" s="1065" t="e">
        <f>TB_prev[[#This Row],[Synt]]&amp;TB_prev[[#This Row],[Line No. manual corr.]]</f>
        <v>#VALUE!</v>
      </c>
      <c r="AJ54" s="1064">
        <f t="shared" si="1"/>
        <v>0</v>
      </c>
      <c r="AK54" s="1064">
        <f t="shared" si="2"/>
        <v>0</v>
      </c>
      <c r="AL54" s="1064">
        <f t="shared" si="3"/>
        <v>0</v>
      </c>
      <c r="AM54" s="1064">
        <f t="shared" si="4"/>
        <v>0</v>
      </c>
      <c r="AN54" s="1064"/>
      <c r="AO54" s="1064">
        <f>TB_prev[[#This Row],[Closing balance]]+TB_prev[[#This Row],[Rounding]]</f>
        <v>0</v>
      </c>
    </row>
    <row r="55" spans="30:41" x14ac:dyDescent="0.25">
      <c r="AD55" s="1067" t="str">
        <f t="shared" si="0"/>
        <v/>
      </c>
      <c r="AE55" s="1063" t="str">
        <f>IF(ISNA(VLOOKUP(TB_prev[[#This Row],[Synt]],GL[[#Headers],[#Data],[subtotal label]],1,FALSE)),0,(VLOOKUP(TB_prev[[#This Row],[Synt]],GL[[#Headers],[#Data],[subtotal label]],1,FALSE)))</f>
        <v/>
      </c>
      <c r="AF55" s="1063" t="e">
        <f>IF((TB_prev[[#This Row],[Synt]]-TB_prev[[#This Row],[Subtotal Y/N]])=0,0,VLOOKUP(TB_prev[[#This Row],[Synt]],GL[[Account]:[Line]],3,FALSE))</f>
        <v>#VALUE!</v>
      </c>
      <c r="AG55" s="1063" t="e">
        <f>VLOOKUP(TB_prev[[#This Row],[Synt]],GL[[Account]:[B/P]],4,FALSE)</f>
        <v>#N/A</v>
      </c>
      <c r="AH55" s="1066" t="e">
        <v>#VALUE!</v>
      </c>
      <c r="AI55" s="1065" t="e">
        <f>TB_prev[[#This Row],[Synt]]&amp;TB_prev[[#This Row],[Line No. manual corr.]]</f>
        <v>#VALUE!</v>
      </c>
      <c r="AJ55" s="1064">
        <f t="shared" si="1"/>
        <v>0</v>
      </c>
      <c r="AK55" s="1064">
        <f t="shared" si="2"/>
        <v>0</v>
      </c>
      <c r="AL55" s="1064">
        <f t="shared" si="3"/>
        <v>0</v>
      </c>
      <c r="AM55" s="1064">
        <f t="shared" si="4"/>
        <v>0</v>
      </c>
      <c r="AN55" s="1064"/>
      <c r="AO55" s="1064">
        <f>TB_prev[[#This Row],[Closing balance]]+TB_prev[[#This Row],[Rounding]]</f>
        <v>0</v>
      </c>
    </row>
    <row r="56" spans="30:41" x14ac:dyDescent="0.25">
      <c r="AD56" s="1067" t="str">
        <f t="shared" si="0"/>
        <v/>
      </c>
      <c r="AE56" s="1063" t="str">
        <f>IF(ISNA(VLOOKUP(TB_prev[[#This Row],[Synt]],GL[[#Headers],[#Data],[subtotal label]],1,FALSE)),0,(VLOOKUP(TB_prev[[#This Row],[Synt]],GL[[#Headers],[#Data],[subtotal label]],1,FALSE)))</f>
        <v/>
      </c>
      <c r="AF56" s="1063" t="e">
        <f>IF((TB_prev[[#This Row],[Synt]]-TB_prev[[#This Row],[Subtotal Y/N]])=0,0,VLOOKUP(TB_prev[[#This Row],[Synt]],GL[[Account]:[Line]],3,FALSE))</f>
        <v>#VALUE!</v>
      </c>
      <c r="AG56" s="1063" t="e">
        <f>VLOOKUP(TB_prev[[#This Row],[Synt]],GL[[Account]:[B/P]],4,FALSE)</f>
        <v>#N/A</v>
      </c>
      <c r="AH56" s="1066" t="e">
        <v>#VALUE!</v>
      </c>
      <c r="AI56" s="1065" t="e">
        <f>TB_prev[[#This Row],[Synt]]&amp;TB_prev[[#This Row],[Line No. manual corr.]]</f>
        <v>#VALUE!</v>
      </c>
      <c r="AJ56" s="1064">
        <f t="shared" si="1"/>
        <v>0</v>
      </c>
      <c r="AK56" s="1064">
        <f t="shared" si="2"/>
        <v>0</v>
      </c>
      <c r="AL56" s="1064">
        <f t="shared" si="3"/>
        <v>0</v>
      </c>
      <c r="AM56" s="1064">
        <f t="shared" si="4"/>
        <v>0</v>
      </c>
      <c r="AN56" s="1064"/>
      <c r="AO56" s="1064">
        <f>TB_prev[[#This Row],[Closing balance]]+TB_prev[[#This Row],[Rounding]]</f>
        <v>0</v>
      </c>
    </row>
    <row r="57" spans="30:41" x14ac:dyDescent="0.25">
      <c r="AD57" s="1067" t="str">
        <f t="shared" si="0"/>
        <v/>
      </c>
      <c r="AE57" s="1063" t="str">
        <f>IF(ISNA(VLOOKUP(TB_prev[[#This Row],[Synt]],GL[[#Headers],[#Data],[subtotal label]],1,FALSE)),0,(VLOOKUP(TB_prev[[#This Row],[Synt]],GL[[#Headers],[#Data],[subtotal label]],1,FALSE)))</f>
        <v/>
      </c>
      <c r="AF57" s="1063" t="e">
        <f>IF((TB_prev[[#This Row],[Synt]]-TB_prev[[#This Row],[Subtotal Y/N]])=0,0,VLOOKUP(TB_prev[[#This Row],[Synt]],GL[[Account]:[Line]],3,FALSE))</f>
        <v>#VALUE!</v>
      </c>
      <c r="AG57" s="1063" t="e">
        <f>VLOOKUP(TB_prev[[#This Row],[Synt]],GL[[Account]:[B/P]],4,FALSE)</f>
        <v>#N/A</v>
      </c>
      <c r="AH57" s="1066" t="e">
        <v>#VALUE!</v>
      </c>
      <c r="AI57" s="1065" t="e">
        <f>TB_prev[[#This Row],[Synt]]&amp;TB_prev[[#This Row],[Line No. manual corr.]]</f>
        <v>#VALUE!</v>
      </c>
      <c r="AJ57" s="1064">
        <f t="shared" si="1"/>
        <v>0</v>
      </c>
      <c r="AK57" s="1064">
        <f t="shared" si="2"/>
        <v>0</v>
      </c>
      <c r="AL57" s="1064">
        <f t="shared" si="3"/>
        <v>0</v>
      </c>
      <c r="AM57" s="1064">
        <f t="shared" si="4"/>
        <v>0</v>
      </c>
      <c r="AN57" s="1064"/>
      <c r="AO57" s="1064">
        <f>TB_prev[[#This Row],[Closing balance]]+TB_prev[[#This Row],[Rounding]]</f>
        <v>0</v>
      </c>
    </row>
    <row r="58" spans="30:41" x14ac:dyDescent="0.25">
      <c r="AD58" s="1067" t="str">
        <f t="shared" si="0"/>
        <v/>
      </c>
      <c r="AE58" s="1063" t="str">
        <f>IF(ISNA(VLOOKUP(TB_prev[[#This Row],[Synt]],GL[[#Headers],[#Data],[subtotal label]],1,FALSE)),0,(VLOOKUP(TB_prev[[#This Row],[Synt]],GL[[#Headers],[#Data],[subtotal label]],1,FALSE)))</f>
        <v/>
      </c>
      <c r="AF58" s="1063" t="e">
        <f>IF((TB_prev[[#This Row],[Synt]]-TB_prev[[#This Row],[Subtotal Y/N]])=0,0,VLOOKUP(TB_prev[[#This Row],[Synt]],GL[[Account]:[Line]],3,FALSE))</f>
        <v>#VALUE!</v>
      </c>
      <c r="AG58" s="1063" t="e">
        <f>VLOOKUP(TB_prev[[#This Row],[Synt]],GL[[Account]:[B/P]],4,FALSE)</f>
        <v>#N/A</v>
      </c>
      <c r="AH58" s="1066" t="e">
        <v>#VALUE!</v>
      </c>
      <c r="AI58" s="1065" t="e">
        <f>TB_prev[[#This Row],[Synt]]&amp;TB_prev[[#This Row],[Line No. manual corr.]]</f>
        <v>#VALUE!</v>
      </c>
      <c r="AJ58" s="1064">
        <f t="shared" si="1"/>
        <v>0</v>
      </c>
      <c r="AK58" s="1064">
        <f t="shared" si="2"/>
        <v>0</v>
      </c>
      <c r="AL58" s="1064">
        <f t="shared" si="3"/>
        <v>0</v>
      </c>
      <c r="AM58" s="1064">
        <f t="shared" si="4"/>
        <v>0</v>
      </c>
      <c r="AN58" s="1064"/>
      <c r="AO58" s="1064">
        <f>TB_prev[[#This Row],[Closing balance]]+TB_prev[[#This Row],[Rounding]]</f>
        <v>0</v>
      </c>
    </row>
    <row r="59" spans="30:41" x14ac:dyDescent="0.25">
      <c r="AD59" s="1067" t="str">
        <f t="shared" si="0"/>
        <v/>
      </c>
      <c r="AE59" s="1063" t="str">
        <f>IF(ISNA(VLOOKUP(TB_prev[[#This Row],[Synt]],GL[[#Headers],[#Data],[subtotal label]],1,FALSE)),0,(VLOOKUP(TB_prev[[#This Row],[Synt]],GL[[#Headers],[#Data],[subtotal label]],1,FALSE)))</f>
        <v/>
      </c>
      <c r="AF59" s="1063" t="e">
        <f>IF((TB_prev[[#This Row],[Synt]]-TB_prev[[#This Row],[Subtotal Y/N]])=0,0,VLOOKUP(TB_prev[[#This Row],[Synt]],GL[[Account]:[Line]],3,FALSE))</f>
        <v>#VALUE!</v>
      </c>
      <c r="AG59" s="1063" t="e">
        <f>VLOOKUP(TB_prev[[#This Row],[Synt]],GL[[Account]:[B/P]],4,FALSE)</f>
        <v>#N/A</v>
      </c>
      <c r="AH59" s="1066" t="e">
        <v>#VALUE!</v>
      </c>
      <c r="AI59" s="1065" t="e">
        <f>TB_prev[[#This Row],[Synt]]&amp;TB_prev[[#This Row],[Line No. manual corr.]]</f>
        <v>#VALUE!</v>
      </c>
      <c r="AJ59" s="1064">
        <f t="shared" si="1"/>
        <v>0</v>
      </c>
      <c r="AK59" s="1064">
        <f t="shared" si="2"/>
        <v>0</v>
      </c>
      <c r="AL59" s="1064">
        <f t="shared" si="3"/>
        <v>0</v>
      </c>
      <c r="AM59" s="1064">
        <f t="shared" si="4"/>
        <v>0</v>
      </c>
      <c r="AN59" s="1064"/>
      <c r="AO59" s="1064">
        <f>TB_prev[[#This Row],[Closing balance]]+TB_prev[[#This Row],[Rounding]]</f>
        <v>0</v>
      </c>
    </row>
    <row r="60" spans="30:41" x14ac:dyDescent="0.25">
      <c r="AD60" s="1067" t="str">
        <f t="shared" si="0"/>
        <v/>
      </c>
      <c r="AE60" s="1063" t="str">
        <f>IF(ISNA(VLOOKUP(TB_prev[[#This Row],[Synt]],GL[[#Headers],[#Data],[subtotal label]],1,FALSE)),0,(VLOOKUP(TB_prev[[#This Row],[Synt]],GL[[#Headers],[#Data],[subtotal label]],1,FALSE)))</f>
        <v/>
      </c>
      <c r="AF60" s="1063" t="e">
        <f>IF((TB_prev[[#This Row],[Synt]]-TB_prev[[#This Row],[Subtotal Y/N]])=0,0,VLOOKUP(TB_prev[[#This Row],[Synt]],GL[[Account]:[Line]],3,FALSE))</f>
        <v>#VALUE!</v>
      </c>
      <c r="AG60" s="1063" t="e">
        <f>VLOOKUP(TB_prev[[#This Row],[Synt]],GL[[Account]:[B/P]],4,FALSE)</f>
        <v>#N/A</v>
      </c>
      <c r="AH60" s="1066" t="e">
        <v>#VALUE!</v>
      </c>
      <c r="AI60" s="1065" t="e">
        <f>TB_prev[[#This Row],[Synt]]&amp;TB_prev[[#This Row],[Line No. manual corr.]]</f>
        <v>#VALUE!</v>
      </c>
      <c r="AJ60" s="1064">
        <f t="shared" si="1"/>
        <v>0</v>
      </c>
      <c r="AK60" s="1064">
        <f t="shared" si="2"/>
        <v>0</v>
      </c>
      <c r="AL60" s="1064">
        <f t="shared" si="3"/>
        <v>0</v>
      </c>
      <c r="AM60" s="1064">
        <f t="shared" si="4"/>
        <v>0</v>
      </c>
      <c r="AN60" s="1064"/>
      <c r="AO60" s="1064">
        <f>TB_prev[[#This Row],[Closing balance]]+TB_prev[[#This Row],[Rounding]]</f>
        <v>0</v>
      </c>
    </row>
    <row r="61" spans="30:41" x14ac:dyDescent="0.25">
      <c r="AD61" s="1067" t="str">
        <f t="shared" si="0"/>
        <v/>
      </c>
      <c r="AE61" s="1063" t="str">
        <f>IF(ISNA(VLOOKUP(TB_prev[[#This Row],[Synt]],GL[[#Headers],[#Data],[subtotal label]],1,FALSE)),0,(VLOOKUP(TB_prev[[#This Row],[Synt]],GL[[#Headers],[#Data],[subtotal label]],1,FALSE)))</f>
        <v/>
      </c>
      <c r="AF61" s="1063" t="e">
        <f>IF((TB_prev[[#This Row],[Synt]]-TB_prev[[#This Row],[Subtotal Y/N]])=0,0,VLOOKUP(TB_prev[[#This Row],[Synt]],GL[[Account]:[Line]],3,FALSE))</f>
        <v>#VALUE!</v>
      </c>
      <c r="AG61" s="1063" t="e">
        <f>VLOOKUP(TB_prev[[#This Row],[Synt]],GL[[Account]:[B/P]],4,FALSE)</f>
        <v>#N/A</v>
      </c>
      <c r="AH61" s="1066" t="e">
        <v>#VALUE!</v>
      </c>
      <c r="AI61" s="1065" t="e">
        <f>TB_prev[[#This Row],[Synt]]&amp;TB_prev[[#This Row],[Line No. manual corr.]]</f>
        <v>#VALUE!</v>
      </c>
      <c r="AJ61" s="1064">
        <f t="shared" si="1"/>
        <v>0</v>
      </c>
      <c r="AK61" s="1064">
        <f t="shared" si="2"/>
        <v>0</v>
      </c>
      <c r="AL61" s="1064">
        <f t="shared" si="3"/>
        <v>0</v>
      </c>
      <c r="AM61" s="1064">
        <f t="shared" si="4"/>
        <v>0</v>
      </c>
      <c r="AN61" s="1064"/>
      <c r="AO61" s="1064">
        <f>TB_prev[[#This Row],[Closing balance]]+TB_prev[[#This Row],[Rounding]]</f>
        <v>0</v>
      </c>
    </row>
    <row r="62" spans="30:41" x14ac:dyDescent="0.25">
      <c r="AD62" s="1067" t="str">
        <f t="shared" si="0"/>
        <v/>
      </c>
      <c r="AE62" s="1063" t="str">
        <f>IF(ISNA(VLOOKUP(TB_prev[[#This Row],[Synt]],GL[[#Headers],[#Data],[subtotal label]],1,FALSE)),0,(VLOOKUP(TB_prev[[#This Row],[Synt]],GL[[#Headers],[#Data],[subtotal label]],1,FALSE)))</f>
        <v/>
      </c>
      <c r="AF62" s="1063" t="e">
        <f>IF((TB_prev[[#This Row],[Synt]]-TB_prev[[#This Row],[Subtotal Y/N]])=0,0,VLOOKUP(TB_prev[[#This Row],[Synt]],GL[[Account]:[Line]],3,FALSE))</f>
        <v>#VALUE!</v>
      </c>
      <c r="AG62" s="1063" t="e">
        <f>VLOOKUP(TB_prev[[#This Row],[Synt]],GL[[Account]:[B/P]],4,FALSE)</f>
        <v>#N/A</v>
      </c>
      <c r="AH62" s="1066" t="e">
        <v>#VALUE!</v>
      </c>
      <c r="AI62" s="1065" t="e">
        <f>TB_prev[[#This Row],[Synt]]&amp;TB_prev[[#This Row],[Line No. manual corr.]]</f>
        <v>#VALUE!</v>
      </c>
      <c r="AJ62" s="1064">
        <f t="shared" si="1"/>
        <v>0</v>
      </c>
      <c r="AK62" s="1064">
        <f t="shared" si="2"/>
        <v>0</v>
      </c>
      <c r="AL62" s="1064">
        <f t="shared" si="3"/>
        <v>0</v>
      </c>
      <c r="AM62" s="1064">
        <f t="shared" si="4"/>
        <v>0</v>
      </c>
      <c r="AN62" s="1064"/>
      <c r="AO62" s="1064">
        <f>TB_prev[[#This Row],[Closing balance]]+TB_prev[[#This Row],[Rounding]]</f>
        <v>0</v>
      </c>
    </row>
    <row r="63" spans="30:41" x14ac:dyDescent="0.25">
      <c r="AD63" s="1067" t="str">
        <f t="shared" si="0"/>
        <v/>
      </c>
      <c r="AE63" s="1063" t="str">
        <f>IF(ISNA(VLOOKUP(TB_prev[[#This Row],[Synt]],GL[[#Headers],[#Data],[subtotal label]],1,FALSE)),0,(VLOOKUP(TB_prev[[#This Row],[Synt]],GL[[#Headers],[#Data],[subtotal label]],1,FALSE)))</f>
        <v/>
      </c>
      <c r="AF63" s="1063" t="e">
        <f>IF((TB_prev[[#This Row],[Synt]]-TB_prev[[#This Row],[Subtotal Y/N]])=0,0,VLOOKUP(TB_prev[[#This Row],[Synt]],GL[[Account]:[Line]],3,FALSE))</f>
        <v>#VALUE!</v>
      </c>
      <c r="AG63" s="1063" t="e">
        <f>VLOOKUP(TB_prev[[#This Row],[Synt]],GL[[Account]:[B/P]],4,FALSE)</f>
        <v>#N/A</v>
      </c>
      <c r="AH63" s="1066" t="e">
        <v>#VALUE!</v>
      </c>
      <c r="AI63" s="1065" t="e">
        <f>TB_prev[[#This Row],[Synt]]&amp;TB_prev[[#This Row],[Line No. manual corr.]]</f>
        <v>#VALUE!</v>
      </c>
      <c r="AJ63" s="1064">
        <f t="shared" si="1"/>
        <v>0</v>
      </c>
      <c r="AK63" s="1064">
        <f t="shared" si="2"/>
        <v>0</v>
      </c>
      <c r="AL63" s="1064">
        <f t="shared" si="3"/>
        <v>0</v>
      </c>
      <c r="AM63" s="1064">
        <f t="shared" si="4"/>
        <v>0</v>
      </c>
      <c r="AN63" s="1064"/>
      <c r="AO63" s="1064">
        <f>TB_prev[[#This Row],[Closing balance]]+TB_prev[[#This Row],[Rounding]]</f>
        <v>0</v>
      </c>
    </row>
    <row r="64" spans="30:41" x14ac:dyDescent="0.25">
      <c r="AD64" s="1067" t="str">
        <f t="shared" si="0"/>
        <v/>
      </c>
      <c r="AE64" s="1063" t="str">
        <f>IF(ISNA(VLOOKUP(TB_prev[[#This Row],[Synt]],GL[[#Headers],[#Data],[subtotal label]],1,FALSE)),0,(VLOOKUP(TB_prev[[#This Row],[Synt]],GL[[#Headers],[#Data],[subtotal label]],1,FALSE)))</f>
        <v/>
      </c>
      <c r="AF64" s="1063" t="e">
        <f>IF((TB_prev[[#This Row],[Synt]]-TB_prev[[#This Row],[Subtotal Y/N]])=0,0,VLOOKUP(TB_prev[[#This Row],[Synt]],GL[[Account]:[Line]],3,FALSE))</f>
        <v>#VALUE!</v>
      </c>
      <c r="AG64" s="1063" t="e">
        <f>VLOOKUP(TB_prev[[#This Row],[Synt]],GL[[Account]:[B/P]],4,FALSE)</f>
        <v>#N/A</v>
      </c>
      <c r="AH64" s="1066" t="e">
        <v>#VALUE!</v>
      </c>
      <c r="AI64" s="1065" t="e">
        <f>TB_prev[[#This Row],[Synt]]&amp;TB_prev[[#This Row],[Line No. manual corr.]]</f>
        <v>#VALUE!</v>
      </c>
      <c r="AJ64" s="1064">
        <f t="shared" si="1"/>
        <v>0</v>
      </c>
      <c r="AK64" s="1064">
        <f t="shared" si="2"/>
        <v>0</v>
      </c>
      <c r="AL64" s="1064">
        <f t="shared" si="3"/>
        <v>0</v>
      </c>
      <c r="AM64" s="1064">
        <f t="shared" si="4"/>
        <v>0</v>
      </c>
      <c r="AN64" s="1064"/>
      <c r="AO64" s="1064">
        <f>TB_prev[[#This Row],[Closing balance]]+TB_prev[[#This Row],[Rounding]]</f>
        <v>0</v>
      </c>
    </row>
    <row r="65" spans="30:41" x14ac:dyDescent="0.25">
      <c r="AD65" s="1067" t="str">
        <f t="shared" si="0"/>
        <v/>
      </c>
      <c r="AE65" s="1063" t="str">
        <f>IF(ISNA(VLOOKUP(TB_prev[[#This Row],[Synt]],GL[[#Headers],[#Data],[subtotal label]],1,FALSE)),0,(VLOOKUP(TB_prev[[#This Row],[Synt]],GL[[#Headers],[#Data],[subtotal label]],1,FALSE)))</f>
        <v/>
      </c>
      <c r="AF65" s="1063" t="e">
        <f>IF((TB_prev[[#This Row],[Synt]]-TB_prev[[#This Row],[Subtotal Y/N]])=0,0,VLOOKUP(TB_prev[[#This Row],[Synt]],GL[[Account]:[Line]],3,FALSE))</f>
        <v>#VALUE!</v>
      </c>
      <c r="AG65" s="1063" t="e">
        <f>VLOOKUP(TB_prev[[#This Row],[Synt]],GL[[Account]:[B/P]],4,FALSE)</f>
        <v>#N/A</v>
      </c>
      <c r="AH65" s="1066" t="e">
        <v>#VALUE!</v>
      </c>
      <c r="AI65" s="1065" t="e">
        <f>TB_prev[[#This Row],[Synt]]&amp;TB_prev[[#This Row],[Line No. manual corr.]]</f>
        <v>#VALUE!</v>
      </c>
      <c r="AJ65" s="1064">
        <f t="shared" si="1"/>
        <v>0</v>
      </c>
      <c r="AK65" s="1064">
        <f t="shared" si="2"/>
        <v>0</v>
      </c>
      <c r="AL65" s="1064">
        <f t="shared" si="3"/>
        <v>0</v>
      </c>
      <c r="AM65" s="1064">
        <f t="shared" si="4"/>
        <v>0</v>
      </c>
      <c r="AN65" s="1064"/>
      <c r="AO65" s="1064">
        <f>TB_prev[[#This Row],[Closing balance]]+TB_prev[[#This Row],[Rounding]]</f>
        <v>0</v>
      </c>
    </row>
    <row r="66" spans="30:41" x14ac:dyDescent="0.25">
      <c r="AD66" s="1067" t="str">
        <f t="shared" si="0"/>
        <v/>
      </c>
      <c r="AE66" s="1063" t="str">
        <f>IF(ISNA(VLOOKUP(TB_prev[[#This Row],[Synt]],GL[[#Headers],[#Data],[subtotal label]],1,FALSE)),0,(VLOOKUP(TB_prev[[#This Row],[Synt]],GL[[#Headers],[#Data],[subtotal label]],1,FALSE)))</f>
        <v/>
      </c>
      <c r="AF66" s="1063" t="e">
        <f>IF((TB_prev[[#This Row],[Synt]]-TB_prev[[#This Row],[Subtotal Y/N]])=0,0,VLOOKUP(TB_prev[[#This Row],[Synt]],GL[[Account]:[Line]],3,FALSE))</f>
        <v>#VALUE!</v>
      </c>
      <c r="AG66" s="1063" t="e">
        <f>VLOOKUP(TB_prev[[#This Row],[Synt]],GL[[Account]:[B/P]],4,FALSE)</f>
        <v>#N/A</v>
      </c>
      <c r="AH66" s="1066" t="e">
        <v>#VALUE!</v>
      </c>
      <c r="AI66" s="1065" t="e">
        <f>TB_prev[[#This Row],[Synt]]&amp;TB_prev[[#This Row],[Line No. manual corr.]]</f>
        <v>#VALUE!</v>
      </c>
      <c r="AJ66" s="1064">
        <f t="shared" si="1"/>
        <v>0</v>
      </c>
      <c r="AK66" s="1064">
        <f t="shared" si="2"/>
        <v>0</v>
      </c>
      <c r="AL66" s="1064">
        <f t="shared" si="3"/>
        <v>0</v>
      </c>
      <c r="AM66" s="1064">
        <f t="shared" si="4"/>
        <v>0</v>
      </c>
      <c r="AN66" s="1064"/>
      <c r="AO66" s="1064">
        <f>TB_prev[[#This Row],[Closing balance]]+TB_prev[[#This Row],[Rounding]]</f>
        <v>0</v>
      </c>
    </row>
    <row r="67" spans="30:41" x14ac:dyDescent="0.25">
      <c r="AD67" s="1067" t="str">
        <f t="shared" si="0"/>
        <v/>
      </c>
      <c r="AE67" s="1063" t="str">
        <f>IF(ISNA(VLOOKUP(TB_prev[[#This Row],[Synt]],GL[[#Headers],[#Data],[subtotal label]],1,FALSE)),0,(VLOOKUP(TB_prev[[#This Row],[Synt]],GL[[#Headers],[#Data],[subtotal label]],1,FALSE)))</f>
        <v/>
      </c>
      <c r="AF67" s="1063" t="e">
        <f>IF((TB_prev[[#This Row],[Synt]]-TB_prev[[#This Row],[Subtotal Y/N]])=0,0,VLOOKUP(TB_prev[[#This Row],[Synt]],GL[[Account]:[Line]],3,FALSE))</f>
        <v>#VALUE!</v>
      </c>
      <c r="AG67" s="1063" t="e">
        <f>VLOOKUP(TB_prev[[#This Row],[Synt]],GL[[Account]:[B/P]],4,FALSE)</f>
        <v>#N/A</v>
      </c>
      <c r="AH67" s="1066" t="e">
        <v>#VALUE!</v>
      </c>
      <c r="AI67" s="1065" t="e">
        <f>TB_prev[[#This Row],[Synt]]&amp;TB_prev[[#This Row],[Line No. manual corr.]]</f>
        <v>#VALUE!</v>
      </c>
      <c r="AJ67" s="1064">
        <f t="shared" si="1"/>
        <v>0</v>
      </c>
      <c r="AK67" s="1064">
        <f t="shared" si="2"/>
        <v>0</v>
      </c>
      <c r="AL67" s="1064">
        <f t="shared" si="3"/>
        <v>0</v>
      </c>
      <c r="AM67" s="1064">
        <f t="shared" si="4"/>
        <v>0</v>
      </c>
      <c r="AN67" s="1064"/>
      <c r="AO67" s="1064">
        <f>TB_prev[[#This Row],[Closing balance]]+TB_prev[[#This Row],[Rounding]]</f>
        <v>0</v>
      </c>
    </row>
    <row r="68" spans="30:41" x14ac:dyDescent="0.25">
      <c r="AD68" s="1067" t="str">
        <f t="shared" si="0"/>
        <v/>
      </c>
      <c r="AE68" s="1063" t="str">
        <f>IF(ISNA(VLOOKUP(TB_prev[[#This Row],[Synt]],GL[[#Headers],[#Data],[subtotal label]],1,FALSE)),0,(VLOOKUP(TB_prev[[#This Row],[Synt]],GL[[#Headers],[#Data],[subtotal label]],1,FALSE)))</f>
        <v/>
      </c>
      <c r="AF68" s="1063" t="e">
        <f>IF((TB_prev[[#This Row],[Synt]]-TB_prev[[#This Row],[Subtotal Y/N]])=0,0,VLOOKUP(TB_prev[[#This Row],[Synt]],GL[[Account]:[Line]],3,FALSE))</f>
        <v>#VALUE!</v>
      </c>
      <c r="AG68" s="1063" t="e">
        <f>VLOOKUP(TB_prev[[#This Row],[Synt]],GL[[Account]:[B/P]],4,FALSE)</f>
        <v>#N/A</v>
      </c>
      <c r="AH68" s="1066" t="e">
        <v>#VALUE!</v>
      </c>
      <c r="AI68" s="1065" t="e">
        <f>TB_prev[[#This Row],[Synt]]&amp;TB_prev[[#This Row],[Line No. manual corr.]]</f>
        <v>#VALUE!</v>
      </c>
      <c r="AJ68" s="1064">
        <f t="shared" si="1"/>
        <v>0</v>
      </c>
      <c r="AK68" s="1064">
        <f t="shared" si="2"/>
        <v>0</v>
      </c>
      <c r="AL68" s="1064">
        <f t="shared" si="3"/>
        <v>0</v>
      </c>
      <c r="AM68" s="1064">
        <f t="shared" si="4"/>
        <v>0</v>
      </c>
      <c r="AN68" s="1064"/>
      <c r="AO68" s="1064">
        <f>TB_prev[[#This Row],[Closing balance]]+TB_prev[[#This Row],[Rounding]]</f>
        <v>0</v>
      </c>
    </row>
    <row r="69" spans="30:41" x14ac:dyDescent="0.25">
      <c r="AD69" s="1067" t="str">
        <f t="shared" si="0"/>
        <v/>
      </c>
      <c r="AE69" s="1063" t="str">
        <f>IF(ISNA(VLOOKUP(TB_prev[[#This Row],[Synt]],GL[[#Headers],[#Data],[subtotal label]],1,FALSE)),0,(VLOOKUP(TB_prev[[#This Row],[Synt]],GL[[#Headers],[#Data],[subtotal label]],1,FALSE)))</f>
        <v/>
      </c>
      <c r="AF69" s="1063" t="e">
        <f>IF((TB_prev[[#This Row],[Synt]]-TB_prev[[#This Row],[Subtotal Y/N]])=0,0,VLOOKUP(TB_prev[[#This Row],[Synt]],GL[[Account]:[Line]],3,FALSE))</f>
        <v>#VALUE!</v>
      </c>
      <c r="AG69" s="1063" t="e">
        <f>VLOOKUP(TB_prev[[#This Row],[Synt]],GL[[Account]:[B/P]],4,FALSE)</f>
        <v>#N/A</v>
      </c>
      <c r="AH69" s="1066" t="e">
        <v>#VALUE!</v>
      </c>
      <c r="AI69" s="1065" t="e">
        <f>TB_prev[[#This Row],[Synt]]&amp;TB_prev[[#This Row],[Line No. manual corr.]]</f>
        <v>#VALUE!</v>
      </c>
      <c r="AJ69" s="1064">
        <f t="shared" si="1"/>
        <v>0</v>
      </c>
      <c r="AK69" s="1064">
        <f t="shared" si="2"/>
        <v>0</v>
      </c>
      <c r="AL69" s="1064">
        <f t="shared" si="3"/>
        <v>0</v>
      </c>
      <c r="AM69" s="1064">
        <f t="shared" si="4"/>
        <v>0</v>
      </c>
      <c r="AN69" s="1064"/>
      <c r="AO69" s="1064">
        <f>TB_prev[[#This Row],[Closing balance]]+TB_prev[[#This Row],[Rounding]]</f>
        <v>0</v>
      </c>
    </row>
    <row r="70" spans="30:41" x14ac:dyDescent="0.25">
      <c r="AD70" s="1067" t="str">
        <f t="shared" si="0"/>
        <v/>
      </c>
      <c r="AE70" s="1063" t="str">
        <f>IF(ISNA(VLOOKUP(TB_prev[[#This Row],[Synt]],GL[[#Headers],[#Data],[subtotal label]],1,FALSE)),0,(VLOOKUP(TB_prev[[#This Row],[Synt]],GL[[#Headers],[#Data],[subtotal label]],1,FALSE)))</f>
        <v/>
      </c>
      <c r="AF70" s="1063" t="e">
        <f>IF((TB_prev[[#This Row],[Synt]]-TB_prev[[#This Row],[Subtotal Y/N]])=0,0,VLOOKUP(TB_prev[[#This Row],[Synt]],GL[[Account]:[Line]],3,FALSE))</f>
        <v>#VALUE!</v>
      </c>
      <c r="AG70" s="1063" t="e">
        <f>VLOOKUP(TB_prev[[#This Row],[Synt]],GL[[Account]:[B/P]],4,FALSE)</f>
        <v>#N/A</v>
      </c>
      <c r="AH70" s="1066" t="e">
        <v>#VALUE!</v>
      </c>
      <c r="AI70" s="1065" t="e">
        <f>TB_prev[[#This Row],[Synt]]&amp;TB_prev[[#This Row],[Line No. manual corr.]]</f>
        <v>#VALUE!</v>
      </c>
      <c r="AJ70" s="1064">
        <f t="shared" si="1"/>
        <v>0</v>
      </c>
      <c r="AK70" s="1064">
        <f t="shared" si="2"/>
        <v>0</v>
      </c>
      <c r="AL70" s="1064">
        <f t="shared" si="3"/>
        <v>0</v>
      </c>
      <c r="AM70" s="1064">
        <f t="shared" si="4"/>
        <v>0</v>
      </c>
      <c r="AN70" s="1064"/>
      <c r="AO70" s="1064">
        <f>TB_prev[[#This Row],[Closing balance]]+TB_prev[[#This Row],[Rounding]]</f>
        <v>0</v>
      </c>
    </row>
    <row r="71" spans="30:41" x14ac:dyDescent="0.25">
      <c r="AD71" s="1067" t="str">
        <f t="shared" si="0"/>
        <v/>
      </c>
      <c r="AE71" s="1063" t="str">
        <f>IF(ISNA(VLOOKUP(TB_prev[[#This Row],[Synt]],GL[[#Headers],[#Data],[subtotal label]],1,FALSE)),0,(VLOOKUP(TB_prev[[#This Row],[Synt]],GL[[#Headers],[#Data],[subtotal label]],1,FALSE)))</f>
        <v/>
      </c>
      <c r="AF71" s="1063" t="e">
        <f>IF((TB_prev[[#This Row],[Synt]]-TB_prev[[#This Row],[Subtotal Y/N]])=0,0,VLOOKUP(TB_prev[[#This Row],[Synt]],GL[[Account]:[Line]],3,FALSE))</f>
        <v>#VALUE!</v>
      </c>
      <c r="AG71" s="1063" t="e">
        <f>VLOOKUP(TB_prev[[#This Row],[Synt]],GL[[Account]:[B/P]],4,FALSE)</f>
        <v>#N/A</v>
      </c>
      <c r="AH71" s="1066" t="e">
        <v>#VALUE!</v>
      </c>
      <c r="AI71" s="1065" t="e">
        <f>TB_prev[[#This Row],[Synt]]&amp;TB_prev[[#This Row],[Line No. manual corr.]]</f>
        <v>#VALUE!</v>
      </c>
      <c r="AJ71" s="1064">
        <f t="shared" si="1"/>
        <v>0</v>
      </c>
      <c r="AK71" s="1064">
        <f t="shared" si="2"/>
        <v>0</v>
      </c>
      <c r="AL71" s="1064">
        <f t="shared" si="3"/>
        <v>0</v>
      </c>
      <c r="AM71" s="1064">
        <f t="shared" si="4"/>
        <v>0</v>
      </c>
      <c r="AN71" s="1064"/>
      <c r="AO71" s="1064">
        <f>TB_prev[[#This Row],[Closing balance]]+TB_prev[[#This Row],[Rounding]]</f>
        <v>0</v>
      </c>
    </row>
    <row r="72" spans="30:41" x14ac:dyDescent="0.25">
      <c r="AD72" s="1067" t="str">
        <f t="shared" ref="AD72:AD135" si="5">LEFT(B72,3)</f>
        <v/>
      </c>
      <c r="AE72" s="1063" t="str">
        <f>IF(ISNA(VLOOKUP(TB_prev[[#This Row],[Synt]],GL[[#Headers],[#Data],[subtotal label]],1,FALSE)),0,(VLOOKUP(TB_prev[[#This Row],[Synt]],GL[[#Headers],[#Data],[subtotal label]],1,FALSE)))</f>
        <v/>
      </c>
      <c r="AF72" s="1063" t="e">
        <f>IF((TB_prev[[#This Row],[Synt]]-TB_prev[[#This Row],[Subtotal Y/N]])=0,0,VLOOKUP(TB_prev[[#This Row],[Synt]],GL[[Account]:[Line]],3,FALSE))</f>
        <v>#VALUE!</v>
      </c>
      <c r="AG72" s="1063" t="e">
        <f>VLOOKUP(TB_prev[[#This Row],[Synt]],GL[[Account]:[B/P]],4,FALSE)</f>
        <v>#N/A</v>
      </c>
      <c r="AH72" s="1066" t="e">
        <v>#VALUE!</v>
      </c>
      <c r="AI72" s="1065" t="e">
        <f>TB_prev[[#This Row],[Synt]]&amp;TB_prev[[#This Row],[Line No. manual corr.]]</f>
        <v>#VALUE!</v>
      </c>
      <c r="AJ72" s="1064">
        <f t="shared" ref="AJ72:AJ135" si="6">K72-N72</f>
        <v>0</v>
      </c>
      <c r="AK72" s="1064">
        <f t="shared" ref="AK72:AK135" si="7">Q72</f>
        <v>0</v>
      </c>
      <c r="AL72" s="1064">
        <f t="shared" ref="AL72:AL135" si="8">U72</f>
        <v>0</v>
      </c>
      <c r="AM72" s="1064">
        <f t="shared" ref="AM72:AM135" si="9">X72-AB72</f>
        <v>0</v>
      </c>
      <c r="AN72" s="1064"/>
      <c r="AO72" s="1064">
        <f>TB_prev[[#This Row],[Closing balance]]+TB_prev[[#This Row],[Rounding]]</f>
        <v>0</v>
      </c>
    </row>
    <row r="73" spans="30:41" x14ac:dyDescent="0.25">
      <c r="AD73" s="1067" t="str">
        <f t="shared" si="5"/>
        <v/>
      </c>
      <c r="AE73" s="1063" t="str">
        <f>IF(ISNA(VLOOKUP(TB_prev[[#This Row],[Synt]],GL[[#Headers],[#Data],[subtotal label]],1,FALSE)),0,(VLOOKUP(TB_prev[[#This Row],[Synt]],GL[[#Headers],[#Data],[subtotal label]],1,FALSE)))</f>
        <v/>
      </c>
      <c r="AF73" s="1063" t="e">
        <f>IF((TB_prev[[#This Row],[Synt]]-TB_prev[[#This Row],[Subtotal Y/N]])=0,0,VLOOKUP(TB_prev[[#This Row],[Synt]],GL[[Account]:[Line]],3,FALSE))</f>
        <v>#VALUE!</v>
      </c>
      <c r="AG73" s="1063" t="e">
        <f>VLOOKUP(TB_prev[[#This Row],[Synt]],GL[[Account]:[B/P]],4,FALSE)</f>
        <v>#N/A</v>
      </c>
      <c r="AH73" s="1066" t="e">
        <v>#VALUE!</v>
      </c>
      <c r="AI73" s="1065" t="e">
        <f>TB_prev[[#This Row],[Synt]]&amp;TB_prev[[#This Row],[Line No. manual corr.]]</f>
        <v>#VALUE!</v>
      </c>
      <c r="AJ73" s="1064">
        <f t="shared" si="6"/>
        <v>0</v>
      </c>
      <c r="AK73" s="1064">
        <f t="shared" si="7"/>
        <v>0</v>
      </c>
      <c r="AL73" s="1064">
        <f t="shared" si="8"/>
        <v>0</v>
      </c>
      <c r="AM73" s="1064">
        <f t="shared" si="9"/>
        <v>0</v>
      </c>
      <c r="AN73" s="1064"/>
      <c r="AO73" s="1064">
        <f>TB_prev[[#This Row],[Closing balance]]+TB_prev[[#This Row],[Rounding]]</f>
        <v>0</v>
      </c>
    </row>
    <row r="74" spans="30:41" x14ac:dyDescent="0.25">
      <c r="AD74" s="1067" t="str">
        <f t="shared" si="5"/>
        <v/>
      </c>
      <c r="AE74" s="1063" t="str">
        <f>IF(ISNA(VLOOKUP(TB_prev[[#This Row],[Synt]],GL[[#Headers],[#Data],[subtotal label]],1,FALSE)),0,(VLOOKUP(TB_prev[[#This Row],[Synt]],GL[[#Headers],[#Data],[subtotal label]],1,FALSE)))</f>
        <v/>
      </c>
      <c r="AF74" s="1063" t="e">
        <f>IF((TB_prev[[#This Row],[Synt]]-TB_prev[[#This Row],[Subtotal Y/N]])=0,0,VLOOKUP(TB_prev[[#This Row],[Synt]],GL[[Account]:[Line]],3,FALSE))</f>
        <v>#VALUE!</v>
      </c>
      <c r="AG74" s="1063" t="e">
        <f>VLOOKUP(TB_prev[[#This Row],[Synt]],GL[[Account]:[B/P]],4,FALSE)</f>
        <v>#N/A</v>
      </c>
      <c r="AH74" s="1066" t="e">
        <v>#VALUE!</v>
      </c>
      <c r="AI74" s="1065" t="e">
        <f>TB_prev[[#This Row],[Synt]]&amp;TB_prev[[#This Row],[Line No. manual corr.]]</f>
        <v>#VALUE!</v>
      </c>
      <c r="AJ74" s="1064">
        <f t="shared" si="6"/>
        <v>0</v>
      </c>
      <c r="AK74" s="1064">
        <f t="shared" si="7"/>
        <v>0</v>
      </c>
      <c r="AL74" s="1064">
        <f t="shared" si="8"/>
        <v>0</v>
      </c>
      <c r="AM74" s="1064">
        <f t="shared" si="9"/>
        <v>0</v>
      </c>
      <c r="AN74" s="1064"/>
      <c r="AO74" s="1064">
        <f>TB_prev[[#This Row],[Closing balance]]+TB_prev[[#This Row],[Rounding]]</f>
        <v>0</v>
      </c>
    </row>
    <row r="75" spans="30:41" x14ac:dyDescent="0.25">
      <c r="AD75" s="1067" t="str">
        <f t="shared" si="5"/>
        <v/>
      </c>
      <c r="AE75" s="1063" t="str">
        <f>IF(ISNA(VLOOKUP(TB_prev[[#This Row],[Synt]],GL[[#Headers],[#Data],[subtotal label]],1,FALSE)),0,(VLOOKUP(TB_prev[[#This Row],[Synt]],GL[[#Headers],[#Data],[subtotal label]],1,FALSE)))</f>
        <v/>
      </c>
      <c r="AF75" s="1063" t="e">
        <f>IF((TB_prev[[#This Row],[Synt]]-TB_prev[[#This Row],[Subtotal Y/N]])=0,0,VLOOKUP(TB_prev[[#This Row],[Synt]],GL[[Account]:[Line]],3,FALSE))</f>
        <v>#VALUE!</v>
      </c>
      <c r="AG75" s="1063" t="e">
        <f>VLOOKUP(TB_prev[[#This Row],[Synt]],GL[[Account]:[B/P]],4,FALSE)</f>
        <v>#N/A</v>
      </c>
      <c r="AH75" s="1066" t="e">
        <v>#VALUE!</v>
      </c>
      <c r="AI75" s="1065" t="e">
        <f>TB_prev[[#This Row],[Synt]]&amp;TB_prev[[#This Row],[Line No. manual corr.]]</f>
        <v>#VALUE!</v>
      </c>
      <c r="AJ75" s="1064">
        <f t="shared" si="6"/>
        <v>0</v>
      </c>
      <c r="AK75" s="1064">
        <f t="shared" si="7"/>
        <v>0</v>
      </c>
      <c r="AL75" s="1064">
        <f t="shared" si="8"/>
        <v>0</v>
      </c>
      <c r="AM75" s="1064">
        <f t="shared" si="9"/>
        <v>0</v>
      </c>
      <c r="AN75" s="1064"/>
      <c r="AO75" s="1064">
        <f>TB_prev[[#This Row],[Closing balance]]+TB_prev[[#This Row],[Rounding]]</f>
        <v>0</v>
      </c>
    </row>
    <row r="76" spans="30:41" x14ac:dyDescent="0.25">
      <c r="AD76" s="1067" t="str">
        <f t="shared" si="5"/>
        <v/>
      </c>
      <c r="AE76" s="1063" t="str">
        <f>IF(ISNA(VLOOKUP(TB_prev[[#This Row],[Synt]],GL[[#Headers],[#Data],[subtotal label]],1,FALSE)),0,(VLOOKUP(TB_prev[[#This Row],[Synt]],GL[[#Headers],[#Data],[subtotal label]],1,FALSE)))</f>
        <v/>
      </c>
      <c r="AF76" s="1063" t="e">
        <f>IF((TB_prev[[#This Row],[Synt]]-TB_prev[[#This Row],[Subtotal Y/N]])=0,0,VLOOKUP(TB_prev[[#This Row],[Synt]],GL[[Account]:[Line]],3,FALSE))</f>
        <v>#VALUE!</v>
      </c>
      <c r="AG76" s="1063" t="e">
        <f>VLOOKUP(TB_prev[[#This Row],[Synt]],GL[[Account]:[B/P]],4,FALSE)</f>
        <v>#N/A</v>
      </c>
      <c r="AH76" s="1066" t="e">
        <v>#VALUE!</v>
      </c>
      <c r="AI76" s="1065" t="e">
        <f>TB_prev[[#This Row],[Synt]]&amp;TB_prev[[#This Row],[Line No. manual corr.]]</f>
        <v>#VALUE!</v>
      </c>
      <c r="AJ76" s="1064">
        <f t="shared" si="6"/>
        <v>0</v>
      </c>
      <c r="AK76" s="1064">
        <f t="shared" si="7"/>
        <v>0</v>
      </c>
      <c r="AL76" s="1064">
        <f t="shared" si="8"/>
        <v>0</v>
      </c>
      <c r="AM76" s="1064">
        <f t="shared" si="9"/>
        <v>0</v>
      </c>
      <c r="AN76" s="1064"/>
      <c r="AO76" s="1064">
        <f>TB_prev[[#This Row],[Closing balance]]+TB_prev[[#This Row],[Rounding]]</f>
        <v>0</v>
      </c>
    </row>
    <row r="77" spans="30:41" x14ac:dyDescent="0.25">
      <c r="AD77" s="1067" t="str">
        <f t="shared" si="5"/>
        <v/>
      </c>
      <c r="AE77" s="1063" t="str">
        <f>IF(ISNA(VLOOKUP(TB_prev[[#This Row],[Synt]],GL[[#Headers],[#Data],[subtotal label]],1,FALSE)),0,(VLOOKUP(TB_prev[[#This Row],[Synt]],GL[[#Headers],[#Data],[subtotal label]],1,FALSE)))</f>
        <v/>
      </c>
      <c r="AF77" s="1063" t="e">
        <f>IF((TB_prev[[#This Row],[Synt]]-TB_prev[[#This Row],[Subtotal Y/N]])=0,0,VLOOKUP(TB_prev[[#This Row],[Synt]],GL[[Account]:[Line]],3,FALSE))</f>
        <v>#VALUE!</v>
      </c>
      <c r="AG77" s="1063" t="e">
        <f>VLOOKUP(TB_prev[[#This Row],[Synt]],GL[[Account]:[B/P]],4,FALSE)</f>
        <v>#N/A</v>
      </c>
      <c r="AH77" s="1066" t="e">
        <v>#VALUE!</v>
      </c>
      <c r="AI77" s="1065" t="e">
        <f>TB_prev[[#This Row],[Synt]]&amp;TB_prev[[#This Row],[Line No. manual corr.]]</f>
        <v>#VALUE!</v>
      </c>
      <c r="AJ77" s="1064">
        <f t="shared" si="6"/>
        <v>0</v>
      </c>
      <c r="AK77" s="1064">
        <f t="shared" si="7"/>
        <v>0</v>
      </c>
      <c r="AL77" s="1064">
        <f t="shared" si="8"/>
        <v>0</v>
      </c>
      <c r="AM77" s="1064">
        <f t="shared" si="9"/>
        <v>0</v>
      </c>
      <c r="AN77" s="1064"/>
      <c r="AO77" s="1064">
        <f>TB_prev[[#This Row],[Closing balance]]+TB_prev[[#This Row],[Rounding]]</f>
        <v>0</v>
      </c>
    </row>
    <row r="78" spans="30:41" x14ac:dyDescent="0.25">
      <c r="AD78" s="1067" t="str">
        <f t="shared" si="5"/>
        <v/>
      </c>
      <c r="AE78" s="1063" t="str">
        <f>IF(ISNA(VLOOKUP(TB_prev[[#This Row],[Synt]],GL[[#Headers],[#Data],[subtotal label]],1,FALSE)),0,(VLOOKUP(TB_prev[[#This Row],[Synt]],GL[[#Headers],[#Data],[subtotal label]],1,FALSE)))</f>
        <v/>
      </c>
      <c r="AF78" s="1063" t="e">
        <f>IF((TB_prev[[#This Row],[Synt]]-TB_prev[[#This Row],[Subtotal Y/N]])=0,0,VLOOKUP(TB_prev[[#This Row],[Synt]],GL[[Account]:[Line]],3,FALSE))</f>
        <v>#VALUE!</v>
      </c>
      <c r="AG78" s="1063" t="e">
        <f>VLOOKUP(TB_prev[[#This Row],[Synt]],GL[[Account]:[B/P]],4,FALSE)</f>
        <v>#N/A</v>
      </c>
      <c r="AH78" s="1066" t="e">
        <v>#VALUE!</v>
      </c>
      <c r="AI78" s="1065" t="e">
        <f>TB_prev[[#This Row],[Synt]]&amp;TB_prev[[#This Row],[Line No. manual corr.]]</f>
        <v>#VALUE!</v>
      </c>
      <c r="AJ78" s="1064">
        <f t="shared" si="6"/>
        <v>0</v>
      </c>
      <c r="AK78" s="1064">
        <f t="shared" si="7"/>
        <v>0</v>
      </c>
      <c r="AL78" s="1064">
        <f t="shared" si="8"/>
        <v>0</v>
      </c>
      <c r="AM78" s="1064">
        <f t="shared" si="9"/>
        <v>0</v>
      </c>
      <c r="AN78" s="1064"/>
      <c r="AO78" s="1064">
        <f>TB_prev[[#This Row],[Closing balance]]+TB_prev[[#This Row],[Rounding]]</f>
        <v>0</v>
      </c>
    </row>
    <row r="79" spans="30:41" x14ac:dyDescent="0.25">
      <c r="AD79" s="1067" t="str">
        <f t="shared" si="5"/>
        <v/>
      </c>
      <c r="AE79" s="1063" t="str">
        <f>IF(ISNA(VLOOKUP(TB_prev[[#This Row],[Synt]],GL[[#Headers],[#Data],[subtotal label]],1,FALSE)),0,(VLOOKUP(TB_prev[[#This Row],[Synt]],GL[[#Headers],[#Data],[subtotal label]],1,FALSE)))</f>
        <v/>
      </c>
      <c r="AF79" s="1063" t="e">
        <f>IF((TB_prev[[#This Row],[Synt]]-TB_prev[[#This Row],[Subtotal Y/N]])=0,0,VLOOKUP(TB_prev[[#This Row],[Synt]],GL[[Account]:[Line]],3,FALSE))</f>
        <v>#VALUE!</v>
      </c>
      <c r="AG79" s="1063" t="e">
        <f>VLOOKUP(TB_prev[[#This Row],[Synt]],GL[[Account]:[B/P]],4,FALSE)</f>
        <v>#N/A</v>
      </c>
      <c r="AH79" s="1066" t="e">
        <v>#VALUE!</v>
      </c>
      <c r="AI79" s="1065" t="e">
        <f>TB_prev[[#This Row],[Synt]]&amp;TB_prev[[#This Row],[Line No. manual corr.]]</f>
        <v>#VALUE!</v>
      </c>
      <c r="AJ79" s="1064">
        <f t="shared" si="6"/>
        <v>0</v>
      </c>
      <c r="AK79" s="1064">
        <f t="shared" si="7"/>
        <v>0</v>
      </c>
      <c r="AL79" s="1064">
        <f t="shared" si="8"/>
        <v>0</v>
      </c>
      <c r="AM79" s="1064">
        <f t="shared" si="9"/>
        <v>0</v>
      </c>
      <c r="AN79" s="1064"/>
      <c r="AO79" s="1064">
        <f>TB_prev[[#This Row],[Closing balance]]+TB_prev[[#This Row],[Rounding]]</f>
        <v>0</v>
      </c>
    </row>
    <row r="80" spans="30:41" x14ac:dyDescent="0.25">
      <c r="AD80" s="1067" t="str">
        <f t="shared" si="5"/>
        <v/>
      </c>
      <c r="AE80" s="1063" t="str">
        <f>IF(ISNA(VLOOKUP(TB_prev[[#This Row],[Synt]],GL[[#Headers],[#Data],[subtotal label]],1,FALSE)),0,(VLOOKUP(TB_prev[[#This Row],[Synt]],GL[[#Headers],[#Data],[subtotal label]],1,FALSE)))</f>
        <v/>
      </c>
      <c r="AF80" s="1063" t="e">
        <f>IF((TB_prev[[#This Row],[Synt]]-TB_prev[[#This Row],[Subtotal Y/N]])=0,0,VLOOKUP(TB_prev[[#This Row],[Synt]],GL[[Account]:[Line]],3,FALSE))</f>
        <v>#VALUE!</v>
      </c>
      <c r="AG80" s="1063" t="e">
        <f>VLOOKUP(TB_prev[[#This Row],[Synt]],GL[[Account]:[B/P]],4,FALSE)</f>
        <v>#N/A</v>
      </c>
      <c r="AH80" s="1066" t="e">
        <v>#VALUE!</v>
      </c>
      <c r="AI80" s="1065" t="e">
        <f>TB_prev[[#This Row],[Synt]]&amp;TB_prev[[#This Row],[Line No. manual corr.]]</f>
        <v>#VALUE!</v>
      </c>
      <c r="AJ80" s="1064">
        <f t="shared" si="6"/>
        <v>0</v>
      </c>
      <c r="AK80" s="1064">
        <f t="shared" si="7"/>
        <v>0</v>
      </c>
      <c r="AL80" s="1064">
        <f t="shared" si="8"/>
        <v>0</v>
      </c>
      <c r="AM80" s="1064">
        <f t="shared" si="9"/>
        <v>0</v>
      </c>
      <c r="AN80" s="1064"/>
      <c r="AO80" s="1064">
        <f>TB_prev[[#This Row],[Closing balance]]+TB_prev[[#This Row],[Rounding]]</f>
        <v>0</v>
      </c>
    </row>
    <row r="81" spans="30:41" x14ac:dyDescent="0.25">
      <c r="AD81" s="1067" t="str">
        <f t="shared" si="5"/>
        <v/>
      </c>
      <c r="AE81" s="1063" t="str">
        <f>IF(ISNA(VLOOKUP(TB_prev[[#This Row],[Synt]],GL[[#Headers],[#Data],[subtotal label]],1,FALSE)),0,(VLOOKUP(TB_prev[[#This Row],[Synt]],GL[[#Headers],[#Data],[subtotal label]],1,FALSE)))</f>
        <v/>
      </c>
      <c r="AF81" s="1063" t="e">
        <f>IF((TB_prev[[#This Row],[Synt]]-TB_prev[[#This Row],[Subtotal Y/N]])=0,0,VLOOKUP(TB_prev[[#This Row],[Synt]],GL[[Account]:[Line]],3,FALSE))</f>
        <v>#VALUE!</v>
      </c>
      <c r="AG81" s="1063" t="e">
        <f>VLOOKUP(TB_prev[[#This Row],[Synt]],GL[[Account]:[B/P]],4,FALSE)</f>
        <v>#N/A</v>
      </c>
      <c r="AH81" s="1066" t="e">
        <v>#VALUE!</v>
      </c>
      <c r="AI81" s="1065" t="e">
        <f>TB_prev[[#This Row],[Synt]]&amp;TB_prev[[#This Row],[Line No. manual corr.]]</f>
        <v>#VALUE!</v>
      </c>
      <c r="AJ81" s="1064">
        <f t="shared" si="6"/>
        <v>0</v>
      </c>
      <c r="AK81" s="1064">
        <f t="shared" si="7"/>
        <v>0</v>
      </c>
      <c r="AL81" s="1064">
        <f t="shared" si="8"/>
        <v>0</v>
      </c>
      <c r="AM81" s="1064">
        <f t="shared" si="9"/>
        <v>0</v>
      </c>
      <c r="AN81" s="1064"/>
      <c r="AO81" s="1064">
        <f>TB_prev[[#This Row],[Closing balance]]+TB_prev[[#This Row],[Rounding]]</f>
        <v>0</v>
      </c>
    </row>
    <row r="82" spans="30:41" x14ac:dyDescent="0.25">
      <c r="AD82" s="1067" t="str">
        <f t="shared" si="5"/>
        <v/>
      </c>
      <c r="AE82" s="1063" t="str">
        <f>IF(ISNA(VLOOKUP(TB_prev[[#This Row],[Synt]],GL[[#Headers],[#Data],[subtotal label]],1,FALSE)),0,(VLOOKUP(TB_prev[[#This Row],[Synt]],GL[[#Headers],[#Data],[subtotal label]],1,FALSE)))</f>
        <v/>
      </c>
      <c r="AF82" s="1063" t="e">
        <f>IF((TB_prev[[#This Row],[Synt]]-TB_prev[[#This Row],[Subtotal Y/N]])=0,0,VLOOKUP(TB_prev[[#This Row],[Synt]],GL[[Account]:[Line]],3,FALSE))</f>
        <v>#VALUE!</v>
      </c>
      <c r="AG82" s="1063" t="e">
        <f>VLOOKUP(TB_prev[[#This Row],[Synt]],GL[[Account]:[B/P]],4,FALSE)</f>
        <v>#N/A</v>
      </c>
      <c r="AH82" s="1066" t="e">
        <v>#VALUE!</v>
      </c>
      <c r="AI82" s="1065" t="e">
        <f>TB_prev[[#This Row],[Synt]]&amp;TB_prev[[#This Row],[Line No. manual corr.]]</f>
        <v>#VALUE!</v>
      </c>
      <c r="AJ82" s="1064">
        <f t="shared" si="6"/>
        <v>0</v>
      </c>
      <c r="AK82" s="1064">
        <f t="shared" si="7"/>
        <v>0</v>
      </c>
      <c r="AL82" s="1064">
        <f t="shared" si="8"/>
        <v>0</v>
      </c>
      <c r="AM82" s="1064">
        <f t="shared" si="9"/>
        <v>0</v>
      </c>
      <c r="AN82" s="1064"/>
      <c r="AO82" s="1064">
        <f>TB_prev[[#This Row],[Closing balance]]+TB_prev[[#This Row],[Rounding]]</f>
        <v>0</v>
      </c>
    </row>
    <row r="83" spans="30:41" x14ac:dyDescent="0.25">
      <c r="AD83" s="1067" t="str">
        <f t="shared" si="5"/>
        <v/>
      </c>
      <c r="AE83" s="1063" t="str">
        <f>IF(ISNA(VLOOKUP(TB_prev[[#This Row],[Synt]],GL[[#Headers],[#Data],[subtotal label]],1,FALSE)),0,(VLOOKUP(TB_prev[[#This Row],[Synt]],GL[[#Headers],[#Data],[subtotal label]],1,FALSE)))</f>
        <v/>
      </c>
      <c r="AF83" s="1063" t="e">
        <f>IF((TB_prev[[#This Row],[Synt]]-TB_prev[[#This Row],[Subtotal Y/N]])=0,0,VLOOKUP(TB_prev[[#This Row],[Synt]],GL[[Account]:[Line]],3,FALSE))</f>
        <v>#VALUE!</v>
      </c>
      <c r="AG83" s="1063" t="e">
        <f>VLOOKUP(TB_prev[[#This Row],[Synt]],GL[[Account]:[B/P]],4,FALSE)</f>
        <v>#N/A</v>
      </c>
      <c r="AH83" s="1066" t="e">
        <v>#VALUE!</v>
      </c>
      <c r="AI83" s="1065" t="e">
        <f>TB_prev[[#This Row],[Synt]]&amp;TB_prev[[#This Row],[Line No. manual corr.]]</f>
        <v>#VALUE!</v>
      </c>
      <c r="AJ83" s="1064">
        <f t="shared" si="6"/>
        <v>0</v>
      </c>
      <c r="AK83" s="1064">
        <f t="shared" si="7"/>
        <v>0</v>
      </c>
      <c r="AL83" s="1064">
        <f t="shared" si="8"/>
        <v>0</v>
      </c>
      <c r="AM83" s="1064">
        <f t="shared" si="9"/>
        <v>0</v>
      </c>
      <c r="AN83" s="1064"/>
      <c r="AO83" s="1064">
        <f>TB_prev[[#This Row],[Closing balance]]+TB_prev[[#This Row],[Rounding]]</f>
        <v>0</v>
      </c>
    </row>
    <row r="84" spans="30:41" x14ac:dyDescent="0.25">
      <c r="AD84" s="1067" t="str">
        <f t="shared" si="5"/>
        <v/>
      </c>
      <c r="AE84" s="1063" t="str">
        <f>IF(ISNA(VLOOKUP(TB_prev[[#This Row],[Synt]],GL[[#Headers],[#Data],[subtotal label]],1,FALSE)),0,(VLOOKUP(TB_prev[[#This Row],[Synt]],GL[[#Headers],[#Data],[subtotal label]],1,FALSE)))</f>
        <v/>
      </c>
      <c r="AF84" s="1063" t="e">
        <f>IF((TB_prev[[#This Row],[Synt]]-TB_prev[[#This Row],[Subtotal Y/N]])=0,0,VLOOKUP(TB_prev[[#This Row],[Synt]],GL[[Account]:[Line]],3,FALSE))</f>
        <v>#VALUE!</v>
      </c>
      <c r="AG84" s="1063" t="e">
        <f>VLOOKUP(TB_prev[[#This Row],[Synt]],GL[[Account]:[B/P]],4,FALSE)</f>
        <v>#N/A</v>
      </c>
      <c r="AH84" s="1066" t="e">
        <v>#VALUE!</v>
      </c>
      <c r="AI84" s="1065" t="e">
        <f>TB_prev[[#This Row],[Synt]]&amp;TB_prev[[#This Row],[Line No. manual corr.]]</f>
        <v>#VALUE!</v>
      </c>
      <c r="AJ84" s="1064">
        <f t="shared" si="6"/>
        <v>0</v>
      </c>
      <c r="AK84" s="1064">
        <f t="shared" si="7"/>
        <v>0</v>
      </c>
      <c r="AL84" s="1064">
        <f t="shared" si="8"/>
        <v>0</v>
      </c>
      <c r="AM84" s="1064">
        <f t="shared" si="9"/>
        <v>0</v>
      </c>
      <c r="AN84" s="1064"/>
      <c r="AO84" s="1064">
        <f>TB_prev[[#This Row],[Closing balance]]+TB_prev[[#This Row],[Rounding]]</f>
        <v>0</v>
      </c>
    </row>
    <row r="85" spans="30:41" x14ac:dyDescent="0.25">
      <c r="AD85" s="1067" t="str">
        <f t="shared" si="5"/>
        <v/>
      </c>
      <c r="AE85" s="1063" t="str">
        <f>IF(ISNA(VLOOKUP(TB_prev[[#This Row],[Synt]],GL[[#Headers],[#Data],[subtotal label]],1,FALSE)),0,(VLOOKUP(TB_prev[[#This Row],[Synt]],GL[[#Headers],[#Data],[subtotal label]],1,FALSE)))</f>
        <v/>
      </c>
      <c r="AF85" s="1063" t="e">
        <f>IF((TB_prev[[#This Row],[Synt]]-TB_prev[[#This Row],[Subtotal Y/N]])=0,0,VLOOKUP(TB_prev[[#This Row],[Synt]],GL[[Account]:[Line]],3,FALSE))</f>
        <v>#VALUE!</v>
      </c>
      <c r="AG85" s="1063" t="e">
        <f>VLOOKUP(TB_prev[[#This Row],[Synt]],GL[[Account]:[B/P]],4,FALSE)</f>
        <v>#N/A</v>
      </c>
      <c r="AH85" s="1066" t="e">
        <v>#VALUE!</v>
      </c>
      <c r="AI85" s="1065" t="e">
        <f>TB_prev[[#This Row],[Synt]]&amp;TB_prev[[#This Row],[Line No. manual corr.]]</f>
        <v>#VALUE!</v>
      </c>
      <c r="AJ85" s="1064">
        <f t="shared" si="6"/>
        <v>0</v>
      </c>
      <c r="AK85" s="1064">
        <f t="shared" si="7"/>
        <v>0</v>
      </c>
      <c r="AL85" s="1064">
        <f t="shared" si="8"/>
        <v>0</v>
      </c>
      <c r="AM85" s="1064">
        <f t="shared" si="9"/>
        <v>0</v>
      </c>
      <c r="AN85" s="1064"/>
      <c r="AO85" s="1064">
        <f>TB_prev[[#This Row],[Closing balance]]+TB_prev[[#This Row],[Rounding]]</f>
        <v>0</v>
      </c>
    </row>
    <row r="86" spans="30:41" x14ac:dyDescent="0.25">
      <c r="AD86" s="1067" t="str">
        <f t="shared" si="5"/>
        <v/>
      </c>
      <c r="AE86" s="1063" t="str">
        <f>IF(ISNA(VLOOKUP(TB_prev[[#This Row],[Synt]],GL[[#Headers],[#Data],[subtotal label]],1,FALSE)),0,(VLOOKUP(TB_prev[[#This Row],[Synt]],GL[[#Headers],[#Data],[subtotal label]],1,FALSE)))</f>
        <v/>
      </c>
      <c r="AF86" s="1063" t="e">
        <f>IF((TB_prev[[#This Row],[Synt]]-TB_prev[[#This Row],[Subtotal Y/N]])=0,0,VLOOKUP(TB_prev[[#This Row],[Synt]],GL[[Account]:[Line]],3,FALSE))</f>
        <v>#VALUE!</v>
      </c>
      <c r="AG86" s="1063" t="e">
        <f>VLOOKUP(TB_prev[[#This Row],[Synt]],GL[[Account]:[B/P]],4,FALSE)</f>
        <v>#N/A</v>
      </c>
      <c r="AH86" s="1066" t="e">
        <v>#VALUE!</v>
      </c>
      <c r="AI86" s="1065" t="e">
        <f>TB_prev[[#This Row],[Synt]]&amp;TB_prev[[#This Row],[Line No. manual corr.]]</f>
        <v>#VALUE!</v>
      </c>
      <c r="AJ86" s="1064">
        <f t="shared" si="6"/>
        <v>0</v>
      </c>
      <c r="AK86" s="1064">
        <f t="shared" si="7"/>
        <v>0</v>
      </c>
      <c r="AL86" s="1064">
        <f t="shared" si="8"/>
        <v>0</v>
      </c>
      <c r="AM86" s="1064">
        <f t="shared" si="9"/>
        <v>0</v>
      </c>
      <c r="AN86" s="1064"/>
      <c r="AO86" s="1064">
        <f>TB_prev[[#This Row],[Closing balance]]+TB_prev[[#This Row],[Rounding]]</f>
        <v>0</v>
      </c>
    </row>
    <row r="87" spans="30:41" x14ac:dyDescent="0.25">
      <c r="AD87" s="1067" t="str">
        <f t="shared" si="5"/>
        <v/>
      </c>
      <c r="AE87" s="1063" t="str">
        <f>IF(ISNA(VLOOKUP(TB_prev[[#This Row],[Synt]],GL[[#Headers],[#Data],[subtotal label]],1,FALSE)),0,(VLOOKUP(TB_prev[[#This Row],[Synt]],GL[[#Headers],[#Data],[subtotal label]],1,FALSE)))</f>
        <v/>
      </c>
      <c r="AF87" s="1063" t="e">
        <f>IF((TB_prev[[#This Row],[Synt]]-TB_prev[[#This Row],[Subtotal Y/N]])=0,0,VLOOKUP(TB_prev[[#This Row],[Synt]],GL[[Account]:[Line]],3,FALSE))</f>
        <v>#VALUE!</v>
      </c>
      <c r="AG87" s="1063" t="e">
        <f>VLOOKUP(TB_prev[[#This Row],[Synt]],GL[[Account]:[B/P]],4,FALSE)</f>
        <v>#N/A</v>
      </c>
      <c r="AH87" s="1066" t="e">
        <v>#VALUE!</v>
      </c>
      <c r="AI87" s="1065" t="e">
        <f>TB_prev[[#This Row],[Synt]]&amp;TB_prev[[#This Row],[Line No. manual corr.]]</f>
        <v>#VALUE!</v>
      </c>
      <c r="AJ87" s="1064">
        <f t="shared" si="6"/>
        <v>0</v>
      </c>
      <c r="AK87" s="1064">
        <f t="shared" si="7"/>
        <v>0</v>
      </c>
      <c r="AL87" s="1064">
        <f t="shared" si="8"/>
        <v>0</v>
      </c>
      <c r="AM87" s="1064">
        <f t="shared" si="9"/>
        <v>0</v>
      </c>
      <c r="AN87" s="1064"/>
      <c r="AO87" s="1064">
        <f>TB_prev[[#This Row],[Closing balance]]+TB_prev[[#This Row],[Rounding]]</f>
        <v>0</v>
      </c>
    </row>
    <row r="88" spans="30:41" x14ac:dyDescent="0.25">
      <c r="AD88" s="1067" t="str">
        <f t="shared" si="5"/>
        <v/>
      </c>
      <c r="AE88" s="1063" t="str">
        <f>IF(ISNA(VLOOKUP(TB_prev[[#This Row],[Synt]],GL[[#Headers],[#Data],[subtotal label]],1,FALSE)),0,(VLOOKUP(TB_prev[[#This Row],[Synt]],GL[[#Headers],[#Data],[subtotal label]],1,FALSE)))</f>
        <v/>
      </c>
      <c r="AF88" s="1063" t="e">
        <f>IF((TB_prev[[#This Row],[Synt]]-TB_prev[[#This Row],[Subtotal Y/N]])=0,0,VLOOKUP(TB_prev[[#This Row],[Synt]],GL[[Account]:[Line]],3,FALSE))</f>
        <v>#VALUE!</v>
      </c>
      <c r="AG88" s="1063" t="e">
        <f>VLOOKUP(TB_prev[[#This Row],[Synt]],GL[[Account]:[B/P]],4,FALSE)</f>
        <v>#N/A</v>
      </c>
      <c r="AH88" s="1066" t="e">
        <v>#VALUE!</v>
      </c>
      <c r="AI88" s="1065" t="e">
        <f>TB_prev[[#This Row],[Synt]]&amp;TB_prev[[#This Row],[Line No. manual corr.]]</f>
        <v>#VALUE!</v>
      </c>
      <c r="AJ88" s="1064">
        <f t="shared" si="6"/>
        <v>0</v>
      </c>
      <c r="AK88" s="1064">
        <f t="shared" si="7"/>
        <v>0</v>
      </c>
      <c r="AL88" s="1064">
        <f t="shared" si="8"/>
        <v>0</v>
      </c>
      <c r="AM88" s="1064">
        <f t="shared" si="9"/>
        <v>0</v>
      </c>
      <c r="AN88" s="1064"/>
      <c r="AO88" s="1064">
        <f>TB_prev[[#This Row],[Closing balance]]+TB_prev[[#This Row],[Rounding]]</f>
        <v>0</v>
      </c>
    </row>
    <row r="89" spans="30:41" x14ac:dyDescent="0.25">
      <c r="AD89" s="1067" t="str">
        <f t="shared" si="5"/>
        <v/>
      </c>
      <c r="AE89" s="1063" t="str">
        <f>IF(ISNA(VLOOKUP(TB_prev[[#This Row],[Synt]],GL[[#Headers],[#Data],[subtotal label]],1,FALSE)),0,(VLOOKUP(TB_prev[[#This Row],[Synt]],GL[[#Headers],[#Data],[subtotal label]],1,FALSE)))</f>
        <v/>
      </c>
      <c r="AF89" s="1063" t="e">
        <f>IF((TB_prev[[#This Row],[Synt]]-TB_prev[[#This Row],[Subtotal Y/N]])=0,0,VLOOKUP(TB_prev[[#This Row],[Synt]],GL[[Account]:[Line]],3,FALSE))</f>
        <v>#VALUE!</v>
      </c>
      <c r="AG89" s="1063" t="e">
        <f>VLOOKUP(TB_prev[[#This Row],[Synt]],GL[[Account]:[B/P]],4,FALSE)</f>
        <v>#N/A</v>
      </c>
      <c r="AH89" s="1066" t="e">
        <v>#VALUE!</v>
      </c>
      <c r="AI89" s="1065" t="e">
        <f>TB_prev[[#This Row],[Synt]]&amp;TB_prev[[#This Row],[Line No. manual corr.]]</f>
        <v>#VALUE!</v>
      </c>
      <c r="AJ89" s="1064">
        <f t="shared" si="6"/>
        <v>0</v>
      </c>
      <c r="AK89" s="1064">
        <f t="shared" si="7"/>
        <v>0</v>
      </c>
      <c r="AL89" s="1064">
        <f t="shared" si="8"/>
        <v>0</v>
      </c>
      <c r="AM89" s="1064">
        <f t="shared" si="9"/>
        <v>0</v>
      </c>
      <c r="AN89" s="1064"/>
      <c r="AO89" s="1064">
        <f>TB_prev[[#This Row],[Closing balance]]+TB_prev[[#This Row],[Rounding]]</f>
        <v>0</v>
      </c>
    </row>
    <row r="90" spans="30:41" x14ac:dyDescent="0.25">
      <c r="AD90" s="1067" t="str">
        <f t="shared" si="5"/>
        <v/>
      </c>
      <c r="AE90" s="1063" t="str">
        <f>IF(ISNA(VLOOKUP(TB_prev[[#This Row],[Synt]],GL[[#Headers],[#Data],[subtotal label]],1,FALSE)),0,(VLOOKUP(TB_prev[[#This Row],[Synt]],GL[[#Headers],[#Data],[subtotal label]],1,FALSE)))</f>
        <v/>
      </c>
      <c r="AF90" s="1063" t="e">
        <f>IF((TB_prev[[#This Row],[Synt]]-TB_prev[[#This Row],[Subtotal Y/N]])=0,0,VLOOKUP(TB_prev[[#This Row],[Synt]],GL[[Account]:[Line]],3,FALSE))</f>
        <v>#VALUE!</v>
      </c>
      <c r="AG90" s="1063" t="e">
        <f>VLOOKUP(TB_prev[[#This Row],[Synt]],GL[[Account]:[B/P]],4,FALSE)</f>
        <v>#N/A</v>
      </c>
      <c r="AH90" s="1066" t="e">
        <v>#VALUE!</v>
      </c>
      <c r="AI90" s="1065" t="e">
        <f>TB_prev[[#This Row],[Synt]]&amp;TB_prev[[#This Row],[Line No. manual corr.]]</f>
        <v>#VALUE!</v>
      </c>
      <c r="AJ90" s="1064">
        <f t="shared" si="6"/>
        <v>0</v>
      </c>
      <c r="AK90" s="1064">
        <f t="shared" si="7"/>
        <v>0</v>
      </c>
      <c r="AL90" s="1064">
        <f t="shared" si="8"/>
        <v>0</v>
      </c>
      <c r="AM90" s="1064">
        <f t="shared" si="9"/>
        <v>0</v>
      </c>
      <c r="AN90" s="1064"/>
      <c r="AO90" s="1064">
        <f>TB_prev[[#This Row],[Closing balance]]+TB_prev[[#This Row],[Rounding]]</f>
        <v>0</v>
      </c>
    </row>
    <row r="91" spans="30:41" x14ac:dyDescent="0.25">
      <c r="AD91" s="1067" t="str">
        <f t="shared" si="5"/>
        <v/>
      </c>
      <c r="AE91" s="1063" t="str">
        <f>IF(ISNA(VLOOKUP(TB_prev[[#This Row],[Synt]],GL[[#Headers],[#Data],[subtotal label]],1,FALSE)),0,(VLOOKUP(TB_prev[[#This Row],[Synt]],GL[[#Headers],[#Data],[subtotal label]],1,FALSE)))</f>
        <v/>
      </c>
      <c r="AF91" s="1063" t="e">
        <f>IF((TB_prev[[#This Row],[Synt]]-TB_prev[[#This Row],[Subtotal Y/N]])=0,0,VLOOKUP(TB_prev[[#This Row],[Synt]],GL[[Account]:[Line]],3,FALSE))</f>
        <v>#VALUE!</v>
      </c>
      <c r="AG91" s="1063" t="e">
        <f>VLOOKUP(TB_prev[[#This Row],[Synt]],GL[[Account]:[B/P]],4,FALSE)</f>
        <v>#N/A</v>
      </c>
      <c r="AH91" s="1066" t="e">
        <v>#VALUE!</v>
      </c>
      <c r="AI91" s="1065" t="e">
        <f>TB_prev[[#This Row],[Synt]]&amp;TB_prev[[#This Row],[Line No. manual corr.]]</f>
        <v>#VALUE!</v>
      </c>
      <c r="AJ91" s="1064">
        <f t="shared" si="6"/>
        <v>0</v>
      </c>
      <c r="AK91" s="1064">
        <f t="shared" si="7"/>
        <v>0</v>
      </c>
      <c r="AL91" s="1064">
        <f t="shared" si="8"/>
        <v>0</v>
      </c>
      <c r="AM91" s="1064">
        <f t="shared" si="9"/>
        <v>0</v>
      </c>
      <c r="AN91" s="1064"/>
      <c r="AO91" s="1064">
        <f>TB_prev[[#This Row],[Closing balance]]+TB_prev[[#This Row],[Rounding]]</f>
        <v>0</v>
      </c>
    </row>
    <row r="92" spans="30:41" x14ac:dyDescent="0.25">
      <c r="AD92" s="1067" t="str">
        <f t="shared" si="5"/>
        <v/>
      </c>
      <c r="AE92" s="1063" t="str">
        <f>IF(ISNA(VLOOKUP(TB_prev[[#This Row],[Synt]],GL[[#Headers],[#Data],[subtotal label]],1,FALSE)),0,(VLOOKUP(TB_prev[[#This Row],[Synt]],GL[[#Headers],[#Data],[subtotal label]],1,FALSE)))</f>
        <v/>
      </c>
      <c r="AF92" s="1063" t="e">
        <f>IF((TB_prev[[#This Row],[Synt]]-TB_prev[[#This Row],[Subtotal Y/N]])=0,0,VLOOKUP(TB_prev[[#This Row],[Synt]],GL[[Account]:[Line]],3,FALSE))</f>
        <v>#VALUE!</v>
      </c>
      <c r="AG92" s="1063" t="e">
        <f>VLOOKUP(TB_prev[[#This Row],[Synt]],GL[[Account]:[B/P]],4,FALSE)</f>
        <v>#N/A</v>
      </c>
      <c r="AH92" s="1066" t="e">
        <v>#VALUE!</v>
      </c>
      <c r="AI92" s="1065" t="e">
        <f>TB_prev[[#This Row],[Synt]]&amp;TB_prev[[#This Row],[Line No. manual corr.]]</f>
        <v>#VALUE!</v>
      </c>
      <c r="AJ92" s="1064">
        <f t="shared" si="6"/>
        <v>0</v>
      </c>
      <c r="AK92" s="1064">
        <f t="shared" si="7"/>
        <v>0</v>
      </c>
      <c r="AL92" s="1064">
        <f t="shared" si="8"/>
        <v>0</v>
      </c>
      <c r="AM92" s="1064">
        <f t="shared" si="9"/>
        <v>0</v>
      </c>
      <c r="AN92" s="1064"/>
      <c r="AO92" s="1064">
        <f>TB_prev[[#This Row],[Closing balance]]+TB_prev[[#This Row],[Rounding]]</f>
        <v>0</v>
      </c>
    </row>
    <row r="93" spans="30:41" x14ac:dyDescent="0.25">
      <c r="AD93" s="1067" t="str">
        <f t="shared" si="5"/>
        <v/>
      </c>
      <c r="AE93" s="1063" t="str">
        <f>IF(ISNA(VLOOKUP(TB_prev[[#This Row],[Synt]],GL[[#Headers],[#Data],[subtotal label]],1,FALSE)),0,(VLOOKUP(TB_prev[[#This Row],[Synt]],GL[[#Headers],[#Data],[subtotal label]],1,FALSE)))</f>
        <v/>
      </c>
      <c r="AF93" s="1063" t="e">
        <f>IF((TB_prev[[#This Row],[Synt]]-TB_prev[[#This Row],[Subtotal Y/N]])=0,0,VLOOKUP(TB_prev[[#This Row],[Synt]],GL[[Account]:[Line]],3,FALSE))</f>
        <v>#VALUE!</v>
      </c>
      <c r="AG93" s="1063" t="e">
        <f>VLOOKUP(TB_prev[[#This Row],[Synt]],GL[[Account]:[B/P]],4,FALSE)</f>
        <v>#N/A</v>
      </c>
      <c r="AH93" s="1066" t="e">
        <v>#VALUE!</v>
      </c>
      <c r="AI93" s="1065" t="e">
        <f>TB_prev[[#This Row],[Synt]]&amp;TB_prev[[#This Row],[Line No. manual corr.]]</f>
        <v>#VALUE!</v>
      </c>
      <c r="AJ93" s="1064">
        <f t="shared" si="6"/>
        <v>0</v>
      </c>
      <c r="AK93" s="1064">
        <f t="shared" si="7"/>
        <v>0</v>
      </c>
      <c r="AL93" s="1064">
        <f t="shared" si="8"/>
        <v>0</v>
      </c>
      <c r="AM93" s="1064">
        <f t="shared" si="9"/>
        <v>0</v>
      </c>
      <c r="AN93" s="1064"/>
      <c r="AO93" s="1064">
        <f>TB_prev[[#This Row],[Closing balance]]+TB_prev[[#This Row],[Rounding]]</f>
        <v>0</v>
      </c>
    </row>
    <row r="94" spans="30:41" x14ac:dyDescent="0.25">
      <c r="AD94" s="1067" t="str">
        <f t="shared" si="5"/>
        <v/>
      </c>
      <c r="AE94" s="1063" t="str">
        <f>IF(ISNA(VLOOKUP(TB_prev[[#This Row],[Synt]],GL[[#Headers],[#Data],[subtotal label]],1,FALSE)),0,(VLOOKUP(TB_prev[[#This Row],[Synt]],GL[[#Headers],[#Data],[subtotal label]],1,FALSE)))</f>
        <v/>
      </c>
      <c r="AF94" s="1063" t="e">
        <f>IF((TB_prev[[#This Row],[Synt]]-TB_prev[[#This Row],[Subtotal Y/N]])=0,0,VLOOKUP(TB_prev[[#This Row],[Synt]],GL[[Account]:[Line]],3,FALSE))</f>
        <v>#VALUE!</v>
      </c>
      <c r="AG94" s="1063" t="e">
        <f>VLOOKUP(TB_prev[[#This Row],[Synt]],GL[[Account]:[B/P]],4,FALSE)</f>
        <v>#N/A</v>
      </c>
      <c r="AH94" s="1066" t="e">
        <v>#VALUE!</v>
      </c>
      <c r="AI94" s="1065" t="e">
        <f>TB_prev[[#This Row],[Synt]]&amp;TB_prev[[#This Row],[Line No. manual corr.]]</f>
        <v>#VALUE!</v>
      </c>
      <c r="AJ94" s="1064">
        <f t="shared" si="6"/>
        <v>0</v>
      </c>
      <c r="AK94" s="1064">
        <f t="shared" si="7"/>
        <v>0</v>
      </c>
      <c r="AL94" s="1064">
        <f t="shared" si="8"/>
        <v>0</v>
      </c>
      <c r="AM94" s="1064">
        <f t="shared" si="9"/>
        <v>0</v>
      </c>
      <c r="AN94" s="1064"/>
      <c r="AO94" s="1064">
        <f>TB_prev[[#This Row],[Closing balance]]+TB_prev[[#This Row],[Rounding]]</f>
        <v>0</v>
      </c>
    </row>
    <row r="95" spans="30:41" x14ac:dyDescent="0.25">
      <c r="AD95" s="1067" t="str">
        <f t="shared" si="5"/>
        <v/>
      </c>
      <c r="AE95" s="1063" t="str">
        <f>IF(ISNA(VLOOKUP(TB_prev[[#This Row],[Synt]],GL[[#Headers],[#Data],[subtotal label]],1,FALSE)),0,(VLOOKUP(TB_prev[[#This Row],[Synt]],GL[[#Headers],[#Data],[subtotal label]],1,FALSE)))</f>
        <v/>
      </c>
      <c r="AF95" s="1063" t="e">
        <f>IF((TB_prev[[#This Row],[Synt]]-TB_prev[[#This Row],[Subtotal Y/N]])=0,0,VLOOKUP(TB_prev[[#This Row],[Synt]],GL[[Account]:[Line]],3,FALSE))</f>
        <v>#VALUE!</v>
      </c>
      <c r="AG95" s="1063" t="e">
        <f>VLOOKUP(TB_prev[[#This Row],[Synt]],GL[[Account]:[B/P]],4,FALSE)</f>
        <v>#N/A</v>
      </c>
      <c r="AH95" s="1066" t="e">
        <v>#VALUE!</v>
      </c>
      <c r="AI95" s="1065" t="e">
        <f>TB_prev[[#This Row],[Synt]]&amp;TB_prev[[#This Row],[Line No. manual corr.]]</f>
        <v>#VALUE!</v>
      </c>
      <c r="AJ95" s="1064">
        <f t="shared" si="6"/>
        <v>0</v>
      </c>
      <c r="AK95" s="1064">
        <f t="shared" si="7"/>
        <v>0</v>
      </c>
      <c r="AL95" s="1064">
        <f t="shared" si="8"/>
        <v>0</v>
      </c>
      <c r="AM95" s="1064">
        <f t="shared" si="9"/>
        <v>0</v>
      </c>
      <c r="AN95" s="1064"/>
      <c r="AO95" s="1064">
        <f>TB_prev[[#This Row],[Closing balance]]+TB_prev[[#This Row],[Rounding]]</f>
        <v>0</v>
      </c>
    </row>
    <row r="96" spans="30:41" x14ac:dyDescent="0.25">
      <c r="AD96" s="1067" t="str">
        <f t="shared" si="5"/>
        <v/>
      </c>
      <c r="AE96" s="1063" t="str">
        <f>IF(ISNA(VLOOKUP(TB_prev[[#This Row],[Synt]],GL[[#Headers],[#Data],[subtotal label]],1,FALSE)),0,(VLOOKUP(TB_prev[[#This Row],[Synt]],GL[[#Headers],[#Data],[subtotal label]],1,FALSE)))</f>
        <v/>
      </c>
      <c r="AF96" s="1063" t="e">
        <f>IF((TB_prev[[#This Row],[Synt]]-TB_prev[[#This Row],[Subtotal Y/N]])=0,0,VLOOKUP(TB_prev[[#This Row],[Synt]],GL[[Account]:[Line]],3,FALSE))</f>
        <v>#VALUE!</v>
      </c>
      <c r="AG96" s="1063" t="e">
        <f>VLOOKUP(TB_prev[[#This Row],[Synt]],GL[[Account]:[B/P]],4,FALSE)</f>
        <v>#N/A</v>
      </c>
      <c r="AH96" s="1066" t="e">
        <v>#VALUE!</v>
      </c>
      <c r="AI96" s="1065" t="e">
        <f>TB_prev[[#This Row],[Synt]]&amp;TB_prev[[#This Row],[Line No. manual corr.]]</f>
        <v>#VALUE!</v>
      </c>
      <c r="AJ96" s="1064">
        <f t="shared" si="6"/>
        <v>0</v>
      </c>
      <c r="AK96" s="1064">
        <f t="shared" si="7"/>
        <v>0</v>
      </c>
      <c r="AL96" s="1064">
        <f t="shared" si="8"/>
        <v>0</v>
      </c>
      <c r="AM96" s="1064">
        <f t="shared" si="9"/>
        <v>0</v>
      </c>
      <c r="AN96" s="1064"/>
      <c r="AO96" s="1064">
        <f>TB_prev[[#This Row],[Closing balance]]+TB_prev[[#This Row],[Rounding]]</f>
        <v>0</v>
      </c>
    </row>
    <row r="97" spans="30:41" x14ac:dyDescent="0.25">
      <c r="AD97" s="1067" t="str">
        <f t="shared" si="5"/>
        <v/>
      </c>
      <c r="AE97" s="1063" t="str">
        <f>IF(ISNA(VLOOKUP(TB_prev[[#This Row],[Synt]],GL[[#Headers],[#Data],[subtotal label]],1,FALSE)),0,(VLOOKUP(TB_prev[[#This Row],[Synt]],GL[[#Headers],[#Data],[subtotal label]],1,FALSE)))</f>
        <v/>
      </c>
      <c r="AF97" s="1063" t="e">
        <f>IF((TB_prev[[#This Row],[Synt]]-TB_prev[[#This Row],[Subtotal Y/N]])=0,0,VLOOKUP(TB_prev[[#This Row],[Synt]],GL[[Account]:[Line]],3,FALSE))</f>
        <v>#VALUE!</v>
      </c>
      <c r="AG97" s="1063" t="e">
        <f>VLOOKUP(TB_prev[[#This Row],[Synt]],GL[[Account]:[B/P]],4,FALSE)</f>
        <v>#N/A</v>
      </c>
      <c r="AH97" s="1066" t="e">
        <v>#VALUE!</v>
      </c>
      <c r="AI97" s="1065" t="e">
        <f>TB_prev[[#This Row],[Synt]]&amp;TB_prev[[#This Row],[Line No. manual corr.]]</f>
        <v>#VALUE!</v>
      </c>
      <c r="AJ97" s="1064">
        <f t="shared" si="6"/>
        <v>0</v>
      </c>
      <c r="AK97" s="1064">
        <f t="shared" si="7"/>
        <v>0</v>
      </c>
      <c r="AL97" s="1064">
        <f t="shared" si="8"/>
        <v>0</v>
      </c>
      <c r="AM97" s="1064">
        <f t="shared" si="9"/>
        <v>0</v>
      </c>
      <c r="AN97" s="1064"/>
      <c r="AO97" s="1064">
        <f>TB_prev[[#This Row],[Closing balance]]+TB_prev[[#This Row],[Rounding]]</f>
        <v>0</v>
      </c>
    </row>
    <row r="98" spans="30:41" x14ac:dyDescent="0.25">
      <c r="AD98" s="1067" t="str">
        <f t="shared" si="5"/>
        <v/>
      </c>
      <c r="AE98" s="1063" t="str">
        <f>IF(ISNA(VLOOKUP(TB_prev[[#This Row],[Synt]],GL[[#Headers],[#Data],[subtotal label]],1,FALSE)),0,(VLOOKUP(TB_prev[[#This Row],[Synt]],GL[[#Headers],[#Data],[subtotal label]],1,FALSE)))</f>
        <v/>
      </c>
      <c r="AF98" s="1063" t="e">
        <f>IF((TB_prev[[#This Row],[Synt]]-TB_prev[[#This Row],[Subtotal Y/N]])=0,0,VLOOKUP(TB_prev[[#This Row],[Synt]],GL[[Account]:[Line]],3,FALSE))</f>
        <v>#VALUE!</v>
      </c>
      <c r="AG98" s="1063" t="e">
        <f>VLOOKUP(TB_prev[[#This Row],[Synt]],GL[[Account]:[B/P]],4,FALSE)</f>
        <v>#N/A</v>
      </c>
      <c r="AH98" s="1066" t="e">
        <v>#VALUE!</v>
      </c>
      <c r="AI98" s="1065" t="e">
        <f>TB_prev[[#This Row],[Synt]]&amp;TB_prev[[#This Row],[Line No. manual corr.]]</f>
        <v>#VALUE!</v>
      </c>
      <c r="AJ98" s="1064">
        <f t="shared" si="6"/>
        <v>0</v>
      </c>
      <c r="AK98" s="1064">
        <f t="shared" si="7"/>
        <v>0</v>
      </c>
      <c r="AL98" s="1064">
        <f t="shared" si="8"/>
        <v>0</v>
      </c>
      <c r="AM98" s="1064">
        <f t="shared" si="9"/>
        <v>0</v>
      </c>
      <c r="AN98" s="1064"/>
      <c r="AO98" s="1064">
        <f>TB_prev[[#This Row],[Closing balance]]+TB_prev[[#This Row],[Rounding]]</f>
        <v>0</v>
      </c>
    </row>
    <row r="99" spans="30:41" x14ac:dyDescent="0.25">
      <c r="AD99" s="1067" t="str">
        <f t="shared" si="5"/>
        <v/>
      </c>
      <c r="AE99" s="1063" t="str">
        <f>IF(ISNA(VLOOKUP(TB_prev[[#This Row],[Synt]],GL[[#Headers],[#Data],[subtotal label]],1,FALSE)),0,(VLOOKUP(TB_prev[[#This Row],[Synt]],GL[[#Headers],[#Data],[subtotal label]],1,FALSE)))</f>
        <v/>
      </c>
      <c r="AF99" s="1063" t="e">
        <f>IF((TB_prev[[#This Row],[Synt]]-TB_prev[[#This Row],[Subtotal Y/N]])=0,0,VLOOKUP(TB_prev[[#This Row],[Synt]],GL[[Account]:[Line]],3,FALSE))</f>
        <v>#VALUE!</v>
      </c>
      <c r="AG99" s="1063" t="e">
        <f>VLOOKUP(TB_prev[[#This Row],[Synt]],GL[[Account]:[B/P]],4,FALSE)</f>
        <v>#N/A</v>
      </c>
      <c r="AH99" s="1066" t="e">
        <v>#VALUE!</v>
      </c>
      <c r="AI99" s="1065" t="e">
        <f>TB_prev[[#This Row],[Synt]]&amp;TB_prev[[#This Row],[Line No. manual corr.]]</f>
        <v>#VALUE!</v>
      </c>
      <c r="AJ99" s="1064">
        <f t="shared" si="6"/>
        <v>0</v>
      </c>
      <c r="AK99" s="1064">
        <f t="shared" si="7"/>
        <v>0</v>
      </c>
      <c r="AL99" s="1064">
        <f t="shared" si="8"/>
        <v>0</v>
      </c>
      <c r="AM99" s="1064">
        <f t="shared" si="9"/>
        <v>0</v>
      </c>
      <c r="AN99" s="1064"/>
      <c r="AO99" s="1064">
        <f>TB_prev[[#This Row],[Closing balance]]+TB_prev[[#This Row],[Rounding]]</f>
        <v>0</v>
      </c>
    </row>
    <row r="100" spans="30:41" x14ac:dyDescent="0.25">
      <c r="AD100" s="1067" t="str">
        <f t="shared" si="5"/>
        <v/>
      </c>
      <c r="AE100" s="1063" t="str">
        <f>IF(ISNA(VLOOKUP(TB_prev[[#This Row],[Synt]],GL[[#Headers],[#Data],[subtotal label]],1,FALSE)),0,(VLOOKUP(TB_prev[[#This Row],[Synt]],GL[[#Headers],[#Data],[subtotal label]],1,FALSE)))</f>
        <v/>
      </c>
      <c r="AF100" s="1063" t="e">
        <f>IF((TB_prev[[#This Row],[Synt]]-TB_prev[[#This Row],[Subtotal Y/N]])=0,0,VLOOKUP(TB_prev[[#This Row],[Synt]],GL[[Account]:[Line]],3,FALSE))</f>
        <v>#VALUE!</v>
      </c>
      <c r="AG100" s="1063" t="e">
        <f>VLOOKUP(TB_prev[[#This Row],[Synt]],GL[[Account]:[B/P]],4,FALSE)</f>
        <v>#N/A</v>
      </c>
      <c r="AH100" s="1066" t="e">
        <v>#VALUE!</v>
      </c>
      <c r="AI100" s="1065" t="e">
        <f>TB_prev[[#This Row],[Synt]]&amp;TB_prev[[#This Row],[Line No. manual corr.]]</f>
        <v>#VALUE!</v>
      </c>
      <c r="AJ100" s="1064">
        <f t="shared" si="6"/>
        <v>0</v>
      </c>
      <c r="AK100" s="1064">
        <f t="shared" si="7"/>
        <v>0</v>
      </c>
      <c r="AL100" s="1064">
        <f t="shared" si="8"/>
        <v>0</v>
      </c>
      <c r="AM100" s="1064">
        <f t="shared" si="9"/>
        <v>0</v>
      </c>
      <c r="AN100" s="1064"/>
      <c r="AO100" s="1064">
        <f>TB_prev[[#This Row],[Closing balance]]+TB_prev[[#This Row],[Rounding]]</f>
        <v>0</v>
      </c>
    </row>
    <row r="101" spans="30:41" x14ac:dyDescent="0.25">
      <c r="AD101" s="1067" t="str">
        <f t="shared" si="5"/>
        <v/>
      </c>
      <c r="AE101" s="1063" t="str">
        <f>IF(ISNA(VLOOKUP(TB_prev[[#This Row],[Synt]],GL[[#Headers],[#Data],[subtotal label]],1,FALSE)),0,(VLOOKUP(TB_prev[[#This Row],[Synt]],GL[[#Headers],[#Data],[subtotal label]],1,FALSE)))</f>
        <v/>
      </c>
      <c r="AF101" s="1063" t="e">
        <f>IF((TB_prev[[#This Row],[Synt]]-TB_prev[[#This Row],[Subtotal Y/N]])=0,0,VLOOKUP(TB_prev[[#This Row],[Synt]],GL[[Account]:[Line]],3,FALSE))</f>
        <v>#VALUE!</v>
      </c>
      <c r="AG101" s="1063" t="e">
        <f>VLOOKUP(TB_prev[[#This Row],[Synt]],GL[[Account]:[B/P]],4,FALSE)</f>
        <v>#N/A</v>
      </c>
      <c r="AH101" s="1066" t="e">
        <v>#VALUE!</v>
      </c>
      <c r="AI101" s="1065" t="e">
        <f>TB_prev[[#This Row],[Synt]]&amp;TB_prev[[#This Row],[Line No. manual corr.]]</f>
        <v>#VALUE!</v>
      </c>
      <c r="AJ101" s="1064">
        <f t="shared" si="6"/>
        <v>0</v>
      </c>
      <c r="AK101" s="1064">
        <f t="shared" si="7"/>
        <v>0</v>
      </c>
      <c r="AL101" s="1064">
        <f t="shared" si="8"/>
        <v>0</v>
      </c>
      <c r="AM101" s="1064">
        <f t="shared" si="9"/>
        <v>0</v>
      </c>
      <c r="AN101" s="1064"/>
      <c r="AO101" s="1064">
        <f>TB_prev[[#This Row],[Closing balance]]+TB_prev[[#This Row],[Rounding]]</f>
        <v>0</v>
      </c>
    </row>
    <row r="102" spans="30:41" x14ac:dyDescent="0.25">
      <c r="AD102" s="1067" t="str">
        <f t="shared" si="5"/>
        <v/>
      </c>
      <c r="AE102" s="1063" t="str">
        <f>IF(ISNA(VLOOKUP(TB_prev[[#This Row],[Synt]],GL[[#Headers],[#Data],[subtotal label]],1,FALSE)),0,(VLOOKUP(TB_prev[[#This Row],[Synt]],GL[[#Headers],[#Data],[subtotal label]],1,FALSE)))</f>
        <v/>
      </c>
      <c r="AF102" s="1063" t="e">
        <f>IF((TB_prev[[#This Row],[Synt]]-TB_prev[[#This Row],[Subtotal Y/N]])=0,0,VLOOKUP(TB_prev[[#This Row],[Synt]],GL[[Account]:[Line]],3,FALSE))</f>
        <v>#VALUE!</v>
      </c>
      <c r="AG102" s="1063" t="e">
        <f>VLOOKUP(TB_prev[[#This Row],[Synt]],GL[[Account]:[B/P]],4,FALSE)</f>
        <v>#N/A</v>
      </c>
      <c r="AH102" s="1066" t="e">
        <v>#VALUE!</v>
      </c>
      <c r="AI102" s="1065" t="e">
        <f>TB_prev[[#This Row],[Synt]]&amp;TB_prev[[#This Row],[Line No. manual corr.]]</f>
        <v>#VALUE!</v>
      </c>
      <c r="AJ102" s="1064">
        <f t="shared" si="6"/>
        <v>0</v>
      </c>
      <c r="AK102" s="1064">
        <f t="shared" si="7"/>
        <v>0</v>
      </c>
      <c r="AL102" s="1064">
        <f t="shared" si="8"/>
        <v>0</v>
      </c>
      <c r="AM102" s="1064">
        <f t="shared" si="9"/>
        <v>0</v>
      </c>
      <c r="AN102" s="1064"/>
      <c r="AO102" s="1064">
        <f>TB_prev[[#This Row],[Closing balance]]+TB_prev[[#This Row],[Rounding]]</f>
        <v>0</v>
      </c>
    </row>
    <row r="103" spans="30:41" x14ac:dyDescent="0.25">
      <c r="AD103" s="1067" t="str">
        <f t="shared" si="5"/>
        <v/>
      </c>
      <c r="AE103" s="1063" t="str">
        <f>IF(ISNA(VLOOKUP(TB_prev[[#This Row],[Synt]],GL[[#Headers],[#Data],[subtotal label]],1,FALSE)),0,(VLOOKUP(TB_prev[[#This Row],[Synt]],GL[[#Headers],[#Data],[subtotal label]],1,FALSE)))</f>
        <v/>
      </c>
      <c r="AF103" s="1063" t="e">
        <f>IF((TB_prev[[#This Row],[Synt]]-TB_prev[[#This Row],[Subtotal Y/N]])=0,0,VLOOKUP(TB_prev[[#This Row],[Synt]],GL[[Account]:[Line]],3,FALSE))</f>
        <v>#VALUE!</v>
      </c>
      <c r="AG103" s="1063" t="e">
        <f>VLOOKUP(TB_prev[[#This Row],[Synt]],GL[[Account]:[B/P]],4,FALSE)</f>
        <v>#N/A</v>
      </c>
      <c r="AH103" s="1066" t="e">
        <v>#VALUE!</v>
      </c>
      <c r="AI103" s="1065" t="e">
        <f>TB_prev[[#This Row],[Synt]]&amp;TB_prev[[#This Row],[Line No. manual corr.]]</f>
        <v>#VALUE!</v>
      </c>
      <c r="AJ103" s="1064">
        <f t="shared" si="6"/>
        <v>0</v>
      </c>
      <c r="AK103" s="1064">
        <f t="shared" si="7"/>
        <v>0</v>
      </c>
      <c r="AL103" s="1064">
        <f t="shared" si="8"/>
        <v>0</v>
      </c>
      <c r="AM103" s="1064">
        <f t="shared" si="9"/>
        <v>0</v>
      </c>
      <c r="AN103" s="1064"/>
      <c r="AO103" s="1064">
        <f>TB_prev[[#This Row],[Closing balance]]+TB_prev[[#This Row],[Rounding]]</f>
        <v>0</v>
      </c>
    </row>
    <row r="104" spans="30:41" x14ac:dyDescent="0.25">
      <c r="AD104" s="1067" t="str">
        <f t="shared" si="5"/>
        <v/>
      </c>
      <c r="AE104" s="1063" t="str">
        <f>IF(ISNA(VLOOKUP(TB_prev[[#This Row],[Synt]],GL[[#Headers],[#Data],[subtotal label]],1,FALSE)),0,(VLOOKUP(TB_prev[[#This Row],[Synt]],GL[[#Headers],[#Data],[subtotal label]],1,FALSE)))</f>
        <v/>
      </c>
      <c r="AF104" s="1063" t="e">
        <f>IF((TB_prev[[#This Row],[Synt]]-TB_prev[[#This Row],[Subtotal Y/N]])=0,0,VLOOKUP(TB_prev[[#This Row],[Synt]],GL[[Account]:[Line]],3,FALSE))</f>
        <v>#VALUE!</v>
      </c>
      <c r="AG104" s="1063" t="e">
        <f>VLOOKUP(TB_prev[[#This Row],[Synt]],GL[[Account]:[B/P]],4,FALSE)</f>
        <v>#N/A</v>
      </c>
      <c r="AH104" s="1066" t="e">
        <v>#VALUE!</v>
      </c>
      <c r="AI104" s="1065" t="e">
        <f>TB_prev[[#This Row],[Synt]]&amp;TB_prev[[#This Row],[Line No. manual corr.]]</f>
        <v>#VALUE!</v>
      </c>
      <c r="AJ104" s="1064">
        <f t="shared" si="6"/>
        <v>0</v>
      </c>
      <c r="AK104" s="1064">
        <f t="shared" si="7"/>
        <v>0</v>
      </c>
      <c r="AL104" s="1064">
        <f t="shared" si="8"/>
        <v>0</v>
      </c>
      <c r="AM104" s="1064">
        <f t="shared" si="9"/>
        <v>0</v>
      </c>
      <c r="AN104" s="1064"/>
      <c r="AO104" s="1064">
        <f>TB_prev[[#This Row],[Closing balance]]+TB_prev[[#This Row],[Rounding]]</f>
        <v>0</v>
      </c>
    </row>
    <row r="105" spans="30:41" x14ac:dyDescent="0.25">
      <c r="AD105" s="1067" t="str">
        <f t="shared" si="5"/>
        <v/>
      </c>
      <c r="AE105" s="1063" t="str">
        <f>IF(ISNA(VLOOKUP(TB_prev[[#This Row],[Synt]],GL[[#Headers],[#Data],[subtotal label]],1,FALSE)),0,(VLOOKUP(TB_prev[[#This Row],[Synt]],GL[[#Headers],[#Data],[subtotal label]],1,FALSE)))</f>
        <v/>
      </c>
      <c r="AF105" s="1063" t="e">
        <f>IF((TB_prev[[#This Row],[Synt]]-TB_prev[[#This Row],[Subtotal Y/N]])=0,0,VLOOKUP(TB_prev[[#This Row],[Synt]],GL[[Account]:[Line]],3,FALSE))</f>
        <v>#VALUE!</v>
      </c>
      <c r="AG105" s="1063" t="e">
        <f>VLOOKUP(TB_prev[[#This Row],[Synt]],GL[[Account]:[B/P]],4,FALSE)</f>
        <v>#N/A</v>
      </c>
      <c r="AH105" s="1066" t="e">
        <v>#VALUE!</v>
      </c>
      <c r="AI105" s="1065" t="e">
        <f>TB_prev[[#This Row],[Synt]]&amp;TB_prev[[#This Row],[Line No. manual corr.]]</f>
        <v>#VALUE!</v>
      </c>
      <c r="AJ105" s="1064">
        <f t="shared" si="6"/>
        <v>0</v>
      </c>
      <c r="AK105" s="1064">
        <f t="shared" si="7"/>
        <v>0</v>
      </c>
      <c r="AL105" s="1064">
        <f t="shared" si="8"/>
        <v>0</v>
      </c>
      <c r="AM105" s="1064">
        <f t="shared" si="9"/>
        <v>0</v>
      </c>
      <c r="AN105" s="1064"/>
      <c r="AO105" s="1064">
        <f>TB_prev[[#This Row],[Closing balance]]+TB_prev[[#This Row],[Rounding]]</f>
        <v>0</v>
      </c>
    </row>
    <row r="106" spans="30:41" x14ac:dyDescent="0.25">
      <c r="AD106" s="1067" t="str">
        <f t="shared" si="5"/>
        <v/>
      </c>
      <c r="AE106" s="1063" t="str">
        <f>IF(ISNA(VLOOKUP(TB_prev[[#This Row],[Synt]],GL[[#Headers],[#Data],[subtotal label]],1,FALSE)),0,(VLOOKUP(TB_prev[[#This Row],[Synt]],GL[[#Headers],[#Data],[subtotal label]],1,FALSE)))</f>
        <v/>
      </c>
      <c r="AF106" s="1063" t="e">
        <f>IF((TB_prev[[#This Row],[Synt]]-TB_prev[[#This Row],[Subtotal Y/N]])=0,0,VLOOKUP(TB_prev[[#This Row],[Synt]],GL[[Account]:[Line]],3,FALSE))</f>
        <v>#VALUE!</v>
      </c>
      <c r="AG106" s="1063" t="e">
        <f>VLOOKUP(TB_prev[[#This Row],[Synt]],GL[[Account]:[B/P]],4,FALSE)</f>
        <v>#N/A</v>
      </c>
      <c r="AH106" s="1066" t="e">
        <v>#VALUE!</v>
      </c>
      <c r="AI106" s="1065" t="e">
        <f>TB_prev[[#This Row],[Synt]]&amp;TB_prev[[#This Row],[Line No. manual corr.]]</f>
        <v>#VALUE!</v>
      </c>
      <c r="AJ106" s="1064">
        <f t="shared" si="6"/>
        <v>0</v>
      </c>
      <c r="AK106" s="1064">
        <f t="shared" si="7"/>
        <v>0</v>
      </c>
      <c r="AL106" s="1064">
        <f t="shared" si="8"/>
        <v>0</v>
      </c>
      <c r="AM106" s="1064">
        <f t="shared" si="9"/>
        <v>0</v>
      </c>
      <c r="AN106" s="1064"/>
      <c r="AO106" s="1064">
        <f>TB_prev[[#This Row],[Closing balance]]+TB_prev[[#This Row],[Rounding]]</f>
        <v>0</v>
      </c>
    </row>
    <row r="107" spans="30:41" x14ac:dyDescent="0.25">
      <c r="AD107" s="1067" t="str">
        <f t="shared" si="5"/>
        <v/>
      </c>
      <c r="AE107" s="1063" t="str">
        <f>IF(ISNA(VLOOKUP(TB_prev[[#This Row],[Synt]],GL[[#Headers],[#Data],[subtotal label]],1,FALSE)),0,(VLOOKUP(TB_prev[[#This Row],[Synt]],GL[[#Headers],[#Data],[subtotal label]],1,FALSE)))</f>
        <v/>
      </c>
      <c r="AF107" s="1063" t="e">
        <f>IF((TB_prev[[#This Row],[Synt]]-TB_prev[[#This Row],[Subtotal Y/N]])=0,0,VLOOKUP(TB_prev[[#This Row],[Synt]],GL[[Account]:[Line]],3,FALSE))</f>
        <v>#VALUE!</v>
      </c>
      <c r="AG107" s="1063" t="e">
        <f>VLOOKUP(TB_prev[[#This Row],[Synt]],GL[[Account]:[B/P]],4,FALSE)</f>
        <v>#N/A</v>
      </c>
      <c r="AH107" s="1066" t="e">
        <v>#VALUE!</v>
      </c>
      <c r="AI107" s="1065" t="e">
        <f>TB_prev[[#This Row],[Synt]]&amp;TB_prev[[#This Row],[Line No. manual corr.]]</f>
        <v>#VALUE!</v>
      </c>
      <c r="AJ107" s="1064">
        <f t="shared" si="6"/>
        <v>0</v>
      </c>
      <c r="AK107" s="1064">
        <f t="shared" si="7"/>
        <v>0</v>
      </c>
      <c r="AL107" s="1064">
        <f t="shared" si="8"/>
        <v>0</v>
      </c>
      <c r="AM107" s="1064">
        <f t="shared" si="9"/>
        <v>0</v>
      </c>
      <c r="AN107" s="1064"/>
      <c r="AO107" s="1064">
        <f>TB_prev[[#This Row],[Closing balance]]+TB_prev[[#This Row],[Rounding]]</f>
        <v>0</v>
      </c>
    </row>
    <row r="108" spans="30:41" x14ac:dyDescent="0.25">
      <c r="AD108" s="1067" t="str">
        <f t="shared" si="5"/>
        <v/>
      </c>
      <c r="AE108" s="1063" t="str">
        <f>IF(ISNA(VLOOKUP(TB_prev[[#This Row],[Synt]],GL[[#Headers],[#Data],[subtotal label]],1,FALSE)),0,(VLOOKUP(TB_prev[[#This Row],[Synt]],GL[[#Headers],[#Data],[subtotal label]],1,FALSE)))</f>
        <v/>
      </c>
      <c r="AF108" s="1063" t="e">
        <f>IF((TB_prev[[#This Row],[Synt]]-TB_prev[[#This Row],[Subtotal Y/N]])=0,0,VLOOKUP(TB_prev[[#This Row],[Synt]],GL[[Account]:[Line]],3,FALSE))</f>
        <v>#VALUE!</v>
      </c>
      <c r="AG108" s="1063" t="e">
        <f>VLOOKUP(TB_prev[[#This Row],[Synt]],GL[[Account]:[B/P]],4,FALSE)</f>
        <v>#N/A</v>
      </c>
      <c r="AH108" s="1066" t="e">
        <v>#VALUE!</v>
      </c>
      <c r="AI108" s="1065" t="e">
        <f>TB_prev[[#This Row],[Synt]]&amp;TB_prev[[#This Row],[Line No. manual corr.]]</f>
        <v>#VALUE!</v>
      </c>
      <c r="AJ108" s="1064">
        <f t="shared" si="6"/>
        <v>0</v>
      </c>
      <c r="AK108" s="1064">
        <f t="shared" si="7"/>
        <v>0</v>
      </c>
      <c r="AL108" s="1064">
        <f t="shared" si="8"/>
        <v>0</v>
      </c>
      <c r="AM108" s="1064">
        <f t="shared" si="9"/>
        <v>0</v>
      </c>
      <c r="AN108" s="1064"/>
      <c r="AO108" s="1064">
        <f>TB_prev[[#This Row],[Closing balance]]+TB_prev[[#This Row],[Rounding]]</f>
        <v>0</v>
      </c>
    </row>
    <row r="109" spans="30:41" x14ac:dyDescent="0.25">
      <c r="AD109" s="1067" t="str">
        <f t="shared" si="5"/>
        <v/>
      </c>
      <c r="AE109" s="1063" t="str">
        <f>IF(ISNA(VLOOKUP(TB_prev[[#This Row],[Synt]],GL[[#Headers],[#Data],[subtotal label]],1,FALSE)),0,(VLOOKUP(TB_prev[[#This Row],[Synt]],GL[[#Headers],[#Data],[subtotal label]],1,FALSE)))</f>
        <v/>
      </c>
      <c r="AF109" s="1063" t="e">
        <f>IF((TB_prev[[#This Row],[Synt]]-TB_prev[[#This Row],[Subtotal Y/N]])=0,0,VLOOKUP(TB_prev[[#This Row],[Synt]],GL[[Account]:[Line]],3,FALSE))</f>
        <v>#VALUE!</v>
      </c>
      <c r="AG109" s="1063" t="e">
        <f>VLOOKUP(TB_prev[[#This Row],[Synt]],GL[[Account]:[B/P]],4,FALSE)</f>
        <v>#N/A</v>
      </c>
      <c r="AH109" s="1066" t="e">
        <v>#VALUE!</v>
      </c>
      <c r="AI109" s="1065" t="e">
        <f>TB_prev[[#This Row],[Synt]]&amp;TB_prev[[#This Row],[Line No. manual corr.]]</f>
        <v>#VALUE!</v>
      </c>
      <c r="AJ109" s="1064">
        <f t="shared" si="6"/>
        <v>0</v>
      </c>
      <c r="AK109" s="1064">
        <f t="shared" si="7"/>
        <v>0</v>
      </c>
      <c r="AL109" s="1064">
        <f t="shared" si="8"/>
        <v>0</v>
      </c>
      <c r="AM109" s="1064">
        <f t="shared" si="9"/>
        <v>0</v>
      </c>
      <c r="AN109" s="1064"/>
      <c r="AO109" s="1064">
        <f>TB_prev[[#This Row],[Closing balance]]+TB_prev[[#This Row],[Rounding]]</f>
        <v>0</v>
      </c>
    </row>
    <row r="110" spans="30:41" x14ac:dyDescent="0.25">
      <c r="AD110" s="1067" t="str">
        <f t="shared" si="5"/>
        <v/>
      </c>
      <c r="AE110" s="1063" t="str">
        <f>IF(ISNA(VLOOKUP(TB_prev[[#This Row],[Synt]],GL[[#Headers],[#Data],[subtotal label]],1,FALSE)),0,(VLOOKUP(TB_prev[[#This Row],[Synt]],GL[[#Headers],[#Data],[subtotal label]],1,FALSE)))</f>
        <v/>
      </c>
      <c r="AF110" s="1063" t="e">
        <f>IF((TB_prev[[#This Row],[Synt]]-TB_prev[[#This Row],[Subtotal Y/N]])=0,0,VLOOKUP(TB_prev[[#This Row],[Synt]],GL[[Account]:[Line]],3,FALSE))</f>
        <v>#VALUE!</v>
      </c>
      <c r="AG110" s="1063" t="e">
        <f>VLOOKUP(TB_prev[[#This Row],[Synt]],GL[[Account]:[B/P]],4,FALSE)</f>
        <v>#N/A</v>
      </c>
      <c r="AH110" s="1066" t="e">
        <v>#VALUE!</v>
      </c>
      <c r="AI110" s="1065" t="e">
        <f>TB_prev[[#This Row],[Synt]]&amp;TB_prev[[#This Row],[Line No. manual corr.]]</f>
        <v>#VALUE!</v>
      </c>
      <c r="AJ110" s="1064">
        <f t="shared" si="6"/>
        <v>0</v>
      </c>
      <c r="AK110" s="1064">
        <f t="shared" si="7"/>
        <v>0</v>
      </c>
      <c r="AL110" s="1064">
        <f t="shared" si="8"/>
        <v>0</v>
      </c>
      <c r="AM110" s="1064">
        <f t="shared" si="9"/>
        <v>0</v>
      </c>
      <c r="AN110" s="1064"/>
      <c r="AO110" s="1064">
        <f>TB_prev[[#This Row],[Closing balance]]+TB_prev[[#This Row],[Rounding]]</f>
        <v>0</v>
      </c>
    </row>
    <row r="111" spans="30:41" x14ac:dyDescent="0.25">
      <c r="AD111" s="1067" t="str">
        <f t="shared" si="5"/>
        <v/>
      </c>
      <c r="AE111" s="1063" t="str">
        <f>IF(ISNA(VLOOKUP(TB_prev[[#This Row],[Synt]],GL[[#Headers],[#Data],[subtotal label]],1,FALSE)),0,(VLOOKUP(TB_prev[[#This Row],[Synt]],GL[[#Headers],[#Data],[subtotal label]],1,FALSE)))</f>
        <v/>
      </c>
      <c r="AF111" s="1063" t="e">
        <f>IF((TB_prev[[#This Row],[Synt]]-TB_prev[[#This Row],[Subtotal Y/N]])=0,0,VLOOKUP(TB_prev[[#This Row],[Synt]],GL[[Account]:[Line]],3,FALSE))</f>
        <v>#VALUE!</v>
      </c>
      <c r="AG111" s="1063" t="e">
        <f>VLOOKUP(TB_prev[[#This Row],[Synt]],GL[[Account]:[B/P]],4,FALSE)</f>
        <v>#N/A</v>
      </c>
      <c r="AH111" s="1066" t="e">
        <v>#VALUE!</v>
      </c>
      <c r="AI111" s="1065" t="e">
        <f>TB_prev[[#This Row],[Synt]]&amp;TB_prev[[#This Row],[Line No. manual corr.]]</f>
        <v>#VALUE!</v>
      </c>
      <c r="AJ111" s="1064">
        <f t="shared" si="6"/>
        <v>0</v>
      </c>
      <c r="AK111" s="1064">
        <f t="shared" si="7"/>
        <v>0</v>
      </c>
      <c r="AL111" s="1064">
        <f t="shared" si="8"/>
        <v>0</v>
      </c>
      <c r="AM111" s="1064">
        <f t="shared" si="9"/>
        <v>0</v>
      </c>
      <c r="AN111" s="1064"/>
      <c r="AO111" s="1064">
        <f>TB_prev[[#This Row],[Closing balance]]+TB_prev[[#This Row],[Rounding]]</f>
        <v>0</v>
      </c>
    </row>
    <row r="112" spans="30:41" x14ac:dyDescent="0.25">
      <c r="AD112" s="1067" t="str">
        <f t="shared" si="5"/>
        <v/>
      </c>
      <c r="AE112" s="1063" t="str">
        <f>IF(ISNA(VLOOKUP(TB_prev[[#This Row],[Synt]],GL[[#Headers],[#Data],[subtotal label]],1,FALSE)),0,(VLOOKUP(TB_prev[[#This Row],[Synt]],GL[[#Headers],[#Data],[subtotal label]],1,FALSE)))</f>
        <v/>
      </c>
      <c r="AF112" s="1063" t="e">
        <f>IF((TB_prev[[#This Row],[Synt]]-TB_prev[[#This Row],[Subtotal Y/N]])=0,0,VLOOKUP(TB_prev[[#This Row],[Synt]],GL[[Account]:[Line]],3,FALSE))</f>
        <v>#VALUE!</v>
      </c>
      <c r="AG112" s="1063" t="e">
        <f>VLOOKUP(TB_prev[[#This Row],[Synt]],GL[[Account]:[B/P]],4,FALSE)</f>
        <v>#N/A</v>
      </c>
      <c r="AH112" s="1066" t="e">
        <v>#VALUE!</v>
      </c>
      <c r="AI112" s="1065" t="e">
        <f>TB_prev[[#This Row],[Synt]]&amp;TB_prev[[#This Row],[Line No. manual corr.]]</f>
        <v>#VALUE!</v>
      </c>
      <c r="AJ112" s="1064">
        <f t="shared" si="6"/>
        <v>0</v>
      </c>
      <c r="AK112" s="1064">
        <f t="shared" si="7"/>
        <v>0</v>
      </c>
      <c r="AL112" s="1064">
        <f t="shared" si="8"/>
        <v>0</v>
      </c>
      <c r="AM112" s="1064">
        <f t="shared" si="9"/>
        <v>0</v>
      </c>
      <c r="AN112" s="1064"/>
      <c r="AO112" s="1064">
        <f>TB_prev[[#This Row],[Closing balance]]+TB_prev[[#This Row],[Rounding]]</f>
        <v>0</v>
      </c>
    </row>
    <row r="113" spans="30:41" x14ac:dyDescent="0.25">
      <c r="AD113" s="1067" t="str">
        <f t="shared" si="5"/>
        <v/>
      </c>
      <c r="AE113" s="1063" t="str">
        <f>IF(ISNA(VLOOKUP(TB_prev[[#This Row],[Synt]],GL[[#Headers],[#Data],[subtotal label]],1,FALSE)),0,(VLOOKUP(TB_prev[[#This Row],[Synt]],GL[[#Headers],[#Data],[subtotal label]],1,FALSE)))</f>
        <v/>
      </c>
      <c r="AF113" s="1063" t="e">
        <f>IF((TB_prev[[#This Row],[Synt]]-TB_prev[[#This Row],[Subtotal Y/N]])=0,0,VLOOKUP(TB_prev[[#This Row],[Synt]],GL[[Account]:[Line]],3,FALSE))</f>
        <v>#VALUE!</v>
      </c>
      <c r="AG113" s="1063" t="e">
        <f>VLOOKUP(TB_prev[[#This Row],[Synt]],GL[[Account]:[B/P]],4,FALSE)</f>
        <v>#N/A</v>
      </c>
      <c r="AH113" s="1066" t="e">
        <v>#VALUE!</v>
      </c>
      <c r="AI113" s="1065" t="e">
        <f>TB_prev[[#This Row],[Synt]]&amp;TB_prev[[#This Row],[Line No. manual corr.]]</f>
        <v>#VALUE!</v>
      </c>
      <c r="AJ113" s="1064">
        <f t="shared" si="6"/>
        <v>0</v>
      </c>
      <c r="AK113" s="1064">
        <f t="shared" si="7"/>
        <v>0</v>
      </c>
      <c r="AL113" s="1064">
        <f t="shared" si="8"/>
        <v>0</v>
      </c>
      <c r="AM113" s="1064">
        <f t="shared" si="9"/>
        <v>0</v>
      </c>
      <c r="AN113" s="1064"/>
      <c r="AO113" s="1064">
        <f>TB_prev[[#This Row],[Closing balance]]+TB_prev[[#This Row],[Rounding]]</f>
        <v>0</v>
      </c>
    </row>
    <row r="114" spans="30:41" x14ac:dyDescent="0.25">
      <c r="AD114" s="1067" t="str">
        <f t="shared" si="5"/>
        <v/>
      </c>
      <c r="AE114" s="1063" t="str">
        <f>IF(ISNA(VLOOKUP(TB_prev[[#This Row],[Synt]],GL[[#Headers],[#Data],[subtotal label]],1,FALSE)),0,(VLOOKUP(TB_prev[[#This Row],[Synt]],GL[[#Headers],[#Data],[subtotal label]],1,FALSE)))</f>
        <v/>
      </c>
      <c r="AF114" s="1063" t="e">
        <f>IF((TB_prev[[#This Row],[Synt]]-TB_prev[[#This Row],[Subtotal Y/N]])=0,0,VLOOKUP(TB_prev[[#This Row],[Synt]],GL[[Account]:[Line]],3,FALSE))</f>
        <v>#VALUE!</v>
      </c>
      <c r="AG114" s="1063" t="e">
        <f>VLOOKUP(TB_prev[[#This Row],[Synt]],GL[[Account]:[B/P]],4,FALSE)</f>
        <v>#N/A</v>
      </c>
      <c r="AH114" s="1066" t="e">
        <v>#VALUE!</v>
      </c>
      <c r="AI114" s="1065" t="e">
        <f>TB_prev[[#This Row],[Synt]]&amp;TB_prev[[#This Row],[Line No. manual corr.]]</f>
        <v>#VALUE!</v>
      </c>
      <c r="AJ114" s="1064">
        <f t="shared" si="6"/>
        <v>0</v>
      </c>
      <c r="AK114" s="1064">
        <f t="shared" si="7"/>
        <v>0</v>
      </c>
      <c r="AL114" s="1064">
        <f t="shared" si="8"/>
        <v>0</v>
      </c>
      <c r="AM114" s="1064">
        <f t="shared" si="9"/>
        <v>0</v>
      </c>
      <c r="AN114" s="1064"/>
      <c r="AO114" s="1064">
        <f>TB_prev[[#This Row],[Closing balance]]+TB_prev[[#This Row],[Rounding]]</f>
        <v>0</v>
      </c>
    </row>
    <row r="115" spans="30:41" x14ac:dyDescent="0.25">
      <c r="AD115" s="1067" t="str">
        <f t="shared" si="5"/>
        <v/>
      </c>
      <c r="AE115" s="1063" t="str">
        <f>IF(ISNA(VLOOKUP(TB_prev[[#This Row],[Synt]],GL[[#Headers],[#Data],[subtotal label]],1,FALSE)),0,(VLOOKUP(TB_prev[[#This Row],[Synt]],GL[[#Headers],[#Data],[subtotal label]],1,FALSE)))</f>
        <v/>
      </c>
      <c r="AF115" s="1063" t="e">
        <f>IF((TB_prev[[#This Row],[Synt]]-TB_prev[[#This Row],[Subtotal Y/N]])=0,0,VLOOKUP(TB_prev[[#This Row],[Synt]],GL[[Account]:[Line]],3,FALSE))</f>
        <v>#VALUE!</v>
      </c>
      <c r="AG115" s="1063" t="e">
        <f>VLOOKUP(TB_prev[[#This Row],[Synt]],GL[[Account]:[B/P]],4,FALSE)</f>
        <v>#N/A</v>
      </c>
      <c r="AH115" s="1066" t="e">
        <v>#VALUE!</v>
      </c>
      <c r="AI115" s="1065" t="e">
        <f>TB_prev[[#This Row],[Synt]]&amp;TB_prev[[#This Row],[Line No. manual corr.]]</f>
        <v>#VALUE!</v>
      </c>
      <c r="AJ115" s="1064">
        <f t="shared" si="6"/>
        <v>0</v>
      </c>
      <c r="AK115" s="1064">
        <f t="shared" si="7"/>
        <v>0</v>
      </c>
      <c r="AL115" s="1064">
        <f t="shared" si="8"/>
        <v>0</v>
      </c>
      <c r="AM115" s="1064">
        <f t="shared" si="9"/>
        <v>0</v>
      </c>
      <c r="AN115" s="1064"/>
      <c r="AO115" s="1064">
        <f>TB_prev[[#This Row],[Closing balance]]+TB_prev[[#This Row],[Rounding]]</f>
        <v>0</v>
      </c>
    </row>
    <row r="116" spans="30:41" x14ac:dyDescent="0.25">
      <c r="AD116" s="1067" t="str">
        <f t="shared" si="5"/>
        <v/>
      </c>
      <c r="AE116" s="1063" t="str">
        <f>IF(ISNA(VLOOKUP(TB_prev[[#This Row],[Synt]],GL[[#Headers],[#Data],[subtotal label]],1,FALSE)),0,(VLOOKUP(TB_prev[[#This Row],[Synt]],GL[[#Headers],[#Data],[subtotal label]],1,FALSE)))</f>
        <v/>
      </c>
      <c r="AF116" s="1063" t="e">
        <f>IF((TB_prev[[#This Row],[Synt]]-TB_prev[[#This Row],[Subtotal Y/N]])=0,0,VLOOKUP(TB_prev[[#This Row],[Synt]],GL[[Account]:[Line]],3,FALSE))</f>
        <v>#VALUE!</v>
      </c>
      <c r="AG116" s="1063" t="e">
        <f>VLOOKUP(TB_prev[[#This Row],[Synt]],GL[[Account]:[B/P]],4,FALSE)</f>
        <v>#N/A</v>
      </c>
      <c r="AH116" s="1066" t="e">
        <v>#VALUE!</v>
      </c>
      <c r="AI116" s="1065" t="e">
        <f>TB_prev[[#This Row],[Synt]]&amp;TB_prev[[#This Row],[Line No. manual corr.]]</f>
        <v>#VALUE!</v>
      </c>
      <c r="AJ116" s="1064">
        <f t="shared" si="6"/>
        <v>0</v>
      </c>
      <c r="AK116" s="1064">
        <f t="shared" si="7"/>
        <v>0</v>
      </c>
      <c r="AL116" s="1064">
        <f t="shared" si="8"/>
        <v>0</v>
      </c>
      <c r="AM116" s="1064">
        <f t="shared" si="9"/>
        <v>0</v>
      </c>
      <c r="AN116" s="1064"/>
      <c r="AO116" s="1064">
        <f>TB_prev[[#This Row],[Closing balance]]+TB_prev[[#This Row],[Rounding]]</f>
        <v>0</v>
      </c>
    </row>
    <row r="117" spans="30:41" x14ac:dyDescent="0.25">
      <c r="AD117" s="1067" t="str">
        <f t="shared" si="5"/>
        <v/>
      </c>
      <c r="AE117" s="1063" t="str">
        <f>IF(ISNA(VLOOKUP(TB_prev[[#This Row],[Synt]],GL[[#Headers],[#Data],[subtotal label]],1,FALSE)),0,(VLOOKUP(TB_prev[[#This Row],[Synt]],GL[[#Headers],[#Data],[subtotal label]],1,FALSE)))</f>
        <v/>
      </c>
      <c r="AF117" s="1063" t="e">
        <f>IF((TB_prev[[#This Row],[Synt]]-TB_prev[[#This Row],[Subtotal Y/N]])=0,0,VLOOKUP(TB_prev[[#This Row],[Synt]],GL[[Account]:[Line]],3,FALSE))</f>
        <v>#VALUE!</v>
      </c>
      <c r="AG117" s="1063" t="e">
        <f>VLOOKUP(TB_prev[[#This Row],[Synt]],GL[[Account]:[B/P]],4,FALSE)</f>
        <v>#N/A</v>
      </c>
      <c r="AH117" s="1066" t="e">
        <v>#VALUE!</v>
      </c>
      <c r="AI117" s="1065" t="e">
        <f>TB_prev[[#This Row],[Synt]]&amp;TB_prev[[#This Row],[Line No. manual corr.]]</f>
        <v>#VALUE!</v>
      </c>
      <c r="AJ117" s="1064">
        <f t="shared" si="6"/>
        <v>0</v>
      </c>
      <c r="AK117" s="1064">
        <f t="shared" si="7"/>
        <v>0</v>
      </c>
      <c r="AL117" s="1064">
        <f t="shared" si="8"/>
        <v>0</v>
      </c>
      <c r="AM117" s="1064">
        <f t="shared" si="9"/>
        <v>0</v>
      </c>
      <c r="AN117" s="1064"/>
      <c r="AO117" s="1064">
        <f>TB_prev[[#This Row],[Closing balance]]+TB_prev[[#This Row],[Rounding]]</f>
        <v>0</v>
      </c>
    </row>
    <row r="118" spans="30:41" x14ac:dyDescent="0.25">
      <c r="AD118" s="1067" t="str">
        <f t="shared" si="5"/>
        <v/>
      </c>
      <c r="AE118" s="1063" t="str">
        <f>IF(ISNA(VLOOKUP(TB_prev[[#This Row],[Synt]],GL[[#Headers],[#Data],[subtotal label]],1,FALSE)),0,(VLOOKUP(TB_prev[[#This Row],[Synt]],GL[[#Headers],[#Data],[subtotal label]],1,FALSE)))</f>
        <v/>
      </c>
      <c r="AF118" s="1063" t="e">
        <f>IF((TB_prev[[#This Row],[Synt]]-TB_prev[[#This Row],[Subtotal Y/N]])=0,0,VLOOKUP(TB_prev[[#This Row],[Synt]],GL[[Account]:[Line]],3,FALSE))</f>
        <v>#VALUE!</v>
      </c>
      <c r="AG118" s="1063" t="e">
        <f>VLOOKUP(TB_prev[[#This Row],[Synt]],GL[[Account]:[B/P]],4,FALSE)</f>
        <v>#N/A</v>
      </c>
      <c r="AH118" s="1066" t="e">
        <v>#VALUE!</v>
      </c>
      <c r="AI118" s="1065" t="e">
        <f>TB_prev[[#This Row],[Synt]]&amp;TB_prev[[#This Row],[Line No. manual corr.]]</f>
        <v>#VALUE!</v>
      </c>
      <c r="AJ118" s="1064">
        <f t="shared" si="6"/>
        <v>0</v>
      </c>
      <c r="AK118" s="1064">
        <f t="shared" si="7"/>
        <v>0</v>
      </c>
      <c r="AL118" s="1064">
        <f t="shared" si="8"/>
        <v>0</v>
      </c>
      <c r="AM118" s="1064">
        <f t="shared" si="9"/>
        <v>0</v>
      </c>
      <c r="AN118" s="1064"/>
      <c r="AO118" s="1064">
        <f>TB_prev[[#This Row],[Closing balance]]+TB_prev[[#This Row],[Rounding]]</f>
        <v>0</v>
      </c>
    </row>
    <row r="119" spans="30:41" x14ac:dyDescent="0.25">
      <c r="AD119" s="1067" t="str">
        <f t="shared" si="5"/>
        <v/>
      </c>
      <c r="AE119" s="1063" t="str">
        <f>IF(ISNA(VLOOKUP(TB_prev[[#This Row],[Synt]],GL[[#Headers],[#Data],[subtotal label]],1,FALSE)),0,(VLOOKUP(TB_prev[[#This Row],[Synt]],GL[[#Headers],[#Data],[subtotal label]],1,FALSE)))</f>
        <v/>
      </c>
      <c r="AF119" s="1063" t="e">
        <f>IF((TB_prev[[#This Row],[Synt]]-TB_prev[[#This Row],[Subtotal Y/N]])=0,0,VLOOKUP(TB_prev[[#This Row],[Synt]],GL[[Account]:[Line]],3,FALSE))</f>
        <v>#VALUE!</v>
      </c>
      <c r="AG119" s="1063" t="e">
        <f>VLOOKUP(TB_prev[[#This Row],[Synt]],GL[[Account]:[B/P]],4,FALSE)</f>
        <v>#N/A</v>
      </c>
      <c r="AH119" s="1066" t="e">
        <v>#VALUE!</v>
      </c>
      <c r="AI119" s="1065" t="e">
        <f>TB_prev[[#This Row],[Synt]]&amp;TB_prev[[#This Row],[Line No. manual corr.]]</f>
        <v>#VALUE!</v>
      </c>
      <c r="AJ119" s="1064">
        <f t="shared" si="6"/>
        <v>0</v>
      </c>
      <c r="AK119" s="1064">
        <f t="shared" si="7"/>
        <v>0</v>
      </c>
      <c r="AL119" s="1064">
        <f t="shared" si="8"/>
        <v>0</v>
      </c>
      <c r="AM119" s="1064">
        <f t="shared" si="9"/>
        <v>0</v>
      </c>
      <c r="AN119" s="1064"/>
      <c r="AO119" s="1064">
        <f>TB_prev[[#This Row],[Closing balance]]+TB_prev[[#This Row],[Rounding]]</f>
        <v>0</v>
      </c>
    </row>
    <row r="120" spans="30:41" x14ac:dyDescent="0.25">
      <c r="AD120" s="1067" t="str">
        <f t="shared" si="5"/>
        <v/>
      </c>
      <c r="AE120" s="1063" t="str">
        <f>IF(ISNA(VLOOKUP(TB_prev[[#This Row],[Synt]],GL[[#Headers],[#Data],[subtotal label]],1,FALSE)),0,(VLOOKUP(TB_prev[[#This Row],[Synt]],GL[[#Headers],[#Data],[subtotal label]],1,FALSE)))</f>
        <v/>
      </c>
      <c r="AF120" s="1063" t="e">
        <f>IF((TB_prev[[#This Row],[Synt]]-TB_prev[[#This Row],[Subtotal Y/N]])=0,0,VLOOKUP(TB_prev[[#This Row],[Synt]],GL[[Account]:[Line]],3,FALSE))</f>
        <v>#VALUE!</v>
      </c>
      <c r="AG120" s="1063" t="e">
        <f>VLOOKUP(TB_prev[[#This Row],[Synt]],GL[[Account]:[B/P]],4,FALSE)</f>
        <v>#N/A</v>
      </c>
      <c r="AH120" s="1066" t="e">
        <v>#VALUE!</v>
      </c>
      <c r="AI120" s="1065" t="e">
        <f>TB_prev[[#This Row],[Synt]]&amp;TB_prev[[#This Row],[Line No. manual corr.]]</f>
        <v>#VALUE!</v>
      </c>
      <c r="AJ120" s="1064">
        <f t="shared" si="6"/>
        <v>0</v>
      </c>
      <c r="AK120" s="1064">
        <f t="shared" si="7"/>
        <v>0</v>
      </c>
      <c r="AL120" s="1064">
        <f t="shared" si="8"/>
        <v>0</v>
      </c>
      <c r="AM120" s="1064">
        <f t="shared" si="9"/>
        <v>0</v>
      </c>
      <c r="AN120" s="1064"/>
      <c r="AO120" s="1064">
        <f>TB_prev[[#This Row],[Closing balance]]+TB_prev[[#This Row],[Rounding]]</f>
        <v>0</v>
      </c>
    </row>
    <row r="121" spans="30:41" x14ac:dyDescent="0.25">
      <c r="AD121" s="1067" t="str">
        <f t="shared" si="5"/>
        <v/>
      </c>
      <c r="AE121" s="1063" t="str">
        <f>IF(ISNA(VLOOKUP(TB_prev[[#This Row],[Synt]],GL[[#Headers],[#Data],[subtotal label]],1,FALSE)),0,(VLOOKUP(TB_prev[[#This Row],[Synt]],GL[[#Headers],[#Data],[subtotal label]],1,FALSE)))</f>
        <v/>
      </c>
      <c r="AF121" s="1063" t="e">
        <f>IF((TB_prev[[#This Row],[Synt]]-TB_prev[[#This Row],[Subtotal Y/N]])=0,0,VLOOKUP(TB_prev[[#This Row],[Synt]],GL[[Account]:[Line]],3,FALSE))</f>
        <v>#VALUE!</v>
      </c>
      <c r="AG121" s="1063" t="e">
        <f>VLOOKUP(TB_prev[[#This Row],[Synt]],GL[[Account]:[B/P]],4,FALSE)</f>
        <v>#N/A</v>
      </c>
      <c r="AH121" s="1066" t="e">
        <v>#VALUE!</v>
      </c>
      <c r="AI121" s="1065" t="e">
        <f>TB_prev[[#This Row],[Synt]]&amp;TB_prev[[#This Row],[Line No. manual corr.]]</f>
        <v>#VALUE!</v>
      </c>
      <c r="AJ121" s="1064">
        <f t="shared" si="6"/>
        <v>0</v>
      </c>
      <c r="AK121" s="1064">
        <f t="shared" si="7"/>
        <v>0</v>
      </c>
      <c r="AL121" s="1064">
        <f t="shared" si="8"/>
        <v>0</v>
      </c>
      <c r="AM121" s="1064">
        <f t="shared" si="9"/>
        <v>0</v>
      </c>
      <c r="AN121" s="1064"/>
      <c r="AO121" s="1064">
        <f>TB_prev[[#This Row],[Closing balance]]+TB_prev[[#This Row],[Rounding]]</f>
        <v>0</v>
      </c>
    </row>
    <row r="122" spans="30:41" x14ac:dyDescent="0.25">
      <c r="AD122" s="1067" t="str">
        <f t="shared" si="5"/>
        <v/>
      </c>
      <c r="AE122" s="1063" t="str">
        <f>IF(ISNA(VLOOKUP(TB_prev[[#This Row],[Synt]],GL[[#Headers],[#Data],[subtotal label]],1,FALSE)),0,(VLOOKUP(TB_prev[[#This Row],[Synt]],GL[[#Headers],[#Data],[subtotal label]],1,FALSE)))</f>
        <v/>
      </c>
      <c r="AF122" s="1063" t="e">
        <f>IF((TB_prev[[#This Row],[Synt]]-TB_prev[[#This Row],[Subtotal Y/N]])=0,0,VLOOKUP(TB_prev[[#This Row],[Synt]],GL[[Account]:[Line]],3,FALSE))</f>
        <v>#VALUE!</v>
      </c>
      <c r="AG122" s="1063" t="e">
        <f>VLOOKUP(TB_prev[[#This Row],[Synt]],GL[[Account]:[B/P]],4,FALSE)</f>
        <v>#N/A</v>
      </c>
      <c r="AH122" s="1066" t="e">
        <v>#VALUE!</v>
      </c>
      <c r="AI122" s="1065" t="e">
        <f>TB_prev[[#This Row],[Synt]]&amp;TB_prev[[#This Row],[Line No. manual corr.]]</f>
        <v>#VALUE!</v>
      </c>
      <c r="AJ122" s="1064">
        <f t="shared" si="6"/>
        <v>0</v>
      </c>
      <c r="AK122" s="1064">
        <f t="shared" si="7"/>
        <v>0</v>
      </c>
      <c r="AL122" s="1064">
        <f t="shared" si="8"/>
        <v>0</v>
      </c>
      <c r="AM122" s="1064">
        <f t="shared" si="9"/>
        <v>0</v>
      </c>
      <c r="AN122" s="1064"/>
      <c r="AO122" s="1064">
        <f>TB_prev[[#This Row],[Closing balance]]+TB_prev[[#This Row],[Rounding]]</f>
        <v>0</v>
      </c>
    </row>
    <row r="123" spans="30:41" x14ac:dyDescent="0.25">
      <c r="AD123" s="1067" t="str">
        <f t="shared" si="5"/>
        <v/>
      </c>
      <c r="AE123" s="1063" t="str">
        <f>IF(ISNA(VLOOKUP(TB_prev[[#This Row],[Synt]],GL[[#Headers],[#Data],[subtotal label]],1,FALSE)),0,(VLOOKUP(TB_prev[[#This Row],[Synt]],GL[[#Headers],[#Data],[subtotal label]],1,FALSE)))</f>
        <v/>
      </c>
      <c r="AF123" s="1063" t="e">
        <f>IF((TB_prev[[#This Row],[Synt]]-TB_prev[[#This Row],[Subtotal Y/N]])=0,0,VLOOKUP(TB_prev[[#This Row],[Synt]],GL[[Account]:[Line]],3,FALSE))</f>
        <v>#VALUE!</v>
      </c>
      <c r="AG123" s="1063" t="e">
        <f>VLOOKUP(TB_prev[[#This Row],[Synt]],GL[[Account]:[B/P]],4,FALSE)</f>
        <v>#N/A</v>
      </c>
      <c r="AH123" s="1066" t="e">
        <v>#VALUE!</v>
      </c>
      <c r="AI123" s="1065" t="e">
        <f>TB_prev[[#This Row],[Synt]]&amp;TB_prev[[#This Row],[Line No. manual corr.]]</f>
        <v>#VALUE!</v>
      </c>
      <c r="AJ123" s="1064">
        <f t="shared" si="6"/>
        <v>0</v>
      </c>
      <c r="AK123" s="1064">
        <f t="shared" si="7"/>
        <v>0</v>
      </c>
      <c r="AL123" s="1064">
        <f t="shared" si="8"/>
        <v>0</v>
      </c>
      <c r="AM123" s="1064">
        <f t="shared" si="9"/>
        <v>0</v>
      </c>
      <c r="AN123" s="1064"/>
      <c r="AO123" s="1064">
        <f>TB_prev[[#This Row],[Closing balance]]+TB_prev[[#This Row],[Rounding]]</f>
        <v>0</v>
      </c>
    </row>
    <row r="124" spans="30:41" x14ac:dyDescent="0.25">
      <c r="AD124" s="1067" t="str">
        <f t="shared" si="5"/>
        <v/>
      </c>
      <c r="AE124" s="1063" t="str">
        <f>IF(ISNA(VLOOKUP(TB_prev[[#This Row],[Synt]],GL[[#Headers],[#Data],[subtotal label]],1,FALSE)),0,(VLOOKUP(TB_prev[[#This Row],[Synt]],GL[[#Headers],[#Data],[subtotal label]],1,FALSE)))</f>
        <v/>
      </c>
      <c r="AF124" s="1063" t="e">
        <f>IF((TB_prev[[#This Row],[Synt]]-TB_prev[[#This Row],[Subtotal Y/N]])=0,0,VLOOKUP(TB_prev[[#This Row],[Synt]],GL[[Account]:[Line]],3,FALSE))</f>
        <v>#VALUE!</v>
      </c>
      <c r="AG124" s="1063" t="e">
        <f>VLOOKUP(TB_prev[[#This Row],[Synt]],GL[[Account]:[B/P]],4,FALSE)</f>
        <v>#N/A</v>
      </c>
      <c r="AH124" s="1066" t="e">
        <v>#VALUE!</v>
      </c>
      <c r="AI124" s="1065" t="e">
        <f>TB_prev[[#This Row],[Synt]]&amp;TB_prev[[#This Row],[Line No. manual corr.]]</f>
        <v>#VALUE!</v>
      </c>
      <c r="AJ124" s="1064">
        <f t="shared" si="6"/>
        <v>0</v>
      </c>
      <c r="AK124" s="1064">
        <f t="shared" si="7"/>
        <v>0</v>
      </c>
      <c r="AL124" s="1064">
        <f t="shared" si="8"/>
        <v>0</v>
      </c>
      <c r="AM124" s="1064">
        <f t="shared" si="9"/>
        <v>0</v>
      </c>
      <c r="AN124" s="1064"/>
      <c r="AO124" s="1064">
        <f>TB_prev[[#This Row],[Closing balance]]+TB_prev[[#This Row],[Rounding]]</f>
        <v>0</v>
      </c>
    </row>
    <row r="125" spans="30:41" x14ac:dyDescent="0.25">
      <c r="AD125" s="1067" t="str">
        <f t="shared" si="5"/>
        <v/>
      </c>
      <c r="AE125" s="1063" t="str">
        <f>IF(ISNA(VLOOKUP(TB_prev[[#This Row],[Synt]],GL[[#Headers],[#Data],[subtotal label]],1,FALSE)),0,(VLOOKUP(TB_prev[[#This Row],[Synt]],GL[[#Headers],[#Data],[subtotal label]],1,FALSE)))</f>
        <v/>
      </c>
      <c r="AF125" s="1063" t="e">
        <f>IF((TB_prev[[#This Row],[Synt]]-TB_prev[[#This Row],[Subtotal Y/N]])=0,0,VLOOKUP(TB_prev[[#This Row],[Synt]],GL[[Account]:[Line]],3,FALSE))</f>
        <v>#VALUE!</v>
      </c>
      <c r="AG125" s="1063" t="e">
        <f>VLOOKUP(TB_prev[[#This Row],[Synt]],GL[[Account]:[B/P]],4,FALSE)</f>
        <v>#N/A</v>
      </c>
      <c r="AH125" s="1066" t="e">
        <v>#VALUE!</v>
      </c>
      <c r="AI125" s="1065" t="e">
        <f>TB_prev[[#This Row],[Synt]]&amp;TB_prev[[#This Row],[Line No. manual corr.]]</f>
        <v>#VALUE!</v>
      </c>
      <c r="AJ125" s="1064">
        <f t="shared" si="6"/>
        <v>0</v>
      </c>
      <c r="AK125" s="1064">
        <f t="shared" si="7"/>
        <v>0</v>
      </c>
      <c r="AL125" s="1064">
        <f t="shared" si="8"/>
        <v>0</v>
      </c>
      <c r="AM125" s="1064">
        <f t="shared" si="9"/>
        <v>0</v>
      </c>
      <c r="AN125" s="1064"/>
      <c r="AO125" s="1064">
        <f>TB_prev[[#This Row],[Closing balance]]+TB_prev[[#This Row],[Rounding]]</f>
        <v>0</v>
      </c>
    </row>
    <row r="126" spans="30:41" x14ac:dyDescent="0.25">
      <c r="AD126" s="1067" t="str">
        <f t="shared" si="5"/>
        <v/>
      </c>
      <c r="AE126" s="1063" t="str">
        <f>IF(ISNA(VLOOKUP(TB_prev[[#This Row],[Synt]],GL[[#Headers],[#Data],[subtotal label]],1,FALSE)),0,(VLOOKUP(TB_prev[[#This Row],[Synt]],GL[[#Headers],[#Data],[subtotal label]],1,FALSE)))</f>
        <v/>
      </c>
      <c r="AF126" s="1063" t="e">
        <f>IF((TB_prev[[#This Row],[Synt]]-TB_prev[[#This Row],[Subtotal Y/N]])=0,0,VLOOKUP(TB_prev[[#This Row],[Synt]],GL[[Account]:[Line]],3,FALSE))</f>
        <v>#VALUE!</v>
      </c>
      <c r="AG126" s="1063" t="e">
        <f>VLOOKUP(TB_prev[[#This Row],[Synt]],GL[[Account]:[B/P]],4,FALSE)</f>
        <v>#N/A</v>
      </c>
      <c r="AH126" s="1066" t="e">
        <v>#VALUE!</v>
      </c>
      <c r="AI126" s="1065" t="e">
        <f>TB_prev[[#This Row],[Synt]]&amp;TB_prev[[#This Row],[Line No. manual corr.]]</f>
        <v>#VALUE!</v>
      </c>
      <c r="AJ126" s="1064">
        <f t="shared" si="6"/>
        <v>0</v>
      </c>
      <c r="AK126" s="1064">
        <f t="shared" si="7"/>
        <v>0</v>
      </c>
      <c r="AL126" s="1064">
        <f t="shared" si="8"/>
        <v>0</v>
      </c>
      <c r="AM126" s="1064">
        <f t="shared" si="9"/>
        <v>0</v>
      </c>
      <c r="AN126" s="1064"/>
      <c r="AO126" s="1064">
        <f>TB_prev[[#This Row],[Closing balance]]+TB_prev[[#This Row],[Rounding]]</f>
        <v>0</v>
      </c>
    </row>
    <row r="127" spans="30:41" x14ac:dyDescent="0.25">
      <c r="AD127" s="1067" t="str">
        <f t="shared" si="5"/>
        <v/>
      </c>
      <c r="AE127" s="1063" t="str">
        <f>IF(ISNA(VLOOKUP(TB_prev[[#This Row],[Synt]],GL[[#Headers],[#Data],[subtotal label]],1,FALSE)),0,(VLOOKUP(TB_prev[[#This Row],[Synt]],GL[[#Headers],[#Data],[subtotal label]],1,FALSE)))</f>
        <v/>
      </c>
      <c r="AF127" s="1063" t="e">
        <f>IF((TB_prev[[#This Row],[Synt]]-TB_prev[[#This Row],[Subtotal Y/N]])=0,0,VLOOKUP(TB_prev[[#This Row],[Synt]],GL[[Account]:[Line]],3,FALSE))</f>
        <v>#VALUE!</v>
      </c>
      <c r="AG127" s="1063" t="e">
        <f>VLOOKUP(TB_prev[[#This Row],[Synt]],GL[[Account]:[B/P]],4,FALSE)</f>
        <v>#N/A</v>
      </c>
      <c r="AH127" s="1066" t="e">
        <v>#VALUE!</v>
      </c>
      <c r="AI127" s="1065" t="e">
        <f>TB_prev[[#This Row],[Synt]]&amp;TB_prev[[#This Row],[Line No. manual corr.]]</f>
        <v>#VALUE!</v>
      </c>
      <c r="AJ127" s="1064">
        <f t="shared" si="6"/>
        <v>0</v>
      </c>
      <c r="AK127" s="1064">
        <f t="shared" si="7"/>
        <v>0</v>
      </c>
      <c r="AL127" s="1064">
        <f t="shared" si="8"/>
        <v>0</v>
      </c>
      <c r="AM127" s="1064">
        <f t="shared" si="9"/>
        <v>0</v>
      </c>
      <c r="AN127" s="1064"/>
      <c r="AO127" s="1064">
        <f>TB_prev[[#This Row],[Closing balance]]+TB_prev[[#This Row],[Rounding]]</f>
        <v>0</v>
      </c>
    </row>
    <row r="128" spans="30:41" x14ac:dyDescent="0.25">
      <c r="AD128" s="1067" t="str">
        <f t="shared" si="5"/>
        <v/>
      </c>
      <c r="AE128" s="1063" t="str">
        <f>IF(ISNA(VLOOKUP(TB_prev[[#This Row],[Synt]],GL[[#Headers],[#Data],[subtotal label]],1,FALSE)),0,(VLOOKUP(TB_prev[[#This Row],[Synt]],GL[[#Headers],[#Data],[subtotal label]],1,FALSE)))</f>
        <v/>
      </c>
      <c r="AF128" s="1063" t="e">
        <f>IF((TB_prev[[#This Row],[Synt]]-TB_prev[[#This Row],[Subtotal Y/N]])=0,0,VLOOKUP(TB_prev[[#This Row],[Synt]],GL[[Account]:[Line]],3,FALSE))</f>
        <v>#VALUE!</v>
      </c>
      <c r="AG128" s="1063" t="e">
        <f>VLOOKUP(TB_prev[[#This Row],[Synt]],GL[[Account]:[B/P]],4,FALSE)</f>
        <v>#N/A</v>
      </c>
      <c r="AH128" s="1066" t="e">
        <v>#VALUE!</v>
      </c>
      <c r="AI128" s="1065" t="e">
        <f>TB_prev[[#This Row],[Synt]]&amp;TB_prev[[#This Row],[Line No. manual corr.]]</f>
        <v>#VALUE!</v>
      </c>
      <c r="AJ128" s="1064">
        <f t="shared" si="6"/>
        <v>0</v>
      </c>
      <c r="AK128" s="1064">
        <f t="shared" si="7"/>
        <v>0</v>
      </c>
      <c r="AL128" s="1064">
        <f t="shared" si="8"/>
        <v>0</v>
      </c>
      <c r="AM128" s="1064">
        <f t="shared" si="9"/>
        <v>0</v>
      </c>
      <c r="AN128" s="1064"/>
      <c r="AO128" s="1064">
        <f>TB_prev[[#This Row],[Closing balance]]+TB_prev[[#This Row],[Rounding]]</f>
        <v>0</v>
      </c>
    </row>
    <row r="129" spans="30:41" x14ac:dyDescent="0.25">
      <c r="AD129" s="1067" t="str">
        <f t="shared" si="5"/>
        <v/>
      </c>
      <c r="AE129" s="1063" t="str">
        <f>IF(ISNA(VLOOKUP(TB_prev[[#This Row],[Synt]],GL[[#Headers],[#Data],[subtotal label]],1,FALSE)),0,(VLOOKUP(TB_prev[[#This Row],[Synt]],GL[[#Headers],[#Data],[subtotal label]],1,FALSE)))</f>
        <v/>
      </c>
      <c r="AF129" s="1063" t="e">
        <f>IF((TB_prev[[#This Row],[Synt]]-TB_prev[[#This Row],[Subtotal Y/N]])=0,0,VLOOKUP(TB_prev[[#This Row],[Synt]],GL[[Account]:[Line]],3,FALSE))</f>
        <v>#VALUE!</v>
      </c>
      <c r="AG129" s="1063" t="e">
        <f>VLOOKUP(TB_prev[[#This Row],[Synt]],GL[[Account]:[B/P]],4,FALSE)</f>
        <v>#N/A</v>
      </c>
      <c r="AH129" s="1066" t="e">
        <v>#VALUE!</v>
      </c>
      <c r="AI129" s="1065" t="e">
        <f>TB_prev[[#This Row],[Synt]]&amp;TB_prev[[#This Row],[Line No. manual corr.]]</f>
        <v>#VALUE!</v>
      </c>
      <c r="AJ129" s="1064">
        <f t="shared" si="6"/>
        <v>0</v>
      </c>
      <c r="AK129" s="1064">
        <f t="shared" si="7"/>
        <v>0</v>
      </c>
      <c r="AL129" s="1064">
        <f t="shared" si="8"/>
        <v>0</v>
      </c>
      <c r="AM129" s="1064">
        <f t="shared" si="9"/>
        <v>0</v>
      </c>
      <c r="AN129" s="1064"/>
      <c r="AO129" s="1064">
        <f>TB_prev[[#This Row],[Closing balance]]+TB_prev[[#This Row],[Rounding]]</f>
        <v>0</v>
      </c>
    </row>
    <row r="130" spans="30:41" x14ac:dyDescent="0.25">
      <c r="AD130" s="1067" t="str">
        <f t="shared" si="5"/>
        <v/>
      </c>
      <c r="AE130" s="1063" t="str">
        <f>IF(ISNA(VLOOKUP(TB_prev[[#This Row],[Synt]],GL[[#Headers],[#Data],[subtotal label]],1,FALSE)),0,(VLOOKUP(TB_prev[[#This Row],[Synt]],GL[[#Headers],[#Data],[subtotal label]],1,FALSE)))</f>
        <v/>
      </c>
      <c r="AF130" s="1063" t="e">
        <f>IF((TB_prev[[#This Row],[Synt]]-TB_prev[[#This Row],[Subtotal Y/N]])=0,0,VLOOKUP(TB_prev[[#This Row],[Synt]],GL[[Account]:[Line]],3,FALSE))</f>
        <v>#VALUE!</v>
      </c>
      <c r="AG130" s="1063" t="e">
        <f>VLOOKUP(TB_prev[[#This Row],[Synt]],GL[[Account]:[B/P]],4,FALSE)</f>
        <v>#N/A</v>
      </c>
      <c r="AH130" s="1066" t="e">
        <v>#VALUE!</v>
      </c>
      <c r="AI130" s="1065" t="e">
        <f>TB_prev[[#This Row],[Synt]]&amp;TB_prev[[#This Row],[Line No. manual corr.]]</f>
        <v>#VALUE!</v>
      </c>
      <c r="AJ130" s="1064">
        <f t="shared" si="6"/>
        <v>0</v>
      </c>
      <c r="AK130" s="1064">
        <f t="shared" si="7"/>
        <v>0</v>
      </c>
      <c r="AL130" s="1064">
        <f t="shared" si="8"/>
        <v>0</v>
      </c>
      <c r="AM130" s="1064">
        <f t="shared" si="9"/>
        <v>0</v>
      </c>
      <c r="AN130" s="1064"/>
      <c r="AO130" s="1064">
        <f>TB_prev[[#This Row],[Closing balance]]+TB_prev[[#This Row],[Rounding]]</f>
        <v>0</v>
      </c>
    </row>
    <row r="131" spans="30:41" x14ac:dyDescent="0.25">
      <c r="AD131" s="1067" t="str">
        <f t="shared" si="5"/>
        <v/>
      </c>
      <c r="AE131" s="1063" t="str">
        <f>IF(ISNA(VLOOKUP(TB_prev[[#This Row],[Synt]],GL[[#Headers],[#Data],[subtotal label]],1,FALSE)),0,(VLOOKUP(TB_prev[[#This Row],[Synt]],GL[[#Headers],[#Data],[subtotal label]],1,FALSE)))</f>
        <v/>
      </c>
      <c r="AF131" s="1063" t="e">
        <f>IF((TB_prev[[#This Row],[Synt]]-TB_prev[[#This Row],[Subtotal Y/N]])=0,0,VLOOKUP(TB_prev[[#This Row],[Synt]],GL[[Account]:[Line]],3,FALSE))</f>
        <v>#VALUE!</v>
      </c>
      <c r="AG131" s="1063" t="e">
        <f>VLOOKUP(TB_prev[[#This Row],[Synt]],GL[[Account]:[B/P]],4,FALSE)</f>
        <v>#N/A</v>
      </c>
      <c r="AH131" s="1066" t="e">
        <v>#VALUE!</v>
      </c>
      <c r="AI131" s="1065" t="e">
        <f>TB_prev[[#This Row],[Synt]]&amp;TB_prev[[#This Row],[Line No. manual corr.]]</f>
        <v>#VALUE!</v>
      </c>
      <c r="AJ131" s="1064">
        <f t="shared" si="6"/>
        <v>0</v>
      </c>
      <c r="AK131" s="1064">
        <f t="shared" si="7"/>
        <v>0</v>
      </c>
      <c r="AL131" s="1064">
        <f t="shared" si="8"/>
        <v>0</v>
      </c>
      <c r="AM131" s="1064">
        <f t="shared" si="9"/>
        <v>0</v>
      </c>
      <c r="AN131" s="1064"/>
      <c r="AO131" s="1064">
        <f>TB_prev[[#This Row],[Closing balance]]+TB_prev[[#This Row],[Rounding]]</f>
        <v>0</v>
      </c>
    </row>
    <row r="132" spans="30:41" x14ac:dyDescent="0.25">
      <c r="AD132" s="1067" t="str">
        <f t="shared" si="5"/>
        <v/>
      </c>
      <c r="AE132" s="1063" t="str">
        <f>IF(ISNA(VLOOKUP(TB_prev[[#This Row],[Synt]],GL[[#Headers],[#Data],[subtotal label]],1,FALSE)),0,(VLOOKUP(TB_prev[[#This Row],[Synt]],GL[[#Headers],[#Data],[subtotal label]],1,FALSE)))</f>
        <v/>
      </c>
      <c r="AF132" s="1063" t="e">
        <f>IF((TB_prev[[#This Row],[Synt]]-TB_prev[[#This Row],[Subtotal Y/N]])=0,0,VLOOKUP(TB_prev[[#This Row],[Synt]],GL[[Account]:[Line]],3,FALSE))</f>
        <v>#VALUE!</v>
      </c>
      <c r="AG132" s="1063" t="e">
        <f>VLOOKUP(TB_prev[[#This Row],[Synt]],GL[[Account]:[B/P]],4,FALSE)</f>
        <v>#N/A</v>
      </c>
      <c r="AH132" s="1066" t="e">
        <v>#VALUE!</v>
      </c>
      <c r="AI132" s="1065" t="e">
        <f>TB_prev[[#This Row],[Synt]]&amp;TB_prev[[#This Row],[Line No. manual corr.]]</f>
        <v>#VALUE!</v>
      </c>
      <c r="AJ132" s="1064">
        <f t="shared" si="6"/>
        <v>0</v>
      </c>
      <c r="AK132" s="1064">
        <f t="shared" si="7"/>
        <v>0</v>
      </c>
      <c r="AL132" s="1064">
        <f t="shared" si="8"/>
        <v>0</v>
      </c>
      <c r="AM132" s="1064">
        <f t="shared" si="9"/>
        <v>0</v>
      </c>
      <c r="AN132" s="1064"/>
      <c r="AO132" s="1064">
        <f>TB_prev[[#This Row],[Closing balance]]+TB_prev[[#This Row],[Rounding]]</f>
        <v>0</v>
      </c>
    </row>
    <row r="133" spans="30:41" x14ac:dyDescent="0.25">
      <c r="AD133" s="1067" t="str">
        <f t="shared" si="5"/>
        <v/>
      </c>
      <c r="AE133" s="1063" t="str">
        <f>IF(ISNA(VLOOKUP(TB_prev[[#This Row],[Synt]],GL[[#Headers],[#Data],[subtotal label]],1,FALSE)),0,(VLOOKUP(TB_prev[[#This Row],[Synt]],GL[[#Headers],[#Data],[subtotal label]],1,FALSE)))</f>
        <v/>
      </c>
      <c r="AF133" s="1063" t="e">
        <f>IF((TB_prev[[#This Row],[Synt]]-TB_prev[[#This Row],[Subtotal Y/N]])=0,0,VLOOKUP(TB_prev[[#This Row],[Synt]],GL[[Account]:[Line]],3,FALSE))</f>
        <v>#VALUE!</v>
      </c>
      <c r="AG133" s="1063" t="e">
        <f>VLOOKUP(TB_prev[[#This Row],[Synt]],GL[[Account]:[B/P]],4,FALSE)</f>
        <v>#N/A</v>
      </c>
      <c r="AH133" s="1066" t="e">
        <v>#VALUE!</v>
      </c>
      <c r="AI133" s="1065" t="e">
        <f>TB_prev[[#This Row],[Synt]]&amp;TB_prev[[#This Row],[Line No. manual corr.]]</f>
        <v>#VALUE!</v>
      </c>
      <c r="AJ133" s="1064">
        <f t="shared" si="6"/>
        <v>0</v>
      </c>
      <c r="AK133" s="1064">
        <f t="shared" si="7"/>
        <v>0</v>
      </c>
      <c r="AL133" s="1064">
        <f t="shared" si="8"/>
        <v>0</v>
      </c>
      <c r="AM133" s="1064">
        <f t="shared" si="9"/>
        <v>0</v>
      </c>
      <c r="AN133" s="1064"/>
      <c r="AO133" s="1064">
        <f>TB_prev[[#This Row],[Closing balance]]+TB_prev[[#This Row],[Rounding]]</f>
        <v>0</v>
      </c>
    </row>
    <row r="134" spans="30:41" x14ac:dyDescent="0.25">
      <c r="AD134" s="1067" t="str">
        <f t="shared" si="5"/>
        <v/>
      </c>
      <c r="AE134" s="1063" t="str">
        <f>IF(ISNA(VLOOKUP(TB_prev[[#This Row],[Synt]],GL[[#Headers],[#Data],[subtotal label]],1,FALSE)),0,(VLOOKUP(TB_prev[[#This Row],[Synt]],GL[[#Headers],[#Data],[subtotal label]],1,FALSE)))</f>
        <v/>
      </c>
      <c r="AF134" s="1063" t="e">
        <f>IF((TB_prev[[#This Row],[Synt]]-TB_prev[[#This Row],[Subtotal Y/N]])=0,0,VLOOKUP(TB_prev[[#This Row],[Synt]],GL[[Account]:[Line]],3,FALSE))</f>
        <v>#VALUE!</v>
      </c>
      <c r="AG134" s="1063" t="e">
        <f>VLOOKUP(TB_prev[[#This Row],[Synt]],GL[[Account]:[B/P]],4,FALSE)</f>
        <v>#N/A</v>
      </c>
      <c r="AH134" s="1066" t="e">
        <v>#VALUE!</v>
      </c>
      <c r="AI134" s="1065" t="e">
        <f>TB_prev[[#This Row],[Synt]]&amp;TB_prev[[#This Row],[Line No. manual corr.]]</f>
        <v>#VALUE!</v>
      </c>
      <c r="AJ134" s="1064">
        <f t="shared" si="6"/>
        <v>0</v>
      </c>
      <c r="AK134" s="1064">
        <f t="shared" si="7"/>
        <v>0</v>
      </c>
      <c r="AL134" s="1064">
        <f t="shared" si="8"/>
        <v>0</v>
      </c>
      <c r="AM134" s="1064">
        <f t="shared" si="9"/>
        <v>0</v>
      </c>
      <c r="AN134" s="1064"/>
      <c r="AO134" s="1064">
        <f>TB_prev[[#This Row],[Closing balance]]+TB_prev[[#This Row],[Rounding]]</f>
        <v>0</v>
      </c>
    </row>
    <row r="135" spans="30:41" x14ac:dyDescent="0.25">
      <c r="AD135" s="1067" t="str">
        <f t="shared" si="5"/>
        <v/>
      </c>
      <c r="AE135" s="1063" t="str">
        <f>IF(ISNA(VLOOKUP(TB_prev[[#This Row],[Synt]],GL[[#Headers],[#Data],[subtotal label]],1,FALSE)),0,(VLOOKUP(TB_prev[[#This Row],[Synt]],GL[[#Headers],[#Data],[subtotal label]],1,FALSE)))</f>
        <v/>
      </c>
      <c r="AF135" s="1063" t="e">
        <f>IF((TB_prev[[#This Row],[Synt]]-TB_prev[[#This Row],[Subtotal Y/N]])=0,0,VLOOKUP(TB_prev[[#This Row],[Synt]],GL[[Account]:[Line]],3,FALSE))</f>
        <v>#VALUE!</v>
      </c>
      <c r="AG135" s="1063" t="e">
        <f>VLOOKUP(TB_prev[[#This Row],[Synt]],GL[[Account]:[B/P]],4,FALSE)</f>
        <v>#N/A</v>
      </c>
      <c r="AH135" s="1066" t="e">
        <v>#VALUE!</v>
      </c>
      <c r="AI135" s="1065" t="e">
        <f>TB_prev[[#This Row],[Synt]]&amp;TB_prev[[#This Row],[Line No. manual corr.]]</f>
        <v>#VALUE!</v>
      </c>
      <c r="AJ135" s="1064">
        <f t="shared" si="6"/>
        <v>0</v>
      </c>
      <c r="AK135" s="1064">
        <f t="shared" si="7"/>
        <v>0</v>
      </c>
      <c r="AL135" s="1064">
        <f t="shared" si="8"/>
        <v>0</v>
      </c>
      <c r="AM135" s="1064">
        <f t="shared" si="9"/>
        <v>0</v>
      </c>
      <c r="AN135" s="1064"/>
      <c r="AO135" s="1064">
        <f>TB_prev[[#This Row],[Closing balance]]+TB_prev[[#This Row],[Rounding]]</f>
        <v>0</v>
      </c>
    </row>
    <row r="136" spans="30:41" x14ac:dyDescent="0.25">
      <c r="AD136" s="1067" t="str">
        <f t="shared" ref="AD136:AD199" si="10">LEFT(B136,3)</f>
        <v/>
      </c>
      <c r="AE136" s="1063" t="str">
        <f>IF(ISNA(VLOOKUP(TB_prev[[#This Row],[Synt]],GL[[#Headers],[#Data],[subtotal label]],1,FALSE)),0,(VLOOKUP(TB_prev[[#This Row],[Synt]],GL[[#Headers],[#Data],[subtotal label]],1,FALSE)))</f>
        <v/>
      </c>
      <c r="AF136" s="1063" t="e">
        <f>IF((TB_prev[[#This Row],[Synt]]-TB_prev[[#This Row],[Subtotal Y/N]])=0,0,VLOOKUP(TB_prev[[#This Row],[Synt]],GL[[Account]:[Line]],3,FALSE))</f>
        <v>#VALUE!</v>
      </c>
      <c r="AG136" s="1063" t="e">
        <f>VLOOKUP(TB_prev[[#This Row],[Synt]],GL[[Account]:[B/P]],4,FALSE)</f>
        <v>#N/A</v>
      </c>
      <c r="AH136" s="1066" t="e">
        <v>#VALUE!</v>
      </c>
      <c r="AI136" s="1065" t="e">
        <f>TB_prev[[#This Row],[Synt]]&amp;TB_prev[[#This Row],[Line No. manual corr.]]</f>
        <v>#VALUE!</v>
      </c>
      <c r="AJ136" s="1064">
        <f t="shared" ref="AJ136:AJ199" si="11">K136-N136</f>
        <v>0</v>
      </c>
      <c r="AK136" s="1064">
        <f t="shared" ref="AK136:AK199" si="12">Q136</f>
        <v>0</v>
      </c>
      <c r="AL136" s="1064">
        <f t="shared" ref="AL136:AL199" si="13">U136</f>
        <v>0</v>
      </c>
      <c r="AM136" s="1064">
        <f t="shared" ref="AM136:AM199" si="14">X136-AB136</f>
        <v>0</v>
      </c>
      <c r="AN136" s="1064"/>
      <c r="AO136" s="1064">
        <f>TB_prev[[#This Row],[Closing balance]]+TB_prev[[#This Row],[Rounding]]</f>
        <v>0</v>
      </c>
    </row>
    <row r="137" spans="30:41" x14ac:dyDescent="0.25">
      <c r="AD137" s="1067" t="str">
        <f t="shared" si="10"/>
        <v/>
      </c>
      <c r="AE137" s="1063" t="str">
        <f>IF(ISNA(VLOOKUP(TB_prev[[#This Row],[Synt]],GL[[#Headers],[#Data],[subtotal label]],1,FALSE)),0,(VLOOKUP(TB_prev[[#This Row],[Synt]],GL[[#Headers],[#Data],[subtotal label]],1,FALSE)))</f>
        <v/>
      </c>
      <c r="AF137" s="1063" t="e">
        <f>IF((TB_prev[[#This Row],[Synt]]-TB_prev[[#This Row],[Subtotal Y/N]])=0,0,VLOOKUP(TB_prev[[#This Row],[Synt]],GL[[Account]:[Line]],3,FALSE))</f>
        <v>#VALUE!</v>
      </c>
      <c r="AG137" s="1063" t="e">
        <f>VLOOKUP(TB_prev[[#This Row],[Synt]],GL[[Account]:[B/P]],4,FALSE)</f>
        <v>#N/A</v>
      </c>
      <c r="AH137" s="1066" t="e">
        <v>#VALUE!</v>
      </c>
      <c r="AI137" s="1065" t="e">
        <f>TB_prev[[#This Row],[Synt]]&amp;TB_prev[[#This Row],[Line No. manual corr.]]</f>
        <v>#VALUE!</v>
      </c>
      <c r="AJ137" s="1064">
        <f t="shared" si="11"/>
        <v>0</v>
      </c>
      <c r="AK137" s="1064">
        <f t="shared" si="12"/>
        <v>0</v>
      </c>
      <c r="AL137" s="1064">
        <f t="shared" si="13"/>
        <v>0</v>
      </c>
      <c r="AM137" s="1064">
        <f t="shared" si="14"/>
        <v>0</v>
      </c>
      <c r="AN137" s="1064"/>
      <c r="AO137" s="1064">
        <f>TB_prev[[#This Row],[Closing balance]]+TB_prev[[#This Row],[Rounding]]</f>
        <v>0</v>
      </c>
    </row>
    <row r="138" spans="30:41" x14ac:dyDescent="0.25">
      <c r="AD138" s="1067" t="str">
        <f t="shared" si="10"/>
        <v/>
      </c>
      <c r="AE138" s="1063" t="str">
        <f>IF(ISNA(VLOOKUP(TB_prev[[#This Row],[Synt]],GL[[#Headers],[#Data],[subtotal label]],1,FALSE)),0,(VLOOKUP(TB_prev[[#This Row],[Synt]],GL[[#Headers],[#Data],[subtotal label]],1,FALSE)))</f>
        <v/>
      </c>
      <c r="AF138" s="1063" t="e">
        <f>IF((TB_prev[[#This Row],[Synt]]-TB_prev[[#This Row],[Subtotal Y/N]])=0,0,VLOOKUP(TB_prev[[#This Row],[Synt]],GL[[Account]:[Line]],3,FALSE))</f>
        <v>#VALUE!</v>
      </c>
      <c r="AG138" s="1063" t="e">
        <f>VLOOKUP(TB_prev[[#This Row],[Synt]],GL[[Account]:[B/P]],4,FALSE)</f>
        <v>#N/A</v>
      </c>
      <c r="AH138" s="1066" t="e">
        <v>#VALUE!</v>
      </c>
      <c r="AI138" s="1065" t="e">
        <f>TB_prev[[#This Row],[Synt]]&amp;TB_prev[[#This Row],[Line No. manual corr.]]</f>
        <v>#VALUE!</v>
      </c>
      <c r="AJ138" s="1064">
        <f t="shared" si="11"/>
        <v>0</v>
      </c>
      <c r="AK138" s="1064">
        <f t="shared" si="12"/>
        <v>0</v>
      </c>
      <c r="AL138" s="1064">
        <f t="shared" si="13"/>
        <v>0</v>
      </c>
      <c r="AM138" s="1064">
        <f t="shared" si="14"/>
        <v>0</v>
      </c>
      <c r="AN138" s="1064"/>
      <c r="AO138" s="1064">
        <f>TB_prev[[#This Row],[Closing balance]]+TB_prev[[#This Row],[Rounding]]</f>
        <v>0</v>
      </c>
    </row>
    <row r="139" spans="30:41" x14ac:dyDescent="0.25">
      <c r="AD139" s="1067" t="str">
        <f t="shared" si="10"/>
        <v/>
      </c>
      <c r="AE139" s="1063" t="str">
        <f>IF(ISNA(VLOOKUP(TB_prev[[#This Row],[Synt]],GL[[#Headers],[#Data],[subtotal label]],1,FALSE)),0,(VLOOKUP(TB_prev[[#This Row],[Synt]],GL[[#Headers],[#Data],[subtotal label]],1,FALSE)))</f>
        <v/>
      </c>
      <c r="AF139" s="1063" t="e">
        <f>IF((TB_prev[[#This Row],[Synt]]-TB_prev[[#This Row],[Subtotal Y/N]])=0,0,VLOOKUP(TB_prev[[#This Row],[Synt]],GL[[Account]:[Line]],3,FALSE))</f>
        <v>#VALUE!</v>
      </c>
      <c r="AG139" s="1063" t="e">
        <f>VLOOKUP(TB_prev[[#This Row],[Synt]],GL[[Account]:[B/P]],4,FALSE)</f>
        <v>#N/A</v>
      </c>
      <c r="AH139" s="1066" t="e">
        <v>#VALUE!</v>
      </c>
      <c r="AI139" s="1065" t="e">
        <f>TB_prev[[#This Row],[Synt]]&amp;TB_prev[[#This Row],[Line No. manual corr.]]</f>
        <v>#VALUE!</v>
      </c>
      <c r="AJ139" s="1064">
        <f t="shared" si="11"/>
        <v>0</v>
      </c>
      <c r="AK139" s="1064">
        <f t="shared" si="12"/>
        <v>0</v>
      </c>
      <c r="AL139" s="1064">
        <f t="shared" si="13"/>
        <v>0</v>
      </c>
      <c r="AM139" s="1064">
        <f t="shared" si="14"/>
        <v>0</v>
      </c>
      <c r="AN139" s="1064"/>
      <c r="AO139" s="1064">
        <f>TB_prev[[#This Row],[Closing balance]]+TB_prev[[#This Row],[Rounding]]</f>
        <v>0</v>
      </c>
    </row>
    <row r="140" spans="30:41" x14ac:dyDescent="0.25">
      <c r="AD140" s="1067" t="str">
        <f t="shared" si="10"/>
        <v/>
      </c>
      <c r="AE140" s="1063" t="str">
        <f>IF(ISNA(VLOOKUP(TB_prev[[#This Row],[Synt]],GL[[#Headers],[#Data],[subtotal label]],1,FALSE)),0,(VLOOKUP(TB_prev[[#This Row],[Synt]],GL[[#Headers],[#Data],[subtotal label]],1,FALSE)))</f>
        <v/>
      </c>
      <c r="AF140" s="1063" t="e">
        <f>IF((TB_prev[[#This Row],[Synt]]-TB_prev[[#This Row],[Subtotal Y/N]])=0,0,VLOOKUP(TB_prev[[#This Row],[Synt]],GL[[Account]:[Line]],3,FALSE))</f>
        <v>#VALUE!</v>
      </c>
      <c r="AG140" s="1063" t="e">
        <f>VLOOKUP(TB_prev[[#This Row],[Synt]],GL[[Account]:[B/P]],4,FALSE)</f>
        <v>#N/A</v>
      </c>
      <c r="AH140" s="1066" t="e">
        <v>#VALUE!</v>
      </c>
      <c r="AI140" s="1065" t="e">
        <f>TB_prev[[#This Row],[Synt]]&amp;TB_prev[[#This Row],[Line No. manual corr.]]</f>
        <v>#VALUE!</v>
      </c>
      <c r="AJ140" s="1064">
        <f t="shared" si="11"/>
        <v>0</v>
      </c>
      <c r="AK140" s="1064">
        <f t="shared" si="12"/>
        <v>0</v>
      </c>
      <c r="AL140" s="1064">
        <f t="shared" si="13"/>
        <v>0</v>
      </c>
      <c r="AM140" s="1064">
        <f t="shared" si="14"/>
        <v>0</v>
      </c>
      <c r="AN140" s="1064"/>
      <c r="AO140" s="1064">
        <f>TB_prev[[#This Row],[Closing balance]]+TB_prev[[#This Row],[Rounding]]</f>
        <v>0</v>
      </c>
    </row>
    <row r="141" spans="30:41" x14ac:dyDescent="0.25">
      <c r="AD141" s="1067" t="str">
        <f t="shared" si="10"/>
        <v/>
      </c>
      <c r="AE141" s="1063" t="str">
        <f>IF(ISNA(VLOOKUP(TB_prev[[#This Row],[Synt]],GL[[#Headers],[#Data],[subtotal label]],1,FALSE)),0,(VLOOKUP(TB_prev[[#This Row],[Synt]],GL[[#Headers],[#Data],[subtotal label]],1,FALSE)))</f>
        <v/>
      </c>
      <c r="AF141" s="1063" t="e">
        <f>IF((TB_prev[[#This Row],[Synt]]-TB_prev[[#This Row],[Subtotal Y/N]])=0,0,VLOOKUP(TB_prev[[#This Row],[Synt]],GL[[Account]:[Line]],3,FALSE))</f>
        <v>#VALUE!</v>
      </c>
      <c r="AG141" s="1063" t="e">
        <f>VLOOKUP(TB_prev[[#This Row],[Synt]],GL[[Account]:[B/P]],4,FALSE)</f>
        <v>#N/A</v>
      </c>
      <c r="AH141" s="1066" t="e">
        <v>#VALUE!</v>
      </c>
      <c r="AI141" s="1065" t="e">
        <f>TB_prev[[#This Row],[Synt]]&amp;TB_prev[[#This Row],[Line No. manual corr.]]</f>
        <v>#VALUE!</v>
      </c>
      <c r="AJ141" s="1064">
        <f t="shared" si="11"/>
        <v>0</v>
      </c>
      <c r="AK141" s="1064">
        <f t="shared" si="12"/>
        <v>0</v>
      </c>
      <c r="AL141" s="1064">
        <f t="shared" si="13"/>
        <v>0</v>
      </c>
      <c r="AM141" s="1064">
        <f t="shared" si="14"/>
        <v>0</v>
      </c>
      <c r="AN141" s="1064"/>
      <c r="AO141" s="1064">
        <f>TB_prev[[#This Row],[Closing balance]]+TB_prev[[#This Row],[Rounding]]</f>
        <v>0</v>
      </c>
    </row>
    <row r="142" spans="30:41" x14ac:dyDescent="0.25">
      <c r="AD142" s="1067" t="str">
        <f t="shared" si="10"/>
        <v/>
      </c>
      <c r="AE142" s="1063" t="str">
        <f>IF(ISNA(VLOOKUP(TB_prev[[#This Row],[Synt]],GL[[#Headers],[#Data],[subtotal label]],1,FALSE)),0,(VLOOKUP(TB_prev[[#This Row],[Synt]],GL[[#Headers],[#Data],[subtotal label]],1,FALSE)))</f>
        <v/>
      </c>
      <c r="AF142" s="1063" t="e">
        <f>IF((TB_prev[[#This Row],[Synt]]-TB_prev[[#This Row],[Subtotal Y/N]])=0,0,VLOOKUP(TB_prev[[#This Row],[Synt]],GL[[Account]:[Line]],3,FALSE))</f>
        <v>#VALUE!</v>
      </c>
      <c r="AG142" s="1063" t="e">
        <f>VLOOKUP(TB_prev[[#This Row],[Synt]],GL[[Account]:[B/P]],4,FALSE)</f>
        <v>#N/A</v>
      </c>
      <c r="AH142" s="1066" t="e">
        <v>#VALUE!</v>
      </c>
      <c r="AI142" s="1065" t="e">
        <f>TB_prev[[#This Row],[Synt]]&amp;TB_prev[[#This Row],[Line No. manual corr.]]</f>
        <v>#VALUE!</v>
      </c>
      <c r="AJ142" s="1064">
        <f t="shared" si="11"/>
        <v>0</v>
      </c>
      <c r="AK142" s="1064">
        <f t="shared" si="12"/>
        <v>0</v>
      </c>
      <c r="AL142" s="1064">
        <f t="shared" si="13"/>
        <v>0</v>
      </c>
      <c r="AM142" s="1064">
        <f t="shared" si="14"/>
        <v>0</v>
      </c>
      <c r="AN142" s="1064"/>
      <c r="AO142" s="1064">
        <f>TB_prev[[#This Row],[Closing balance]]+TB_prev[[#This Row],[Rounding]]</f>
        <v>0</v>
      </c>
    </row>
    <row r="143" spans="30:41" x14ac:dyDescent="0.25">
      <c r="AD143" s="1067" t="str">
        <f t="shared" si="10"/>
        <v/>
      </c>
      <c r="AE143" s="1063" t="str">
        <f>IF(ISNA(VLOOKUP(TB_prev[[#This Row],[Synt]],GL[[#Headers],[#Data],[subtotal label]],1,FALSE)),0,(VLOOKUP(TB_prev[[#This Row],[Synt]],GL[[#Headers],[#Data],[subtotal label]],1,FALSE)))</f>
        <v/>
      </c>
      <c r="AF143" s="1063" t="e">
        <f>IF((TB_prev[[#This Row],[Synt]]-TB_prev[[#This Row],[Subtotal Y/N]])=0,0,VLOOKUP(TB_prev[[#This Row],[Synt]],GL[[Account]:[Line]],3,FALSE))</f>
        <v>#VALUE!</v>
      </c>
      <c r="AG143" s="1063" t="e">
        <f>VLOOKUP(TB_prev[[#This Row],[Synt]],GL[[Account]:[B/P]],4,FALSE)</f>
        <v>#N/A</v>
      </c>
      <c r="AH143" s="1066" t="e">
        <v>#VALUE!</v>
      </c>
      <c r="AI143" s="1065" t="e">
        <f>TB_prev[[#This Row],[Synt]]&amp;TB_prev[[#This Row],[Line No. manual corr.]]</f>
        <v>#VALUE!</v>
      </c>
      <c r="AJ143" s="1064">
        <f t="shared" si="11"/>
        <v>0</v>
      </c>
      <c r="AK143" s="1064">
        <f t="shared" si="12"/>
        <v>0</v>
      </c>
      <c r="AL143" s="1064">
        <f t="shared" si="13"/>
        <v>0</v>
      </c>
      <c r="AM143" s="1064">
        <f t="shared" si="14"/>
        <v>0</v>
      </c>
      <c r="AN143" s="1064"/>
      <c r="AO143" s="1064">
        <f>TB_prev[[#This Row],[Closing balance]]+TB_prev[[#This Row],[Rounding]]</f>
        <v>0</v>
      </c>
    </row>
    <row r="144" spans="30:41" x14ac:dyDescent="0.25">
      <c r="AD144" s="1067" t="str">
        <f t="shared" si="10"/>
        <v/>
      </c>
      <c r="AE144" s="1063" t="str">
        <f>IF(ISNA(VLOOKUP(TB_prev[[#This Row],[Synt]],GL[[#Headers],[#Data],[subtotal label]],1,FALSE)),0,(VLOOKUP(TB_prev[[#This Row],[Synt]],GL[[#Headers],[#Data],[subtotal label]],1,FALSE)))</f>
        <v/>
      </c>
      <c r="AF144" s="1063" t="e">
        <f>IF((TB_prev[[#This Row],[Synt]]-TB_prev[[#This Row],[Subtotal Y/N]])=0,0,VLOOKUP(TB_prev[[#This Row],[Synt]],GL[[Account]:[Line]],3,FALSE))</f>
        <v>#VALUE!</v>
      </c>
      <c r="AG144" s="1063" t="e">
        <f>VLOOKUP(TB_prev[[#This Row],[Synt]],GL[[Account]:[B/P]],4,FALSE)</f>
        <v>#N/A</v>
      </c>
      <c r="AH144" s="1066" t="e">
        <v>#VALUE!</v>
      </c>
      <c r="AI144" s="1065" t="e">
        <f>TB_prev[[#This Row],[Synt]]&amp;TB_prev[[#This Row],[Line No. manual corr.]]</f>
        <v>#VALUE!</v>
      </c>
      <c r="AJ144" s="1064">
        <f t="shared" si="11"/>
        <v>0</v>
      </c>
      <c r="AK144" s="1064">
        <f t="shared" si="12"/>
        <v>0</v>
      </c>
      <c r="AL144" s="1064">
        <f t="shared" si="13"/>
        <v>0</v>
      </c>
      <c r="AM144" s="1064">
        <f t="shared" si="14"/>
        <v>0</v>
      </c>
      <c r="AN144" s="1064"/>
      <c r="AO144" s="1064">
        <f>TB_prev[[#This Row],[Closing balance]]+TB_prev[[#This Row],[Rounding]]</f>
        <v>0</v>
      </c>
    </row>
    <row r="145" spans="30:41" x14ac:dyDescent="0.25">
      <c r="AD145" s="1067" t="str">
        <f t="shared" si="10"/>
        <v/>
      </c>
      <c r="AE145" s="1063" t="str">
        <f>IF(ISNA(VLOOKUP(TB_prev[[#This Row],[Synt]],GL[[#Headers],[#Data],[subtotal label]],1,FALSE)),0,(VLOOKUP(TB_prev[[#This Row],[Synt]],GL[[#Headers],[#Data],[subtotal label]],1,FALSE)))</f>
        <v/>
      </c>
      <c r="AF145" s="1063" t="e">
        <f>IF((TB_prev[[#This Row],[Synt]]-TB_prev[[#This Row],[Subtotal Y/N]])=0,0,VLOOKUP(TB_prev[[#This Row],[Synt]],GL[[Account]:[Line]],3,FALSE))</f>
        <v>#VALUE!</v>
      </c>
      <c r="AG145" s="1063" t="e">
        <f>VLOOKUP(TB_prev[[#This Row],[Synt]],GL[[Account]:[B/P]],4,FALSE)</f>
        <v>#N/A</v>
      </c>
      <c r="AH145" s="1066" t="e">
        <v>#VALUE!</v>
      </c>
      <c r="AI145" s="1065" t="e">
        <f>TB_prev[[#This Row],[Synt]]&amp;TB_prev[[#This Row],[Line No. manual corr.]]</f>
        <v>#VALUE!</v>
      </c>
      <c r="AJ145" s="1064">
        <f t="shared" si="11"/>
        <v>0</v>
      </c>
      <c r="AK145" s="1064">
        <f t="shared" si="12"/>
        <v>0</v>
      </c>
      <c r="AL145" s="1064">
        <f t="shared" si="13"/>
        <v>0</v>
      </c>
      <c r="AM145" s="1064">
        <f t="shared" si="14"/>
        <v>0</v>
      </c>
      <c r="AN145" s="1064"/>
      <c r="AO145" s="1064">
        <f>TB_prev[[#This Row],[Closing balance]]+TB_prev[[#This Row],[Rounding]]</f>
        <v>0</v>
      </c>
    </row>
    <row r="146" spans="30:41" x14ac:dyDescent="0.25">
      <c r="AD146" s="1067" t="str">
        <f t="shared" si="10"/>
        <v/>
      </c>
      <c r="AE146" s="1063" t="str">
        <f>IF(ISNA(VLOOKUP(TB_prev[[#This Row],[Synt]],GL[[#Headers],[#Data],[subtotal label]],1,FALSE)),0,(VLOOKUP(TB_prev[[#This Row],[Synt]],GL[[#Headers],[#Data],[subtotal label]],1,FALSE)))</f>
        <v/>
      </c>
      <c r="AF146" s="1063" t="e">
        <f>IF((TB_prev[[#This Row],[Synt]]-TB_prev[[#This Row],[Subtotal Y/N]])=0,0,VLOOKUP(TB_prev[[#This Row],[Synt]],GL[[Account]:[Line]],3,FALSE))</f>
        <v>#VALUE!</v>
      </c>
      <c r="AG146" s="1063" t="e">
        <f>VLOOKUP(TB_prev[[#This Row],[Synt]],GL[[Account]:[B/P]],4,FALSE)</f>
        <v>#N/A</v>
      </c>
      <c r="AH146" s="1066" t="e">
        <v>#VALUE!</v>
      </c>
      <c r="AI146" s="1065" t="e">
        <f>TB_prev[[#This Row],[Synt]]&amp;TB_prev[[#This Row],[Line No. manual corr.]]</f>
        <v>#VALUE!</v>
      </c>
      <c r="AJ146" s="1064">
        <f t="shared" si="11"/>
        <v>0</v>
      </c>
      <c r="AK146" s="1064">
        <f t="shared" si="12"/>
        <v>0</v>
      </c>
      <c r="AL146" s="1064">
        <f t="shared" si="13"/>
        <v>0</v>
      </c>
      <c r="AM146" s="1064">
        <f t="shared" si="14"/>
        <v>0</v>
      </c>
      <c r="AN146" s="1064"/>
      <c r="AO146" s="1064">
        <f>TB_prev[[#This Row],[Closing balance]]+TB_prev[[#This Row],[Rounding]]</f>
        <v>0</v>
      </c>
    </row>
    <row r="147" spans="30:41" x14ac:dyDescent="0.25">
      <c r="AD147" s="1067" t="str">
        <f t="shared" si="10"/>
        <v/>
      </c>
      <c r="AE147" s="1063" t="str">
        <f>IF(ISNA(VLOOKUP(TB_prev[[#This Row],[Synt]],GL[[#Headers],[#Data],[subtotal label]],1,FALSE)),0,(VLOOKUP(TB_prev[[#This Row],[Synt]],GL[[#Headers],[#Data],[subtotal label]],1,FALSE)))</f>
        <v/>
      </c>
      <c r="AF147" s="1063" t="e">
        <f>IF((TB_prev[[#This Row],[Synt]]-TB_prev[[#This Row],[Subtotal Y/N]])=0,0,VLOOKUP(TB_prev[[#This Row],[Synt]],GL[[Account]:[Line]],3,FALSE))</f>
        <v>#VALUE!</v>
      </c>
      <c r="AG147" s="1063" t="e">
        <f>VLOOKUP(TB_prev[[#This Row],[Synt]],GL[[Account]:[B/P]],4,FALSE)</f>
        <v>#N/A</v>
      </c>
      <c r="AH147" s="1066" t="e">
        <v>#VALUE!</v>
      </c>
      <c r="AI147" s="1065" t="e">
        <f>TB_prev[[#This Row],[Synt]]&amp;TB_prev[[#This Row],[Line No. manual corr.]]</f>
        <v>#VALUE!</v>
      </c>
      <c r="AJ147" s="1064">
        <f t="shared" si="11"/>
        <v>0</v>
      </c>
      <c r="AK147" s="1064">
        <f t="shared" si="12"/>
        <v>0</v>
      </c>
      <c r="AL147" s="1064">
        <f t="shared" si="13"/>
        <v>0</v>
      </c>
      <c r="AM147" s="1064">
        <f t="shared" si="14"/>
        <v>0</v>
      </c>
      <c r="AN147" s="1064"/>
      <c r="AO147" s="1064">
        <f>TB_prev[[#This Row],[Closing balance]]+TB_prev[[#This Row],[Rounding]]</f>
        <v>0</v>
      </c>
    </row>
    <row r="148" spans="30:41" x14ac:dyDescent="0.25">
      <c r="AD148" s="1067" t="str">
        <f t="shared" si="10"/>
        <v/>
      </c>
      <c r="AE148" s="1063" t="str">
        <f>IF(ISNA(VLOOKUP(TB_prev[[#This Row],[Synt]],GL[[#Headers],[#Data],[subtotal label]],1,FALSE)),0,(VLOOKUP(TB_prev[[#This Row],[Synt]],GL[[#Headers],[#Data],[subtotal label]],1,FALSE)))</f>
        <v/>
      </c>
      <c r="AF148" s="1063" t="e">
        <f>IF((TB_prev[[#This Row],[Synt]]-TB_prev[[#This Row],[Subtotal Y/N]])=0,0,VLOOKUP(TB_prev[[#This Row],[Synt]],GL[[Account]:[Line]],3,FALSE))</f>
        <v>#VALUE!</v>
      </c>
      <c r="AG148" s="1063" t="e">
        <f>VLOOKUP(TB_prev[[#This Row],[Synt]],GL[[Account]:[B/P]],4,FALSE)</f>
        <v>#N/A</v>
      </c>
      <c r="AH148" s="1066" t="e">
        <v>#VALUE!</v>
      </c>
      <c r="AI148" s="1065" t="e">
        <f>TB_prev[[#This Row],[Synt]]&amp;TB_prev[[#This Row],[Line No. manual corr.]]</f>
        <v>#VALUE!</v>
      </c>
      <c r="AJ148" s="1064">
        <f t="shared" si="11"/>
        <v>0</v>
      </c>
      <c r="AK148" s="1064">
        <f t="shared" si="12"/>
        <v>0</v>
      </c>
      <c r="AL148" s="1064">
        <f t="shared" si="13"/>
        <v>0</v>
      </c>
      <c r="AM148" s="1064">
        <f t="shared" si="14"/>
        <v>0</v>
      </c>
      <c r="AN148" s="1064"/>
      <c r="AO148" s="1064">
        <f>TB_prev[[#This Row],[Closing balance]]+TB_prev[[#This Row],[Rounding]]</f>
        <v>0</v>
      </c>
    </row>
    <row r="149" spans="30:41" x14ac:dyDescent="0.25">
      <c r="AD149" s="1067" t="str">
        <f t="shared" si="10"/>
        <v/>
      </c>
      <c r="AE149" s="1063" t="str">
        <f>IF(ISNA(VLOOKUP(TB_prev[[#This Row],[Synt]],GL[[#Headers],[#Data],[subtotal label]],1,FALSE)),0,(VLOOKUP(TB_prev[[#This Row],[Synt]],GL[[#Headers],[#Data],[subtotal label]],1,FALSE)))</f>
        <v/>
      </c>
      <c r="AF149" s="1063" t="e">
        <f>IF((TB_prev[[#This Row],[Synt]]-TB_prev[[#This Row],[Subtotal Y/N]])=0,0,VLOOKUP(TB_prev[[#This Row],[Synt]],GL[[Account]:[Line]],3,FALSE))</f>
        <v>#VALUE!</v>
      </c>
      <c r="AG149" s="1063" t="e">
        <f>VLOOKUP(TB_prev[[#This Row],[Synt]],GL[[Account]:[B/P]],4,FALSE)</f>
        <v>#N/A</v>
      </c>
      <c r="AH149" s="1066" t="e">
        <v>#VALUE!</v>
      </c>
      <c r="AI149" s="1065" t="e">
        <f>TB_prev[[#This Row],[Synt]]&amp;TB_prev[[#This Row],[Line No. manual corr.]]</f>
        <v>#VALUE!</v>
      </c>
      <c r="AJ149" s="1064">
        <f t="shared" si="11"/>
        <v>0</v>
      </c>
      <c r="AK149" s="1064">
        <f t="shared" si="12"/>
        <v>0</v>
      </c>
      <c r="AL149" s="1064">
        <f t="shared" si="13"/>
        <v>0</v>
      </c>
      <c r="AM149" s="1064">
        <f t="shared" si="14"/>
        <v>0</v>
      </c>
      <c r="AN149" s="1064"/>
      <c r="AO149" s="1064">
        <f>TB_prev[[#This Row],[Closing balance]]+TB_prev[[#This Row],[Rounding]]</f>
        <v>0</v>
      </c>
    </row>
    <row r="150" spans="30:41" x14ac:dyDescent="0.25">
      <c r="AD150" s="1067" t="str">
        <f t="shared" si="10"/>
        <v/>
      </c>
      <c r="AE150" s="1063" t="str">
        <f>IF(ISNA(VLOOKUP(TB_prev[[#This Row],[Synt]],GL[[#Headers],[#Data],[subtotal label]],1,FALSE)),0,(VLOOKUP(TB_prev[[#This Row],[Synt]],GL[[#Headers],[#Data],[subtotal label]],1,FALSE)))</f>
        <v/>
      </c>
      <c r="AF150" s="1063" t="e">
        <f>IF((TB_prev[[#This Row],[Synt]]-TB_prev[[#This Row],[Subtotal Y/N]])=0,0,VLOOKUP(TB_prev[[#This Row],[Synt]],GL[[Account]:[Line]],3,FALSE))</f>
        <v>#VALUE!</v>
      </c>
      <c r="AG150" s="1063" t="e">
        <f>VLOOKUP(TB_prev[[#This Row],[Synt]],GL[[Account]:[B/P]],4,FALSE)</f>
        <v>#N/A</v>
      </c>
      <c r="AH150" s="1066" t="e">
        <v>#VALUE!</v>
      </c>
      <c r="AI150" s="1065" t="e">
        <f>TB_prev[[#This Row],[Synt]]&amp;TB_prev[[#This Row],[Line No. manual corr.]]</f>
        <v>#VALUE!</v>
      </c>
      <c r="AJ150" s="1064">
        <f t="shared" si="11"/>
        <v>0</v>
      </c>
      <c r="AK150" s="1064">
        <f t="shared" si="12"/>
        <v>0</v>
      </c>
      <c r="AL150" s="1064">
        <f t="shared" si="13"/>
        <v>0</v>
      </c>
      <c r="AM150" s="1064">
        <f t="shared" si="14"/>
        <v>0</v>
      </c>
      <c r="AN150" s="1064"/>
      <c r="AO150" s="1064">
        <f>TB_prev[[#This Row],[Closing balance]]+TB_prev[[#This Row],[Rounding]]</f>
        <v>0</v>
      </c>
    </row>
    <row r="151" spans="30:41" x14ac:dyDescent="0.25">
      <c r="AD151" s="1067" t="str">
        <f t="shared" si="10"/>
        <v/>
      </c>
      <c r="AE151" s="1063" t="str">
        <f>IF(ISNA(VLOOKUP(TB_prev[[#This Row],[Synt]],GL[[#Headers],[#Data],[subtotal label]],1,FALSE)),0,(VLOOKUP(TB_prev[[#This Row],[Synt]],GL[[#Headers],[#Data],[subtotal label]],1,FALSE)))</f>
        <v/>
      </c>
      <c r="AF151" s="1063" t="e">
        <f>IF((TB_prev[[#This Row],[Synt]]-TB_prev[[#This Row],[Subtotal Y/N]])=0,0,VLOOKUP(TB_prev[[#This Row],[Synt]],GL[[Account]:[Line]],3,FALSE))</f>
        <v>#VALUE!</v>
      </c>
      <c r="AG151" s="1063" t="e">
        <f>VLOOKUP(TB_prev[[#This Row],[Synt]],GL[[Account]:[B/P]],4,FALSE)</f>
        <v>#N/A</v>
      </c>
      <c r="AH151" s="1066" t="e">
        <v>#VALUE!</v>
      </c>
      <c r="AI151" s="1065" t="e">
        <f>TB_prev[[#This Row],[Synt]]&amp;TB_prev[[#This Row],[Line No. manual corr.]]</f>
        <v>#VALUE!</v>
      </c>
      <c r="AJ151" s="1064">
        <f t="shared" si="11"/>
        <v>0</v>
      </c>
      <c r="AK151" s="1064">
        <f t="shared" si="12"/>
        <v>0</v>
      </c>
      <c r="AL151" s="1064">
        <f t="shared" si="13"/>
        <v>0</v>
      </c>
      <c r="AM151" s="1064">
        <f t="shared" si="14"/>
        <v>0</v>
      </c>
      <c r="AN151" s="1064"/>
      <c r="AO151" s="1064">
        <f>TB_prev[[#This Row],[Closing balance]]+TB_prev[[#This Row],[Rounding]]</f>
        <v>0</v>
      </c>
    </row>
    <row r="152" spans="30:41" x14ac:dyDescent="0.25">
      <c r="AD152" s="1067" t="str">
        <f t="shared" si="10"/>
        <v/>
      </c>
      <c r="AE152" s="1063" t="str">
        <f>IF(ISNA(VLOOKUP(TB_prev[[#This Row],[Synt]],GL[[#Headers],[#Data],[subtotal label]],1,FALSE)),0,(VLOOKUP(TB_prev[[#This Row],[Synt]],GL[[#Headers],[#Data],[subtotal label]],1,FALSE)))</f>
        <v/>
      </c>
      <c r="AF152" s="1063" t="e">
        <f>IF((TB_prev[[#This Row],[Synt]]-TB_prev[[#This Row],[Subtotal Y/N]])=0,0,VLOOKUP(TB_prev[[#This Row],[Synt]],GL[[Account]:[Line]],3,FALSE))</f>
        <v>#VALUE!</v>
      </c>
      <c r="AG152" s="1063" t="e">
        <f>VLOOKUP(TB_prev[[#This Row],[Synt]],GL[[Account]:[B/P]],4,FALSE)</f>
        <v>#N/A</v>
      </c>
      <c r="AH152" s="1066" t="e">
        <v>#VALUE!</v>
      </c>
      <c r="AI152" s="1065" t="e">
        <f>TB_prev[[#This Row],[Synt]]&amp;TB_prev[[#This Row],[Line No. manual corr.]]</f>
        <v>#VALUE!</v>
      </c>
      <c r="AJ152" s="1064">
        <f t="shared" si="11"/>
        <v>0</v>
      </c>
      <c r="AK152" s="1064">
        <f t="shared" si="12"/>
        <v>0</v>
      </c>
      <c r="AL152" s="1064">
        <f t="shared" si="13"/>
        <v>0</v>
      </c>
      <c r="AM152" s="1064">
        <f t="shared" si="14"/>
        <v>0</v>
      </c>
      <c r="AN152" s="1064"/>
      <c r="AO152" s="1064">
        <f>TB_prev[[#This Row],[Closing balance]]+TB_prev[[#This Row],[Rounding]]</f>
        <v>0</v>
      </c>
    </row>
    <row r="153" spans="30:41" x14ac:dyDescent="0.25">
      <c r="AD153" s="1067" t="str">
        <f t="shared" si="10"/>
        <v/>
      </c>
      <c r="AE153" s="1063" t="str">
        <f>IF(ISNA(VLOOKUP(TB_prev[[#This Row],[Synt]],GL[[#Headers],[#Data],[subtotal label]],1,FALSE)),0,(VLOOKUP(TB_prev[[#This Row],[Synt]],GL[[#Headers],[#Data],[subtotal label]],1,FALSE)))</f>
        <v/>
      </c>
      <c r="AF153" s="1063" t="e">
        <f>IF((TB_prev[[#This Row],[Synt]]-TB_prev[[#This Row],[Subtotal Y/N]])=0,0,VLOOKUP(TB_prev[[#This Row],[Synt]],GL[[Account]:[Line]],3,FALSE))</f>
        <v>#VALUE!</v>
      </c>
      <c r="AG153" s="1063" t="e">
        <f>VLOOKUP(TB_prev[[#This Row],[Synt]],GL[[Account]:[B/P]],4,FALSE)</f>
        <v>#N/A</v>
      </c>
      <c r="AH153" s="1066" t="e">
        <v>#VALUE!</v>
      </c>
      <c r="AI153" s="1065" t="e">
        <f>TB_prev[[#This Row],[Synt]]&amp;TB_prev[[#This Row],[Line No. manual corr.]]</f>
        <v>#VALUE!</v>
      </c>
      <c r="AJ153" s="1064">
        <f t="shared" si="11"/>
        <v>0</v>
      </c>
      <c r="AK153" s="1064">
        <f t="shared" si="12"/>
        <v>0</v>
      </c>
      <c r="AL153" s="1064">
        <f t="shared" si="13"/>
        <v>0</v>
      </c>
      <c r="AM153" s="1064">
        <f t="shared" si="14"/>
        <v>0</v>
      </c>
      <c r="AN153" s="1064"/>
      <c r="AO153" s="1064">
        <f>TB_prev[[#This Row],[Closing balance]]+TB_prev[[#This Row],[Rounding]]</f>
        <v>0</v>
      </c>
    </row>
    <row r="154" spans="30:41" x14ac:dyDescent="0.25">
      <c r="AD154" s="1067" t="str">
        <f t="shared" si="10"/>
        <v/>
      </c>
      <c r="AE154" s="1063" t="str">
        <f>IF(ISNA(VLOOKUP(TB_prev[[#This Row],[Synt]],GL[[#Headers],[#Data],[subtotal label]],1,FALSE)),0,(VLOOKUP(TB_prev[[#This Row],[Synt]],GL[[#Headers],[#Data],[subtotal label]],1,FALSE)))</f>
        <v/>
      </c>
      <c r="AF154" s="1063" t="e">
        <f>IF((TB_prev[[#This Row],[Synt]]-TB_prev[[#This Row],[Subtotal Y/N]])=0,0,VLOOKUP(TB_prev[[#This Row],[Synt]],GL[[Account]:[Line]],3,FALSE))</f>
        <v>#VALUE!</v>
      </c>
      <c r="AG154" s="1063" t="e">
        <f>VLOOKUP(TB_prev[[#This Row],[Synt]],GL[[Account]:[B/P]],4,FALSE)</f>
        <v>#N/A</v>
      </c>
      <c r="AH154" s="1066" t="e">
        <v>#VALUE!</v>
      </c>
      <c r="AI154" s="1065" t="e">
        <f>TB_prev[[#This Row],[Synt]]&amp;TB_prev[[#This Row],[Line No. manual corr.]]</f>
        <v>#VALUE!</v>
      </c>
      <c r="AJ154" s="1064">
        <f t="shared" si="11"/>
        <v>0</v>
      </c>
      <c r="AK154" s="1064">
        <f t="shared" si="12"/>
        <v>0</v>
      </c>
      <c r="AL154" s="1064">
        <f t="shared" si="13"/>
        <v>0</v>
      </c>
      <c r="AM154" s="1064">
        <f t="shared" si="14"/>
        <v>0</v>
      </c>
      <c r="AN154" s="1064"/>
      <c r="AO154" s="1064">
        <f>TB_prev[[#This Row],[Closing balance]]+TB_prev[[#This Row],[Rounding]]</f>
        <v>0</v>
      </c>
    </row>
    <row r="155" spans="30:41" x14ac:dyDescent="0.25">
      <c r="AD155" s="1067" t="str">
        <f t="shared" si="10"/>
        <v/>
      </c>
      <c r="AE155" s="1063" t="str">
        <f>IF(ISNA(VLOOKUP(TB_prev[[#This Row],[Synt]],GL[[#Headers],[#Data],[subtotal label]],1,FALSE)),0,(VLOOKUP(TB_prev[[#This Row],[Synt]],GL[[#Headers],[#Data],[subtotal label]],1,FALSE)))</f>
        <v/>
      </c>
      <c r="AF155" s="1063" t="e">
        <f>IF((TB_prev[[#This Row],[Synt]]-TB_prev[[#This Row],[Subtotal Y/N]])=0,0,VLOOKUP(TB_prev[[#This Row],[Synt]],GL[[Account]:[Line]],3,FALSE))</f>
        <v>#VALUE!</v>
      </c>
      <c r="AG155" s="1063" t="e">
        <f>VLOOKUP(TB_prev[[#This Row],[Synt]],GL[[Account]:[B/P]],4,FALSE)</f>
        <v>#N/A</v>
      </c>
      <c r="AH155" s="1066" t="e">
        <v>#VALUE!</v>
      </c>
      <c r="AI155" s="1065" t="e">
        <f>TB_prev[[#This Row],[Synt]]&amp;TB_prev[[#This Row],[Line No. manual corr.]]</f>
        <v>#VALUE!</v>
      </c>
      <c r="AJ155" s="1064">
        <f t="shared" si="11"/>
        <v>0</v>
      </c>
      <c r="AK155" s="1064">
        <f t="shared" si="12"/>
        <v>0</v>
      </c>
      <c r="AL155" s="1064">
        <f t="shared" si="13"/>
        <v>0</v>
      </c>
      <c r="AM155" s="1064">
        <f t="shared" si="14"/>
        <v>0</v>
      </c>
      <c r="AN155" s="1064"/>
      <c r="AO155" s="1064">
        <f>TB_prev[[#This Row],[Closing balance]]+TB_prev[[#This Row],[Rounding]]</f>
        <v>0</v>
      </c>
    </row>
    <row r="156" spans="30:41" x14ac:dyDescent="0.25">
      <c r="AD156" s="1067" t="str">
        <f t="shared" si="10"/>
        <v/>
      </c>
      <c r="AE156" s="1063" t="str">
        <f>IF(ISNA(VLOOKUP(TB_prev[[#This Row],[Synt]],GL[[#Headers],[#Data],[subtotal label]],1,FALSE)),0,(VLOOKUP(TB_prev[[#This Row],[Synt]],GL[[#Headers],[#Data],[subtotal label]],1,FALSE)))</f>
        <v/>
      </c>
      <c r="AF156" s="1063" t="e">
        <f>IF((TB_prev[[#This Row],[Synt]]-TB_prev[[#This Row],[Subtotal Y/N]])=0,0,VLOOKUP(TB_prev[[#This Row],[Synt]],GL[[Account]:[Line]],3,FALSE))</f>
        <v>#VALUE!</v>
      </c>
      <c r="AG156" s="1063" t="e">
        <f>VLOOKUP(TB_prev[[#This Row],[Synt]],GL[[Account]:[B/P]],4,FALSE)</f>
        <v>#N/A</v>
      </c>
      <c r="AH156" s="1066" t="e">
        <v>#VALUE!</v>
      </c>
      <c r="AI156" s="1065" t="e">
        <f>TB_prev[[#This Row],[Synt]]&amp;TB_prev[[#This Row],[Line No. manual corr.]]</f>
        <v>#VALUE!</v>
      </c>
      <c r="AJ156" s="1064">
        <f t="shared" si="11"/>
        <v>0</v>
      </c>
      <c r="AK156" s="1064">
        <f t="shared" si="12"/>
        <v>0</v>
      </c>
      <c r="AL156" s="1064">
        <f t="shared" si="13"/>
        <v>0</v>
      </c>
      <c r="AM156" s="1064">
        <f t="shared" si="14"/>
        <v>0</v>
      </c>
      <c r="AN156" s="1064"/>
      <c r="AO156" s="1064">
        <f>TB_prev[[#This Row],[Closing balance]]+TB_prev[[#This Row],[Rounding]]</f>
        <v>0</v>
      </c>
    </row>
    <row r="157" spans="30:41" x14ac:dyDescent="0.25">
      <c r="AD157" s="1067" t="str">
        <f t="shared" si="10"/>
        <v/>
      </c>
      <c r="AE157" s="1063" t="str">
        <f>IF(ISNA(VLOOKUP(TB_prev[[#This Row],[Synt]],GL[[#Headers],[#Data],[subtotal label]],1,FALSE)),0,(VLOOKUP(TB_prev[[#This Row],[Synt]],GL[[#Headers],[#Data],[subtotal label]],1,FALSE)))</f>
        <v/>
      </c>
      <c r="AF157" s="1063" t="e">
        <f>IF((TB_prev[[#This Row],[Synt]]-TB_prev[[#This Row],[Subtotal Y/N]])=0,0,VLOOKUP(TB_prev[[#This Row],[Synt]],GL[[Account]:[Line]],3,FALSE))</f>
        <v>#VALUE!</v>
      </c>
      <c r="AG157" s="1063" t="e">
        <f>VLOOKUP(TB_prev[[#This Row],[Synt]],GL[[Account]:[B/P]],4,FALSE)</f>
        <v>#N/A</v>
      </c>
      <c r="AH157" s="1066" t="e">
        <v>#VALUE!</v>
      </c>
      <c r="AI157" s="1065" t="e">
        <f>TB_prev[[#This Row],[Synt]]&amp;TB_prev[[#This Row],[Line No. manual corr.]]</f>
        <v>#VALUE!</v>
      </c>
      <c r="AJ157" s="1064">
        <f t="shared" si="11"/>
        <v>0</v>
      </c>
      <c r="AK157" s="1064">
        <f t="shared" si="12"/>
        <v>0</v>
      </c>
      <c r="AL157" s="1064">
        <f t="shared" si="13"/>
        <v>0</v>
      </c>
      <c r="AM157" s="1064">
        <f t="shared" si="14"/>
        <v>0</v>
      </c>
      <c r="AN157" s="1064"/>
      <c r="AO157" s="1064">
        <f>TB_prev[[#This Row],[Closing balance]]+TB_prev[[#This Row],[Rounding]]</f>
        <v>0</v>
      </c>
    </row>
    <row r="158" spans="30:41" x14ac:dyDescent="0.25">
      <c r="AD158" s="1067" t="str">
        <f t="shared" si="10"/>
        <v/>
      </c>
      <c r="AE158" s="1063" t="str">
        <f>IF(ISNA(VLOOKUP(TB_prev[[#This Row],[Synt]],GL[[#Headers],[#Data],[subtotal label]],1,FALSE)),0,(VLOOKUP(TB_prev[[#This Row],[Synt]],GL[[#Headers],[#Data],[subtotal label]],1,FALSE)))</f>
        <v/>
      </c>
      <c r="AF158" s="1063" t="e">
        <f>IF((TB_prev[[#This Row],[Synt]]-TB_prev[[#This Row],[Subtotal Y/N]])=0,0,VLOOKUP(TB_prev[[#This Row],[Synt]],GL[[Account]:[Line]],3,FALSE))</f>
        <v>#VALUE!</v>
      </c>
      <c r="AG158" s="1063" t="e">
        <f>VLOOKUP(TB_prev[[#This Row],[Synt]],GL[[Account]:[B/P]],4,FALSE)</f>
        <v>#N/A</v>
      </c>
      <c r="AH158" s="1066" t="e">
        <v>#VALUE!</v>
      </c>
      <c r="AI158" s="1065" t="e">
        <f>TB_prev[[#This Row],[Synt]]&amp;TB_prev[[#This Row],[Line No. manual corr.]]</f>
        <v>#VALUE!</v>
      </c>
      <c r="AJ158" s="1064">
        <f t="shared" si="11"/>
        <v>0</v>
      </c>
      <c r="AK158" s="1064">
        <f t="shared" si="12"/>
        <v>0</v>
      </c>
      <c r="AL158" s="1064">
        <f t="shared" si="13"/>
        <v>0</v>
      </c>
      <c r="AM158" s="1064">
        <f t="shared" si="14"/>
        <v>0</v>
      </c>
      <c r="AN158" s="1064"/>
      <c r="AO158" s="1064">
        <f>TB_prev[[#This Row],[Closing balance]]+TB_prev[[#This Row],[Rounding]]</f>
        <v>0</v>
      </c>
    </row>
    <row r="159" spans="30:41" x14ac:dyDescent="0.25">
      <c r="AD159" s="1067" t="str">
        <f t="shared" si="10"/>
        <v/>
      </c>
      <c r="AE159" s="1063" t="str">
        <f>IF(ISNA(VLOOKUP(TB_prev[[#This Row],[Synt]],GL[[#Headers],[#Data],[subtotal label]],1,FALSE)),0,(VLOOKUP(TB_prev[[#This Row],[Synt]],GL[[#Headers],[#Data],[subtotal label]],1,FALSE)))</f>
        <v/>
      </c>
      <c r="AF159" s="1063" t="e">
        <f>IF((TB_prev[[#This Row],[Synt]]-TB_prev[[#This Row],[Subtotal Y/N]])=0,0,VLOOKUP(TB_prev[[#This Row],[Synt]],GL[[Account]:[Line]],3,FALSE))</f>
        <v>#VALUE!</v>
      </c>
      <c r="AG159" s="1063" t="e">
        <f>VLOOKUP(TB_prev[[#This Row],[Synt]],GL[[Account]:[B/P]],4,FALSE)</f>
        <v>#N/A</v>
      </c>
      <c r="AH159" s="1066" t="e">
        <v>#VALUE!</v>
      </c>
      <c r="AI159" s="1065" t="e">
        <f>TB_prev[[#This Row],[Synt]]&amp;TB_prev[[#This Row],[Line No. manual corr.]]</f>
        <v>#VALUE!</v>
      </c>
      <c r="AJ159" s="1064">
        <f t="shared" si="11"/>
        <v>0</v>
      </c>
      <c r="AK159" s="1064">
        <f t="shared" si="12"/>
        <v>0</v>
      </c>
      <c r="AL159" s="1064">
        <f t="shared" si="13"/>
        <v>0</v>
      </c>
      <c r="AM159" s="1064">
        <f t="shared" si="14"/>
        <v>0</v>
      </c>
      <c r="AN159" s="1064"/>
      <c r="AO159" s="1064">
        <f>TB_prev[[#This Row],[Closing balance]]+TB_prev[[#This Row],[Rounding]]</f>
        <v>0</v>
      </c>
    </row>
    <row r="160" spans="30:41" x14ac:dyDescent="0.25">
      <c r="AD160" s="1067" t="str">
        <f t="shared" si="10"/>
        <v/>
      </c>
      <c r="AE160" s="1063" t="str">
        <f>IF(ISNA(VLOOKUP(TB_prev[[#This Row],[Synt]],GL[[#Headers],[#Data],[subtotal label]],1,FALSE)),0,(VLOOKUP(TB_prev[[#This Row],[Synt]],GL[[#Headers],[#Data],[subtotal label]],1,FALSE)))</f>
        <v/>
      </c>
      <c r="AF160" s="1063" t="e">
        <f>IF((TB_prev[[#This Row],[Synt]]-TB_prev[[#This Row],[Subtotal Y/N]])=0,0,VLOOKUP(TB_prev[[#This Row],[Synt]],GL[[Account]:[Line]],3,FALSE))</f>
        <v>#VALUE!</v>
      </c>
      <c r="AG160" s="1063" t="e">
        <f>VLOOKUP(TB_prev[[#This Row],[Synt]],GL[[Account]:[B/P]],4,FALSE)</f>
        <v>#N/A</v>
      </c>
      <c r="AH160" s="1066" t="e">
        <v>#VALUE!</v>
      </c>
      <c r="AI160" s="1065" t="e">
        <f>TB_prev[[#This Row],[Synt]]&amp;TB_prev[[#This Row],[Line No. manual corr.]]</f>
        <v>#VALUE!</v>
      </c>
      <c r="AJ160" s="1064">
        <f t="shared" si="11"/>
        <v>0</v>
      </c>
      <c r="AK160" s="1064">
        <f t="shared" si="12"/>
        <v>0</v>
      </c>
      <c r="AL160" s="1064">
        <f t="shared" si="13"/>
        <v>0</v>
      </c>
      <c r="AM160" s="1064">
        <f t="shared" si="14"/>
        <v>0</v>
      </c>
      <c r="AN160" s="1064"/>
      <c r="AO160" s="1064">
        <f>TB_prev[[#This Row],[Closing balance]]+TB_prev[[#This Row],[Rounding]]</f>
        <v>0</v>
      </c>
    </row>
    <row r="161" spans="30:41" x14ac:dyDescent="0.25">
      <c r="AD161" s="1067" t="str">
        <f t="shared" si="10"/>
        <v/>
      </c>
      <c r="AE161" s="1063" t="str">
        <f>IF(ISNA(VLOOKUP(TB_prev[[#This Row],[Synt]],GL[[#Headers],[#Data],[subtotal label]],1,FALSE)),0,(VLOOKUP(TB_prev[[#This Row],[Synt]],GL[[#Headers],[#Data],[subtotal label]],1,FALSE)))</f>
        <v/>
      </c>
      <c r="AF161" s="1063" t="e">
        <f>IF((TB_prev[[#This Row],[Synt]]-TB_prev[[#This Row],[Subtotal Y/N]])=0,0,VLOOKUP(TB_prev[[#This Row],[Synt]],GL[[Account]:[Line]],3,FALSE))</f>
        <v>#VALUE!</v>
      </c>
      <c r="AG161" s="1063" t="e">
        <f>VLOOKUP(TB_prev[[#This Row],[Synt]],GL[[Account]:[B/P]],4,FALSE)</f>
        <v>#N/A</v>
      </c>
      <c r="AH161" s="1066" t="e">
        <v>#VALUE!</v>
      </c>
      <c r="AI161" s="1065" t="e">
        <f>TB_prev[[#This Row],[Synt]]&amp;TB_prev[[#This Row],[Line No. manual corr.]]</f>
        <v>#VALUE!</v>
      </c>
      <c r="AJ161" s="1064">
        <f t="shared" si="11"/>
        <v>0</v>
      </c>
      <c r="AK161" s="1064">
        <f t="shared" si="12"/>
        <v>0</v>
      </c>
      <c r="AL161" s="1064">
        <f t="shared" si="13"/>
        <v>0</v>
      </c>
      <c r="AM161" s="1064">
        <f t="shared" si="14"/>
        <v>0</v>
      </c>
      <c r="AN161" s="1064"/>
      <c r="AO161" s="1064">
        <f>TB_prev[[#This Row],[Closing balance]]+TB_prev[[#This Row],[Rounding]]</f>
        <v>0</v>
      </c>
    </row>
    <row r="162" spans="30:41" x14ac:dyDescent="0.25">
      <c r="AD162" s="1067" t="str">
        <f t="shared" si="10"/>
        <v/>
      </c>
      <c r="AE162" s="1063" t="str">
        <f>IF(ISNA(VLOOKUP(TB_prev[[#This Row],[Synt]],GL[[#Headers],[#Data],[subtotal label]],1,FALSE)),0,(VLOOKUP(TB_prev[[#This Row],[Synt]],GL[[#Headers],[#Data],[subtotal label]],1,FALSE)))</f>
        <v/>
      </c>
      <c r="AF162" s="1063" t="e">
        <f>IF((TB_prev[[#This Row],[Synt]]-TB_prev[[#This Row],[Subtotal Y/N]])=0,0,VLOOKUP(TB_prev[[#This Row],[Synt]],GL[[Account]:[Line]],3,FALSE))</f>
        <v>#VALUE!</v>
      </c>
      <c r="AG162" s="1063" t="e">
        <f>VLOOKUP(TB_prev[[#This Row],[Synt]],GL[[Account]:[B/P]],4,FALSE)</f>
        <v>#N/A</v>
      </c>
      <c r="AH162" s="1066" t="e">
        <v>#VALUE!</v>
      </c>
      <c r="AI162" s="1065" t="e">
        <f>TB_prev[[#This Row],[Synt]]&amp;TB_prev[[#This Row],[Line No. manual corr.]]</f>
        <v>#VALUE!</v>
      </c>
      <c r="AJ162" s="1064">
        <f t="shared" si="11"/>
        <v>0</v>
      </c>
      <c r="AK162" s="1064">
        <f t="shared" si="12"/>
        <v>0</v>
      </c>
      <c r="AL162" s="1064">
        <f t="shared" si="13"/>
        <v>0</v>
      </c>
      <c r="AM162" s="1064">
        <f t="shared" si="14"/>
        <v>0</v>
      </c>
      <c r="AN162" s="1064"/>
      <c r="AO162" s="1064">
        <f>TB_prev[[#This Row],[Closing balance]]+TB_prev[[#This Row],[Rounding]]</f>
        <v>0</v>
      </c>
    </row>
    <row r="163" spans="30:41" x14ac:dyDescent="0.25">
      <c r="AD163" s="1067" t="str">
        <f t="shared" si="10"/>
        <v/>
      </c>
      <c r="AE163" s="1063" t="str">
        <f>IF(ISNA(VLOOKUP(TB_prev[[#This Row],[Synt]],GL[[#Headers],[#Data],[subtotal label]],1,FALSE)),0,(VLOOKUP(TB_prev[[#This Row],[Synt]],GL[[#Headers],[#Data],[subtotal label]],1,FALSE)))</f>
        <v/>
      </c>
      <c r="AF163" s="1063" t="e">
        <f>IF((TB_prev[[#This Row],[Synt]]-TB_prev[[#This Row],[Subtotal Y/N]])=0,0,VLOOKUP(TB_prev[[#This Row],[Synt]],GL[[Account]:[Line]],3,FALSE))</f>
        <v>#VALUE!</v>
      </c>
      <c r="AG163" s="1063" t="e">
        <f>VLOOKUP(TB_prev[[#This Row],[Synt]],GL[[Account]:[B/P]],4,FALSE)</f>
        <v>#N/A</v>
      </c>
      <c r="AH163" s="1066" t="e">
        <v>#VALUE!</v>
      </c>
      <c r="AI163" s="1065" t="e">
        <f>TB_prev[[#This Row],[Synt]]&amp;TB_prev[[#This Row],[Line No. manual corr.]]</f>
        <v>#VALUE!</v>
      </c>
      <c r="AJ163" s="1064">
        <f t="shared" si="11"/>
        <v>0</v>
      </c>
      <c r="AK163" s="1064">
        <f t="shared" si="12"/>
        <v>0</v>
      </c>
      <c r="AL163" s="1064">
        <f t="shared" si="13"/>
        <v>0</v>
      </c>
      <c r="AM163" s="1064">
        <f t="shared" si="14"/>
        <v>0</v>
      </c>
      <c r="AN163" s="1064"/>
      <c r="AO163" s="1064">
        <f>TB_prev[[#This Row],[Closing balance]]+TB_prev[[#This Row],[Rounding]]</f>
        <v>0</v>
      </c>
    </row>
    <row r="164" spans="30:41" x14ac:dyDescent="0.25">
      <c r="AD164" s="1067" t="str">
        <f t="shared" si="10"/>
        <v/>
      </c>
      <c r="AE164" s="1063" t="str">
        <f>IF(ISNA(VLOOKUP(TB_prev[[#This Row],[Synt]],GL[[#Headers],[#Data],[subtotal label]],1,FALSE)),0,(VLOOKUP(TB_prev[[#This Row],[Synt]],GL[[#Headers],[#Data],[subtotal label]],1,FALSE)))</f>
        <v/>
      </c>
      <c r="AF164" s="1063" t="e">
        <f>IF((TB_prev[[#This Row],[Synt]]-TB_prev[[#This Row],[Subtotal Y/N]])=0,0,VLOOKUP(TB_prev[[#This Row],[Synt]],GL[[Account]:[Line]],3,FALSE))</f>
        <v>#VALUE!</v>
      </c>
      <c r="AG164" s="1063" t="e">
        <f>VLOOKUP(TB_prev[[#This Row],[Synt]],GL[[Account]:[B/P]],4,FALSE)</f>
        <v>#N/A</v>
      </c>
      <c r="AH164" s="1066" t="e">
        <v>#VALUE!</v>
      </c>
      <c r="AI164" s="1065" t="e">
        <f>TB_prev[[#This Row],[Synt]]&amp;TB_prev[[#This Row],[Line No. manual corr.]]</f>
        <v>#VALUE!</v>
      </c>
      <c r="AJ164" s="1064">
        <f t="shared" si="11"/>
        <v>0</v>
      </c>
      <c r="AK164" s="1064">
        <f t="shared" si="12"/>
        <v>0</v>
      </c>
      <c r="AL164" s="1064">
        <f t="shared" si="13"/>
        <v>0</v>
      </c>
      <c r="AM164" s="1064">
        <f t="shared" si="14"/>
        <v>0</v>
      </c>
      <c r="AN164" s="1064"/>
      <c r="AO164" s="1064">
        <f>TB_prev[[#This Row],[Closing balance]]+TB_prev[[#This Row],[Rounding]]</f>
        <v>0</v>
      </c>
    </row>
    <row r="165" spans="30:41" x14ac:dyDescent="0.25">
      <c r="AD165" s="1067" t="str">
        <f t="shared" si="10"/>
        <v/>
      </c>
      <c r="AE165" s="1063" t="str">
        <f>IF(ISNA(VLOOKUP(TB_prev[[#This Row],[Synt]],GL[[#Headers],[#Data],[subtotal label]],1,FALSE)),0,(VLOOKUP(TB_prev[[#This Row],[Synt]],GL[[#Headers],[#Data],[subtotal label]],1,FALSE)))</f>
        <v/>
      </c>
      <c r="AF165" s="1063" t="e">
        <f>IF((TB_prev[[#This Row],[Synt]]-TB_prev[[#This Row],[Subtotal Y/N]])=0,0,VLOOKUP(TB_prev[[#This Row],[Synt]],GL[[Account]:[Line]],3,FALSE))</f>
        <v>#VALUE!</v>
      </c>
      <c r="AG165" s="1063" t="e">
        <f>VLOOKUP(TB_prev[[#This Row],[Synt]],GL[[Account]:[B/P]],4,FALSE)</f>
        <v>#N/A</v>
      </c>
      <c r="AH165" s="1066" t="e">
        <v>#VALUE!</v>
      </c>
      <c r="AI165" s="1065" t="e">
        <f>TB_prev[[#This Row],[Synt]]&amp;TB_prev[[#This Row],[Line No. manual corr.]]</f>
        <v>#VALUE!</v>
      </c>
      <c r="AJ165" s="1064">
        <f t="shared" si="11"/>
        <v>0</v>
      </c>
      <c r="AK165" s="1064">
        <f t="shared" si="12"/>
        <v>0</v>
      </c>
      <c r="AL165" s="1064">
        <f t="shared" si="13"/>
        <v>0</v>
      </c>
      <c r="AM165" s="1064">
        <f t="shared" si="14"/>
        <v>0</v>
      </c>
      <c r="AN165" s="1064"/>
      <c r="AO165" s="1064">
        <f>TB_prev[[#This Row],[Closing balance]]+TB_prev[[#This Row],[Rounding]]</f>
        <v>0</v>
      </c>
    </row>
    <row r="166" spans="30:41" x14ac:dyDescent="0.25">
      <c r="AD166" s="1067" t="str">
        <f t="shared" si="10"/>
        <v/>
      </c>
      <c r="AE166" s="1063" t="str">
        <f>IF(ISNA(VLOOKUP(TB_prev[[#This Row],[Synt]],GL[[#Headers],[#Data],[subtotal label]],1,FALSE)),0,(VLOOKUP(TB_prev[[#This Row],[Synt]],GL[[#Headers],[#Data],[subtotal label]],1,FALSE)))</f>
        <v/>
      </c>
      <c r="AF166" s="1063" t="e">
        <f>IF((TB_prev[[#This Row],[Synt]]-TB_prev[[#This Row],[Subtotal Y/N]])=0,0,VLOOKUP(TB_prev[[#This Row],[Synt]],GL[[Account]:[Line]],3,FALSE))</f>
        <v>#VALUE!</v>
      </c>
      <c r="AG166" s="1063" t="e">
        <f>VLOOKUP(TB_prev[[#This Row],[Synt]],GL[[Account]:[B/P]],4,FALSE)</f>
        <v>#N/A</v>
      </c>
      <c r="AH166" s="1066" t="e">
        <v>#VALUE!</v>
      </c>
      <c r="AI166" s="1065" t="e">
        <f>TB_prev[[#This Row],[Synt]]&amp;TB_prev[[#This Row],[Line No. manual corr.]]</f>
        <v>#VALUE!</v>
      </c>
      <c r="AJ166" s="1064">
        <f t="shared" si="11"/>
        <v>0</v>
      </c>
      <c r="AK166" s="1064">
        <f t="shared" si="12"/>
        <v>0</v>
      </c>
      <c r="AL166" s="1064">
        <f t="shared" si="13"/>
        <v>0</v>
      </c>
      <c r="AM166" s="1064">
        <f t="shared" si="14"/>
        <v>0</v>
      </c>
      <c r="AN166" s="1064"/>
      <c r="AO166" s="1064">
        <f>TB_prev[[#This Row],[Closing balance]]+TB_prev[[#This Row],[Rounding]]</f>
        <v>0</v>
      </c>
    </row>
    <row r="167" spans="30:41" x14ac:dyDescent="0.25">
      <c r="AD167" s="1067" t="str">
        <f t="shared" si="10"/>
        <v/>
      </c>
      <c r="AE167" s="1063" t="str">
        <f>IF(ISNA(VLOOKUP(TB_prev[[#This Row],[Synt]],GL[[#Headers],[#Data],[subtotal label]],1,FALSE)),0,(VLOOKUP(TB_prev[[#This Row],[Synt]],GL[[#Headers],[#Data],[subtotal label]],1,FALSE)))</f>
        <v/>
      </c>
      <c r="AF167" s="1063" t="e">
        <f>IF((TB_prev[[#This Row],[Synt]]-TB_prev[[#This Row],[Subtotal Y/N]])=0,0,VLOOKUP(TB_prev[[#This Row],[Synt]],GL[[Account]:[Line]],3,FALSE))</f>
        <v>#VALUE!</v>
      </c>
      <c r="AG167" s="1063" t="e">
        <f>VLOOKUP(TB_prev[[#This Row],[Synt]],GL[[Account]:[B/P]],4,FALSE)</f>
        <v>#N/A</v>
      </c>
      <c r="AH167" s="1066" t="e">
        <v>#VALUE!</v>
      </c>
      <c r="AI167" s="1065" t="e">
        <f>TB_prev[[#This Row],[Synt]]&amp;TB_prev[[#This Row],[Line No. manual corr.]]</f>
        <v>#VALUE!</v>
      </c>
      <c r="AJ167" s="1064">
        <f t="shared" si="11"/>
        <v>0</v>
      </c>
      <c r="AK167" s="1064">
        <f t="shared" si="12"/>
        <v>0</v>
      </c>
      <c r="AL167" s="1064">
        <f t="shared" si="13"/>
        <v>0</v>
      </c>
      <c r="AM167" s="1064">
        <f t="shared" si="14"/>
        <v>0</v>
      </c>
      <c r="AN167" s="1064"/>
      <c r="AO167" s="1064">
        <f>TB_prev[[#This Row],[Closing balance]]+TB_prev[[#This Row],[Rounding]]</f>
        <v>0</v>
      </c>
    </row>
    <row r="168" spans="30:41" x14ac:dyDescent="0.25">
      <c r="AD168" s="1067" t="str">
        <f t="shared" si="10"/>
        <v/>
      </c>
      <c r="AE168" s="1063" t="str">
        <f>IF(ISNA(VLOOKUP(TB_prev[[#This Row],[Synt]],GL[[#Headers],[#Data],[subtotal label]],1,FALSE)),0,(VLOOKUP(TB_prev[[#This Row],[Synt]],GL[[#Headers],[#Data],[subtotal label]],1,FALSE)))</f>
        <v/>
      </c>
      <c r="AF168" s="1063" t="e">
        <f>IF((TB_prev[[#This Row],[Synt]]-TB_prev[[#This Row],[Subtotal Y/N]])=0,0,VLOOKUP(TB_prev[[#This Row],[Synt]],GL[[Account]:[Line]],3,FALSE))</f>
        <v>#VALUE!</v>
      </c>
      <c r="AG168" s="1063" t="e">
        <f>VLOOKUP(TB_prev[[#This Row],[Synt]],GL[[Account]:[B/P]],4,FALSE)</f>
        <v>#N/A</v>
      </c>
      <c r="AH168" s="1066" t="e">
        <v>#VALUE!</v>
      </c>
      <c r="AI168" s="1065" t="e">
        <f>TB_prev[[#This Row],[Synt]]&amp;TB_prev[[#This Row],[Line No. manual corr.]]</f>
        <v>#VALUE!</v>
      </c>
      <c r="AJ168" s="1064">
        <f t="shared" si="11"/>
        <v>0</v>
      </c>
      <c r="AK168" s="1064">
        <f t="shared" si="12"/>
        <v>0</v>
      </c>
      <c r="AL168" s="1064">
        <f t="shared" si="13"/>
        <v>0</v>
      </c>
      <c r="AM168" s="1064">
        <f t="shared" si="14"/>
        <v>0</v>
      </c>
      <c r="AN168" s="1064"/>
      <c r="AO168" s="1064">
        <f>TB_prev[[#This Row],[Closing balance]]+TB_prev[[#This Row],[Rounding]]</f>
        <v>0</v>
      </c>
    </row>
    <row r="169" spans="30:41" x14ac:dyDescent="0.25">
      <c r="AD169" s="1067" t="str">
        <f t="shared" si="10"/>
        <v/>
      </c>
      <c r="AE169" s="1063" t="str">
        <f>IF(ISNA(VLOOKUP(TB_prev[[#This Row],[Synt]],GL[[#Headers],[#Data],[subtotal label]],1,FALSE)),0,(VLOOKUP(TB_prev[[#This Row],[Synt]],GL[[#Headers],[#Data],[subtotal label]],1,FALSE)))</f>
        <v/>
      </c>
      <c r="AF169" s="1063" t="e">
        <f>IF((TB_prev[[#This Row],[Synt]]-TB_prev[[#This Row],[Subtotal Y/N]])=0,0,VLOOKUP(TB_prev[[#This Row],[Synt]],GL[[Account]:[Line]],3,FALSE))</f>
        <v>#VALUE!</v>
      </c>
      <c r="AG169" s="1063" t="e">
        <f>VLOOKUP(TB_prev[[#This Row],[Synt]],GL[[Account]:[B/P]],4,FALSE)</f>
        <v>#N/A</v>
      </c>
      <c r="AH169" s="1066" t="e">
        <v>#VALUE!</v>
      </c>
      <c r="AI169" s="1065" t="e">
        <f>TB_prev[[#This Row],[Synt]]&amp;TB_prev[[#This Row],[Line No. manual corr.]]</f>
        <v>#VALUE!</v>
      </c>
      <c r="AJ169" s="1064">
        <f t="shared" si="11"/>
        <v>0</v>
      </c>
      <c r="AK169" s="1064">
        <f t="shared" si="12"/>
        <v>0</v>
      </c>
      <c r="AL169" s="1064">
        <f t="shared" si="13"/>
        <v>0</v>
      </c>
      <c r="AM169" s="1064">
        <f t="shared" si="14"/>
        <v>0</v>
      </c>
      <c r="AN169" s="1064"/>
      <c r="AO169" s="1064">
        <f>TB_prev[[#This Row],[Closing balance]]+TB_prev[[#This Row],[Rounding]]</f>
        <v>0</v>
      </c>
    </row>
    <row r="170" spans="30:41" x14ac:dyDescent="0.25">
      <c r="AD170" s="1067" t="str">
        <f t="shared" si="10"/>
        <v/>
      </c>
      <c r="AE170" s="1063" t="str">
        <f>IF(ISNA(VLOOKUP(TB_prev[[#This Row],[Synt]],GL[[#Headers],[#Data],[subtotal label]],1,FALSE)),0,(VLOOKUP(TB_prev[[#This Row],[Synt]],GL[[#Headers],[#Data],[subtotal label]],1,FALSE)))</f>
        <v/>
      </c>
      <c r="AF170" s="1063" t="e">
        <f>IF((TB_prev[[#This Row],[Synt]]-TB_prev[[#This Row],[Subtotal Y/N]])=0,0,VLOOKUP(TB_prev[[#This Row],[Synt]],GL[[Account]:[Line]],3,FALSE))</f>
        <v>#VALUE!</v>
      </c>
      <c r="AG170" s="1063" t="e">
        <f>VLOOKUP(TB_prev[[#This Row],[Synt]],GL[[Account]:[B/P]],4,FALSE)</f>
        <v>#N/A</v>
      </c>
      <c r="AH170" s="1066" t="e">
        <v>#VALUE!</v>
      </c>
      <c r="AI170" s="1065" t="e">
        <f>TB_prev[[#This Row],[Synt]]&amp;TB_prev[[#This Row],[Line No. manual corr.]]</f>
        <v>#VALUE!</v>
      </c>
      <c r="AJ170" s="1064">
        <f t="shared" si="11"/>
        <v>0</v>
      </c>
      <c r="AK170" s="1064">
        <f t="shared" si="12"/>
        <v>0</v>
      </c>
      <c r="AL170" s="1064">
        <f t="shared" si="13"/>
        <v>0</v>
      </c>
      <c r="AM170" s="1064">
        <f t="shared" si="14"/>
        <v>0</v>
      </c>
      <c r="AN170" s="1064"/>
      <c r="AO170" s="1064">
        <f>TB_prev[[#This Row],[Closing balance]]+TB_prev[[#This Row],[Rounding]]</f>
        <v>0</v>
      </c>
    </row>
    <row r="171" spans="30:41" x14ac:dyDescent="0.25">
      <c r="AD171" s="1067" t="str">
        <f t="shared" si="10"/>
        <v/>
      </c>
      <c r="AE171" s="1063" t="str">
        <f>IF(ISNA(VLOOKUP(TB_prev[[#This Row],[Synt]],GL[[#Headers],[#Data],[subtotal label]],1,FALSE)),0,(VLOOKUP(TB_prev[[#This Row],[Synt]],GL[[#Headers],[#Data],[subtotal label]],1,FALSE)))</f>
        <v/>
      </c>
      <c r="AF171" s="1063" t="e">
        <f>IF((TB_prev[[#This Row],[Synt]]-TB_prev[[#This Row],[Subtotal Y/N]])=0,0,VLOOKUP(TB_prev[[#This Row],[Synt]],GL[[Account]:[Line]],3,FALSE))</f>
        <v>#VALUE!</v>
      </c>
      <c r="AG171" s="1063" t="e">
        <f>VLOOKUP(TB_prev[[#This Row],[Synt]],GL[[Account]:[B/P]],4,FALSE)</f>
        <v>#N/A</v>
      </c>
      <c r="AH171" s="1066" t="e">
        <v>#VALUE!</v>
      </c>
      <c r="AI171" s="1065" t="e">
        <f>TB_prev[[#This Row],[Synt]]&amp;TB_prev[[#This Row],[Line No. manual corr.]]</f>
        <v>#VALUE!</v>
      </c>
      <c r="AJ171" s="1064">
        <f t="shared" si="11"/>
        <v>0</v>
      </c>
      <c r="AK171" s="1064">
        <f t="shared" si="12"/>
        <v>0</v>
      </c>
      <c r="AL171" s="1064">
        <f t="shared" si="13"/>
        <v>0</v>
      </c>
      <c r="AM171" s="1064">
        <f t="shared" si="14"/>
        <v>0</v>
      </c>
      <c r="AN171" s="1064"/>
      <c r="AO171" s="1064">
        <f>TB_prev[[#This Row],[Closing balance]]+TB_prev[[#This Row],[Rounding]]</f>
        <v>0</v>
      </c>
    </row>
    <row r="172" spans="30:41" x14ac:dyDescent="0.25">
      <c r="AD172" s="1067" t="str">
        <f t="shared" si="10"/>
        <v/>
      </c>
      <c r="AE172" s="1063" t="str">
        <f>IF(ISNA(VLOOKUP(TB_prev[[#This Row],[Synt]],GL[[#Headers],[#Data],[subtotal label]],1,FALSE)),0,(VLOOKUP(TB_prev[[#This Row],[Synt]],GL[[#Headers],[#Data],[subtotal label]],1,FALSE)))</f>
        <v/>
      </c>
      <c r="AF172" s="1063" t="e">
        <f>IF((TB_prev[[#This Row],[Synt]]-TB_prev[[#This Row],[Subtotal Y/N]])=0,0,VLOOKUP(TB_prev[[#This Row],[Synt]],GL[[Account]:[Line]],3,FALSE))</f>
        <v>#VALUE!</v>
      </c>
      <c r="AG172" s="1063" t="e">
        <f>VLOOKUP(TB_prev[[#This Row],[Synt]],GL[[Account]:[B/P]],4,FALSE)</f>
        <v>#N/A</v>
      </c>
      <c r="AH172" s="1066" t="e">
        <v>#VALUE!</v>
      </c>
      <c r="AI172" s="1065" t="e">
        <f>TB_prev[[#This Row],[Synt]]&amp;TB_prev[[#This Row],[Line No. manual corr.]]</f>
        <v>#VALUE!</v>
      </c>
      <c r="AJ172" s="1064">
        <f t="shared" si="11"/>
        <v>0</v>
      </c>
      <c r="AK172" s="1064">
        <f t="shared" si="12"/>
        <v>0</v>
      </c>
      <c r="AL172" s="1064">
        <f t="shared" si="13"/>
        <v>0</v>
      </c>
      <c r="AM172" s="1064">
        <f t="shared" si="14"/>
        <v>0</v>
      </c>
      <c r="AN172" s="1064"/>
      <c r="AO172" s="1064">
        <f>TB_prev[[#This Row],[Closing balance]]+TB_prev[[#This Row],[Rounding]]</f>
        <v>0</v>
      </c>
    </row>
    <row r="173" spans="30:41" x14ac:dyDescent="0.25">
      <c r="AD173" s="1067" t="str">
        <f t="shared" si="10"/>
        <v/>
      </c>
      <c r="AE173" s="1063" t="str">
        <f>IF(ISNA(VLOOKUP(TB_prev[[#This Row],[Synt]],GL[[#Headers],[#Data],[subtotal label]],1,FALSE)),0,(VLOOKUP(TB_prev[[#This Row],[Synt]],GL[[#Headers],[#Data],[subtotal label]],1,FALSE)))</f>
        <v/>
      </c>
      <c r="AF173" s="1063" t="e">
        <f>IF((TB_prev[[#This Row],[Synt]]-TB_prev[[#This Row],[Subtotal Y/N]])=0,0,VLOOKUP(TB_prev[[#This Row],[Synt]],GL[[Account]:[Line]],3,FALSE))</f>
        <v>#VALUE!</v>
      </c>
      <c r="AG173" s="1063" t="e">
        <f>VLOOKUP(TB_prev[[#This Row],[Synt]],GL[[Account]:[B/P]],4,FALSE)</f>
        <v>#N/A</v>
      </c>
      <c r="AH173" s="1066" t="e">
        <v>#VALUE!</v>
      </c>
      <c r="AI173" s="1065" t="e">
        <f>TB_prev[[#This Row],[Synt]]&amp;TB_prev[[#This Row],[Line No. manual corr.]]</f>
        <v>#VALUE!</v>
      </c>
      <c r="AJ173" s="1064">
        <f t="shared" si="11"/>
        <v>0</v>
      </c>
      <c r="AK173" s="1064">
        <f t="shared" si="12"/>
        <v>0</v>
      </c>
      <c r="AL173" s="1064">
        <f t="shared" si="13"/>
        <v>0</v>
      </c>
      <c r="AM173" s="1064">
        <f t="shared" si="14"/>
        <v>0</v>
      </c>
      <c r="AN173" s="1064"/>
      <c r="AO173" s="1064">
        <f>TB_prev[[#This Row],[Closing balance]]+TB_prev[[#This Row],[Rounding]]</f>
        <v>0</v>
      </c>
    </row>
    <row r="174" spans="30:41" x14ac:dyDescent="0.25">
      <c r="AD174" s="1067" t="str">
        <f t="shared" si="10"/>
        <v/>
      </c>
      <c r="AE174" s="1063" t="str">
        <f>IF(ISNA(VLOOKUP(TB_prev[[#This Row],[Synt]],GL[[#Headers],[#Data],[subtotal label]],1,FALSE)),0,(VLOOKUP(TB_prev[[#This Row],[Synt]],GL[[#Headers],[#Data],[subtotal label]],1,FALSE)))</f>
        <v/>
      </c>
      <c r="AF174" s="1063" t="e">
        <f>IF((TB_prev[[#This Row],[Synt]]-TB_prev[[#This Row],[Subtotal Y/N]])=0,0,VLOOKUP(TB_prev[[#This Row],[Synt]],GL[[Account]:[Line]],3,FALSE))</f>
        <v>#VALUE!</v>
      </c>
      <c r="AG174" s="1063" t="e">
        <f>VLOOKUP(TB_prev[[#This Row],[Synt]],GL[[Account]:[B/P]],4,FALSE)</f>
        <v>#N/A</v>
      </c>
      <c r="AH174" s="1066" t="e">
        <v>#VALUE!</v>
      </c>
      <c r="AI174" s="1065" t="e">
        <f>TB_prev[[#This Row],[Synt]]&amp;TB_prev[[#This Row],[Line No. manual corr.]]</f>
        <v>#VALUE!</v>
      </c>
      <c r="AJ174" s="1064">
        <f t="shared" si="11"/>
        <v>0</v>
      </c>
      <c r="AK174" s="1064">
        <f t="shared" si="12"/>
        <v>0</v>
      </c>
      <c r="AL174" s="1064">
        <f t="shared" si="13"/>
        <v>0</v>
      </c>
      <c r="AM174" s="1064">
        <f t="shared" si="14"/>
        <v>0</v>
      </c>
      <c r="AN174" s="1064"/>
      <c r="AO174" s="1064">
        <f>TB_prev[[#This Row],[Closing balance]]+TB_prev[[#This Row],[Rounding]]</f>
        <v>0</v>
      </c>
    </row>
    <row r="175" spans="30:41" x14ac:dyDescent="0.25">
      <c r="AD175" s="1067" t="str">
        <f t="shared" si="10"/>
        <v/>
      </c>
      <c r="AE175" s="1063" t="str">
        <f>IF(ISNA(VLOOKUP(TB_prev[[#This Row],[Synt]],GL[[#Headers],[#Data],[subtotal label]],1,FALSE)),0,(VLOOKUP(TB_prev[[#This Row],[Synt]],GL[[#Headers],[#Data],[subtotal label]],1,FALSE)))</f>
        <v/>
      </c>
      <c r="AF175" s="1063" t="e">
        <f>IF((TB_prev[[#This Row],[Synt]]-TB_prev[[#This Row],[Subtotal Y/N]])=0,0,VLOOKUP(TB_prev[[#This Row],[Synt]],GL[[Account]:[Line]],3,FALSE))</f>
        <v>#VALUE!</v>
      </c>
      <c r="AG175" s="1063" t="e">
        <f>VLOOKUP(TB_prev[[#This Row],[Synt]],GL[[Account]:[B/P]],4,FALSE)</f>
        <v>#N/A</v>
      </c>
      <c r="AH175" s="1066" t="e">
        <v>#VALUE!</v>
      </c>
      <c r="AI175" s="1065" t="e">
        <f>TB_prev[[#This Row],[Synt]]&amp;TB_prev[[#This Row],[Line No. manual corr.]]</f>
        <v>#VALUE!</v>
      </c>
      <c r="AJ175" s="1064">
        <f t="shared" si="11"/>
        <v>0</v>
      </c>
      <c r="AK175" s="1064">
        <f t="shared" si="12"/>
        <v>0</v>
      </c>
      <c r="AL175" s="1064">
        <f t="shared" si="13"/>
        <v>0</v>
      </c>
      <c r="AM175" s="1064">
        <f t="shared" si="14"/>
        <v>0</v>
      </c>
      <c r="AN175" s="1064"/>
      <c r="AO175" s="1064">
        <f>TB_prev[[#This Row],[Closing balance]]+TB_prev[[#This Row],[Rounding]]</f>
        <v>0</v>
      </c>
    </row>
    <row r="176" spans="30:41" x14ac:dyDescent="0.25">
      <c r="AD176" s="1067" t="str">
        <f t="shared" si="10"/>
        <v/>
      </c>
      <c r="AE176" s="1063" t="str">
        <f>IF(ISNA(VLOOKUP(TB_prev[[#This Row],[Synt]],GL[[#Headers],[#Data],[subtotal label]],1,FALSE)),0,(VLOOKUP(TB_prev[[#This Row],[Synt]],GL[[#Headers],[#Data],[subtotal label]],1,FALSE)))</f>
        <v/>
      </c>
      <c r="AF176" s="1063" t="e">
        <f>IF((TB_prev[[#This Row],[Synt]]-TB_prev[[#This Row],[Subtotal Y/N]])=0,0,VLOOKUP(TB_prev[[#This Row],[Synt]],GL[[Account]:[Line]],3,FALSE))</f>
        <v>#VALUE!</v>
      </c>
      <c r="AG176" s="1063" t="e">
        <f>VLOOKUP(TB_prev[[#This Row],[Synt]],GL[[Account]:[B/P]],4,FALSE)</f>
        <v>#N/A</v>
      </c>
      <c r="AH176" s="1066" t="e">
        <v>#VALUE!</v>
      </c>
      <c r="AI176" s="1065" t="e">
        <f>TB_prev[[#This Row],[Synt]]&amp;TB_prev[[#This Row],[Line No. manual corr.]]</f>
        <v>#VALUE!</v>
      </c>
      <c r="AJ176" s="1064">
        <f t="shared" si="11"/>
        <v>0</v>
      </c>
      <c r="AK176" s="1064">
        <f t="shared" si="12"/>
        <v>0</v>
      </c>
      <c r="AL176" s="1064">
        <f t="shared" si="13"/>
        <v>0</v>
      </c>
      <c r="AM176" s="1064">
        <f t="shared" si="14"/>
        <v>0</v>
      </c>
      <c r="AN176" s="1064"/>
      <c r="AO176" s="1064">
        <f>TB_prev[[#This Row],[Closing balance]]+TB_prev[[#This Row],[Rounding]]</f>
        <v>0</v>
      </c>
    </row>
    <row r="177" spans="30:41" x14ac:dyDescent="0.25">
      <c r="AD177" s="1067" t="str">
        <f t="shared" si="10"/>
        <v/>
      </c>
      <c r="AE177" s="1063" t="str">
        <f>IF(ISNA(VLOOKUP(TB_prev[[#This Row],[Synt]],GL[[#Headers],[#Data],[subtotal label]],1,FALSE)),0,(VLOOKUP(TB_prev[[#This Row],[Synt]],GL[[#Headers],[#Data],[subtotal label]],1,FALSE)))</f>
        <v/>
      </c>
      <c r="AF177" s="1063" t="e">
        <f>IF((TB_prev[[#This Row],[Synt]]-TB_prev[[#This Row],[Subtotal Y/N]])=0,0,VLOOKUP(TB_prev[[#This Row],[Synt]],GL[[Account]:[Line]],3,FALSE))</f>
        <v>#VALUE!</v>
      </c>
      <c r="AG177" s="1063" t="e">
        <f>VLOOKUP(TB_prev[[#This Row],[Synt]],GL[[Account]:[B/P]],4,FALSE)</f>
        <v>#N/A</v>
      </c>
      <c r="AH177" s="1066" t="e">
        <v>#VALUE!</v>
      </c>
      <c r="AI177" s="1065" t="e">
        <f>TB_prev[[#This Row],[Synt]]&amp;TB_prev[[#This Row],[Line No. manual corr.]]</f>
        <v>#VALUE!</v>
      </c>
      <c r="AJ177" s="1064">
        <f t="shared" si="11"/>
        <v>0</v>
      </c>
      <c r="AK177" s="1064">
        <f t="shared" si="12"/>
        <v>0</v>
      </c>
      <c r="AL177" s="1064">
        <f t="shared" si="13"/>
        <v>0</v>
      </c>
      <c r="AM177" s="1064">
        <f t="shared" si="14"/>
        <v>0</v>
      </c>
      <c r="AN177" s="1064"/>
      <c r="AO177" s="1064">
        <f>TB_prev[[#This Row],[Closing balance]]+TB_prev[[#This Row],[Rounding]]</f>
        <v>0</v>
      </c>
    </row>
    <row r="178" spans="30:41" x14ac:dyDescent="0.25">
      <c r="AD178" s="1067" t="str">
        <f t="shared" si="10"/>
        <v/>
      </c>
      <c r="AE178" s="1063" t="str">
        <f>IF(ISNA(VLOOKUP(TB_prev[[#This Row],[Synt]],GL[[#Headers],[#Data],[subtotal label]],1,FALSE)),0,(VLOOKUP(TB_prev[[#This Row],[Synt]],GL[[#Headers],[#Data],[subtotal label]],1,FALSE)))</f>
        <v/>
      </c>
      <c r="AF178" s="1063" t="e">
        <f>IF((TB_prev[[#This Row],[Synt]]-TB_prev[[#This Row],[Subtotal Y/N]])=0,0,VLOOKUP(TB_prev[[#This Row],[Synt]],GL[[Account]:[Line]],3,FALSE))</f>
        <v>#VALUE!</v>
      </c>
      <c r="AG178" s="1063" t="e">
        <f>VLOOKUP(TB_prev[[#This Row],[Synt]],GL[[Account]:[B/P]],4,FALSE)</f>
        <v>#N/A</v>
      </c>
      <c r="AH178" s="1066" t="e">
        <v>#VALUE!</v>
      </c>
      <c r="AI178" s="1065" t="e">
        <f>TB_prev[[#This Row],[Synt]]&amp;TB_prev[[#This Row],[Line No. manual corr.]]</f>
        <v>#VALUE!</v>
      </c>
      <c r="AJ178" s="1064">
        <f t="shared" si="11"/>
        <v>0</v>
      </c>
      <c r="AK178" s="1064">
        <f t="shared" si="12"/>
        <v>0</v>
      </c>
      <c r="AL178" s="1064">
        <f t="shared" si="13"/>
        <v>0</v>
      </c>
      <c r="AM178" s="1064">
        <f t="shared" si="14"/>
        <v>0</v>
      </c>
      <c r="AN178" s="1064"/>
      <c r="AO178" s="1064">
        <f>TB_prev[[#This Row],[Closing balance]]+TB_prev[[#This Row],[Rounding]]</f>
        <v>0</v>
      </c>
    </row>
    <row r="179" spans="30:41" x14ac:dyDescent="0.25">
      <c r="AD179" s="1067" t="str">
        <f t="shared" si="10"/>
        <v/>
      </c>
      <c r="AE179" s="1063" t="str">
        <f>IF(ISNA(VLOOKUP(TB_prev[[#This Row],[Synt]],GL[[#Headers],[#Data],[subtotal label]],1,FALSE)),0,(VLOOKUP(TB_prev[[#This Row],[Synt]],GL[[#Headers],[#Data],[subtotal label]],1,FALSE)))</f>
        <v/>
      </c>
      <c r="AF179" s="1063" t="e">
        <f>IF((TB_prev[[#This Row],[Synt]]-TB_prev[[#This Row],[Subtotal Y/N]])=0,0,VLOOKUP(TB_prev[[#This Row],[Synt]],GL[[Account]:[Line]],3,FALSE))</f>
        <v>#VALUE!</v>
      </c>
      <c r="AG179" s="1063" t="e">
        <f>VLOOKUP(TB_prev[[#This Row],[Synt]],GL[[Account]:[B/P]],4,FALSE)</f>
        <v>#N/A</v>
      </c>
      <c r="AH179" s="1066" t="e">
        <v>#VALUE!</v>
      </c>
      <c r="AI179" s="1065" t="e">
        <f>TB_prev[[#This Row],[Synt]]&amp;TB_prev[[#This Row],[Line No. manual corr.]]</f>
        <v>#VALUE!</v>
      </c>
      <c r="AJ179" s="1064">
        <f t="shared" si="11"/>
        <v>0</v>
      </c>
      <c r="AK179" s="1064">
        <f t="shared" si="12"/>
        <v>0</v>
      </c>
      <c r="AL179" s="1064">
        <f t="shared" si="13"/>
        <v>0</v>
      </c>
      <c r="AM179" s="1064">
        <f t="shared" si="14"/>
        <v>0</v>
      </c>
      <c r="AN179" s="1064"/>
      <c r="AO179" s="1064">
        <f>TB_prev[[#This Row],[Closing balance]]+TB_prev[[#This Row],[Rounding]]</f>
        <v>0</v>
      </c>
    </row>
    <row r="180" spans="30:41" x14ac:dyDescent="0.25">
      <c r="AD180" s="1067" t="str">
        <f t="shared" si="10"/>
        <v/>
      </c>
      <c r="AE180" s="1063" t="str">
        <f>IF(ISNA(VLOOKUP(TB_prev[[#This Row],[Synt]],GL[[#Headers],[#Data],[subtotal label]],1,FALSE)),0,(VLOOKUP(TB_prev[[#This Row],[Synt]],GL[[#Headers],[#Data],[subtotal label]],1,FALSE)))</f>
        <v/>
      </c>
      <c r="AF180" s="1063" t="e">
        <f>IF((TB_prev[[#This Row],[Synt]]-TB_prev[[#This Row],[Subtotal Y/N]])=0,0,VLOOKUP(TB_prev[[#This Row],[Synt]],GL[[Account]:[Line]],3,FALSE))</f>
        <v>#VALUE!</v>
      </c>
      <c r="AG180" s="1063" t="e">
        <f>VLOOKUP(TB_prev[[#This Row],[Synt]],GL[[Account]:[B/P]],4,FALSE)</f>
        <v>#N/A</v>
      </c>
      <c r="AH180" s="1066" t="e">
        <v>#VALUE!</v>
      </c>
      <c r="AI180" s="1065" t="e">
        <f>TB_prev[[#This Row],[Synt]]&amp;TB_prev[[#This Row],[Line No. manual corr.]]</f>
        <v>#VALUE!</v>
      </c>
      <c r="AJ180" s="1064">
        <f t="shared" si="11"/>
        <v>0</v>
      </c>
      <c r="AK180" s="1064">
        <f t="shared" si="12"/>
        <v>0</v>
      </c>
      <c r="AL180" s="1064">
        <f t="shared" si="13"/>
        <v>0</v>
      </c>
      <c r="AM180" s="1064">
        <f t="shared" si="14"/>
        <v>0</v>
      </c>
      <c r="AN180" s="1064"/>
      <c r="AO180" s="1064">
        <f>TB_prev[[#This Row],[Closing balance]]+TB_prev[[#This Row],[Rounding]]</f>
        <v>0</v>
      </c>
    </row>
    <row r="181" spans="30:41" x14ac:dyDescent="0.25">
      <c r="AD181" s="1067" t="str">
        <f t="shared" si="10"/>
        <v/>
      </c>
      <c r="AE181" s="1063" t="str">
        <f>IF(ISNA(VLOOKUP(TB_prev[[#This Row],[Synt]],GL[[#Headers],[#Data],[subtotal label]],1,FALSE)),0,(VLOOKUP(TB_prev[[#This Row],[Synt]],GL[[#Headers],[#Data],[subtotal label]],1,FALSE)))</f>
        <v/>
      </c>
      <c r="AF181" s="1063" t="e">
        <f>IF((TB_prev[[#This Row],[Synt]]-TB_prev[[#This Row],[Subtotal Y/N]])=0,0,VLOOKUP(TB_prev[[#This Row],[Synt]],GL[[Account]:[Line]],3,FALSE))</f>
        <v>#VALUE!</v>
      </c>
      <c r="AG181" s="1063" t="e">
        <f>VLOOKUP(TB_prev[[#This Row],[Synt]],GL[[Account]:[B/P]],4,FALSE)</f>
        <v>#N/A</v>
      </c>
      <c r="AH181" s="1066" t="e">
        <v>#VALUE!</v>
      </c>
      <c r="AI181" s="1065" t="e">
        <f>TB_prev[[#This Row],[Synt]]&amp;TB_prev[[#This Row],[Line No. manual corr.]]</f>
        <v>#VALUE!</v>
      </c>
      <c r="AJ181" s="1064">
        <f t="shared" si="11"/>
        <v>0</v>
      </c>
      <c r="AK181" s="1064">
        <f t="shared" si="12"/>
        <v>0</v>
      </c>
      <c r="AL181" s="1064">
        <f t="shared" si="13"/>
        <v>0</v>
      </c>
      <c r="AM181" s="1064">
        <f t="shared" si="14"/>
        <v>0</v>
      </c>
      <c r="AN181" s="1064"/>
      <c r="AO181" s="1064">
        <f>TB_prev[[#This Row],[Closing balance]]+TB_prev[[#This Row],[Rounding]]</f>
        <v>0</v>
      </c>
    </row>
    <row r="182" spans="30:41" x14ac:dyDescent="0.25">
      <c r="AD182" s="1067" t="str">
        <f t="shared" si="10"/>
        <v/>
      </c>
      <c r="AE182" s="1063" t="str">
        <f>IF(ISNA(VLOOKUP(TB_prev[[#This Row],[Synt]],GL[[#Headers],[#Data],[subtotal label]],1,FALSE)),0,(VLOOKUP(TB_prev[[#This Row],[Synt]],GL[[#Headers],[#Data],[subtotal label]],1,FALSE)))</f>
        <v/>
      </c>
      <c r="AF182" s="1063" t="e">
        <f>IF((TB_prev[[#This Row],[Synt]]-TB_prev[[#This Row],[Subtotal Y/N]])=0,0,VLOOKUP(TB_prev[[#This Row],[Synt]],GL[[Account]:[Line]],3,FALSE))</f>
        <v>#VALUE!</v>
      </c>
      <c r="AG182" s="1063" t="e">
        <f>VLOOKUP(TB_prev[[#This Row],[Synt]],GL[[Account]:[B/P]],4,FALSE)</f>
        <v>#N/A</v>
      </c>
      <c r="AH182" s="1066" t="e">
        <v>#VALUE!</v>
      </c>
      <c r="AI182" s="1065" t="e">
        <f>TB_prev[[#This Row],[Synt]]&amp;TB_prev[[#This Row],[Line No. manual corr.]]</f>
        <v>#VALUE!</v>
      </c>
      <c r="AJ182" s="1064">
        <f t="shared" si="11"/>
        <v>0</v>
      </c>
      <c r="AK182" s="1064">
        <f t="shared" si="12"/>
        <v>0</v>
      </c>
      <c r="AL182" s="1064">
        <f t="shared" si="13"/>
        <v>0</v>
      </c>
      <c r="AM182" s="1064">
        <f t="shared" si="14"/>
        <v>0</v>
      </c>
      <c r="AN182" s="1064"/>
      <c r="AO182" s="1064">
        <f>TB_prev[[#This Row],[Closing balance]]+TB_prev[[#This Row],[Rounding]]</f>
        <v>0</v>
      </c>
    </row>
    <row r="183" spans="30:41" x14ac:dyDescent="0.25">
      <c r="AD183" s="1067" t="str">
        <f t="shared" si="10"/>
        <v/>
      </c>
      <c r="AE183" s="1063" t="str">
        <f>IF(ISNA(VLOOKUP(TB_prev[[#This Row],[Synt]],GL[[#Headers],[#Data],[subtotal label]],1,FALSE)),0,(VLOOKUP(TB_prev[[#This Row],[Synt]],GL[[#Headers],[#Data],[subtotal label]],1,FALSE)))</f>
        <v/>
      </c>
      <c r="AF183" s="1063" t="e">
        <f>IF((TB_prev[[#This Row],[Synt]]-TB_prev[[#This Row],[Subtotal Y/N]])=0,0,VLOOKUP(TB_prev[[#This Row],[Synt]],GL[[Account]:[Line]],3,FALSE))</f>
        <v>#VALUE!</v>
      </c>
      <c r="AG183" s="1063" t="e">
        <f>VLOOKUP(TB_prev[[#This Row],[Synt]],GL[[Account]:[B/P]],4,FALSE)</f>
        <v>#N/A</v>
      </c>
      <c r="AH183" s="1066" t="e">
        <v>#VALUE!</v>
      </c>
      <c r="AI183" s="1065" t="e">
        <f>TB_prev[[#This Row],[Synt]]&amp;TB_prev[[#This Row],[Line No. manual corr.]]</f>
        <v>#VALUE!</v>
      </c>
      <c r="AJ183" s="1064">
        <f t="shared" si="11"/>
        <v>0</v>
      </c>
      <c r="AK183" s="1064">
        <f t="shared" si="12"/>
        <v>0</v>
      </c>
      <c r="AL183" s="1064">
        <f t="shared" si="13"/>
        <v>0</v>
      </c>
      <c r="AM183" s="1064">
        <f t="shared" si="14"/>
        <v>0</v>
      </c>
      <c r="AN183" s="1064"/>
      <c r="AO183" s="1064">
        <f>TB_prev[[#This Row],[Closing balance]]+TB_prev[[#This Row],[Rounding]]</f>
        <v>0</v>
      </c>
    </row>
    <row r="184" spans="30:41" x14ac:dyDescent="0.25">
      <c r="AD184" s="1067" t="str">
        <f t="shared" si="10"/>
        <v/>
      </c>
      <c r="AE184" s="1063" t="str">
        <f>IF(ISNA(VLOOKUP(TB_prev[[#This Row],[Synt]],GL[[#Headers],[#Data],[subtotal label]],1,FALSE)),0,(VLOOKUP(TB_prev[[#This Row],[Synt]],GL[[#Headers],[#Data],[subtotal label]],1,FALSE)))</f>
        <v/>
      </c>
      <c r="AF184" s="1063" t="e">
        <f>IF((TB_prev[[#This Row],[Synt]]-TB_prev[[#This Row],[Subtotal Y/N]])=0,0,VLOOKUP(TB_prev[[#This Row],[Synt]],GL[[Account]:[Line]],3,FALSE))</f>
        <v>#VALUE!</v>
      </c>
      <c r="AG184" s="1063" t="e">
        <f>VLOOKUP(TB_prev[[#This Row],[Synt]],GL[[Account]:[B/P]],4,FALSE)</f>
        <v>#N/A</v>
      </c>
      <c r="AH184" s="1066" t="e">
        <v>#VALUE!</v>
      </c>
      <c r="AI184" s="1065" t="e">
        <f>TB_prev[[#This Row],[Synt]]&amp;TB_prev[[#This Row],[Line No. manual corr.]]</f>
        <v>#VALUE!</v>
      </c>
      <c r="AJ184" s="1064">
        <f t="shared" si="11"/>
        <v>0</v>
      </c>
      <c r="AK184" s="1064">
        <f t="shared" si="12"/>
        <v>0</v>
      </c>
      <c r="AL184" s="1064">
        <f t="shared" si="13"/>
        <v>0</v>
      </c>
      <c r="AM184" s="1064">
        <f t="shared" si="14"/>
        <v>0</v>
      </c>
      <c r="AN184" s="1064"/>
      <c r="AO184" s="1064">
        <f>TB_prev[[#This Row],[Closing balance]]+TB_prev[[#This Row],[Rounding]]</f>
        <v>0</v>
      </c>
    </row>
    <row r="185" spans="30:41" x14ac:dyDescent="0.25">
      <c r="AD185" s="1067" t="str">
        <f t="shared" si="10"/>
        <v/>
      </c>
      <c r="AE185" s="1063" t="str">
        <f>IF(ISNA(VLOOKUP(TB_prev[[#This Row],[Synt]],GL[[#Headers],[#Data],[subtotal label]],1,FALSE)),0,(VLOOKUP(TB_prev[[#This Row],[Synt]],GL[[#Headers],[#Data],[subtotal label]],1,FALSE)))</f>
        <v/>
      </c>
      <c r="AF185" s="1063" t="e">
        <f>IF((TB_prev[[#This Row],[Synt]]-TB_prev[[#This Row],[Subtotal Y/N]])=0,0,VLOOKUP(TB_prev[[#This Row],[Synt]],GL[[Account]:[Line]],3,FALSE))</f>
        <v>#VALUE!</v>
      </c>
      <c r="AG185" s="1063" t="e">
        <f>VLOOKUP(TB_prev[[#This Row],[Synt]],GL[[Account]:[B/P]],4,FALSE)</f>
        <v>#N/A</v>
      </c>
      <c r="AH185" s="1066" t="e">
        <v>#VALUE!</v>
      </c>
      <c r="AI185" s="1065" t="e">
        <f>TB_prev[[#This Row],[Synt]]&amp;TB_prev[[#This Row],[Line No. manual corr.]]</f>
        <v>#VALUE!</v>
      </c>
      <c r="AJ185" s="1064">
        <f t="shared" si="11"/>
        <v>0</v>
      </c>
      <c r="AK185" s="1064">
        <f t="shared" si="12"/>
        <v>0</v>
      </c>
      <c r="AL185" s="1064">
        <f t="shared" si="13"/>
        <v>0</v>
      </c>
      <c r="AM185" s="1064">
        <f t="shared" si="14"/>
        <v>0</v>
      </c>
      <c r="AN185" s="1064"/>
      <c r="AO185" s="1064">
        <f>TB_prev[[#This Row],[Closing balance]]+TB_prev[[#This Row],[Rounding]]</f>
        <v>0</v>
      </c>
    </row>
    <row r="186" spans="30:41" x14ac:dyDescent="0.25">
      <c r="AD186" s="1067" t="str">
        <f t="shared" si="10"/>
        <v/>
      </c>
      <c r="AE186" s="1063" t="str">
        <f>IF(ISNA(VLOOKUP(TB_prev[[#This Row],[Synt]],GL[[#Headers],[#Data],[subtotal label]],1,FALSE)),0,(VLOOKUP(TB_prev[[#This Row],[Synt]],GL[[#Headers],[#Data],[subtotal label]],1,FALSE)))</f>
        <v/>
      </c>
      <c r="AF186" s="1063" t="e">
        <f>IF((TB_prev[[#This Row],[Synt]]-TB_prev[[#This Row],[Subtotal Y/N]])=0,0,VLOOKUP(TB_prev[[#This Row],[Synt]],GL[[Account]:[Line]],3,FALSE))</f>
        <v>#VALUE!</v>
      </c>
      <c r="AG186" s="1063" t="e">
        <f>VLOOKUP(TB_prev[[#This Row],[Synt]],GL[[Account]:[B/P]],4,FALSE)</f>
        <v>#N/A</v>
      </c>
      <c r="AH186" s="1066" t="e">
        <v>#VALUE!</v>
      </c>
      <c r="AI186" s="1065" t="e">
        <f>TB_prev[[#This Row],[Synt]]&amp;TB_prev[[#This Row],[Line No. manual corr.]]</f>
        <v>#VALUE!</v>
      </c>
      <c r="AJ186" s="1064">
        <f t="shared" si="11"/>
        <v>0</v>
      </c>
      <c r="AK186" s="1064">
        <f t="shared" si="12"/>
        <v>0</v>
      </c>
      <c r="AL186" s="1064">
        <f t="shared" si="13"/>
        <v>0</v>
      </c>
      <c r="AM186" s="1064">
        <f t="shared" si="14"/>
        <v>0</v>
      </c>
      <c r="AN186" s="1064"/>
      <c r="AO186" s="1064">
        <f>TB_prev[[#This Row],[Closing balance]]+TB_prev[[#This Row],[Rounding]]</f>
        <v>0</v>
      </c>
    </row>
    <row r="187" spans="30:41" x14ac:dyDescent="0.25">
      <c r="AD187" s="1067" t="str">
        <f t="shared" si="10"/>
        <v/>
      </c>
      <c r="AE187" s="1063" t="str">
        <f>IF(ISNA(VLOOKUP(TB_prev[[#This Row],[Synt]],GL[[#Headers],[#Data],[subtotal label]],1,FALSE)),0,(VLOOKUP(TB_prev[[#This Row],[Synt]],GL[[#Headers],[#Data],[subtotal label]],1,FALSE)))</f>
        <v/>
      </c>
      <c r="AF187" s="1063" t="e">
        <f>IF((TB_prev[[#This Row],[Synt]]-TB_prev[[#This Row],[Subtotal Y/N]])=0,0,VLOOKUP(TB_prev[[#This Row],[Synt]],GL[[Account]:[Line]],3,FALSE))</f>
        <v>#VALUE!</v>
      </c>
      <c r="AG187" s="1063" t="e">
        <f>VLOOKUP(TB_prev[[#This Row],[Synt]],GL[[Account]:[B/P]],4,FALSE)</f>
        <v>#N/A</v>
      </c>
      <c r="AH187" s="1066" t="e">
        <v>#VALUE!</v>
      </c>
      <c r="AI187" s="1065" t="e">
        <f>TB_prev[[#This Row],[Synt]]&amp;TB_prev[[#This Row],[Line No. manual corr.]]</f>
        <v>#VALUE!</v>
      </c>
      <c r="AJ187" s="1064">
        <f t="shared" si="11"/>
        <v>0</v>
      </c>
      <c r="AK187" s="1064">
        <f t="shared" si="12"/>
        <v>0</v>
      </c>
      <c r="AL187" s="1064">
        <f t="shared" si="13"/>
        <v>0</v>
      </c>
      <c r="AM187" s="1064">
        <f t="shared" si="14"/>
        <v>0</v>
      </c>
      <c r="AN187" s="1064"/>
      <c r="AO187" s="1064">
        <f>TB_prev[[#This Row],[Closing balance]]+TB_prev[[#This Row],[Rounding]]</f>
        <v>0</v>
      </c>
    </row>
    <row r="188" spans="30:41" x14ac:dyDescent="0.25">
      <c r="AD188" s="1067" t="str">
        <f t="shared" si="10"/>
        <v/>
      </c>
      <c r="AE188" s="1063" t="str">
        <f>IF(ISNA(VLOOKUP(TB_prev[[#This Row],[Synt]],GL[[#Headers],[#Data],[subtotal label]],1,FALSE)),0,(VLOOKUP(TB_prev[[#This Row],[Synt]],GL[[#Headers],[#Data],[subtotal label]],1,FALSE)))</f>
        <v/>
      </c>
      <c r="AF188" s="1063" t="e">
        <f>IF((TB_prev[[#This Row],[Synt]]-TB_prev[[#This Row],[Subtotal Y/N]])=0,0,VLOOKUP(TB_prev[[#This Row],[Synt]],GL[[Account]:[Line]],3,FALSE))</f>
        <v>#VALUE!</v>
      </c>
      <c r="AG188" s="1063" t="e">
        <f>VLOOKUP(TB_prev[[#This Row],[Synt]],GL[[Account]:[B/P]],4,FALSE)</f>
        <v>#N/A</v>
      </c>
      <c r="AH188" s="1066" t="e">
        <v>#VALUE!</v>
      </c>
      <c r="AI188" s="1065" t="e">
        <f>TB_prev[[#This Row],[Synt]]&amp;TB_prev[[#This Row],[Line No. manual corr.]]</f>
        <v>#VALUE!</v>
      </c>
      <c r="AJ188" s="1064">
        <f t="shared" si="11"/>
        <v>0</v>
      </c>
      <c r="AK188" s="1064">
        <f t="shared" si="12"/>
        <v>0</v>
      </c>
      <c r="AL188" s="1064">
        <f t="shared" si="13"/>
        <v>0</v>
      </c>
      <c r="AM188" s="1064">
        <f t="shared" si="14"/>
        <v>0</v>
      </c>
      <c r="AN188" s="1064"/>
      <c r="AO188" s="1064">
        <f>TB_prev[[#This Row],[Closing balance]]+TB_prev[[#This Row],[Rounding]]</f>
        <v>0</v>
      </c>
    </row>
    <row r="189" spans="30:41" x14ac:dyDescent="0.25">
      <c r="AD189" s="1067" t="str">
        <f t="shared" si="10"/>
        <v/>
      </c>
      <c r="AE189" s="1063" t="str">
        <f>IF(ISNA(VLOOKUP(TB_prev[[#This Row],[Synt]],GL[[#Headers],[#Data],[subtotal label]],1,FALSE)),0,(VLOOKUP(TB_prev[[#This Row],[Synt]],GL[[#Headers],[#Data],[subtotal label]],1,FALSE)))</f>
        <v/>
      </c>
      <c r="AF189" s="1063" t="e">
        <f>IF((TB_prev[[#This Row],[Synt]]-TB_prev[[#This Row],[Subtotal Y/N]])=0,0,VLOOKUP(TB_prev[[#This Row],[Synt]],GL[[Account]:[Line]],3,FALSE))</f>
        <v>#VALUE!</v>
      </c>
      <c r="AG189" s="1063" t="e">
        <f>VLOOKUP(TB_prev[[#This Row],[Synt]],GL[[Account]:[B/P]],4,FALSE)</f>
        <v>#N/A</v>
      </c>
      <c r="AH189" s="1066" t="e">
        <v>#VALUE!</v>
      </c>
      <c r="AI189" s="1065" t="e">
        <f>TB_prev[[#This Row],[Synt]]&amp;TB_prev[[#This Row],[Line No. manual corr.]]</f>
        <v>#VALUE!</v>
      </c>
      <c r="AJ189" s="1064">
        <f t="shared" si="11"/>
        <v>0</v>
      </c>
      <c r="AK189" s="1064">
        <f t="shared" si="12"/>
        <v>0</v>
      </c>
      <c r="AL189" s="1064">
        <f t="shared" si="13"/>
        <v>0</v>
      </c>
      <c r="AM189" s="1064">
        <f t="shared" si="14"/>
        <v>0</v>
      </c>
      <c r="AN189" s="1064"/>
      <c r="AO189" s="1064">
        <f>TB_prev[[#This Row],[Closing balance]]+TB_prev[[#This Row],[Rounding]]</f>
        <v>0</v>
      </c>
    </row>
    <row r="190" spans="30:41" x14ac:dyDescent="0.25">
      <c r="AD190" s="1067" t="str">
        <f t="shared" si="10"/>
        <v/>
      </c>
      <c r="AE190" s="1063" t="str">
        <f>IF(ISNA(VLOOKUP(TB_prev[[#This Row],[Synt]],GL[[#Headers],[#Data],[subtotal label]],1,FALSE)),0,(VLOOKUP(TB_prev[[#This Row],[Synt]],GL[[#Headers],[#Data],[subtotal label]],1,FALSE)))</f>
        <v/>
      </c>
      <c r="AF190" s="1063" t="e">
        <f>IF((TB_prev[[#This Row],[Synt]]-TB_prev[[#This Row],[Subtotal Y/N]])=0,0,VLOOKUP(TB_prev[[#This Row],[Synt]],GL[[Account]:[Line]],3,FALSE))</f>
        <v>#VALUE!</v>
      </c>
      <c r="AG190" s="1063" t="e">
        <f>VLOOKUP(TB_prev[[#This Row],[Synt]],GL[[Account]:[B/P]],4,FALSE)</f>
        <v>#N/A</v>
      </c>
      <c r="AH190" s="1066" t="e">
        <v>#VALUE!</v>
      </c>
      <c r="AI190" s="1065" t="e">
        <f>TB_prev[[#This Row],[Synt]]&amp;TB_prev[[#This Row],[Line No. manual corr.]]</f>
        <v>#VALUE!</v>
      </c>
      <c r="AJ190" s="1064">
        <f t="shared" si="11"/>
        <v>0</v>
      </c>
      <c r="AK190" s="1064">
        <f t="shared" si="12"/>
        <v>0</v>
      </c>
      <c r="AL190" s="1064">
        <f t="shared" si="13"/>
        <v>0</v>
      </c>
      <c r="AM190" s="1064">
        <f t="shared" si="14"/>
        <v>0</v>
      </c>
      <c r="AN190" s="1064"/>
      <c r="AO190" s="1064">
        <f>TB_prev[[#This Row],[Closing balance]]+TB_prev[[#This Row],[Rounding]]</f>
        <v>0</v>
      </c>
    </row>
    <row r="191" spans="30:41" x14ac:dyDescent="0.25">
      <c r="AD191" s="1067" t="str">
        <f t="shared" si="10"/>
        <v/>
      </c>
      <c r="AE191" s="1063" t="str">
        <f>IF(ISNA(VLOOKUP(TB_prev[[#This Row],[Synt]],GL[[#Headers],[#Data],[subtotal label]],1,FALSE)),0,(VLOOKUP(TB_prev[[#This Row],[Synt]],GL[[#Headers],[#Data],[subtotal label]],1,FALSE)))</f>
        <v/>
      </c>
      <c r="AF191" s="1063" t="e">
        <f>IF((TB_prev[[#This Row],[Synt]]-TB_prev[[#This Row],[Subtotal Y/N]])=0,0,VLOOKUP(TB_prev[[#This Row],[Synt]],GL[[Account]:[Line]],3,FALSE))</f>
        <v>#VALUE!</v>
      </c>
      <c r="AG191" s="1063" t="e">
        <f>VLOOKUP(TB_prev[[#This Row],[Synt]],GL[[Account]:[B/P]],4,FALSE)</f>
        <v>#N/A</v>
      </c>
      <c r="AH191" s="1066" t="e">
        <v>#VALUE!</v>
      </c>
      <c r="AI191" s="1065" t="e">
        <f>TB_prev[[#This Row],[Synt]]&amp;TB_prev[[#This Row],[Line No. manual corr.]]</f>
        <v>#VALUE!</v>
      </c>
      <c r="AJ191" s="1064">
        <f t="shared" si="11"/>
        <v>0</v>
      </c>
      <c r="AK191" s="1064">
        <f t="shared" si="12"/>
        <v>0</v>
      </c>
      <c r="AL191" s="1064">
        <f t="shared" si="13"/>
        <v>0</v>
      </c>
      <c r="AM191" s="1064">
        <f t="shared" si="14"/>
        <v>0</v>
      </c>
      <c r="AN191" s="1064"/>
      <c r="AO191" s="1064">
        <f>TB_prev[[#This Row],[Closing balance]]+TB_prev[[#This Row],[Rounding]]</f>
        <v>0</v>
      </c>
    </row>
    <row r="192" spans="30:41" x14ac:dyDescent="0.25">
      <c r="AD192" s="1067" t="str">
        <f t="shared" si="10"/>
        <v/>
      </c>
      <c r="AE192" s="1063" t="str">
        <f>IF(ISNA(VLOOKUP(TB_prev[[#This Row],[Synt]],GL[[#Headers],[#Data],[subtotal label]],1,FALSE)),0,(VLOOKUP(TB_prev[[#This Row],[Synt]],GL[[#Headers],[#Data],[subtotal label]],1,FALSE)))</f>
        <v/>
      </c>
      <c r="AF192" s="1063" t="e">
        <f>IF((TB_prev[[#This Row],[Synt]]-TB_prev[[#This Row],[Subtotal Y/N]])=0,0,VLOOKUP(TB_prev[[#This Row],[Synt]],GL[[Account]:[Line]],3,FALSE))</f>
        <v>#VALUE!</v>
      </c>
      <c r="AG192" s="1063" t="e">
        <f>VLOOKUP(TB_prev[[#This Row],[Synt]],GL[[Account]:[B/P]],4,FALSE)</f>
        <v>#N/A</v>
      </c>
      <c r="AH192" s="1066" t="e">
        <v>#VALUE!</v>
      </c>
      <c r="AI192" s="1065" t="e">
        <f>TB_prev[[#This Row],[Synt]]&amp;TB_prev[[#This Row],[Line No. manual corr.]]</f>
        <v>#VALUE!</v>
      </c>
      <c r="AJ192" s="1064">
        <f t="shared" si="11"/>
        <v>0</v>
      </c>
      <c r="AK192" s="1064">
        <f t="shared" si="12"/>
        <v>0</v>
      </c>
      <c r="AL192" s="1064">
        <f t="shared" si="13"/>
        <v>0</v>
      </c>
      <c r="AM192" s="1064">
        <f t="shared" si="14"/>
        <v>0</v>
      </c>
      <c r="AN192" s="1064"/>
      <c r="AO192" s="1064">
        <f>TB_prev[[#This Row],[Closing balance]]+TB_prev[[#This Row],[Rounding]]</f>
        <v>0</v>
      </c>
    </row>
    <row r="193" spans="30:41" x14ac:dyDescent="0.25">
      <c r="AD193" s="1067" t="str">
        <f t="shared" si="10"/>
        <v/>
      </c>
      <c r="AE193" s="1063" t="str">
        <f>IF(ISNA(VLOOKUP(TB_prev[[#This Row],[Synt]],GL[[#Headers],[#Data],[subtotal label]],1,FALSE)),0,(VLOOKUP(TB_prev[[#This Row],[Synt]],GL[[#Headers],[#Data],[subtotal label]],1,FALSE)))</f>
        <v/>
      </c>
      <c r="AF193" s="1063" t="e">
        <f>IF((TB_prev[[#This Row],[Synt]]-TB_prev[[#This Row],[Subtotal Y/N]])=0,0,VLOOKUP(TB_prev[[#This Row],[Synt]],GL[[Account]:[Line]],3,FALSE))</f>
        <v>#VALUE!</v>
      </c>
      <c r="AG193" s="1063" t="e">
        <f>VLOOKUP(TB_prev[[#This Row],[Synt]],GL[[Account]:[B/P]],4,FALSE)</f>
        <v>#N/A</v>
      </c>
      <c r="AH193" s="1066" t="e">
        <v>#VALUE!</v>
      </c>
      <c r="AI193" s="1065" t="e">
        <f>TB_prev[[#This Row],[Synt]]&amp;TB_prev[[#This Row],[Line No. manual corr.]]</f>
        <v>#VALUE!</v>
      </c>
      <c r="AJ193" s="1064">
        <f t="shared" si="11"/>
        <v>0</v>
      </c>
      <c r="AK193" s="1064">
        <f t="shared" si="12"/>
        <v>0</v>
      </c>
      <c r="AL193" s="1064">
        <f t="shared" si="13"/>
        <v>0</v>
      </c>
      <c r="AM193" s="1064">
        <f t="shared" si="14"/>
        <v>0</v>
      </c>
      <c r="AN193" s="1064"/>
      <c r="AO193" s="1064">
        <f>TB_prev[[#This Row],[Closing balance]]+TB_prev[[#This Row],[Rounding]]</f>
        <v>0</v>
      </c>
    </row>
    <row r="194" spans="30:41" x14ac:dyDescent="0.25">
      <c r="AD194" s="1067" t="str">
        <f t="shared" si="10"/>
        <v/>
      </c>
      <c r="AE194" s="1063" t="str">
        <f>IF(ISNA(VLOOKUP(TB_prev[[#This Row],[Synt]],GL[[#Headers],[#Data],[subtotal label]],1,FALSE)),0,(VLOOKUP(TB_prev[[#This Row],[Synt]],GL[[#Headers],[#Data],[subtotal label]],1,FALSE)))</f>
        <v/>
      </c>
      <c r="AF194" s="1063" t="e">
        <f>IF((TB_prev[[#This Row],[Synt]]-TB_prev[[#This Row],[Subtotal Y/N]])=0,0,VLOOKUP(TB_prev[[#This Row],[Synt]],GL[[Account]:[Line]],3,FALSE))</f>
        <v>#VALUE!</v>
      </c>
      <c r="AG194" s="1063" t="e">
        <f>VLOOKUP(TB_prev[[#This Row],[Synt]],GL[[Account]:[B/P]],4,FALSE)</f>
        <v>#N/A</v>
      </c>
      <c r="AH194" s="1066" t="e">
        <v>#VALUE!</v>
      </c>
      <c r="AI194" s="1065" t="e">
        <f>TB_prev[[#This Row],[Synt]]&amp;TB_prev[[#This Row],[Line No. manual corr.]]</f>
        <v>#VALUE!</v>
      </c>
      <c r="AJ194" s="1064">
        <f t="shared" si="11"/>
        <v>0</v>
      </c>
      <c r="AK194" s="1064">
        <f t="shared" si="12"/>
        <v>0</v>
      </c>
      <c r="AL194" s="1064">
        <f t="shared" si="13"/>
        <v>0</v>
      </c>
      <c r="AM194" s="1064">
        <f t="shared" si="14"/>
        <v>0</v>
      </c>
      <c r="AN194" s="1064"/>
      <c r="AO194" s="1064">
        <f>TB_prev[[#This Row],[Closing balance]]+TB_prev[[#This Row],[Rounding]]</f>
        <v>0</v>
      </c>
    </row>
    <row r="195" spans="30:41" x14ac:dyDescent="0.25">
      <c r="AD195" s="1067" t="str">
        <f t="shared" si="10"/>
        <v/>
      </c>
      <c r="AE195" s="1063" t="str">
        <f>IF(ISNA(VLOOKUP(TB_prev[[#This Row],[Synt]],GL[[#Headers],[#Data],[subtotal label]],1,FALSE)),0,(VLOOKUP(TB_prev[[#This Row],[Synt]],GL[[#Headers],[#Data],[subtotal label]],1,FALSE)))</f>
        <v/>
      </c>
      <c r="AF195" s="1063" t="e">
        <f>IF((TB_prev[[#This Row],[Synt]]-TB_prev[[#This Row],[Subtotal Y/N]])=0,0,VLOOKUP(TB_prev[[#This Row],[Synt]],GL[[Account]:[Line]],3,FALSE))</f>
        <v>#VALUE!</v>
      </c>
      <c r="AG195" s="1063" t="e">
        <f>VLOOKUP(TB_prev[[#This Row],[Synt]],GL[[Account]:[B/P]],4,FALSE)</f>
        <v>#N/A</v>
      </c>
      <c r="AH195" s="1066" t="e">
        <v>#VALUE!</v>
      </c>
      <c r="AI195" s="1065" t="e">
        <f>TB_prev[[#This Row],[Synt]]&amp;TB_prev[[#This Row],[Line No. manual corr.]]</f>
        <v>#VALUE!</v>
      </c>
      <c r="AJ195" s="1064">
        <f t="shared" si="11"/>
        <v>0</v>
      </c>
      <c r="AK195" s="1064">
        <f t="shared" si="12"/>
        <v>0</v>
      </c>
      <c r="AL195" s="1064">
        <f t="shared" si="13"/>
        <v>0</v>
      </c>
      <c r="AM195" s="1064">
        <f t="shared" si="14"/>
        <v>0</v>
      </c>
      <c r="AN195" s="1064"/>
      <c r="AO195" s="1064">
        <f>TB_prev[[#This Row],[Closing balance]]+TB_prev[[#This Row],[Rounding]]</f>
        <v>0</v>
      </c>
    </row>
    <row r="196" spans="30:41" x14ac:dyDescent="0.25">
      <c r="AD196" s="1067" t="str">
        <f t="shared" si="10"/>
        <v/>
      </c>
      <c r="AE196" s="1063" t="str">
        <f>IF(ISNA(VLOOKUP(TB_prev[[#This Row],[Synt]],GL[[#Headers],[#Data],[subtotal label]],1,FALSE)),0,(VLOOKUP(TB_prev[[#This Row],[Synt]],GL[[#Headers],[#Data],[subtotal label]],1,FALSE)))</f>
        <v/>
      </c>
      <c r="AF196" s="1063" t="e">
        <f>IF((TB_prev[[#This Row],[Synt]]-TB_prev[[#This Row],[Subtotal Y/N]])=0,0,VLOOKUP(TB_prev[[#This Row],[Synt]],GL[[Account]:[Line]],3,FALSE))</f>
        <v>#VALUE!</v>
      </c>
      <c r="AG196" s="1063" t="e">
        <f>VLOOKUP(TB_prev[[#This Row],[Synt]],GL[[Account]:[B/P]],4,FALSE)</f>
        <v>#N/A</v>
      </c>
      <c r="AH196" s="1066" t="e">
        <v>#VALUE!</v>
      </c>
      <c r="AI196" s="1065" t="e">
        <f>TB_prev[[#This Row],[Synt]]&amp;TB_prev[[#This Row],[Line No. manual corr.]]</f>
        <v>#VALUE!</v>
      </c>
      <c r="AJ196" s="1064">
        <f t="shared" si="11"/>
        <v>0</v>
      </c>
      <c r="AK196" s="1064">
        <f t="shared" si="12"/>
        <v>0</v>
      </c>
      <c r="AL196" s="1064">
        <f t="shared" si="13"/>
        <v>0</v>
      </c>
      <c r="AM196" s="1064">
        <f t="shared" si="14"/>
        <v>0</v>
      </c>
      <c r="AN196" s="1064"/>
      <c r="AO196" s="1064">
        <f>TB_prev[[#This Row],[Closing balance]]+TB_prev[[#This Row],[Rounding]]</f>
        <v>0</v>
      </c>
    </row>
    <row r="197" spans="30:41" x14ac:dyDescent="0.25">
      <c r="AD197" s="1067" t="str">
        <f t="shared" si="10"/>
        <v/>
      </c>
      <c r="AE197" s="1063" t="str">
        <f>IF(ISNA(VLOOKUP(TB_prev[[#This Row],[Synt]],GL[[#Headers],[#Data],[subtotal label]],1,FALSE)),0,(VLOOKUP(TB_prev[[#This Row],[Synt]],GL[[#Headers],[#Data],[subtotal label]],1,FALSE)))</f>
        <v/>
      </c>
      <c r="AF197" s="1063" t="e">
        <f>IF((TB_prev[[#This Row],[Synt]]-TB_prev[[#This Row],[Subtotal Y/N]])=0,0,VLOOKUP(TB_prev[[#This Row],[Synt]],GL[[Account]:[Line]],3,FALSE))</f>
        <v>#VALUE!</v>
      </c>
      <c r="AG197" s="1063" t="e">
        <f>VLOOKUP(TB_prev[[#This Row],[Synt]],GL[[Account]:[B/P]],4,FALSE)</f>
        <v>#N/A</v>
      </c>
      <c r="AH197" s="1066" t="e">
        <v>#VALUE!</v>
      </c>
      <c r="AI197" s="1065" t="e">
        <f>TB_prev[[#This Row],[Synt]]&amp;TB_prev[[#This Row],[Line No. manual corr.]]</f>
        <v>#VALUE!</v>
      </c>
      <c r="AJ197" s="1064">
        <f t="shared" si="11"/>
        <v>0</v>
      </c>
      <c r="AK197" s="1064">
        <f t="shared" si="12"/>
        <v>0</v>
      </c>
      <c r="AL197" s="1064">
        <f t="shared" si="13"/>
        <v>0</v>
      </c>
      <c r="AM197" s="1064">
        <f t="shared" si="14"/>
        <v>0</v>
      </c>
      <c r="AN197" s="1064"/>
      <c r="AO197" s="1064">
        <f>TB_prev[[#This Row],[Closing balance]]+TB_prev[[#This Row],[Rounding]]</f>
        <v>0</v>
      </c>
    </row>
    <row r="198" spans="30:41" x14ac:dyDescent="0.25">
      <c r="AD198" s="1067" t="str">
        <f t="shared" si="10"/>
        <v/>
      </c>
      <c r="AE198" s="1063" t="str">
        <f>IF(ISNA(VLOOKUP(TB_prev[[#This Row],[Synt]],GL[[#Headers],[#Data],[subtotal label]],1,FALSE)),0,(VLOOKUP(TB_prev[[#This Row],[Synt]],GL[[#Headers],[#Data],[subtotal label]],1,FALSE)))</f>
        <v/>
      </c>
      <c r="AF198" s="1063" t="e">
        <f>IF((TB_prev[[#This Row],[Synt]]-TB_prev[[#This Row],[Subtotal Y/N]])=0,0,VLOOKUP(TB_prev[[#This Row],[Synt]],GL[[Account]:[Line]],3,FALSE))</f>
        <v>#VALUE!</v>
      </c>
      <c r="AG198" s="1063" t="e">
        <f>VLOOKUP(TB_prev[[#This Row],[Synt]],GL[[Account]:[B/P]],4,FALSE)</f>
        <v>#N/A</v>
      </c>
      <c r="AH198" s="1066" t="e">
        <v>#VALUE!</v>
      </c>
      <c r="AI198" s="1065" t="e">
        <f>TB_prev[[#This Row],[Synt]]&amp;TB_prev[[#This Row],[Line No. manual corr.]]</f>
        <v>#VALUE!</v>
      </c>
      <c r="AJ198" s="1064">
        <f t="shared" si="11"/>
        <v>0</v>
      </c>
      <c r="AK198" s="1064">
        <f t="shared" si="12"/>
        <v>0</v>
      </c>
      <c r="AL198" s="1064">
        <f t="shared" si="13"/>
        <v>0</v>
      </c>
      <c r="AM198" s="1064">
        <f t="shared" si="14"/>
        <v>0</v>
      </c>
      <c r="AN198" s="1064"/>
      <c r="AO198" s="1064">
        <f>TB_prev[[#This Row],[Closing balance]]+TB_prev[[#This Row],[Rounding]]</f>
        <v>0</v>
      </c>
    </row>
    <row r="199" spans="30:41" x14ac:dyDescent="0.25">
      <c r="AD199" s="1067" t="str">
        <f t="shared" si="10"/>
        <v/>
      </c>
      <c r="AE199" s="1063" t="str">
        <f>IF(ISNA(VLOOKUP(TB_prev[[#This Row],[Synt]],GL[[#Headers],[#Data],[subtotal label]],1,FALSE)),0,(VLOOKUP(TB_prev[[#This Row],[Synt]],GL[[#Headers],[#Data],[subtotal label]],1,FALSE)))</f>
        <v/>
      </c>
      <c r="AF199" s="1063" t="e">
        <f>IF((TB_prev[[#This Row],[Synt]]-TB_prev[[#This Row],[Subtotal Y/N]])=0,0,VLOOKUP(TB_prev[[#This Row],[Synt]],GL[[Account]:[Line]],3,FALSE))</f>
        <v>#VALUE!</v>
      </c>
      <c r="AG199" s="1063" t="e">
        <f>VLOOKUP(TB_prev[[#This Row],[Synt]],GL[[Account]:[B/P]],4,FALSE)</f>
        <v>#N/A</v>
      </c>
      <c r="AH199" s="1066" t="e">
        <v>#VALUE!</v>
      </c>
      <c r="AI199" s="1065" t="e">
        <f>TB_prev[[#This Row],[Synt]]&amp;TB_prev[[#This Row],[Line No. manual corr.]]</f>
        <v>#VALUE!</v>
      </c>
      <c r="AJ199" s="1064">
        <f t="shared" si="11"/>
        <v>0</v>
      </c>
      <c r="AK199" s="1064">
        <f t="shared" si="12"/>
        <v>0</v>
      </c>
      <c r="AL199" s="1064">
        <f t="shared" si="13"/>
        <v>0</v>
      </c>
      <c r="AM199" s="1064">
        <f t="shared" si="14"/>
        <v>0</v>
      </c>
      <c r="AN199" s="1064"/>
      <c r="AO199" s="1064">
        <f>TB_prev[[#This Row],[Closing balance]]+TB_prev[[#This Row],[Rounding]]</f>
        <v>0</v>
      </c>
    </row>
    <row r="200" spans="30:41" x14ac:dyDescent="0.25">
      <c r="AD200" s="1067" t="str">
        <f t="shared" ref="AD200:AD263" si="15">LEFT(B200,3)</f>
        <v/>
      </c>
      <c r="AE200" s="1063" t="str">
        <f>IF(ISNA(VLOOKUP(TB_prev[[#This Row],[Synt]],GL[[#Headers],[#Data],[subtotal label]],1,FALSE)),0,(VLOOKUP(TB_prev[[#This Row],[Synt]],GL[[#Headers],[#Data],[subtotal label]],1,FALSE)))</f>
        <v/>
      </c>
      <c r="AF200" s="1063" t="e">
        <f>IF((TB_prev[[#This Row],[Synt]]-TB_prev[[#This Row],[Subtotal Y/N]])=0,0,VLOOKUP(TB_prev[[#This Row],[Synt]],GL[[Account]:[Line]],3,FALSE))</f>
        <v>#VALUE!</v>
      </c>
      <c r="AG200" s="1063" t="e">
        <f>VLOOKUP(TB_prev[[#This Row],[Synt]],GL[[Account]:[B/P]],4,FALSE)</f>
        <v>#N/A</v>
      </c>
      <c r="AH200" s="1066" t="e">
        <v>#VALUE!</v>
      </c>
      <c r="AI200" s="1065" t="e">
        <f>TB_prev[[#This Row],[Synt]]&amp;TB_prev[[#This Row],[Line No. manual corr.]]</f>
        <v>#VALUE!</v>
      </c>
      <c r="AJ200" s="1064">
        <f t="shared" ref="AJ200:AJ263" si="16">K200-N200</f>
        <v>0</v>
      </c>
      <c r="AK200" s="1064">
        <f t="shared" ref="AK200:AK263" si="17">Q200</f>
        <v>0</v>
      </c>
      <c r="AL200" s="1064">
        <f t="shared" ref="AL200:AL263" si="18">U200</f>
        <v>0</v>
      </c>
      <c r="AM200" s="1064">
        <f t="shared" ref="AM200:AM263" si="19">X200-AB200</f>
        <v>0</v>
      </c>
      <c r="AN200" s="1064"/>
      <c r="AO200" s="1064">
        <f>TB_prev[[#This Row],[Closing balance]]+TB_prev[[#This Row],[Rounding]]</f>
        <v>0</v>
      </c>
    </row>
    <row r="201" spans="30:41" x14ac:dyDescent="0.25">
      <c r="AD201" s="1067" t="str">
        <f t="shared" si="15"/>
        <v/>
      </c>
      <c r="AE201" s="1063" t="str">
        <f>IF(ISNA(VLOOKUP(TB_prev[[#This Row],[Synt]],GL[[#Headers],[#Data],[subtotal label]],1,FALSE)),0,(VLOOKUP(TB_prev[[#This Row],[Synt]],GL[[#Headers],[#Data],[subtotal label]],1,FALSE)))</f>
        <v/>
      </c>
      <c r="AF201" s="1063" t="e">
        <f>IF((TB_prev[[#This Row],[Synt]]-TB_prev[[#This Row],[Subtotal Y/N]])=0,0,VLOOKUP(TB_prev[[#This Row],[Synt]],GL[[Account]:[Line]],3,FALSE))</f>
        <v>#VALUE!</v>
      </c>
      <c r="AG201" s="1063" t="e">
        <f>VLOOKUP(TB_prev[[#This Row],[Synt]],GL[[Account]:[B/P]],4,FALSE)</f>
        <v>#N/A</v>
      </c>
      <c r="AH201" s="1066" t="e">
        <v>#VALUE!</v>
      </c>
      <c r="AI201" s="1065" t="e">
        <f>TB_prev[[#This Row],[Synt]]&amp;TB_prev[[#This Row],[Line No. manual corr.]]</f>
        <v>#VALUE!</v>
      </c>
      <c r="AJ201" s="1064">
        <f t="shared" si="16"/>
        <v>0</v>
      </c>
      <c r="AK201" s="1064">
        <f t="shared" si="17"/>
        <v>0</v>
      </c>
      <c r="AL201" s="1064">
        <f t="shared" si="18"/>
        <v>0</v>
      </c>
      <c r="AM201" s="1064">
        <f t="shared" si="19"/>
        <v>0</v>
      </c>
      <c r="AN201" s="1064"/>
      <c r="AO201" s="1064">
        <f>TB_prev[[#This Row],[Closing balance]]+TB_prev[[#This Row],[Rounding]]</f>
        <v>0</v>
      </c>
    </row>
    <row r="202" spans="30:41" x14ac:dyDescent="0.25">
      <c r="AD202" s="1067" t="str">
        <f t="shared" si="15"/>
        <v/>
      </c>
      <c r="AE202" s="1063" t="str">
        <f>IF(ISNA(VLOOKUP(TB_prev[[#This Row],[Synt]],GL[[#Headers],[#Data],[subtotal label]],1,FALSE)),0,(VLOOKUP(TB_prev[[#This Row],[Synt]],GL[[#Headers],[#Data],[subtotal label]],1,FALSE)))</f>
        <v/>
      </c>
      <c r="AF202" s="1063" t="e">
        <f>IF((TB_prev[[#This Row],[Synt]]-TB_prev[[#This Row],[Subtotal Y/N]])=0,0,VLOOKUP(TB_prev[[#This Row],[Synt]],GL[[Account]:[Line]],3,FALSE))</f>
        <v>#VALUE!</v>
      </c>
      <c r="AG202" s="1063" t="e">
        <f>VLOOKUP(TB_prev[[#This Row],[Synt]],GL[[Account]:[B/P]],4,FALSE)</f>
        <v>#N/A</v>
      </c>
      <c r="AH202" s="1066" t="e">
        <v>#VALUE!</v>
      </c>
      <c r="AI202" s="1065" t="e">
        <f>TB_prev[[#This Row],[Synt]]&amp;TB_prev[[#This Row],[Line No. manual corr.]]</f>
        <v>#VALUE!</v>
      </c>
      <c r="AJ202" s="1064">
        <f t="shared" si="16"/>
        <v>0</v>
      </c>
      <c r="AK202" s="1064">
        <f t="shared" si="17"/>
        <v>0</v>
      </c>
      <c r="AL202" s="1064">
        <f t="shared" si="18"/>
        <v>0</v>
      </c>
      <c r="AM202" s="1064">
        <f t="shared" si="19"/>
        <v>0</v>
      </c>
      <c r="AN202" s="1064"/>
      <c r="AO202" s="1064">
        <f>TB_prev[[#This Row],[Closing balance]]+TB_prev[[#This Row],[Rounding]]</f>
        <v>0</v>
      </c>
    </row>
    <row r="203" spans="30:41" x14ac:dyDescent="0.25">
      <c r="AD203" s="1067" t="str">
        <f t="shared" si="15"/>
        <v/>
      </c>
      <c r="AE203" s="1063" t="str">
        <f>IF(ISNA(VLOOKUP(TB_prev[[#This Row],[Synt]],GL[[#Headers],[#Data],[subtotal label]],1,FALSE)),0,(VLOOKUP(TB_prev[[#This Row],[Synt]],GL[[#Headers],[#Data],[subtotal label]],1,FALSE)))</f>
        <v/>
      </c>
      <c r="AF203" s="1063" t="e">
        <f>IF((TB_prev[[#This Row],[Synt]]-TB_prev[[#This Row],[Subtotal Y/N]])=0,0,VLOOKUP(TB_prev[[#This Row],[Synt]],GL[[Account]:[Line]],3,FALSE))</f>
        <v>#VALUE!</v>
      </c>
      <c r="AG203" s="1063" t="e">
        <f>VLOOKUP(TB_prev[[#This Row],[Synt]],GL[[Account]:[B/P]],4,FALSE)</f>
        <v>#N/A</v>
      </c>
      <c r="AH203" s="1066" t="e">
        <v>#VALUE!</v>
      </c>
      <c r="AI203" s="1065" t="e">
        <f>TB_prev[[#This Row],[Synt]]&amp;TB_prev[[#This Row],[Line No. manual corr.]]</f>
        <v>#VALUE!</v>
      </c>
      <c r="AJ203" s="1064">
        <f t="shared" si="16"/>
        <v>0</v>
      </c>
      <c r="AK203" s="1064">
        <f t="shared" si="17"/>
        <v>0</v>
      </c>
      <c r="AL203" s="1064">
        <f t="shared" si="18"/>
        <v>0</v>
      </c>
      <c r="AM203" s="1064">
        <f t="shared" si="19"/>
        <v>0</v>
      </c>
      <c r="AN203" s="1064"/>
      <c r="AO203" s="1064">
        <f>TB_prev[[#This Row],[Closing balance]]+TB_prev[[#This Row],[Rounding]]</f>
        <v>0</v>
      </c>
    </row>
    <row r="204" spans="30:41" x14ac:dyDescent="0.25">
      <c r="AD204" s="1067" t="str">
        <f t="shared" si="15"/>
        <v/>
      </c>
      <c r="AE204" s="1063" t="str">
        <f>IF(ISNA(VLOOKUP(TB_prev[[#This Row],[Synt]],GL[[#Headers],[#Data],[subtotal label]],1,FALSE)),0,(VLOOKUP(TB_prev[[#This Row],[Synt]],GL[[#Headers],[#Data],[subtotal label]],1,FALSE)))</f>
        <v/>
      </c>
      <c r="AF204" s="1063" t="e">
        <f>IF((TB_prev[[#This Row],[Synt]]-TB_prev[[#This Row],[Subtotal Y/N]])=0,0,VLOOKUP(TB_prev[[#This Row],[Synt]],GL[[Account]:[Line]],3,FALSE))</f>
        <v>#VALUE!</v>
      </c>
      <c r="AG204" s="1063" t="e">
        <f>VLOOKUP(TB_prev[[#This Row],[Synt]],GL[[Account]:[B/P]],4,FALSE)</f>
        <v>#N/A</v>
      </c>
      <c r="AH204" s="1066" t="e">
        <v>#VALUE!</v>
      </c>
      <c r="AI204" s="1065" t="e">
        <f>TB_prev[[#This Row],[Synt]]&amp;TB_prev[[#This Row],[Line No. manual corr.]]</f>
        <v>#VALUE!</v>
      </c>
      <c r="AJ204" s="1064">
        <f t="shared" si="16"/>
        <v>0</v>
      </c>
      <c r="AK204" s="1064">
        <f t="shared" si="17"/>
        <v>0</v>
      </c>
      <c r="AL204" s="1064">
        <f t="shared" si="18"/>
        <v>0</v>
      </c>
      <c r="AM204" s="1064">
        <f t="shared" si="19"/>
        <v>0</v>
      </c>
      <c r="AN204" s="1064"/>
      <c r="AO204" s="1064">
        <f>TB_prev[[#This Row],[Closing balance]]+TB_prev[[#This Row],[Rounding]]</f>
        <v>0</v>
      </c>
    </row>
    <row r="205" spans="30:41" x14ac:dyDescent="0.25">
      <c r="AD205" s="1067" t="str">
        <f t="shared" si="15"/>
        <v/>
      </c>
      <c r="AE205" s="1063" t="str">
        <f>IF(ISNA(VLOOKUP(TB_prev[[#This Row],[Synt]],GL[[#Headers],[#Data],[subtotal label]],1,FALSE)),0,(VLOOKUP(TB_prev[[#This Row],[Synt]],GL[[#Headers],[#Data],[subtotal label]],1,FALSE)))</f>
        <v/>
      </c>
      <c r="AF205" s="1063" t="e">
        <f>IF((TB_prev[[#This Row],[Synt]]-TB_prev[[#This Row],[Subtotal Y/N]])=0,0,VLOOKUP(TB_prev[[#This Row],[Synt]],GL[[Account]:[Line]],3,FALSE))</f>
        <v>#VALUE!</v>
      </c>
      <c r="AG205" s="1063" t="e">
        <f>VLOOKUP(TB_prev[[#This Row],[Synt]],GL[[Account]:[B/P]],4,FALSE)</f>
        <v>#N/A</v>
      </c>
      <c r="AH205" s="1066" t="e">
        <v>#VALUE!</v>
      </c>
      <c r="AI205" s="1065" t="e">
        <f>TB_prev[[#This Row],[Synt]]&amp;TB_prev[[#This Row],[Line No. manual corr.]]</f>
        <v>#VALUE!</v>
      </c>
      <c r="AJ205" s="1064">
        <f t="shared" si="16"/>
        <v>0</v>
      </c>
      <c r="AK205" s="1064">
        <f t="shared" si="17"/>
        <v>0</v>
      </c>
      <c r="AL205" s="1064">
        <f t="shared" si="18"/>
        <v>0</v>
      </c>
      <c r="AM205" s="1064">
        <f t="shared" si="19"/>
        <v>0</v>
      </c>
      <c r="AN205" s="1064"/>
      <c r="AO205" s="1064">
        <f>TB_prev[[#This Row],[Closing balance]]+TB_prev[[#This Row],[Rounding]]</f>
        <v>0</v>
      </c>
    </row>
    <row r="206" spans="30:41" x14ac:dyDescent="0.25">
      <c r="AD206" s="1067" t="str">
        <f t="shared" si="15"/>
        <v/>
      </c>
      <c r="AE206" s="1063" t="str">
        <f>IF(ISNA(VLOOKUP(TB_prev[[#This Row],[Synt]],GL[[#Headers],[#Data],[subtotal label]],1,FALSE)),0,(VLOOKUP(TB_prev[[#This Row],[Synt]],GL[[#Headers],[#Data],[subtotal label]],1,FALSE)))</f>
        <v/>
      </c>
      <c r="AF206" s="1063" t="e">
        <f>IF((TB_prev[[#This Row],[Synt]]-TB_prev[[#This Row],[Subtotal Y/N]])=0,0,VLOOKUP(TB_prev[[#This Row],[Synt]],GL[[Account]:[Line]],3,FALSE))</f>
        <v>#VALUE!</v>
      </c>
      <c r="AG206" s="1063" t="e">
        <f>VLOOKUP(TB_prev[[#This Row],[Synt]],GL[[Account]:[B/P]],4,FALSE)</f>
        <v>#N/A</v>
      </c>
      <c r="AH206" s="1066" t="e">
        <v>#VALUE!</v>
      </c>
      <c r="AI206" s="1065" t="e">
        <f>TB_prev[[#This Row],[Synt]]&amp;TB_prev[[#This Row],[Line No. manual corr.]]</f>
        <v>#VALUE!</v>
      </c>
      <c r="AJ206" s="1064">
        <f t="shared" si="16"/>
        <v>0</v>
      </c>
      <c r="AK206" s="1064">
        <f t="shared" si="17"/>
        <v>0</v>
      </c>
      <c r="AL206" s="1064">
        <f t="shared" si="18"/>
        <v>0</v>
      </c>
      <c r="AM206" s="1064">
        <f t="shared" si="19"/>
        <v>0</v>
      </c>
      <c r="AN206" s="1064"/>
      <c r="AO206" s="1064">
        <f>TB_prev[[#This Row],[Closing balance]]+TB_prev[[#This Row],[Rounding]]</f>
        <v>0</v>
      </c>
    </row>
    <row r="207" spans="30:41" x14ac:dyDescent="0.25">
      <c r="AD207" s="1067" t="str">
        <f t="shared" si="15"/>
        <v/>
      </c>
      <c r="AE207" s="1063" t="str">
        <f>IF(ISNA(VLOOKUP(TB_prev[[#This Row],[Synt]],GL[[#Headers],[#Data],[subtotal label]],1,FALSE)),0,(VLOOKUP(TB_prev[[#This Row],[Synt]],GL[[#Headers],[#Data],[subtotal label]],1,FALSE)))</f>
        <v/>
      </c>
      <c r="AF207" s="1063" t="e">
        <f>IF((TB_prev[[#This Row],[Synt]]-TB_prev[[#This Row],[Subtotal Y/N]])=0,0,VLOOKUP(TB_prev[[#This Row],[Synt]],GL[[Account]:[Line]],3,FALSE))</f>
        <v>#VALUE!</v>
      </c>
      <c r="AG207" s="1063" t="e">
        <f>VLOOKUP(TB_prev[[#This Row],[Synt]],GL[[Account]:[B/P]],4,FALSE)</f>
        <v>#N/A</v>
      </c>
      <c r="AH207" s="1066" t="e">
        <v>#VALUE!</v>
      </c>
      <c r="AI207" s="1065" t="e">
        <f>TB_prev[[#This Row],[Synt]]&amp;TB_prev[[#This Row],[Line No. manual corr.]]</f>
        <v>#VALUE!</v>
      </c>
      <c r="AJ207" s="1064">
        <f t="shared" si="16"/>
        <v>0</v>
      </c>
      <c r="AK207" s="1064">
        <f t="shared" si="17"/>
        <v>0</v>
      </c>
      <c r="AL207" s="1064">
        <f t="shared" si="18"/>
        <v>0</v>
      </c>
      <c r="AM207" s="1064">
        <f t="shared" si="19"/>
        <v>0</v>
      </c>
      <c r="AN207" s="1064"/>
      <c r="AO207" s="1064">
        <f>TB_prev[[#This Row],[Closing balance]]+TB_prev[[#This Row],[Rounding]]</f>
        <v>0</v>
      </c>
    </row>
    <row r="208" spans="30:41" x14ac:dyDescent="0.25">
      <c r="AD208" s="1067" t="str">
        <f t="shared" si="15"/>
        <v/>
      </c>
      <c r="AE208" s="1063" t="str">
        <f>IF(ISNA(VLOOKUP(TB_prev[[#This Row],[Synt]],GL[[#Headers],[#Data],[subtotal label]],1,FALSE)),0,(VLOOKUP(TB_prev[[#This Row],[Synt]],GL[[#Headers],[#Data],[subtotal label]],1,FALSE)))</f>
        <v/>
      </c>
      <c r="AF208" s="1063" t="e">
        <f>IF((TB_prev[[#This Row],[Synt]]-TB_prev[[#This Row],[Subtotal Y/N]])=0,0,VLOOKUP(TB_prev[[#This Row],[Synt]],GL[[Account]:[Line]],3,FALSE))</f>
        <v>#VALUE!</v>
      </c>
      <c r="AG208" s="1063" t="e">
        <f>VLOOKUP(TB_prev[[#This Row],[Synt]],GL[[Account]:[B/P]],4,FALSE)</f>
        <v>#N/A</v>
      </c>
      <c r="AH208" s="1066" t="e">
        <v>#VALUE!</v>
      </c>
      <c r="AI208" s="1065" t="e">
        <f>TB_prev[[#This Row],[Synt]]&amp;TB_prev[[#This Row],[Line No. manual corr.]]</f>
        <v>#VALUE!</v>
      </c>
      <c r="AJ208" s="1064">
        <f t="shared" si="16"/>
        <v>0</v>
      </c>
      <c r="AK208" s="1064">
        <f t="shared" si="17"/>
        <v>0</v>
      </c>
      <c r="AL208" s="1064">
        <f t="shared" si="18"/>
        <v>0</v>
      </c>
      <c r="AM208" s="1064">
        <f t="shared" si="19"/>
        <v>0</v>
      </c>
      <c r="AN208" s="1064"/>
      <c r="AO208" s="1064">
        <f>TB_prev[[#This Row],[Closing balance]]+TB_prev[[#This Row],[Rounding]]</f>
        <v>0</v>
      </c>
    </row>
    <row r="209" spans="30:41" x14ac:dyDescent="0.25">
      <c r="AD209" s="1067" t="str">
        <f t="shared" si="15"/>
        <v/>
      </c>
      <c r="AE209" s="1063" t="str">
        <f>IF(ISNA(VLOOKUP(TB_prev[[#This Row],[Synt]],GL[[#Headers],[#Data],[subtotal label]],1,FALSE)),0,(VLOOKUP(TB_prev[[#This Row],[Synt]],GL[[#Headers],[#Data],[subtotal label]],1,FALSE)))</f>
        <v/>
      </c>
      <c r="AF209" s="1063" t="e">
        <f>IF((TB_prev[[#This Row],[Synt]]-TB_prev[[#This Row],[Subtotal Y/N]])=0,0,VLOOKUP(TB_prev[[#This Row],[Synt]],GL[[Account]:[Line]],3,FALSE))</f>
        <v>#VALUE!</v>
      </c>
      <c r="AG209" s="1063" t="e">
        <f>VLOOKUP(TB_prev[[#This Row],[Synt]],GL[[Account]:[B/P]],4,FALSE)</f>
        <v>#N/A</v>
      </c>
      <c r="AH209" s="1066" t="e">
        <v>#VALUE!</v>
      </c>
      <c r="AI209" s="1065" t="e">
        <f>TB_prev[[#This Row],[Synt]]&amp;TB_prev[[#This Row],[Line No. manual corr.]]</f>
        <v>#VALUE!</v>
      </c>
      <c r="AJ209" s="1064">
        <f t="shared" si="16"/>
        <v>0</v>
      </c>
      <c r="AK209" s="1064">
        <f t="shared" si="17"/>
        <v>0</v>
      </c>
      <c r="AL209" s="1064">
        <f t="shared" si="18"/>
        <v>0</v>
      </c>
      <c r="AM209" s="1064">
        <f t="shared" si="19"/>
        <v>0</v>
      </c>
      <c r="AN209" s="1064"/>
      <c r="AO209" s="1064">
        <f>TB_prev[[#This Row],[Closing balance]]+TB_prev[[#This Row],[Rounding]]</f>
        <v>0</v>
      </c>
    </row>
    <row r="210" spans="30:41" x14ac:dyDescent="0.25">
      <c r="AD210" s="1067" t="str">
        <f t="shared" si="15"/>
        <v/>
      </c>
      <c r="AE210" s="1063" t="str">
        <f>IF(ISNA(VLOOKUP(TB_prev[[#This Row],[Synt]],GL[[#Headers],[#Data],[subtotal label]],1,FALSE)),0,(VLOOKUP(TB_prev[[#This Row],[Synt]],GL[[#Headers],[#Data],[subtotal label]],1,FALSE)))</f>
        <v/>
      </c>
      <c r="AF210" s="1063" t="e">
        <f>IF((TB_prev[[#This Row],[Synt]]-TB_prev[[#This Row],[Subtotal Y/N]])=0,0,VLOOKUP(TB_prev[[#This Row],[Synt]],GL[[Account]:[Line]],3,FALSE))</f>
        <v>#VALUE!</v>
      </c>
      <c r="AG210" s="1063" t="e">
        <f>VLOOKUP(TB_prev[[#This Row],[Synt]],GL[[Account]:[B/P]],4,FALSE)</f>
        <v>#N/A</v>
      </c>
      <c r="AH210" s="1066" t="e">
        <v>#VALUE!</v>
      </c>
      <c r="AI210" s="1065" t="e">
        <f>TB_prev[[#This Row],[Synt]]&amp;TB_prev[[#This Row],[Line No. manual corr.]]</f>
        <v>#VALUE!</v>
      </c>
      <c r="AJ210" s="1064">
        <f t="shared" si="16"/>
        <v>0</v>
      </c>
      <c r="AK210" s="1064">
        <f t="shared" si="17"/>
        <v>0</v>
      </c>
      <c r="AL210" s="1064">
        <f t="shared" si="18"/>
        <v>0</v>
      </c>
      <c r="AM210" s="1064">
        <f t="shared" si="19"/>
        <v>0</v>
      </c>
      <c r="AN210" s="1064"/>
      <c r="AO210" s="1064">
        <f>TB_prev[[#This Row],[Closing balance]]+TB_prev[[#This Row],[Rounding]]</f>
        <v>0</v>
      </c>
    </row>
    <row r="211" spans="30:41" x14ac:dyDescent="0.25">
      <c r="AD211" s="1067" t="str">
        <f t="shared" si="15"/>
        <v/>
      </c>
      <c r="AE211" s="1063" t="str">
        <f>IF(ISNA(VLOOKUP(TB_prev[[#This Row],[Synt]],GL[[#Headers],[#Data],[subtotal label]],1,FALSE)),0,(VLOOKUP(TB_prev[[#This Row],[Synt]],GL[[#Headers],[#Data],[subtotal label]],1,FALSE)))</f>
        <v/>
      </c>
      <c r="AF211" s="1063" t="e">
        <f>IF((TB_prev[[#This Row],[Synt]]-TB_prev[[#This Row],[Subtotal Y/N]])=0,0,VLOOKUP(TB_prev[[#This Row],[Synt]],GL[[Account]:[Line]],3,FALSE))</f>
        <v>#VALUE!</v>
      </c>
      <c r="AG211" s="1063" t="e">
        <f>VLOOKUP(TB_prev[[#This Row],[Synt]],GL[[Account]:[B/P]],4,FALSE)</f>
        <v>#N/A</v>
      </c>
      <c r="AH211" s="1066" t="e">
        <v>#VALUE!</v>
      </c>
      <c r="AI211" s="1065" t="e">
        <f>TB_prev[[#This Row],[Synt]]&amp;TB_prev[[#This Row],[Line No. manual corr.]]</f>
        <v>#VALUE!</v>
      </c>
      <c r="AJ211" s="1064">
        <f t="shared" si="16"/>
        <v>0</v>
      </c>
      <c r="AK211" s="1064">
        <f t="shared" si="17"/>
        <v>0</v>
      </c>
      <c r="AL211" s="1064">
        <f t="shared" si="18"/>
        <v>0</v>
      </c>
      <c r="AM211" s="1064">
        <f t="shared" si="19"/>
        <v>0</v>
      </c>
      <c r="AN211" s="1064"/>
      <c r="AO211" s="1064">
        <f>TB_prev[[#This Row],[Closing balance]]+TB_prev[[#This Row],[Rounding]]</f>
        <v>0</v>
      </c>
    </row>
    <row r="212" spans="30:41" x14ac:dyDescent="0.25">
      <c r="AD212" s="1067" t="str">
        <f t="shared" si="15"/>
        <v/>
      </c>
      <c r="AE212" s="1063" t="str">
        <f>IF(ISNA(VLOOKUP(TB_prev[[#This Row],[Synt]],GL[[#Headers],[#Data],[subtotal label]],1,FALSE)),0,(VLOOKUP(TB_prev[[#This Row],[Synt]],GL[[#Headers],[#Data],[subtotal label]],1,FALSE)))</f>
        <v/>
      </c>
      <c r="AF212" s="1063" t="e">
        <f>IF((TB_prev[[#This Row],[Synt]]-TB_prev[[#This Row],[Subtotal Y/N]])=0,0,VLOOKUP(TB_prev[[#This Row],[Synt]],GL[[Account]:[Line]],3,FALSE))</f>
        <v>#VALUE!</v>
      </c>
      <c r="AG212" s="1063" t="e">
        <f>VLOOKUP(TB_prev[[#This Row],[Synt]],GL[[Account]:[B/P]],4,FALSE)</f>
        <v>#N/A</v>
      </c>
      <c r="AH212" s="1066" t="e">
        <v>#VALUE!</v>
      </c>
      <c r="AI212" s="1065" t="e">
        <f>TB_prev[[#This Row],[Synt]]&amp;TB_prev[[#This Row],[Line No. manual corr.]]</f>
        <v>#VALUE!</v>
      </c>
      <c r="AJ212" s="1064">
        <f t="shared" si="16"/>
        <v>0</v>
      </c>
      <c r="AK212" s="1064">
        <f t="shared" si="17"/>
        <v>0</v>
      </c>
      <c r="AL212" s="1064">
        <f t="shared" si="18"/>
        <v>0</v>
      </c>
      <c r="AM212" s="1064">
        <f t="shared" si="19"/>
        <v>0</v>
      </c>
      <c r="AN212" s="1064"/>
      <c r="AO212" s="1064">
        <f>TB_prev[[#This Row],[Closing balance]]+TB_prev[[#This Row],[Rounding]]</f>
        <v>0</v>
      </c>
    </row>
    <row r="213" spans="30:41" x14ac:dyDescent="0.25">
      <c r="AD213" s="1067" t="str">
        <f t="shared" si="15"/>
        <v/>
      </c>
      <c r="AE213" s="1063" t="str">
        <f>IF(ISNA(VLOOKUP(TB_prev[[#This Row],[Synt]],GL[[#Headers],[#Data],[subtotal label]],1,FALSE)),0,(VLOOKUP(TB_prev[[#This Row],[Synt]],GL[[#Headers],[#Data],[subtotal label]],1,FALSE)))</f>
        <v/>
      </c>
      <c r="AF213" s="1063" t="e">
        <f>IF((TB_prev[[#This Row],[Synt]]-TB_prev[[#This Row],[Subtotal Y/N]])=0,0,VLOOKUP(TB_prev[[#This Row],[Synt]],GL[[Account]:[Line]],3,FALSE))</f>
        <v>#VALUE!</v>
      </c>
      <c r="AG213" s="1063" t="e">
        <f>VLOOKUP(TB_prev[[#This Row],[Synt]],GL[[Account]:[B/P]],4,FALSE)</f>
        <v>#N/A</v>
      </c>
      <c r="AH213" s="1066" t="e">
        <v>#VALUE!</v>
      </c>
      <c r="AI213" s="1065" t="e">
        <f>TB_prev[[#This Row],[Synt]]&amp;TB_prev[[#This Row],[Line No. manual corr.]]</f>
        <v>#VALUE!</v>
      </c>
      <c r="AJ213" s="1064">
        <f t="shared" si="16"/>
        <v>0</v>
      </c>
      <c r="AK213" s="1064">
        <f t="shared" si="17"/>
        <v>0</v>
      </c>
      <c r="AL213" s="1064">
        <f t="shared" si="18"/>
        <v>0</v>
      </c>
      <c r="AM213" s="1064">
        <f t="shared" si="19"/>
        <v>0</v>
      </c>
      <c r="AN213" s="1064"/>
      <c r="AO213" s="1064">
        <f>TB_prev[[#This Row],[Closing balance]]+TB_prev[[#This Row],[Rounding]]</f>
        <v>0</v>
      </c>
    </row>
    <row r="214" spans="30:41" x14ac:dyDescent="0.25">
      <c r="AD214" s="1067" t="str">
        <f t="shared" si="15"/>
        <v/>
      </c>
      <c r="AE214" s="1063" t="str">
        <f>IF(ISNA(VLOOKUP(TB_prev[[#This Row],[Synt]],GL[[#Headers],[#Data],[subtotal label]],1,FALSE)),0,(VLOOKUP(TB_prev[[#This Row],[Synt]],GL[[#Headers],[#Data],[subtotal label]],1,FALSE)))</f>
        <v/>
      </c>
      <c r="AF214" s="1063" t="e">
        <f>IF((TB_prev[[#This Row],[Synt]]-TB_prev[[#This Row],[Subtotal Y/N]])=0,0,VLOOKUP(TB_prev[[#This Row],[Synt]],GL[[Account]:[Line]],3,FALSE))</f>
        <v>#VALUE!</v>
      </c>
      <c r="AG214" s="1063" t="e">
        <f>VLOOKUP(TB_prev[[#This Row],[Synt]],GL[[Account]:[B/P]],4,FALSE)</f>
        <v>#N/A</v>
      </c>
      <c r="AH214" s="1066" t="e">
        <v>#VALUE!</v>
      </c>
      <c r="AI214" s="1065" t="e">
        <f>TB_prev[[#This Row],[Synt]]&amp;TB_prev[[#This Row],[Line No. manual corr.]]</f>
        <v>#VALUE!</v>
      </c>
      <c r="AJ214" s="1064">
        <f t="shared" si="16"/>
        <v>0</v>
      </c>
      <c r="AK214" s="1064">
        <f t="shared" si="17"/>
        <v>0</v>
      </c>
      <c r="AL214" s="1064">
        <f t="shared" si="18"/>
        <v>0</v>
      </c>
      <c r="AM214" s="1064">
        <f t="shared" si="19"/>
        <v>0</v>
      </c>
      <c r="AN214" s="1064"/>
      <c r="AO214" s="1064">
        <f>TB_prev[[#This Row],[Closing balance]]+TB_prev[[#This Row],[Rounding]]</f>
        <v>0</v>
      </c>
    </row>
    <row r="215" spans="30:41" x14ac:dyDescent="0.25">
      <c r="AD215" s="1067" t="str">
        <f t="shared" si="15"/>
        <v/>
      </c>
      <c r="AE215" s="1063" t="str">
        <f>IF(ISNA(VLOOKUP(TB_prev[[#This Row],[Synt]],GL[[#Headers],[#Data],[subtotal label]],1,FALSE)),0,(VLOOKUP(TB_prev[[#This Row],[Synt]],GL[[#Headers],[#Data],[subtotal label]],1,FALSE)))</f>
        <v/>
      </c>
      <c r="AF215" s="1063" t="e">
        <f>IF((TB_prev[[#This Row],[Synt]]-TB_prev[[#This Row],[Subtotal Y/N]])=0,0,VLOOKUP(TB_prev[[#This Row],[Synt]],GL[[Account]:[Line]],3,FALSE))</f>
        <v>#VALUE!</v>
      </c>
      <c r="AG215" s="1063" t="e">
        <f>VLOOKUP(TB_prev[[#This Row],[Synt]],GL[[Account]:[B/P]],4,FALSE)</f>
        <v>#N/A</v>
      </c>
      <c r="AH215" s="1066" t="e">
        <v>#VALUE!</v>
      </c>
      <c r="AI215" s="1065" t="e">
        <f>TB_prev[[#This Row],[Synt]]&amp;TB_prev[[#This Row],[Line No. manual corr.]]</f>
        <v>#VALUE!</v>
      </c>
      <c r="AJ215" s="1064">
        <f t="shared" si="16"/>
        <v>0</v>
      </c>
      <c r="AK215" s="1064">
        <f t="shared" si="17"/>
        <v>0</v>
      </c>
      <c r="AL215" s="1064">
        <f t="shared" si="18"/>
        <v>0</v>
      </c>
      <c r="AM215" s="1064">
        <f t="shared" si="19"/>
        <v>0</v>
      </c>
      <c r="AN215" s="1064"/>
      <c r="AO215" s="1064">
        <f>TB_prev[[#This Row],[Closing balance]]+TB_prev[[#This Row],[Rounding]]</f>
        <v>0</v>
      </c>
    </row>
    <row r="216" spans="30:41" x14ac:dyDescent="0.25">
      <c r="AD216" s="1067" t="str">
        <f t="shared" si="15"/>
        <v/>
      </c>
      <c r="AE216" s="1063" t="str">
        <f>IF(ISNA(VLOOKUP(TB_prev[[#This Row],[Synt]],GL[[#Headers],[#Data],[subtotal label]],1,FALSE)),0,(VLOOKUP(TB_prev[[#This Row],[Synt]],GL[[#Headers],[#Data],[subtotal label]],1,FALSE)))</f>
        <v/>
      </c>
      <c r="AF216" s="1063" t="e">
        <f>IF((TB_prev[[#This Row],[Synt]]-TB_prev[[#This Row],[Subtotal Y/N]])=0,0,VLOOKUP(TB_prev[[#This Row],[Synt]],GL[[Account]:[Line]],3,FALSE))</f>
        <v>#VALUE!</v>
      </c>
      <c r="AG216" s="1063" t="e">
        <f>VLOOKUP(TB_prev[[#This Row],[Synt]],GL[[Account]:[B/P]],4,FALSE)</f>
        <v>#N/A</v>
      </c>
      <c r="AH216" s="1066" t="e">
        <v>#VALUE!</v>
      </c>
      <c r="AI216" s="1065" t="e">
        <f>TB_prev[[#This Row],[Synt]]&amp;TB_prev[[#This Row],[Line No. manual corr.]]</f>
        <v>#VALUE!</v>
      </c>
      <c r="AJ216" s="1064">
        <f t="shared" si="16"/>
        <v>0</v>
      </c>
      <c r="AK216" s="1064">
        <f t="shared" si="17"/>
        <v>0</v>
      </c>
      <c r="AL216" s="1064">
        <f t="shared" si="18"/>
        <v>0</v>
      </c>
      <c r="AM216" s="1064">
        <f t="shared" si="19"/>
        <v>0</v>
      </c>
      <c r="AN216" s="1064"/>
      <c r="AO216" s="1064">
        <f>TB_prev[[#This Row],[Closing balance]]+TB_prev[[#This Row],[Rounding]]</f>
        <v>0</v>
      </c>
    </row>
    <row r="217" spans="30:41" x14ac:dyDescent="0.25">
      <c r="AD217" s="1067" t="str">
        <f t="shared" si="15"/>
        <v/>
      </c>
      <c r="AE217" s="1063" t="str">
        <f>IF(ISNA(VLOOKUP(TB_prev[[#This Row],[Synt]],GL[[#Headers],[#Data],[subtotal label]],1,FALSE)),0,(VLOOKUP(TB_prev[[#This Row],[Synt]],GL[[#Headers],[#Data],[subtotal label]],1,FALSE)))</f>
        <v/>
      </c>
      <c r="AF217" s="1063" t="e">
        <f>IF((TB_prev[[#This Row],[Synt]]-TB_prev[[#This Row],[Subtotal Y/N]])=0,0,VLOOKUP(TB_prev[[#This Row],[Synt]],GL[[Account]:[Line]],3,FALSE))</f>
        <v>#VALUE!</v>
      </c>
      <c r="AG217" s="1063" t="e">
        <f>VLOOKUP(TB_prev[[#This Row],[Synt]],GL[[Account]:[B/P]],4,FALSE)</f>
        <v>#N/A</v>
      </c>
      <c r="AH217" s="1066" t="e">
        <v>#VALUE!</v>
      </c>
      <c r="AI217" s="1065" t="e">
        <f>TB_prev[[#This Row],[Synt]]&amp;TB_prev[[#This Row],[Line No. manual corr.]]</f>
        <v>#VALUE!</v>
      </c>
      <c r="AJ217" s="1064">
        <f t="shared" si="16"/>
        <v>0</v>
      </c>
      <c r="AK217" s="1064">
        <f t="shared" si="17"/>
        <v>0</v>
      </c>
      <c r="AL217" s="1064">
        <f t="shared" si="18"/>
        <v>0</v>
      </c>
      <c r="AM217" s="1064">
        <f t="shared" si="19"/>
        <v>0</v>
      </c>
      <c r="AN217" s="1064"/>
      <c r="AO217" s="1064">
        <f>TB_prev[[#This Row],[Closing balance]]+TB_prev[[#This Row],[Rounding]]</f>
        <v>0</v>
      </c>
    </row>
    <row r="218" spans="30:41" x14ac:dyDescent="0.25">
      <c r="AD218" s="1067" t="str">
        <f t="shared" si="15"/>
        <v/>
      </c>
      <c r="AE218" s="1063" t="str">
        <f>IF(ISNA(VLOOKUP(TB_prev[[#This Row],[Synt]],GL[[#Headers],[#Data],[subtotal label]],1,FALSE)),0,(VLOOKUP(TB_prev[[#This Row],[Synt]],GL[[#Headers],[#Data],[subtotal label]],1,FALSE)))</f>
        <v/>
      </c>
      <c r="AF218" s="1063" t="e">
        <f>IF((TB_prev[[#This Row],[Synt]]-TB_prev[[#This Row],[Subtotal Y/N]])=0,0,VLOOKUP(TB_prev[[#This Row],[Synt]],GL[[Account]:[Line]],3,FALSE))</f>
        <v>#VALUE!</v>
      </c>
      <c r="AG218" s="1063" t="e">
        <f>VLOOKUP(TB_prev[[#This Row],[Synt]],GL[[Account]:[B/P]],4,FALSE)</f>
        <v>#N/A</v>
      </c>
      <c r="AH218" s="1066" t="e">
        <v>#VALUE!</v>
      </c>
      <c r="AI218" s="1065" t="e">
        <f>TB_prev[[#This Row],[Synt]]&amp;TB_prev[[#This Row],[Line No. manual corr.]]</f>
        <v>#VALUE!</v>
      </c>
      <c r="AJ218" s="1064">
        <f t="shared" si="16"/>
        <v>0</v>
      </c>
      <c r="AK218" s="1064">
        <f t="shared" si="17"/>
        <v>0</v>
      </c>
      <c r="AL218" s="1064">
        <f t="shared" si="18"/>
        <v>0</v>
      </c>
      <c r="AM218" s="1064">
        <f t="shared" si="19"/>
        <v>0</v>
      </c>
      <c r="AN218" s="1064"/>
      <c r="AO218" s="1064">
        <f>TB_prev[[#This Row],[Closing balance]]+TB_prev[[#This Row],[Rounding]]</f>
        <v>0</v>
      </c>
    </row>
    <row r="219" spans="30:41" x14ac:dyDescent="0.25">
      <c r="AD219" s="1067" t="str">
        <f t="shared" si="15"/>
        <v/>
      </c>
      <c r="AE219" s="1063" t="str">
        <f>IF(ISNA(VLOOKUP(TB_prev[[#This Row],[Synt]],GL[[#Headers],[#Data],[subtotal label]],1,FALSE)),0,(VLOOKUP(TB_prev[[#This Row],[Synt]],GL[[#Headers],[#Data],[subtotal label]],1,FALSE)))</f>
        <v/>
      </c>
      <c r="AF219" s="1063" t="e">
        <f>IF((TB_prev[[#This Row],[Synt]]-TB_prev[[#This Row],[Subtotal Y/N]])=0,0,VLOOKUP(TB_prev[[#This Row],[Synt]],GL[[Account]:[Line]],3,FALSE))</f>
        <v>#VALUE!</v>
      </c>
      <c r="AG219" s="1063" t="e">
        <f>VLOOKUP(TB_prev[[#This Row],[Synt]],GL[[Account]:[B/P]],4,FALSE)</f>
        <v>#N/A</v>
      </c>
      <c r="AH219" s="1066" t="e">
        <v>#VALUE!</v>
      </c>
      <c r="AI219" s="1065" t="e">
        <f>TB_prev[[#This Row],[Synt]]&amp;TB_prev[[#This Row],[Line No. manual corr.]]</f>
        <v>#VALUE!</v>
      </c>
      <c r="AJ219" s="1064">
        <f t="shared" si="16"/>
        <v>0</v>
      </c>
      <c r="AK219" s="1064">
        <f t="shared" si="17"/>
        <v>0</v>
      </c>
      <c r="AL219" s="1064">
        <f t="shared" si="18"/>
        <v>0</v>
      </c>
      <c r="AM219" s="1064">
        <f t="shared" si="19"/>
        <v>0</v>
      </c>
      <c r="AN219" s="1064"/>
      <c r="AO219" s="1064">
        <f>TB_prev[[#This Row],[Closing balance]]+TB_prev[[#This Row],[Rounding]]</f>
        <v>0</v>
      </c>
    </row>
    <row r="220" spans="30:41" x14ac:dyDescent="0.25">
      <c r="AD220" s="1067" t="str">
        <f t="shared" si="15"/>
        <v/>
      </c>
      <c r="AE220" s="1063" t="str">
        <f>IF(ISNA(VLOOKUP(TB_prev[[#This Row],[Synt]],GL[[#Headers],[#Data],[subtotal label]],1,FALSE)),0,(VLOOKUP(TB_prev[[#This Row],[Synt]],GL[[#Headers],[#Data],[subtotal label]],1,FALSE)))</f>
        <v/>
      </c>
      <c r="AF220" s="1063" t="e">
        <f>IF((TB_prev[[#This Row],[Synt]]-TB_prev[[#This Row],[Subtotal Y/N]])=0,0,VLOOKUP(TB_prev[[#This Row],[Synt]],GL[[Account]:[Line]],3,FALSE))</f>
        <v>#VALUE!</v>
      </c>
      <c r="AG220" s="1063" t="e">
        <f>VLOOKUP(TB_prev[[#This Row],[Synt]],GL[[Account]:[B/P]],4,FALSE)</f>
        <v>#N/A</v>
      </c>
      <c r="AH220" s="1066" t="e">
        <v>#VALUE!</v>
      </c>
      <c r="AI220" s="1065" t="e">
        <f>TB_prev[[#This Row],[Synt]]&amp;TB_prev[[#This Row],[Line No. manual corr.]]</f>
        <v>#VALUE!</v>
      </c>
      <c r="AJ220" s="1064">
        <f t="shared" si="16"/>
        <v>0</v>
      </c>
      <c r="AK220" s="1064">
        <f t="shared" si="17"/>
        <v>0</v>
      </c>
      <c r="AL220" s="1064">
        <f t="shared" si="18"/>
        <v>0</v>
      </c>
      <c r="AM220" s="1064">
        <f t="shared" si="19"/>
        <v>0</v>
      </c>
      <c r="AN220" s="1064"/>
      <c r="AO220" s="1064">
        <f>TB_prev[[#This Row],[Closing balance]]+TB_prev[[#This Row],[Rounding]]</f>
        <v>0</v>
      </c>
    </row>
    <row r="221" spans="30:41" x14ac:dyDescent="0.25">
      <c r="AD221" s="1067" t="str">
        <f t="shared" si="15"/>
        <v/>
      </c>
      <c r="AE221" s="1063" t="str">
        <f>IF(ISNA(VLOOKUP(TB_prev[[#This Row],[Synt]],GL[[#Headers],[#Data],[subtotal label]],1,FALSE)),0,(VLOOKUP(TB_prev[[#This Row],[Synt]],GL[[#Headers],[#Data],[subtotal label]],1,FALSE)))</f>
        <v/>
      </c>
      <c r="AF221" s="1063" t="e">
        <f>IF((TB_prev[[#This Row],[Synt]]-TB_prev[[#This Row],[Subtotal Y/N]])=0,0,VLOOKUP(TB_prev[[#This Row],[Synt]],GL[[Account]:[Line]],3,FALSE))</f>
        <v>#VALUE!</v>
      </c>
      <c r="AG221" s="1063" t="e">
        <f>VLOOKUP(TB_prev[[#This Row],[Synt]],GL[[Account]:[B/P]],4,FALSE)</f>
        <v>#N/A</v>
      </c>
      <c r="AH221" s="1066" t="e">
        <v>#VALUE!</v>
      </c>
      <c r="AI221" s="1065" t="e">
        <f>TB_prev[[#This Row],[Synt]]&amp;TB_prev[[#This Row],[Line No. manual corr.]]</f>
        <v>#VALUE!</v>
      </c>
      <c r="AJ221" s="1064">
        <f t="shared" si="16"/>
        <v>0</v>
      </c>
      <c r="AK221" s="1064">
        <f t="shared" si="17"/>
        <v>0</v>
      </c>
      <c r="AL221" s="1064">
        <f t="shared" si="18"/>
        <v>0</v>
      </c>
      <c r="AM221" s="1064">
        <f t="shared" si="19"/>
        <v>0</v>
      </c>
      <c r="AN221" s="1064"/>
      <c r="AO221" s="1064">
        <f>TB_prev[[#This Row],[Closing balance]]+TB_prev[[#This Row],[Rounding]]</f>
        <v>0</v>
      </c>
    </row>
    <row r="222" spans="30:41" x14ac:dyDescent="0.25">
      <c r="AD222" s="1067" t="str">
        <f t="shared" si="15"/>
        <v/>
      </c>
      <c r="AE222" s="1063" t="str">
        <f>IF(ISNA(VLOOKUP(TB_prev[[#This Row],[Synt]],GL[[#Headers],[#Data],[subtotal label]],1,FALSE)),0,(VLOOKUP(TB_prev[[#This Row],[Synt]],GL[[#Headers],[#Data],[subtotal label]],1,FALSE)))</f>
        <v/>
      </c>
      <c r="AF222" s="1063" t="e">
        <f>IF((TB_prev[[#This Row],[Synt]]-TB_prev[[#This Row],[Subtotal Y/N]])=0,0,VLOOKUP(TB_prev[[#This Row],[Synt]],GL[[Account]:[Line]],3,FALSE))</f>
        <v>#VALUE!</v>
      </c>
      <c r="AG222" s="1063" t="e">
        <f>VLOOKUP(TB_prev[[#This Row],[Synt]],GL[[Account]:[B/P]],4,FALSE)</f>
        <v>#N/A</v>
      </c>
      <c r="AH222" s="1066" t="e">
        <v>#VALUE!</v>
      </c>
      <c r="AI222" s="1065" t="e">
        <f>TB_prev[[#This Row],[Synt]]&amp;TB_prev[[#This Row],[Line No. manual corr.]]</f>
        <v>#VALUE!</v>
      </c>
      <c r="AJ222" s="1064">
        <f t="shared" si="16"/>
        <v>0</v>
      </c>
      <c r="AK222" s="1064">
        <f t="shared" si="17"/>
        <v>0</v>
      </c>
      <c r="AL222" s="1064">
        <f t="shared" si="18"/>
        <v>0</v>
      </c>
      <c r="AM222" s="1064">
        <f t="shared" si="19"/>
        <v>0</v>
      </c>
      <c r="AN222" s="1064"/>
      <c r="AO222" s="1064">
        <f>TB_prev[[#This Row],[Closing balance]]+TB_prev[[#This Row],[Rounding]]</f>
        <v>0</v>
      </c>
    </row>
    <row r="223" spans="30:41" x14ac:dyDescent="0.25">
      <c r="AD223" s="1067" t="str">
        <f t="shared" si="15"/>
        <v/>
      </c>
      <c r="AE223" s="1063" t="str">
        <f>IF(ISNA(VLOOKUP(TB_prev[[#This Row],[Synt]],GL[[#Headers],[#Data],[subtotal label]],1,FALSE)),0,(VLOOKUP(TB_prev[[#This Row],[Synt]],GL[[#Headers],[#Data],[subtotal label]],1,FALSE)))</f>
        <v/>
      </c>
      <c r="AF223" s="1063" t="e">
        <f>IF((TB_prev[[#This Row],[Synt]]-TB_prev[[#This Row],[Subtotal Y/N]])=0,0,VLOOKUP(TB_prev[[#This Row],[Synt]],GL[[Account]:[Line]],3,FALSE))</f>
        <v>#VALUE!</v>
      </c>
      <c r="AG223" s="1063" t="e">
        <f>VLOOKUP(TB_prev[[#This Row],[Synt]],GL[[Account]:[B/P]],4,FALSE)</f>
        <v>#N/A</v>
      </c>
      <c r="AH223" s="1066" t="e">
        <v>#VALUE!</v>
      </c>
      <c r="AI223" s="1065" t="e">
        <f>TB_prev[[#This Row],[Synt]]&amp;TB_prev[[#This Row],[Line No. manual corr.]]</f>
        <v>#VALUE!</v>
      </c>
      <c r="AJ223" s="1064">
        <f t="shared" si="16"/>
        <v>0</v>
      </c>
      <c r="AK223" s="1064">
        <f t="shared" si="17"/>
        <v>0</v>
      </c>
      <c r="AL223" s="1064">
        <f t="shared" si="18"/>
        <v>0</v>
      </c>
      <c r="AM223" s="1064">
        <f t="shared" si="19"/>
        <v>0</v>
      </c>
      <c r="AN223" s="1064"/>
      <c r="AO223" s="1064">
        <f>TB_prev[[#This Row],[Closing balance]]+TB_prev[[#This Row],[Rounding]]</f>
        <v>0</v>
      </c>
    </row>
    <row r="224" spans="30:41" x14ac:dyDescent="0.25">
      <c r="AD224" s="1067" t="str">
        <f t="shared" si="15"/>
        <v/>
      </c>
      <c r="AE224" s="1063" t="str">
        <f>IF(ISNA(VLOOKUP(TB_prev[[#This Row],[Synt]],GL[[#Headers],[#Data],[subtotal label]],1,FALSE)),0,(VLOOKUP(TB_prev[[#This Row],[Synt]],GL[[#Headers],[#Data],[subtotal label]],1,FALSE)))</f>
        <v/>
      </c>
      <c r="AF224" s="1063" t="e">
        <f>IF((TB_prev[[#This Row],[Synt]]-TB_prev[[#This Row],[Subtotal Y/N]])=0,0,VLOOKUP(TB_prev[[#This Row],[Synt]],GL[[Account]:[Line]],3,FALSE))</f>
        <v>#VALUE!</v>
      </c>
      <c r="AG224" s="1063" t="e">
        <f>VLOOKUP(TB_prev[[#This Row],[Synt]],GL[[Account]:[B/P]],4,FALSE)</f>
        <v>#N/A</v>
      </c>
      <c r="AH224" s="1066" t="e">
        <v>#VALUE!</v>
      </c>
      <c r="AI224" s="1065" t="e">
        <f>TB_prev[[#This Row],[Synt]]&amp;TB_prev[[#This Row],[Line No. manual corr.]]</f>
        <v>#VALUE!</v>
      </c>
      <c r="AJ224" s="1064">
        <f t="shared" si="16"/>
        <v>0</v>
      </c>
      <c r="AK224" s="1064">
        <f t="shared" si="17"/>
        <v>0</v>
      </c>
      <c r="AL224" s="1064">
        <f t="shared" si="18"/>
        <v>0</v>
      </c>
      <c r="AM224" s="1064">
        <f t="shared" si="19"/>
        <v>0</v>
      </c>
      <c r="AN224" s="1064"/>
      <c r="AO224" s="1064">
        <f>TB_prev[[#This Row],[Closing balance]]+TB_prev[[#This Row],[Rounding]]</f>
        <v>0</v>
      </c>
    </row>
    <row r="225" spans="30:41" x14ac:dyDescent="0.25">
      <c r="AD225" s="1067" t="str">
        <f t="shared" si="15"/>
        <v/>
      </c>
      <c r="AE225" s="1063" t="str">
        <f>IF(ISNA(VLOOKUP(TB_prev[[#This Row],[Synt]],GL[[#Headers],[#Data],[subtotal label]],1,FALSE)),0,(VLOOKUP(TB_prev[[#This Row],[Synt]],GL[[#Headers],[#Data],[subtotal label]],1,FALSE)))</f>
        <v/>
      </c>
      <c r="AF225" s="1063" t="e">
        <f>IF((TB_prev[[#This Row],[Synt]]-TB_prev[[#This Row],[Subtotal Y/N]])=0,0,VLOOKUP(TB_prev[[#This Row],[Synt]],GL[[Account]:[Line]],3,FALSE))</f>
        <v>#VALUE!</v>
      </c>
      <c r="AG225" s="1063" t="e">
        <f>VLOOKUP(TB_prev[[#This Row],[Synt]],GL[[Account]:[B/P]],4,FALSE)</f>
        <v>#N/A</v>
      </c>
      <c r="AH225" s="1066" t="e">
        <v>#VALUE!</v>
      </c>
      <c r="AI225" s="1065" t="e">
        <f>TB_prev[[#This Row],[Synt]]&amp;TB_prev[[#This Row],[Line No. manual corr.]]</f>
        <v>#VALUE!</v>
      </c>
      <c r="AJ225" s="1064">
        <f t="shared" si="16"/>
        <v>0</v>
      </c>
      <c r="AK225" s="1064">
        <f t="shared" si="17"/>
        <v>0</v>
      </c>
      <c r="AL225" s="1064">
        <f t="shared" si="18"/>
        <v>0</v>
      </c>
      <c r="AM225" s="1064">
        <f t="shared" si="19"/>
        <v>0</v>
      </c>
      <c r="AN225" s="1064"/>
      <c r="AO225" s="1064">
        <f>TB_prev[[#This Row],[Closing balance]]+TB_prev[[#This Row],[Rounding]]</f>
        <v>0</v>
      </c>
    </row>
    <row r="226" spans="30:41" x14ac:dyDescent="0.25">
      <c r="AD226" s="1067" t="str">
        <f t="shared" si="15"/>
        <v/>
      </c>
      <c r="AE226" s="1063" t="str">
        <f>IF(ISNA(VLOOKUP(TB_prev[[#This Row],[Synt]],GL[[#Headers],[#Data],[subtotal label]],1,FALSE)),0,(VLOOKUP(TB_prev[[#This Row],[Synt]],GL[[#Headers],[#Data],[subtotal label]],1,FALSE)))</f>
        <v/>
      </c>
      <c r="AF226" s="1063" t="e">
        <f>IF((TB_prev[[#This Row],[Synt]]-TB_prev[[#This Row],[Subtotal Y/N]])=0,0,VLOOKUP(TB_prev[[#This Row],[Synt]],GL[[Account]:[Line]],3,FALSE))</f>
        <v>#VALUE!</v>
      </c>
      <c r="AG226" s="1063" t="e">
        <f>VLOOKUP(TB_prev[[#This Row],[Synt]],GL[[Account]:[B/P]],4,FALSE)</f>
        <v>#N/A</v>
      </c>
      <c r="AH226" s="1066" t="e">
        <v>#VALUE!</v>
      </c>
      <c r="AI226" s="1065" t="e">
        <f>TB_prev[[#This Row],[Synt]]&amp;TB_prev[[#This Row],[Line No. manual corr.]]</f>
        <v>#VALUE!</v>
      </c>
      <c r="AJ226" s="1064">
        <f t="shared" si="16"/>
        <v>0</v>
      </c>
      <c r="AK226" s="1064">
        <f t="shared" si="17"/>
        <v>0</v>
      </c>
      <c r="AL226" s="1064">
        <f t="shared" si="18"/>
        <v>0</v>
      </c>
      <c r="AM226" s="1064">
        <f t="shared" si="19"/>
        <v>0</v>
      </c>
      <c r="AN226" s="1064"/>
      <c r="AO226" s="1064">
        <f>TB_prev[[#This Row],[Closing balance]]+TB_prev[[#This Row],[Rounding]]</f>
        <v>0</v>
      </c>
    </row>
    <row r="227" spans="30:41" x14ac:dyDescent="0.25">
      <c r="AD227" s="1067" t="str">
        <f t="shared" si="15"/>
        <v/>
      </c>
      <c r="AE227" s="1063" t="str">
        <f>IF(ISNA(VLOOKUP(TB_prev[[#This Row],[Synt]],GL[[#Headers],[#Data],[subtotal label]],1,FALSE)),0,(VLOOKUP(TB_prev[[#This Row],[Synt]],GL[[#Headers],[#Data],[subtotal label]],1,FALSE)))</f>
        <v/>
      </c>
      <c r="AF227" s="1063" t="e">
        <f>IF((TB_prev[[#This Row],[Synt]]-TB_prev[[#This Row],[Subtotal Y/N]])=0,0,VLOOKUP(TB_prev[[#This Row],[Synt]],GL[[Account]:[Line]],3,FALSE))</f>
        <v>#VALUE!</v>
      </c>
      <c r="AG227" s="1063" t="e">
        <f>VLOOKUP(TB_prev[[#This Row],[Synt]],GL[[Account]:[B/P]],4,FALSE)</f>
        <v>#N/A</v>
      </c>
      <c r="AH227" s="1066" t="e">
        <v>#VALUE!</v>
      </c>
      <c r="AI227" s="1065" t="e">
        <f>TB_prev[[#This Row],[Synt]]&amp;TB_prev[[#This Row],[Line No. manual corr.]]</f>
        <v>#VALUE!</v>
      </c>
      <c r="AJ227" s="1064">
        <f t="shared" si="16"/>
        <v>0</v>
      </c>
      <c r="AK227" s="1064">
        <f t="shared" si="17"/>
        <v>0</v>
      </c>
      <c r="AL227" s="1064">
        <f t="shared" si="18"/>
        <v>0</v>
      </c>
      <c r="AM227" s="1064">
        <f t="shared" si="19"/>
        <v>0</v>
      </c>
      <c r="AN227" s="1064"/>
      <c r="AO227" s="1064">
        <f>TB_prev[[#This Row],[Closing balance]]+TB_prev[[#This Row],[Rounding]]</f>
        <v>0</v>
      </c>
    </row>
    <row r="228" spans="30:41" x14ac:dyDescent="0.25">
      <c r="AD228" s="1067" t="str">
        <f t="shared" si="15"/>
        <v/>
      </c>
      <c r="AE228" s="1063" t="str">
        <f>IF(ISNA(VLOOKUP(TB_prev[[#This Row],[Synt]],GL[[#Headers],[#Data],[subtotal label]],1,FALSE)),0,(VLOOKUP(TB_prev[[#This Row],[Synt]],GL[[#Headers],[#Data],[subtotal label]],1,FALSE)))</f>
        <v/>
      </c>
      <c r="AF228" s="1063" t="e">
        <f>IF((TB_prev[[#This Row],[Synt]]-TB_prev[[#This Row],[Subtotal Y/N]])=0,0,VLOOKUP(TB_prev[[#This Row],[Synt]],GL[[Account]:[Line]],3,FALSE))</f>
        <v>#VALUE!</v>
      </c>
      <c r="AG228" s="1063" t="e">
        <f>VLOOKUP(TB_prev[[#This Row],[Synt]],GL[[Account]:[B/P]],4,FALSE)</f>
        <v>#N/A</v>
      </c>
      <c r="AH228" s="1066" t="e">
        <v>#VALUE!</v>
      </c>
      <c r="AI228" s="1065" t="e">
        <f>TB_prev[[#This Row],[Synt]]&amp;TB_prev[[#This Row],[Line No. manual corr.]]</f>
        <v>#VALUE!</v>
      </c>
      <c r="AJ228" s="1064">
        <f t="shared" si="16"/>
        <v>0</v>
      </c>
      <c r="AK228" s="1064">
        <f t="shared" si="17"/>
        <v>0</v>
      </c>
      <c r="AL228" s="1064">
        <f t="shared" si="18"/>
        <v>0</v>
      </c>
      <c r="AM228" s="1064">
        <f t="shared" si="19"/>
        <v>0</v>
      </c>
      <c r="AN228" s="1064"/>
      <c r="AO228" s="1064">
        <f>TB_prev[[#This Row],[Closing balance]]+TB_prev[[#This Row],[Rounding]]</f>
        <v>0</v>
      </c>
    </row>
    <row r="229" spans="30:41" x14ac:dyDescent="0.25">
      <c r="AD229" s="1067" t="str">
        <f t="shared" si="15"/>
        <v/>
      </c>
      <c r="AE229" s="1063" t="str">
        <f>IF(ISNA(VLOOKUP(TB_prev[[#This Row],[Synt]],GL[[#Headers],[#Data],[subtotal label]],1,FALSE)),0,(VLOOKUP(TB_prev[[#This Row],[Synt]],GL[[#Headers],[#Data],[subtotal label]],1,FALSE)))</f>
        <v/>
      </c>
      <c r="AF229" s="1063" t="e">
        <f>IF((TB_prev[[#This Row],[Synt]]-TB_prev[[#This Row],[Subtotal Y/N]])=0,0,VLOOKUP(TB_prev[[#This Row],[Synt]],GL[[Account]:[Line]],3,FALSE))</f>
        <v>#VALUE!</v>
      </c>
      <c r="AG229" s="1063" t="e">
        <f>VLOOKUP(TB_prev[[#This Row],[Synt]],GL[[Account]:[B/P]],4,FALSE)</f>
        <v>#N/A</v>
      </c>
      <c r="AH229" s="1066" t="e">
        <v>#VALUE!</v>
      </c>
      <c r="AI229" s="1065" t="e">
        <f>TB_prev[[#This Row],[Synt]]&amp;TB_prev[[#This Row],[Line No. manual corr.]]</f>
        <v>#VALUE!</v>
      </c>
      <c r="AJ229" s="1064">
        <f t="shared" si="16"/>
        <v>0</v>
      </c>
      <c r="AK229" s="1064">
        <f t="shared" si="17"/>
        <v>0</v>
      </c>
      <c r="AL229" s="1064">
        <f t="shared" si="18"/>
        <v>0</v>
      </c>
      <c r="AM229" s="1064">
        <f t="shared" si="19"/>
        <v>0</v>
      </c>
      <c r="AN229" s="1064"/>
      <c r="AO229" s="1064">
        <f>TB_prev[[#This Row],[Closing balance]]+TB_prev[[#This Row],[Rounding]]</f>
        <v>0</v>
      </c>
    </row>
    <row r="230" spans="30:41" x14ac:dyDescent="0.25">
      <c r="AD230" s="1067" t="str">
        <f t="shared" si="15"/>
        <v/>
      </c>
      <c r="AE230" s="1063" t="str">
        <f>IF(ISNA(VLOOKUP(TB_prev[[#This Row],[Synt]],GL[[#Headers],[#Data],[subtotal label]],1,FALSE)),0,(VLOOKUP(TB_prev[[#This Row],[Synt]],GL[[#Headers],[#Data],[subtotal label]],1,FALSE)))</f>
        <v/>
      </c>
      <c r="AF230" s="1063" t="e">
        <f>IF((TB_prev[[#This Row],[Synt]]-TB_prev[[#This Row],[Subtotal Y/N]])=0,0,VLOOKUP(TB_prev[[#This Row],[Synt]],GL[[Account]:[Line]],3,FALSE))</f>
        <v>#VALUE!</v>
      </c>
      <c r="AG230" s="1063" t="e">
        <f>VLOOKUP(TB_prev[[#This Row],[Synt]],GL[[Account]:[B/P]],4,FALSE)</f>
        <v>#N/A</v>
      </c>
      <c r="AH230" s="1066" t="e">
        <v>#VALUE!</v>
      </c>
      <c r="AI230" s="1065" t="e">
        <f>TB_prev[[#This Row],[Synt]]&amp;TB_prev[[#This Row],[Line No. manual corr.]]</f>
        <v>#VALUE!</v>
      </c>
      <c r="AJ230" s="1064">
        <f t="shared" si="16"/>
        <v>0</v>
      </c>
      <c r="AK230" s="1064">
        <f t="shared" si="17"/>
        <v>0</v>
      </c>
      <c r="AL230" s="1064">
        <f t="shared" si="18"/>
        <v>0</v>
      </c>
      <c r="AM230" s="1064">
        <f t="shared" si="19"/>
        <v>0</v>
      </c>
      <c r="AN230" s="1064"/>
      <c r="AO230" s="1064">
        <f>TB_prev[[#This Row],[Closing balance]]+TB_prev[[#This Row],[Rounding]]</f>
        <v>0</v>
      </c>
    </row>
    <row r="231" spans="30:41" x14ac:dyDescent="0.25">
      <c r="AD231" s="1067" t="str">
        <f t="shared" si="15"/>
        <v/>
      </c>
      <c r="AE231" s="1063" t="str">
        <f>IF(ISNA(VLOOKUP(TB_prev[[#This Row],[Synt]],GL[[#Headers],[#Data],[subtotal label]],1,FALSE)),0,(VLOOKUP(TB_prev[[#This Row],[Synt]],GL[[#Headers],[#Data],[subtotal label]],1,FALSE)))</f>
        <v/>
      </c>
      <c r="AF231" s="1063" t="e">
        <f>IF((TB_prev[[#This Row],[Synt]]-TB_prev[[#This Row],[Subtotal Y/N]])=0,0,VLOOKUP(TB_prev[[#This Row],[Synt]],GL[[Account]:[Line]],3,FALSE))</f>
        <v>#VALUE!</v>
      </c>
      <c r="AG231" s="1063" t="e">
        <f>VLOOKUP(TB_prev[[#This Row],[Synt]],GL[[Account]:[B/P]],4,FALSE)</f>
        <v>#N/A</v>
      </c>
      <c r="AH231" s="1066" t="e">
        <v>#VALUE!</v>
      </c>
      <c r="AI231" s="1065" t="e">
        <f>TB_prev[[#This Row],[Synt]]&amp;TB_prev[[#This Row],[Line No. manual corr.]]</f>
        <v>#VALUE!</v>
      </c>
      <c r="AJ231" s="1064">
        <f t="shared" si="16"/>
        <v>0</v>
      </c>
      <c r="AK231" s="1064">
        <f t="shared" si="17"/>
        <v>0</v>
      </c>
      <c r="AL231" s="1064">
        <f t="shared" si="18"/>
        <v>0</v>
      </c>
      <c r="AM231" s="1064">
        <f t="shared" si="19"/>
        <v>0</v>
      </c>
      <c r="AN231" s="1064"/>
      <c r="AO231" s="1064">
        <f>TB_prev[[#This Row],[Closing balance]]+TB_prev[[#This Row],[Rounding]]</f>
        <v>0</v>
      </c>
    </row>
    <row r="232" spans="30:41" x14ac:dyDescent="0.25">
      <c r="AD232" s="1067" t="str">
        <f t="shared" si="15"/>
        <v/>
      </c>
      <c r="AE232" s="1063" t="str">
        <f>IF(ISNA(VLOOKUP(TB_prev[[#This Row],[Synt]],GL[[#Headers],[#Data],[subtotal label]],1,FALSE)),0,(VLOOKUP(TB_prev[[#This Row],[Synt]],GL[[#Headers],[#Data],[subtotal label]],1,FALSE)))</f>
        <v/>
      </c>
      <c r="AF232" s="1063" t="e">
        <f>IF((TB_prev[[#This Row],[Synt]]-TB_prev[[#This Row],[Subtotal Y/N]])=0,0,VLOOKUP(TB_prev[[#This Row],[Synt]],GL[[Account]:[Line]],3,FALSE))</f>
        <v>#VALUE!</v>
      </c>
      <c r="AG232" s="1063" t="e">
        <f>VLOOKUP(TB_prev[[#This Row],[Synt]],GL[[Account]:[B/P]],4,FALSE)</f>
        <v>#N/A</v>
      </c>
      <c r="AH232" s="1066" t="e">
        <v>#VALUE!</v>
      </c>
      <c r="AI232" s="1065" t="e">
        <f>TB_prev[[#This Row],[Synt]]&amp;TB_prev[[#This Row],[Line No. manual corr.]]</f>
        <v>#VALUE!</v>
      </c>
      <c r="AJ232" s="1064">
        <f t="shared" si="16"/>
        <v>0</v>
      </c>
      <c r="AK232" s="1064">
        <f t="shared" si="17"/>
        <v>0</v>
      </c>
      <c r="AL232" s="1064">
        <f t="shared" si="18"/>
        <v>0</v>
      </c>
      <c r="AM232" s="1064">
        <f t="shared" si="19"/>
        <v>0</v>
      </c>
      <c r="AN232" s="1064"/>
      <c r="AO232" s="1064">
        <f>TB_prev[[#This Row],[Closing balance]]+TB_prev[[#This Row],[Rounding]]</f>
        <v>0</v>
      </c>
    </row>
    <row r="233" spans="30:41" x14ac:dyDescent="0.25">
      <c r="AD233" s="1067" t="str">
        <f t="shared" si="15"/>
        <v/>
      </c>
      <c r="AE233" s="1063" t="str">
        <f>IF(ISNA(VLOOKUP(TB_prev[[#This Row],[Synt]],GL[[#Headers],[#Data],[subtotal label]],1,FALSE)),0,(VLOOKUP(TB_prev[[#This Row],[Synt]],GL[[#Headers],[#Data],[subtotal label]],1,FALSE)))</f>
        <v/>
      </c>
      <c r="AF233" s="1063" t="e">
        <f>IF((TB_prev[[#This Row],[Synt]]-TB_prev[[#This Row],[Subtotal Y/N]])=0,0,VLOOKUP(TB_prev[[#This Row],[Synt]],GL[[Account]:[Line]],3,FALSE))</f>
        <v>#VALUE!</v>
      </c>
      <c r="AG233" s="1063" t="e">
        <f>VLOOKUP(TB_prev[[#This Row],[Synt]],GL[[Account]:[B/P]],4,FALSE)</f>
        <v>#N/A</v>
      </c>
      <c r="AH233" s="1066" t="e">
        <v>#VALUE!</v>
      </c>
      <c r="AI233" s="1065" t="e">
        <f>TB_prev[[#This Row],[Synt]]&amp;TB_prev[[#This Row],[Line No. manual corr.]]</f>
        <v>#VALUE!</v>
      </c>
      <c r="AJ233" s="1064">
        <f t="shared" si="16"/>
        <v>0</v>
      </c>
      <c r="AK233" s="1064">
        <f t="shared" si="17"/>
        <v>0</v>
      </c>
      <c r="AL233" s="1064">
        <f t="shared" si="18"/>
        <v>0</v>
      </c>
      <c r="AM233" s="1064">
        <f t="shared" si="19"/>
        <v>0</v>
      </c>
      <c r="AN233" s="1064"/>
      <c r="AO233" s="1064">
        <f>TB_prev[[#This Row],[Closing balance]]+TB_prev[[#This Row],[Rounding]]</f>
        <v>0</v>
      </c>
    </row>
    <row r="234" spans="30:41" x14ac:dyDescent="0.25">
      <c r="AD234" s="1067" t="str">
        <f t="shared" si="15"/>
        <v/>
      </c>
      <c r="AE234" s="1063" t="str">
        <f>IF(ISNA(VLOOKUP(TB_prev[[#This Row],[Synt]],GL[[#Headers],[#Data],[subtotal label]],1,FALSE)),0,(VLOOKUP(TB_prev[[#This Row],[Synt]],GL[[#Headers],[#Data],[subtotal label]],1,FALSE)))</f>
        <v/>
      </c>
      <c r="AF234" s="1063" t="e">
        <f>IF((TB_prev[[#This Row],[Synt]]-TB_prev[[#This Row],[Subtotal Y/N]])=0,0,VLOOKUP(TB_prev[[#This Row],[Synt]],GL[[Account]:[Line]],3,FALSE))</f>
        <v>#VALUE!</v>
      </c>
      <c r="AG234" s="1063" t="e">
        <f>VLOOKUP(TB_prev[[#This Row],[Synt]],GL[[Account]:[B/P]],4,FALSE)</f>
        <v>#N/A</v>
      </c>
      <c r="AH234" s="1066" t="e">
        <v>#VALUE!</v>
      </c>
      <c r="AI234" s="1065" t="e">
        <f>TB_prev[[#This Row],[Synt]]&amp;TB_prev[[#This Row],[Line No. manual corr.]]</f>
        <v>#VALUE!</v>
      </c>
      <c r="AJ234" s="1064">
        <f t="shared" si="16"/>
        <v>0</v>
      </c>
      <c r="AK234" s="1064">
        <f t="shared" si="17"/>
        <v>0</v>
      </c>
      <c r="AL234" s="1064">
        <f t="shared" si="18"/>
        <v>0</v>
      </c>
      <c r="AM234" s="1064">
        <f t="shared" si="19"/>
        <v>0</v>
      </c>
      <c r="AN234" s="1064"/>
      <c r="AO234" s="1064">
        <f>TB_prev[[#This Row],[Closing balance]]+TB_prev[[#This Row],[Rounding]]</f>
        <v>0</v>
      </c>
    </row>
    <row r="235" spans="30:41" x14ac:dyDescent="0.25">
      <c r="AD235" s="1067" t="str">
        <f t="shared" si="15"/>
        <v/>
      </c>
      <c r="AE235" s="1063" t="str">
        <f>IF(ISNA(VLOOKUP(TB_prev[[#This Row],[Synt]],GL[[#Headers],[#Data],[subtotal label]],1,FALSE)),0,(VLOOKUP(TB_prev[[#This Row],[Synt]],GL[[#Headers],[#Data],[subtotal label]],1,FALSE)))</f>
        <v/>
      </c>
      <c r="AF235" s="1063" t="e">
        <f>IF((TB_prev[[#This Row],[Synt]]-TB_prev[[#This Row],[Subtotal Y/N]])=0,0,VLOOKUP(TB_prev[[#This Row],[Synt]],GL[[Account]:[Line]],3,FALSE))</f>
        <v>#VALUE!</v>
      </c>
      <c r="AG235" s="1063" t="e">
        <f>VLOOKUP(TB_prev[[#This Row],[Synt]],GL[[Account]:[B/P]],4,FALSE)</f>
        <v>#N/A</v>
      </c>
      <c r="AH235" s="1066" t="e">
        <v>#VALUE!</v>
      </c>
      <c r="AI235" s="1065" t="e">
        <f>TB_prev[[#This Row],[Synt]]&amp;TB_prev[[#This Row],[Line No. manual corr.]]</f>
        <v>#VALUE!</v>
      </c>
      <c r="AJ235" s="1064">
        <f t="shared" si="16"/>
        <v>0</v>
      </c>
      <c r="AK235" s="1064">
        <f t="shared" si="17"/>
        <v>0</v>
      </c>
      <c r="AL235" s="1064">
        <f t="shared" si="18"/>
        <v>0</v>
      </c>
      <c r="AM235" s="1064">
        <f t="shared" si="19"/>
        <v>0</v>
      </c>
      <c r="AN235" s="1064"/>
      <c r="AO235" s="1064">
        <f>TB_prev[[#This Row],[Closing balance]]+TB_prev[[#This Row],[Rounding]]</f>
        <v>0</v>
      </c>
    </row>
    <row r="236" spans="30:41" x14ac:dyDescent="0.25">
      <c r="AD236" s="1067" t="str">
        <f t="shared" si="15"/>
        <v/>
      </c>
      <c r="AE236" s="1063" t="str">
        <f>IF(ISNA(VLOOKUP(TB_prev[[#This Row],[Synt]],GL[[#Headers],[#Data],[subtotal label]],1,FALSE)),0,(VLOOKUP(TB_prev[[#This Row],[Synt]],GL[[#Headers],[#Data],[subtotal label]],1,FALSE)))</f>
        <v/>
      </c>
      <c r="AF236" s="1063" t="e">
        <f>IF((TB_prev[[#This Row],[Synt]]-TB_prev[[#This Row],[Subtotal Y/N]])=0,0,VLOOKUP(TB_prev[[#This Row],[Synt]],GL[[Account]:[Line]],3,FALSE))</f>
        <v>#VALUE!</v>
      </c>
      <c r="AG236" s="1063" t="e">
        <f>VLOOKUP(TB_prev[[#This Row],[Synt]],GL[[Account]:[B/P]],4,FALSE)</f>
        <v>#N/A</v>
      </c>
      <c r="AH236" s="1066" t="e">
        <v>#VALUE!</v>
      </c>
      <c r="AI236" s="1065" t="e">
        <f>TB_prev[[#This Row],[Synt]]&amp;TB_prev[[#This Row],[Line No. manual corr.]]</f>
        <v>#VALUE!</v>
      </c>
      <c r="AJ236" s="1064">
        <f t="shared" si="16"/>
        <v>0</v>
      </c>
      <c r="AK236" s="1064">
        <f t="shared" si="17"/>
        <v>0</v>
      </c>
      <c r="AL236" s="1064">
        <f t="shared" si="18"/>
        <v>0</v>
      </c>
      <c r="AM236" s="1064">
        <f t="shared" si="19"/>
        <v>0</v>
      </c>
      <c r="AN236" s="1064"/>
      <c r="AO236" s="1064">
        <f>TB_prev[[#This Row],[Closing balance]]+TB_prev[[#This Row],[Rounding]]</f>
        <v>0</v>
      </c>
    </row>
    <row r="237" spans="30:41" x14ac:dyDescent="0.25">
      <c r="AD237" s="1067" t="str">
        <f t="shared" si="15"/>
        <v/>
      </c>
      <c r="AE237" s="1063" t="str">
        <f>IF(ISNA(VLOOKUP(TB_prev[[#This Row],[Synt]],GL[[#Headers],[#Data],[subtotal label]],1,FALSE)),0,(VLOOKUP(TB_prev[[#This Row],[Synt]],GL[[#Headers],[#Data],[subtotal label]],1,FALSE)))</f>
        <v/>
      </c>
      <c r="AF237" s="1063" t="e">
        <f>IF((TB_prev[[#This Row],[Synt]]-TB_prev[[#This Row],[Subtotal Y/N]])=0,0,VLOOKUP(TB_prev[[#This Row],[Synt]],GL[[Account]:[Line]],3,FALSE))</f>
        <v>#VALUE!</v>
      </c>
      <c r="AG237" s="1063" t="e">
        <f>VLOOKUP(TB_prev[[#This Row],[Synt]],GL[[Account]:[B/P]],4,FALSE)</f>
        <v>#N/A</v>
      </c>
      <c r="AH237" s="1066" t="e">
        <v>#VALUE!</v>
      </c>
      <c r="AI237" s="1065" t="e">
        <f>TB_prev[[#This Row],[Synt]]&amp;TB_prev[[#This Row],[Line No. manual corr.]]</f>
        <v>#VALUE!</v>
      </c>
      <c r="AJ237" s="1064">
        <f t="shared" si="16"/>
        <v>0</v>
      </c>
      <c r="AK237" s="1064">
        <f t="shared" si="17"/>
        <v>0</v>
      </c>
      <c r="AL237" s="1064">
        <f t="shared" si="18"/>
        <v>0</v>
      </c>
      <c r="AM237" s="1064">
        <f t="shared" si="19"/>
        <v>0</v>
      </c>
      <c r="AN237" s="1064"/>
      <c r="AO237" s="1064">
        <f>TB_prev[[#This Row],[Closing balance]]+TB_prev[[#This Row],[Rounding]]</f>
        <v>0</v>
      </c>
    </row>
    <row r="238" spans="30:41" x14ac:dyDescent="0.25">
      <c r="AD238" s="1067" t="str">
        <f t="shared" si="15"/>
        <v/>
      </c>
      <c r="AE238" s="1063" t="str">
        <f>IF(ISNA(VLOOKUP(TB_prev[[#This Row],[Synt]],GL[[#Headers],[#Data],[subtotal label]],1,FALSE)),0,(VLOOKUP(TB_prev[[#This Row],[Synt]],GL[[#Headers],[#Data],[subtotal label]],1,FALSE)))</f>
        <v/>
      </c>
      <c r="AF238" s="1063" t="e">
        <f>IF((TB_prev[[#This Row],[Synt]]-TB_prev[[#This Row],[Subtotal Y/N]])=0,0,VLOOKUP(TB_prev[[#This Row],[Synt]],GL[[Account]:[Line]],3,FALSE))</f>
        <v>#VALUE!</v>
      </c>
      <c r="AG238" s="1063" t="e">
        <f>VLOOKUP(TB_prev[[#This Row],[Synt]],GL[[Account]:[B/P]],4,FALSE)</f>
        <v>#N/A</v>
      </c>
      <c r="AH238" s="1066" t="e">
        <v>#VALUE!</v>
      </c>
      <c r="AI238" s="1065" t="e">
        <f>TB_prev[[#This Row],[Synt]]&amp;TB_prev[[#This Row],[Line No. manual corr.]]</f>
        <v>#VALUE!</v>
      </c>
      <c r="AJ238" s="1064">
        <f t="shared" si="16"/>
        <v>0</v>
      </c>
      <c r="AK238" s="1064">
        <f t="shared" si="17"/>
        <v>0</v>
      </c>
      <c r="AL238" s="1064">
        <f t="shared" si="18"/>
        <v>0</v>
      </c>
      <c r="AM238" s="1064">
        <f t="shared" si="19"/>
        <v>0</v>
      </c>
      <c r="AN238" s="1064"/>
      <c r="AO238" s="1064">
        <f>TB_prev[[#This Row],[Closing balance]]+TB_prev[[#This Row],[Rounding]]</f>
        <v>0</v>
      </c>
    </row>
    <row r="239" spans="30:41" x14ac:dyDescent="0.25">
      <c r="AD239" s="1067" t="str">
        <f t="shared" si="15"/>
        <v/>
      </c>
      <c r="AE239" s="1063" t="str">
        <f>IF(ISNA(VLOOKUP(TB_prev[[#This Row],[Synt]],GL[[#Headers],[#Data],[subtotal label]],1,FALSE)),0,(VLOOKUP(TB_prev[[#This Row],[Synt]],GL[[#Headers],[#Data],[subtotal label]],1,FALSE)))</f>
        <v/>
      </c>
      <c r="AF239" s="1063" t="e">
        <f>IF((TB_prev[[#This Row],[Synt]]-TB_prev[[#This Row],[Subtotal Y/N]])=0,0,VLOOKUP(TB_prev[[#This Row],[Synt]],GL[[Account]:[Line]],3,FALSE))</f>
        <v>#VALUE!</v>
      </c>
      <c r="AG239" s="1063" t="e">
        <f>VLOOKUP(TB_prev[[#This Row],[Synt]],GL[[Account]:[B/P]],4,FALSE)</f>
        <v>#N/A</v>
      </c>
      <c r="AH239" s="1066" t="e">
        <v>#VALUE!</v>
      </c>
      <c r="AI239" s="1065" t="e">
        <f>TB_prev[[#This Row],[Synt]]&amp;TB_prev[[#This Row],[Line No. manual corr.]]</f>
        <v>#VALUE!</v>
      </c>
      <c r="AJ239" s="1064">
        <f t="shared" si="16"/>
        <v>0</v>
      </c>
      <c r="AK239" s="1064">
        <f t="shared" si="17"/>
        <v>0</v>
      </c>
      <c r="AL239" s="1064">
        <f t="shared" si="18"/>
        <v>0</v>
      </c>
      <c r="AM239" s="1064">
        <f t="shared" si="19"/>
        <v>0</v>
      </c>
      <c r="AN239" s="1064"/>
      <c r="AO239" s="1064">
        <f>TB_prev[[#This Row],[Closing balance]]+TB_prev[[#This Row],[Rounding]]</f>
        <v>0</v>
      </c>
    </row>
    <row r="240" spans="30:41" x14ac:dyDescent="0.25">
      <c r="AD240" s="1067" t="str">
        <f t="shared" si="15"/>
        <v/>
      </c>
      <c r="AE240" s="1063" t="str">
        <f>IF(ISNA(VLOOKUP(TB_prev[[#This Row],[Synt]],GL[[#Headers],[#Data],[subtotal label]],1,FALSE)),0,(VLOOKUP(TB_prev[[#This Row],[Synt]],GL[[#Headers],[#Data],[subtotal label]],1,FALSE)))</f>
        <v/>
      </c>
      <c r="AF240" s="1063" t="e">
        <f>IF((TB_prev[[#This Row],[Synt]]-TB_prev[[#This Row],[Subtotal Y/N]])=0,0,VLOOKUP(TB_prev[[#This Row],[Synt]],GL[[Account]:[Line]],3,FALSE))</f>
        <v>#VALUE!</v>
      </c>
      <c r="AG240" s="1063" t="e">
        <f>VLOOKUP(TB_prev[[#This Row],[Synt]],GL[[Account]:[B/P]],4,FALSE)</f>
        <v>#N/A</v>
      </c>
      <c r="AH240" s="1066" t="e">
        <v>#VALUE!</v>
      </c>
      <c r="AI240" s="1065" t="e">
        <f>TB_prev[[#This Row],[Synt]]&amp;TB_prev[[#This Row],[Line No. manual corr.]]</f>
        <v>#VALUE!</v>
      </c>
      <c r="AJ240" s="1064">
        <f t="shared" si="16"/>
        <v>0</v>
      </c>
      <c r="AK240" s="1064">
        <f t="shared" si="17"/>
        <v>0</v>
      </c>
      <c r="AL240" s="1064">
        <f t="shared" si="18"/>
        <v>0</v>
      </c>
      <c r="AM240" s="1064">
        <f t="shared" si="19"/>
        <v>0</v>
      </c>
      <c r="AN240" s="1064"/>
      <c r="AO240" s="1064">
        <f>TB_prev[[#This Row],[Closing balance]]+TB_prev[[#This Row],[Rounding]]</f>
        <v>0</v>
      </c>
    </row>
    <row r="241" spans="30:41" x14ac:dyDescent="0.25">
      <c r="AD241" s="1067" t="str">
        <f t="shared" si="15"/>
        <v/>
      </c>
      <c r="AE241" s="1063" t="str">
        <f>IF(ISNA(VLOOKUP(TB_prev[[#This Row],[Synt]],GL[[#Headers],[#Data],[subtotal label]],1,FALSE)),0,(VLOOKUP(TB_prev[[#This Row],[Synt]],GL[[#Headers],[#Data],[subtotal label]],1,FALSE)))</f>
        <v/>
      </c>
      <c r="AF241" s="1063" t="e">
        <f>IF((TB_prev[[#This Row],[Synt]]-TB_prev[[#This Row],[Subtotal Y/N]])=0,0,VLOOKUP(TB_prev[[#This Row],[Synt]],GL[[Account]:[Line]],3,FALSE))</f>
        <v>#VALUE!</v>
      </c>
      <c r="AG241" s="1063" t="e">
        <f>VLOOKUP(TB_prev[[#This Row],[Synt]],GL[[Account]:[B/P]],4,FALSE)</f>
        <v>#N/A</v>
      </c>
      <c r="AH241" s="1066" t="e">
        <v>#VALUE!</v>
      </c>
      <c r="AI241" s="1065" t="e">
        <f>TB_prev[[#This Row],[Synt]]&amp;TB_prev[[#This Row],[Line No. manual corr.]]</f>
        <v>#VALUE!</v>
      </c>
      <c r="AJ241" s="1064">
        <f t="shared" si="16"/>
        <v>0</v>
      </c>
      <c r="AK241" s="1064">
        <f t="shared" si="17"/>
        <v>0</v>
      </c>
      <c r="AL241" s="1064">
        <f t="shared" si="18"/>
        <v>0</v>
      </c>
      <c r="AM241" s="1064">
        <f t="shared" si="19"/>
        <v>0</v>
      </c>
      <c r="AN241" s="1064"/>
      <c r="AO241" s="1064">
        <f>TB_prev[[#This Row],[Closing balance]]+TB_prev[[#This Row],[Rounding]]</f>
        <v>0</v>
      </c>
    </row>
    <row r="242" spans="30:41" x14ac:dyDescent="0.25">
      <c r="AD242" s="1067" t="str">
        <f t="shared" si="15"/>
        <v/>
      </c>
      <c r="AE242" s="1063" t="str">
        <f>IF(ISNA(VLOOKUP(TB_prev[[#This Row],[Synt]],GL[[#Headers],[#Data],[subtotal label]],1,FALSE)),0,(VLOOKUP(TB_prev[[#This Row],[Synt]],GL[[#Headers],[#Data],[subtotal label]],1,FALSE)))</f>
        <v/>
      </c>
      <c r="AF242" s="1063" t="e">
        <f>IF((TB_prev[[#This Row],[Synt]]-TB_prev[[#This Row],[Subtotal Y/N]])=0,0,VLOOKUP(TB_prev[[#This Row],[Synt]],GL[[Account]:[Line]],3,FALSE))</f>
        <v>#VALUE!</v>
      </c>
      <c r="AG242" s="1063" t="e">
        <f>VLOOKUP(TB_prev[[#This Row],[Synt]],GL[[Account]:[B/P]],4,FALSE)</f>
        <v>#N/A</v>
      </c>
      <c r="AH242" s="1066" t="e">
        <v>#VALUE!</v>
      </c>
      <c r="AI242" s="1065" t="e">
        <f>TB_prev[[#This Row],[Synt]]&amp;TB_prev[[#This Row],[Line No. manual corr.]]</f>
        <v>#VALUE!</v>
      </c>
      <c r="AJ242" s="1064">
        <f t="shared" si="16"/>
        <v>0</v>
      </c>
      <c r="AK242" s="1064">
        <f t="shared" si="17"/>
        <v>0</v>
      </c>
      <c r="AL242" s="1064">
        <f t="shared" si="18"/>
        <v>0</v>
      </c>
      <c r="AM242" s="1064">
        <f t="shared" si="19"/>
        <v>0</v>
      </c>
      <c r="AN242" s="1064"/>
      <c r="AO242" s="1064">
        <f>TB_prev[[#This Row],[Closing balance]]+TB_prev[[#This Row],[Rounding]]</f>
        <v>0</v>
      </c>
    </row>
    <row r="243" spans="30:41" x14ac:dyDescent="0.25">
      <c r="AD243" s="1067" t="str">
        <f t="shared" si="15"/>
        <v/>
      </c>
      <c r="AE243" s="1063" t="str">
        <f>IF(ISNA(VLOOKUP(TB_prev[[#This Row],[Synt]],GL[[#Headers],[#Data],[subtotal label]],1,FALSE)),0,(VLOOKUP(TB_prev[[#This Row],[Synt]],GL[[#Headers],[#Data],[subtotal label]],1,FALSE)))</f>
        <v/>
      </c>
      <c r="AF243" s="1063" t="e">
        <f>IF((TB_prev[[#This Row],[Synt]]-TB_prev[[#This Row],[Subtotal Y/N]])=0,0,VLOOKUP(TB_prev[[#This Row],[Synt]],GL[[Account]:[Line]],3,FALSE))</f>
        <v>#VALUE!</v>
      </c>
      <c r="AG243" s="1063" t="e">
        <f>VLOOKUP(TB_prev[[#This Row],[Synt]],GL[[Account]:[B/P]],4,FALSE)</f>
        <v>#N/A</v>
      </c>
      <c r="AH243" s="1066" t="e">
        <v>#VALUE!</v>
      </c>
      <c r="AI243" s="1065" t="e">
        <f>TB_prev[[#This Row],[Synt]]&amp;TB_prev[[#This Row],[Line No. manual corr.]]</f>
        <v>#VALUE!</v>
      </c>
      <c r="AJ243" s="1064">
        <f t="shared" si="16"/>
        <v>0</v>
      </c>
      <c r="AK243" s="1064">
        <f t="shared" si="17"/>
        <v>0</v>
      </c>
      <c r="AL243" s="1064">
        <f t="shared" si="18"/>
        <v>0</v>
      </c>
      <c r="AM243" s="1064">
        <f t="shared" si="19"/>
        <v>0</v>
      </c>
      <c r="AN243" s="1064"/>
      <c r="AO243" s="1064">
        <f>TB_prev[[#This Row],[Closing balance]]+TB_prev[[#This Row],[Rounding]]</f>
        <v>0</v>
      </c>
    </row>
    <row r="244" spans="30:41" x14ac:dyDescent="0.25">
      <c r="AD244" s="1067" t="str">
        <f t="shared" si="15"/>
        <v/>
      </c>
      <c r="AE244" s="1063" t="str">
        <f>IF(ISNA(VLOOKUP(TB_prev[[#This Row],[Synt]],GL[[#Headers],[#Data],[subtotal label]],1,FALSE)),0,(VLOOKUP(TB_prev[[#This Row],[Synt]],GL[[#Headers],[#Data],[subtotal label]],1,FALSE)))</f>
        <v/>
      </c>
      <c r="AF244" s="1063" t="e">
        <f>IF((TB_prev[[#This Row],[Synt]]-TB_prev[[#This Row],[Subtotal Y/N]])=0,0,VLOOKUP(TB_prev[[#This Row],[Synt]],GL[[Account]:[Line]],3,FALSE))</f>
        <v>#VALUE!</v>
      </c>
      <c r="AG244" s="1063" t="e">
        <f>VLOOKUP(TB_prev[[#This Row],[Synt]],GL[[Account]:[B/P]],4,FALSE)</f>
        <v>#N/A</v>
      </c>
      <c r="AH244" s="1066" t="e">
        <v>#VALUE!</v>
      </c>
      <c r="AI244" s="1065" t="e">
        <f>TB_prev[[#This Row],[Synt]]&amp;TB_prev[[#This Row],[Line No. manual corr.]]</f>
        <v>#VALUE!</v>
      </c>
      <c r="AJ244" s="1064">
        <f t="shared" si="16"/>
        <v>0</v>
      </c>
      <c r="AK244" s="1064">
        <f t="shared" si="17"/>
        <v>0</v>
      </c>
      <c r="AL244" s="1064">
        <f t="shared" si="18"/>
        <v>0</v>
      </c>
      <c r="AM244" s="1064">
        <f t="shared" si="19"/>
        <v>0</v>
      </c>
      <c r="AN244" s="1064"/>
      <c r="AO244" s="1064">
        <f>TB_prev[[#This Row],[Closing balance]]+TB_prev[[#This Row],[Rounding]]</f>
        <v>0</v>
      </c>
    </row>
    <row r="245" spans="30:41" x14ac:dyDescent="0.25">
      <c r="AD245" s="1067" t="str">
        <f t="shared" si="15"/>
        <v/>
      </c>
      <c r="AE245" s="1063" t="str">
        <f>IF(ISNA(VLOOKUP(TB_prev[[#This Row],[Synt]],GL[[#Headers],[#Data],[subtotal label]],1,FALSE)),0,(VLOOKUP(TB_prev[[#This Row],[Synt]],GL[[#Headers],[#Data],[subtotal label]],1,FALSE)))</f>
        <v/>
      </c>
      <c r="AF245" s="1063" t="e">
        <f>IF((TB_prev[[#This Row],[Synt]]-TB_prev[[#This Row],[Subtotal Y/N]])=0,0,VLOOKUP(TB_prev[[#This Row],[Synt]],GL[[Account]:[Line]],3,FALSE))</f>
        <v>#VALUE!</v>
      </c>
      <c r="AG245" s="1063" t="e">
        <f>VLOOKUP(TB_prev[[#This Row],[Synt]],GL[[Account]:[B/P]],4,FALSE)</f>
        <v>#N/A</v>
      </c>
      <c r="AH245" s="1066" t="e">
        <v>#VALUE!</v>
      </c>
      <c r="AI245" s="1065" t="e">
        <f>TB_prev[[#This Row],[Synt]]&amp;TB_prev[[#This Row],[Line No. manual corr.]]</f>
        <v>#VALUE!</v>
      </c>
      <c r="AJ245" s="1064">
        <f t="shared" si="16"/>
        <v>0</v>
      </c>
      <c r="AK245" s="1064">
        <f t="shared" si="17"/>
        <v>0</v>
      </c>
      <c r="AL245" s="1064">
        <f t="shared" si="18"/>
        <v>0</v>
      </c>
      <c r="AM245" s="1064">
        <f t="shared" si="19"/>
        <v>0</v>
      </c>
      <c r="AN245" s="1064"/>
      <c r="AO245" s="1064">
        <f>TB_prev[[#This Row],[Closing balance]]+TB_prev[[#This Row],[Rounding]]</f>
        <v>0</v>
      </c>
    </row>
    <row r="246" spans="30:41" x14ac:dyDescent="0.25">
      <c r="AD246" s="1067" t="str">
        <f t="shared" si="15"/>
        <v/>
      </c>
      <c r="AE246" s="1063" t="str">
        <f>IF(ISNA(VLOOKUP(TB_prev[[#This Row],[Synt]],GL[[#Headers],[#Data],[subtotal label]],1,FALSE)),0,(VLOOKUP(TB_prev[[#This Row],[Synt]],GL[[#Headers],[#Data],[subtotal label]],1,FALSE)))</f>
        <v/>
      </c>
      <c r="AF246" s="1063" t="e">
        <f>IF((TB_prev[[#This Row],[Synt]]-TB_prev[[#This Row],[Subtotal Y/N]])=0,0,VLOOKUP(TB_prev[[#This Row],[Synt]],GL[[Account]:[Line]],3,FALSE))</f>
        <v>#VALUE!</v>
      </c>
      <c r="AG246" s="1063" t="e">
        <f>VLOOKUP(TB_prev[[#This Row],[Synt]],GL[[Account]:[B/P]],4,FALSE)</f>
        <v>#N/A</v>
      </c>
      <c r="AH246" s="1066" t="e">
        <v>#VALUE!</v>
      </c>
      <c r="AI246" s="1065" t="e">
        <f>TB_prev[[#This Row],[Synt]]&amp;TB_prev[[#This Row],[Line No. manual corr.]]</f>
        <v>#VALUE!</v>
      </c>
      <c r="AJ246" s="1064">
        <f t="shared" si="16"/>
        <v>0</v>
      </c>
      <c r="AK246" s="1064">
        <f t="shared" si="17"/>
        <v>0</v>
      </c>
      <c r="AL246" s="1064">
        <f t="shared" si="18"/>
        <v>0</v>
      </c>
      <c r="AM246" s="1064">
        <f t="shared" si="19"/>
        <v>0</v>
      </c>
      <c r="AN246" s="1064"/>
      <c r="AO246" s="1064">
        <f>TB_prev[[#This Row],[Closing balance]]+TB_prev[[#This Row],[Rounding]]</f>
        <v>0</v>
      </c>
    </row>
    <row r="247" spans="30:41" x14ac:dyDescent="0.25">
      <c r="AD247" s="1067" t="str">
        <f t="shared" si="15"/>
        <v/>
      </c>
      <c r="AE247" s="1063" t="str">
        <f>IF(ISNA(VLOOKUP(TB_prev[[#This Row],[Synt]],GL[[#Headers],[#Data],[subtotal label]],1,FALSE)),0,(VLOOKUP(TB_prev[[#This Row],[Synt]],GL[[#Headers],[#Data],[subtotal label]],1,FALSE)))</f>
        <v/>
      </c>
      <c r="AF247" s="1063" t="e">
        <f>IF((TB_prev[[#This Row],[Synt]]-TB_prev[[#This Row],[Subtotal Y/N]])=0,0,VLOOKUP(TB_prev[[#This Row],[Synt]],GL[[Account]:[Line]],3,FALSE))</f>
        <v>#VALUE!</v>
      </c>
      <c r="AG247" s="1063" t="e">
        <f>VLOOKUP(TB_prev[[#This Row],[Synt]],GL[[Account]:[B/P]],4,FALSE)</f>
        <v>#N/A</v>
      </c>
      <c r="AH247" s="1066" t="e">
        <v>#VALUE!</v>
      </c>
      <c r="AI247" s="1065" t="e">
        <f>TB_prev[[#This Row],[Synt]]&amp;TB_prev[[#This Row],[Line No. manual corr.]]</f>
        <v>#VALUE!</v>
      </c>
      <c r="AJ247" s="1064">
        <f t="shared" si="16"/>
        <v>0</v>
      </c>
      <c r="AK247" s="1064">
        <f t="shared" si="17"/>
        <v>0</v>
      </c>
      <c r="AL247" s="1064">
        <f t="shared" si="18"/>
        <v>0</v>
      </c>
      <c r="AM247" s="1064">
        <f t="shared" si="19"/>
        <v>0</v>
      </c>
      <c r="AN247" s="1064"/>
      <c r="AO247" s="1064">
        <f>TB_prev[[#This Row],[Closing balance]]+TB_prev[[#This Row],[Rounding]]</f>
        <v>0</v>
      </c>
    </row>
    <row r="248" spans="30:41" x14ac:dyDescent="0.25">
      <c r="AD248" s="1067" t="str">
        <f t="shared" si="15"/>
        <v/>
      </c>
      <c r="AE248" s="1063" t="str">
        <f>IF(ISNA(VLOOKUP(TB_prev[[#This Row],[Synt]],GL[[#Headers],[#Data],[subtotal label]],1,FALSE)),0,(VLOOKUP(TB_prev[[#This Row],[Synt]],GL[[#Headers],[#Data],[subtotal label]],1,FALSE)))</f>
        <v/>
      </c>
      <c r="AF248" s="1063" t="e">
        <f>IF((TB_prev[[#This Row],[Synt]]-TB_prev[[#This Row],[Subtotal Y/N]])=0,0,VLOOKUP(TB_prev[[#This Row],[Synt]],GL[[Account]:[Line]],3,FALSE))</f>
        <v>#VALUE!</v>
      </c>
      <c r="AG248" s="1063" t="e">
        <f>VLOOKUP(TB_prev[[#This Row],[Synt]],GL[[Account]:[B/P]],4,FALSE)</f>
        <v>#N/A</v>
      </c>
      <c r="AH248" s="1066" t="e">
        <v>#VALUE!</v>
      </c>
      <c r="AI248" s="1065" t="e">
        <f>TB_prev[[#This Row],[Synt]]&amp;TB_prev[[#This Row],[Line No. manual corr.]]</f>
        <v>#VALUE!</v>
      </c>
      <c r="AJ248" s="1064">
        <f t="shared" si="16"/>
        <v>0</v>
      </c>
      <c r="AK248" s="1064">
        <f t="shared" si="17"/>
        <v>0</v>
      </c>
      <c r="AL248" s="1064">
        <f t="shared" si="18"/>
        <v>0</v>
      </c>
      <c r="AM248" s="1064">
        <f t="shared" si="19"/>
        <v>0</v>
      </c>
      <c r="AN248" s="1064"/>
      <c r="AO248" s="1064">
        <f>TB_prev[[#This Row],[Closing balance]]+TB_prev[[#This Row],[Rounding]]</f>
        <v>0</v>
      </c>
    </row>
    <row r="249" spans="30:41" x14ac:dyDescent="0.25">
      <c r="AD249" s="1067" t="str">
        <f t="shared" si="15"/>
        <v/>
      </c>
      <c r="AE249" s="1063" t="str">
        <f>IF(ISNA(VLOOKUP(TB_prev[[#This Row],[Synt]],GL[[#Headers],[#Data],[subtotal label]],1,FALSE)),0,(VLOOKUP(TB_prev[[#This Row],[Synt]],GL[[#Headers],[#Data],[subtotal label]],1,FALSE)))</f>
        <v/>
      </c>
      <c r="AF249" s="1063" t="e">
        <f>IF((TB_prev[[#This Row],[Synt]]-TB_prev[[#This Row],[Subtotal Y/N]])=0,0,VLOOKUP(TB_prev[[#This Row],[Synt]],GL[[Account]:[Line]],3,FALSE))</f>
        <v>#VALUE!</v>
      </c>
      <c r="AG249" s="1063" t="e">
        <f>VLOOKUP(TB_prev[[#This Row],[Synt]],GL[[Account]:[B/P]],4,FALSE)</f>
        <v>#N/A</v>
      </c>
      <c r="AH249" s="1066" t="e">
        <v>#VALUE!</v>
      </c>
      <c r="AI249" s="1065" t="e">
        <f>TB_prev[[#This Row],[Synt]]&amp;TB_prev[[#This Row],[Line No. manual corr.]]</f>
        <v>#VALUE!</v>
      </c>
      <c r="AJ249" s="1064">
        <f t="shared" si="16"/>
        <v>0</v>
      </c>
      <c r="AK249" s="1064">
        <f t="shared" si="17"/>
        <v>0</v>
      </c>
      <c r="AL249" s="1064">
        <f t="shared" si="18"/>
        <v>0</v>
      </c>
      <c r="AM249" s="1064">
        <f t="shared" si="19"/>
        <v>0</v>
      </c>
      <c r="AN249" s="1064"/>
      <c r="AO249" s="1064">
        <f>TB_prev[[#This Row],[Closing balance]]+TB_prev[[#This Row],[Rounding]]</f>
        <v>0</v>
      </c>
    </row>
    <row r="250" spans="30:41" x14ac:dyDescent="0.25">
      <c r="AD250" s="1067" t="str">
        <f t="shared" si="15"/>
        <v/>
      </c>
      <c r="AE250" s="1063" t="str">
        <f>IF(ISNA(VLOOKUP(TB_prev[[#This Row],[Synt]],GL[[#Headers],[#Data],[subtotal label]],1,FALSE)),0,(VLOOKUP(TB_prev[[#This Row],[Synt]],GL[[#Headers],[#Data],[subtotal label]],1,FALSE)))</f>
        <v/>
      </c>
      <c r="AF250" s="1063" t="e">
        <f>IF((TB_prev[[#This Row],[Synt]]-TB_prev[[#This Row],[Subtotal Y/N]])=0,0,VLOOKUP(TB_prev[[#This Row],[Synt]],GL[[Account]:[Line]],3,FALSE))</f>
        <v>#VALUE!</v>
      </c>
      <c r="AG250" s="1063" t="e">
        <f>VLOOKUP(TB_prev[[#This Row],[Synt]],GL[[Account]:[B/P]],4,FALSE)</f>
        <v>#N/A</v>
      </c>
      <c r="AH250" s="1066" t="e">
        <v>#VALUE!</v>
      </c>
      <c r="AI250" s="1065" t="e">
        <f>TB_prev[[#This Row],[Synt]]&amp;TB_prev[[#This Row],[Line No. manual corr.]]</f>
        <v>#VALUE!</v>
      </c>
      <c r="AJ250" s="1064">
        <f t="shared" si="16"/>
        <v>0</v>
      </c>
      <c r="AK250" s="1064">
        <f t="shared" si="17"/>
        <v>0</v>
      </c>
      <c r="AL250" s="1064">
        <f t="shared" si="18"/>
        <v>0</v>
      </c>
      <c r="AM250" s="1064">
        <f t="shared" si="19"/>
        <v>0</v>
      </c>
      <c r="AN250" s="1064"/>
      <c r="AO250" s="1064">
        <f>TB_prev[[#This Row],[Closing balance]]+TB_prev[[#This Row],[Rounding]]</f>
        <v>0</v>
      </c>
    </row>
    <row r="251" spans="30:41" x14ac:dyDescent="0.25">
      <c r="AD251" s="1067" t="str">
        <f t="shared" si="15"/>
        <v/>
      </c>
      <c r="AE251" s="1063" t="str">
        <f>IF(ISNA(VLOOKUP(TB_prev[[#This Row],[Synt]],GL[[#Headers],[#Data],[subtotal label]],1,FALSE)),0,(VLOOKUP(TB_prev[[#This Row],[Synt]],GL[[#Headers],[#Data],[subtotal label]],1,FALSE)))</f>
        <v/>
      </c>
      <c r="AF251" s="1063" t="e">
        <f>IF((TB_prev[[#This Row],[Synt]]-TB_prev[[#This Row],[Subtotal Y/N]])=0,0,VLOOKUP(TB_prev[[#This Row],[Synt]],GL[[Account]:[Line]],3,FALSE))</f>
        <v>#VALUE!</v>
      </c>
      <c r="AG251" s="1063" t="e">
        <f>VLOOKUP(TB_prev[[#This Row],[Synt]],GL[[Account]:[B/P]],4,FALSE)</f>
        <v>#N/A</v>
      </c>
      <c r="AH251" s="1066" t="e">
        <v>#VALUE!</v>
      </c>
      <c r="AI251" s="1065" t="e">
        <f>TB_prev[[#This Row],[Synt]]&amp;TB_prev[[#This Row],[Line No. manual corr.]]</f>
        <v>#VALUE!</v>
      </c>
      <c r="AJ251" s="1064">
        <f t="shared" si="16"/>
        <v>0</v>
      </c>
      <c r="AK251" s="1064">
        <f t="shared" si="17"/>
        <v>0</v>
      </c>
      <c r="AL251" s="1064">
        <f t="shared" si="18"/>
        <v>0</v>
      </c>
      <c r="AM251" s="1064">
        <f t="shared" si="19"/>
        <v>0</v>
      </c>
      <c r="AN251" s="1064"/>
      <c r="AO251" s="1064">
        <f>TB_prev[[#This Row],[Closing balance]]+TB_prev[[#This Row],[Rounding]]</f>
        <v>0</v>
      </c>
    </row>
    <row r="252" spans="30:41" x14ac:dyDescent="0.25">
      <c r="AD252" s="1067" t="str">
        <f t="shared" si="15"/>
        <v/>
      </c>
      <c r="AE252" s="1063" t="str">
        <f>IF(ISNA(VLOOKUP(TB_prev[[#This Row],[Synt]],GL[[#Headers],[#Data],[subtotal label]],1,FALSE)),0,(VLOOKUP(TB_prev[[#This Row],[Synt]],GL[[#Headers],[#Data],[subtotal label]],1,FALSE)))</f>
        <v/>
      </c>
      <c r="AF252" s="1063" t="e">
        <f>IF((TB_prev[[#This Row],[Synt]]-TB_prev[[#This Row],[Subtotal Y/N]])=0,0,VLOOKUP(TB_prev[[#This Row],[Synt]],GL[[Account]:[Line]],3,FALSE))</f>
        <v>#VALUE!</v>
      </c>
      <c r="AG252" s="1063" t="e">
        <f>VLOOKUP(TB_prev[[#This Row],[Synt]],GL[[Account]:[B/P]],4,FALSE)</f>
        <v>#N/A</v>
      </c>
      <c r="AH252" s="1066" t="e">
        <v>#VALUE!</v>
      </c>
      <c r="AI252" s="1065" t="e">
        <f>TB_prev[[#This Row],[Synt]]&amp;TB_prev[[#This Row],[Line No. manual corr.]]</f>
        <v>#VALUE!</v>
      </c>
      <c r="AJ252" s="1064">
        <f t="shared" si="16"/>
        <v>0</v>
      </c>
      <c r="AK252" s="1064">
        <f t="shared" si="17"/>
        <v>0</v>
      </c>
      <c r="AL252" s="1064">
        <f t="shared" si="18"/>
        <v>0</v>
      </c>
      <c r="AM252" s="1064">
        <f t="shared" si="19"/>
        <v>0</v>
      </c>
      <c r="AN252" s="1064"/>
      <c r="AO252" s="1064">
        <f>TB_prev[[#This Row],[Closing balance]]+TB_prev[[#This Row],[Rounding]]</f>
        <v>0</v>
      </c>
    </row>
    <row r="253" spans="30:41" x14ac:dyDescent="0.25">
      <c r="AD253" s="1067" t="str">
        <f t="shared" si="15"/>
        <v/>
      </c>
      <c r="AE253" s="1063" t="str">
        <f>IF(ISNA(VLOOKUP(TB_prev[[#This Row],[Synt]],GL[[#Headers],[#Data],[subtotal label]],1,FALSE)),0,(VLOOKUP(TB_prev[[#This Row],[Synt]],GL[[#Headers],[#Data],[subtotal label]],1,FALSE)))</f>
        <v/>
      </c>
      <c r="AF253" s="1063" t="e">
        <f>IF((TB_prev[[#This Row],[Synt]]-TB_prev[[#This Row],[Subtotal Y/N]])=0,0,VLOOKUP(TB_prev[[#This Row],[Synt]],GL[[Account]:[Line]],3,FALSE))</f>
        <v>#VALUE!</v>
      </c>
      <c r="AG253" s="1063" t="e">
        <f>VLOOKUP(TB_prev[[#This Row],[Synt]],GL[[Account]:[B/P]],4,FALSE)</f>
        <v>#N/A</v>
      </c>
      <c r="AH253" s="1066" t="e">
        <v>#VALUE!</v>
      </c>
      <c r="AI253" s="1065" t="e">
        <f>TB_prev[[#This Row],[Synt]]&amp;TB_prev[[#This Row],[Line No. manual corr.]]</f>
        <v>#VALUE!</v>
      </c>
      <c r="AJ253" s="1064">
        <f t="shared" si="16"/>
        <v>0</v>
      </c>
      <c r="AK253" s="1064">
        <f t="shared" si="17"/>
        <v>0</v>
      </c>
      <c r="AL253" s="1064">
        <f t="shared" si="18"/>
        <v>0</v>
      </c>
      <c r="AM253" s="1064">
        <f t="shared" si="19"/>
        <v>0</v>
      </c>
      <c r="AN253" s="1064"/>
      <c r="AO253" s="1064">
        <f>TB_prev[[#This Row],[Closing balance]]+TB_prev[[#This Row],[Rounding]]</f>
        <v>0</v>
      </c>
    </row>
    <row r="254" spans="30:41" x14ac:dyDescent="0.25">
      <c r="AD254" s="1067" t="str">
        <f t="shared" si="15"/>
        <v/>
      </c>
      <c r="AE254" s="1063" t="str">
        <f>IF(ISNA(VLOOKUP(TB_prev[[#This Row],[Synt]],GL[[#Headers],[#Data],[subtotal label]],1,FALSE)),0,(VLOOKUP(TB_prev[[#This Row],[Synt]],GL[[#Headers],[#Data],[subtotal label]],1,FALSE)))</f>
        <v/>
      </c>
      <c r="AF254" s="1063" t="e">
        <f>IF((TB_prev[[#This Row],[Synt]]-TB_prev[[#This Row],[Subtotal Y/N]])=0,0,VLOOKUP(TB_prev[[#This Row],[Synt]],GL[[Account]:[Line]],3,FALSE))</f>
        <v>#VALUE!</v>
      </c>
      <c r="AG254" s="1063" t="e">
        <f>VLOOKUP(TB_prev[[#This Row],[Synt]],GL[[Account]:[B/P]],4,FALSE)</f>
        <v>#N/A</v>
      </c>
      <c r="AH254" s="1066" t="e">
        <v>#VALUE!</v>
      </c>
      <c r="AI254" s="1065" t="e">
        <f>TB_prev[[#This Row],[Synt]]&amp;TB_prev[[#This Row],[Line No. manual corr.]]</f>
        <v>#VALUE!</v>
      </c>
      <c r="AJ254" s="1064">
        <f t="shared" si="16"/>
        <v>0</v>
      </c>
      <c r="AK254" s="1064">
        <f t="shared" si="17"/>
        <v>0</v>
      </c>
      <c r="AL254" s="1064">
        <f t="shared" si="18"/>
        <v>0</v>
      </c>
      <c r="AM254" s="1064">
        <f t="shared" si="19"/>
        <v>0</v>
      </c>
      <c r="AN254" s="1064"/>
      <c r="AO254" s="1064">
        <f>TB_prev[[#This Row],[Closing balance]]+TB_prev[[#This Row],[Rounding]]</f>
        <v>0</v>
      </c>
    </row>
    <row r="255" spans="30:41" x14ac:dyDescent="0.25">
      <c r="AD255" s="1067" t="str">
        <f t="shared" si="15"/>
        <v/>
      </c>
      <c r="AE255" s="1063" t="str">
        <f>IF(ISNA(VLOOKUP(TB_prev[[#This Row],[Synt]],GL[[#Headers],[#Data],[subtotal label]],1,FALSE)),0,(VLOOKUP(TB_prev[[#This Row],[Synt]],GL[[#Headers],[#Data],[subtotal label]],1,FALSE)))</f>
        <v/>
      </c>
      <c r="AF255" s="1063" t="e">
        <f>IF((TB_prev[[#This Row],[Synt]]-TB_prev[[#This Row],[Subtotal Y/N]])=0,0,VLOOKUP(TB_prev[[#This Row],[Synt]],GL[[Account]:[Line]],3,FALSE))</f>
        <v>#VALUE!</v>
      </c>
      <c r="AG255" s="1063" t="e">
        <f>VLOOKUP(TB_prev[[#This Row],[Synt]],GL[[Account]:[B/P]],4,FALSE)</f>
        <v>#N/A</v>
      </c>
      <c r="AH255" s="1066" t="e">
        <v>#VALUE!</v>
      </c>
      <c r="AI255" s="1065" t="e">
        <f>TB_prev[[#This Row],[Synt]]&amp;TB_prev[[#This Row],[Line No. manual corr.]]</f>
        <v>#VALUE!</v>
      </c>
      <c r="AJ255" s="1064">
        <f t="shared" si="16"/>
        <v>0</v>
      </c>
      <c r="AK255" s="1064">
        <f t="shared" si="17"/>
        <v>0</v>
      </c>
      <c r="AL255" s="1064">
        <f t="shared" si="18"/>
        <v>0</v>
      </c>
      <c r="AM255" s="1064">
        <f t="shared" si="19"/>
        <v>0</v>
      </c>
      <c r="AN255" s="1064"/>
      <c r="AO255" s="1064">
        <f>TB_prev[[#This Row],[Closing balance]]+TB_prev[[#This Row],[Rounding]]</f>
        <v>0</v>
      </c>
    </row>
    <row r="256" spans="30:41" x14ac:dyDescent="0.25">
      <c r="AD256" s="1067" t="str">
        <f t="shared" si="15"/>
        <v/>
      </c>
      <c r="AE256" s="1063" t="str">
        <f>IF(ISNA(VLOOKUP(TB_prev[[#This Row],[Synt]],GL[[#Headers],[#Data],[subtotal label]],1,FALSE)),0,(VLOOKUP(TB_prev[[#This Row],[Synt]],GL[[#Headers],[#Data],[subtotal label]],1,FALSE)))</f>
        <v/>
      </c>
      <c r="AF256" s="1063" t="e">
        <f>IF((TB_prev[[#This Row],[Synt]]-TB_prev[[#This Row],[Subtotal Y/N]])=0,0,VLOOKUP(TB_prev[[#This Row],[Synt]],GL[[Account]:[Line]],3,FALSE))</f>
        <v>#VALUE!</v>
      </c>
      <c r="AG256" s="1063" t="e">
        <f>VLOOKUP(TB_prev[[#This Row],[Synt]],GL[[Account]:[B/P]],4,FALSE)</f>
        <v>#N/A</v>
      </c>
      <c r="AH256" s="1066" t="e">
        <v>#VALUE!</v>
      </c>
      <c r="AI256" s="1065" t="e">
        <f>TB_prev[[#This Row],[Synt]]&amp;TB_prev[[#This Row],[Line No. manual corr.]]</f>
        <v>#VALUE!</v>
      </c>
      <c r="AJ256" s="1064">
        <f t="shared" si="16"/>
        <v>0</v>
      </c>
      <c r="AK256" s="1064">
        <f t="shared" si="17"/>
        <v>0</v>
      </c>
      <c r="AL256" s="1064">
        <f t="shared" si="18"/>
        <v>0</v>
      </c>
      <c r="AM256" s="1064">
        <f t="shared" si="19"/>
        <v>0</v>
      </c>
      <c r="AN256" s="1064"/>
      <c r="AO256" s="1064">
        <f>TB_prev[[#This Row],[Closing balance]]+TB_prev[[#This Row],[Rounding]]</f>
        <v>0</v>
      </c>
    </row>
    <row r="257" spans="30:41" x14ac:dyDescent="0.25">
      <c r="AD257" s="1067" t="str">
        <f t="shared" si="15"/>
        <v/>
      </c>
      <c r="AE257" s="1063" t="str">
        <f>IF(ISNA(VLOOKUP(TB_prev[[#This Row],[Synt]],GL[[#Headers],[#Data],[subtotal label]],1,FALSE)),0,(VLOOKUP(TB_prev[[#This Row],[Synt]],GL[[#Headers],[#Data],[subtotal label]],1,FALSE)))</f>
        <v/>
      </c>
      <c r="AF257" s="1063" t="e">
        <f>IF((TB_prev[[#This Row],[Synt]]-TB_prev[[#This Row],[Subtotal Y/N]])=0,0,VLOOKUP(TB_prev[[#This Row],[Synt]],GL[[Account]:[Line]],3,FALSE))</f>
        <v>#VALUE!</v>
      </c>
      <c r="AG257" s="1063" t="e">
        <f>VLOOKUP(TB_prev[[#This Row],[Synt]],GL[[Account]:[B/P]],4,FALSE)</f>
        <v>#N/A</v>
      </c>
      <c r="AH257" s="1066" t="e">
        <v>#VALUE!</v>
      </c>
      <c r="AI257" s="1065" t="e">
        <f>TB_prev[[#This Row],[Synt]]&amp;TB_prev[[#This Row],[Line No. manual corr.]]</f>
        <v>#VALUE!</v>
      </c>
      <c r="AJ257" s="1064">
        <f t="shared" si="16"/>
        <v>0</v>
      </c>
      <c r="AK257" s="1064">
        <f t="shared" si="17"/>
        <v>0</v>
      </c>
      <c r="AL257" s="1064">
        <f t="shared" si="18"/>
        <v>0</v>
      </c>
      <c r="AM257" s="1064">
        <f t="shared" si="19"/>
        <v>0</v>
      </c>
      <c r="AN257" s="1064"/>
      <c r="AO257" s="1064">
        <f>TB_prev[[#This Row],[Closing balance]]+TB_prev[[#This Row],[Rounding]]</f>
        <v>0</v>
      </c>
    </row>
    <row r="258" spans="30:41" x14ac:dyDescent="0.25">
      <c r="AD258" s="1067" t="str">
        <f t="shared" si="15"/>
        <v/>
      </c>
      <c r="AE258" s="1063" t="str">
        <f>IF(ISNA(VLOOKUP(TB_prev[[#This Row],[Synt]],GL[[#Headers],[#Data],[subtotal label]],1,FALSE)),0,(VLOOKUP(TB_prev[[#This Row],[Synt]],GL[[#Headers],[#Data],[subtotal label]],1,FALSE)))</f>
        <v/>
      </c>
      <c r="AF258" s="1063" t="e">
        <f>IF((TB_prev[[#This Row],[Synt]]-TB_prev[[#This Row],[Subtotal Y/N]])=0,0,VLOOKUP(TB_prev[[#This Row],[Synt]],GL[[Account]:[Line]],3,FALSE))</f>
        <v>#VALUE!</v>
      </c>
      <c r="AG258" s="1063" t="e">
        <f>VLOOKUP(TB_prev[[#This Row],[Synt]],GL[[Account]:[B/P]],4,FALSE)</f>
        <v>#N/A</v>
      </c>
      <c r="AH258" s="1066" t="e">
        <v>#VALUE!</v>
      </c>
      <c r="AI258" s="1065" t="e">
        <f>TB_prev[[#This Row],[Synt]]&amp;TB_prev[[#This Row],[Line No. manual corr.]]</f>
        <v>#VALUE!</v>
      </c>
      <c r="AJ258" s="1064">
        <f t="shared" si="16"/>
        <v>0</v>
      </c>
      <c r="AK258" s="1064">
        <f t="shared" si="17"/>
        <v>0</v>
      </c>
      <c r="AL258" s="1064">
        <f t="shared" si="18"/>
        <v>0</v>
      </c>
      <c r="AM258" s="1064">
        <f t="shared" si="19"/>
        <v>0</v>
      </c>
      <c r="AN258" s="1064"/>
      <c r="AO258" s="1064">
        <f>TB_prev[[#This Row],[Closing balance]]+TB_prev[[#This Row],[Rounding]]</f>
        <v>0</v>
      </c>
    </row>
    <row r="259" spans="30:41" x14ac:dyDescent="0.25">
      <c r="AD259" s="1067" t="str">
        <f t="shared" si="15"/>
        <v/>
      </c>
      <c r="AE259" s="1063" t="str">
        <f>IF(ISNA(VLOOKUP(TB_prev[[#This Row],[Synt]],GL[[#Headers],[#Data],[subtotal label]],1,FALSE)),0,(VLOOKUP(TB_prev[[#This Row],[Synt]],GL[[#Headers],[#Data],[subtotal label]],1,FALSE)))</f>
        <v/>
      </c>
      <c r="AF259" s="1063" t="e">
        <f>IF((TB_prev[[#This Row],[Synt]]-TB_prev[[#This Row],[Subtotal Y/N]])=0,0,VLOOKUP(TB_prev[[#This Row],[Synt]],GL[[Account]:[Line]],3,FALSE))</f>
        <v>#VALUE!</v>
      </c>
      <c r="AG259" s="1063" t="e">
        <f>VLOOKUP(TB_prev[[#This Row],[Synt]],GL[[Account]:[B/P]],4,FALSE)</f>
        <v>#N/A</v>
      </c>
      <c r="AH259" s="1066" t="e">
        <v>#VALUE!</v>
      </c>
      <c r="AI259" s="1065" t="e">
        <f>TB_prev[[#This Row],[Synt]]&amp;TB_prev[[#This Row],[Line No. manual corr.]]</f>
        <v>#VALUE!</v>
      </c>
      <c r="AJ259" s="1064">
        <f t="shared" si="16"/>
        <v>0</v>
      </c>
      <c r="AK259" s="1064">
        <f t="shared" si="17"/>
        <v>0</v>
      </c>
      <c r="AL259" s="1064">
        <f t="shared" si="18"/>
        <v>0</v>
      </c>
      <c r="AM259" s="1064">
        <f t="shared" si="19"/>
        <v>0</v>
      </c>
      <c r="AN259" s="1064"/>
      <c r="AO259" s="1064">
        <f>TB_prev[[#This Row],[Closing balance]]+TB_prev[[#This Row],[Rounding]]</f>
        <v>0</v>
      </c>
    </row>
    <row r="260" spans="30:41" x14ac:dyDescent="0.25">
      <c r="AD260" s="1067" t="str">
        <f t="shared" si="15"/>
        <v/>
      </c>
      <c r="AE260" s="1063" t="str">
        <f>IF(ISNA(VLOOKUP(TB_prev[[#This Row],[Synt]],GL[[#Headers],[#Data],[subtotal label]],1,FALSE)),0,(VLOOKUP(TB_prev[[#This Row],[Synt]],GL[[#Headers],[#Data],[subtotal label]],1,FALSE)))</f>
        <v/>
      </c>
      <c r="AF260" s="1063" t="e">
        <f>IF((TB_prev[[#This Row],[Synt]]-TB_prev[[#This Row],[Subtotal Y/N]])=0,0,VLOOKUP(TB_prev[[#This Row],[Synt]],GL[[Account]:[Line]],3,FALSE))</f>
        <v>#VALUE!</v>
      </c>
      <c r="AG260" s="1063" t="e">
        <f>VLOOKUP(TB_prev[[#This Row],[Synt]],GL[[Account]:[B/P]],4,FALSE)</f>
        <v>#N/A</v>
      </c>
      <c r="AH260" s="1066" t="e">
        <v>#VALUE!</v>
      </c>
      <c r="AI260" s="1065" t="e">
        <f>TB_prev[[#This Row],[Synt]]&amp;TB_prev[[#This Row],[Line No. manual corr.]]</f>
        <v>#VALUE!</v>
      </c>
      <c r="AJ260" s="1064">
        <f t="shared" si="16"/>
        <v>0</v>
      </c>
      <c r="AK260" s="1064">
        <f t="shared" si="17"/>
        <v>0</v>
      </c>
      <c r="AL260" s="1064">
        <f t="shared" si="18"/>
        <v>0</v>
      </c>
      <c r="AM260" s="1064">
        <f t="shared" si="19"/>
        <v>0</v>
      </c>
      <c r="AN260" s="1064"/>
      <c r="AO260" s="1064">
        <f>TB_prev[[#This Row],[Closing balance]]+TB_prev[[#This Row],[Rounding]]</f>
        <v>0</v>
      </c>
    </row>
    <row r="261" spans="30:41" x14ac:dyDescent="0.25">
      <c r="AD261" s="1067" t="str">
        <f t="shared" si="15"/>
        <v/>
      </c>
      <c r="AE261" s="1063" t="str">
        <f>IF(ISNA(VLOOKUP(TB_prev[[#This Row],[Synt]],GL[[#Headers],[#Data],[subtotal label]],1,FALSE)),0,(VLOOKUP(TB_prev[[#This Row],[Synt]],GL[[#Headers],[#Data],[subtotal label]],1,FALSE)))</f>
        <v/>
      </c>
      <c r="AF261" s="1063" t="e">
        <f>IF((TB_prev[[#This Row],[Synt]]-TB_prev[[#This Row],[Subtotal Y/N]])=0,0,VLOOKUP(TB_prev[[#This Row],[Synt]],GL[[Account]:[Line]],3,FALSE))</f>
        <v>#VALUE!</v>
      </c>
      <c r="AG261" s="1063" t="e">
        <f>VLOOKUP(TB_prev[[#This Row],[Synt]],GL[[Account]:[B/P]],4,FALSE)</f>
        <v>#N/A</v>
      </c>
      <c r="AH261" s="1066" t="e">
        <v>#VALUE!</v>
      </c>
      <c r="AI261" s="1065" t="e">
        <f>TB_prev[[#This Row],[Synt]]&amp;TB_prev[[#This Row],[Line No. manual corr.]]</f>
        <v>#VALUE!</v>
      </c>
      <c r="AJ261" s="1064">
        <f t="shared" si="16"/>
        <v>0</v>
      </c>
      <c r="AK261" s="1064">
        <f t="shared" si="17"/>
        <v>0</v>
      </c>
      <c r="AL261" s="1064">
        <f t="shared" si="18"/>
        <v>0</v>
      </c>
      <c r="AM261" s="1064">
        <f t="shared" si="19"/>
        <v>0</v>
      </c>
      <c r="AN261" s="1064"/>
      <c r="AO261" s="1064">
        <f>TB_prev[[#This Row],[Closing balance]]+TB_prev[[#This Row],[Rounding]]</f>
        <v>0</v>
      </c>
    </row>
    <row r="262" spans="30:41" x14ac:dyDescent="0.25">
      <c r="AD262" s="1067" t="str">
        <f t="shared" si="15"/>
        <v/>
      </c>
      <c r="AE262" s="1063" t="str">
        <f>IF(ISNA(VLOOKUP(TB_prev[[#This Row],[Synt]],GL[[#Headers],[#Data],[subtotal label]],1,FALSE)),0,(VLOOKUP(TB_prev[[#This Row],[Synt]],GL[[#Headers],[#Data],[subtotal label]],1,FALSE)))</f>
        <v/>
      </c>
      <c r="AF262" s="1063" t="e">
        <f>IF((TB_prev[[#This Row],[Synt]]-TB_prev[[#This Row],[Subtotal Y/N]])=0,0,VLOOKUP(TB_prev[[#This Row],[Synt]],GL[[Account]:[Line]],3,FALSE))</f>
        <v>#VALUE!</v>
      </c>
      <c r="AG262" s="1063" t="e">
        <f>VLOOKUP(TB_prev[[#This Row],[Synt]],GL[[Account]:[B/P]],4,FALSE)</f>
        <v>#N/A</v>
      </c>
      <c r="AH262" s="1066" t="e">
        <v>#VALUE!</v>
      </c>
      <c r="AI262" s="1065" t="e">
        <f>TB_prev[[#This Row],[Synt]]&amp;TB_prev[[#This Row],[Line No. manual corr.]]</f>
        <v>#VALUE!</v>
      </c>
      <c r="AJ262" s="1064">
        <f t="shared" si="16"/>
        <v>0</v>
      </c>
      <c r="AK262" s="1064">
        <f t="shared" si="17"/>
        <v>0</v>
      </c>
      <c r="AL262" s="1064">
        <f t="shared" si="18"/>
        <v>0</v>
      </c>
      <c r="AM262" s="1064">
        <f t="shared" si="19"/>
        <v>0</v>
      </c>
      <c r="AN262" s="1064"/>
      <c r="AO262" s="1064">
        <f>TB_prev[[#This Row],[Closing balance]]+TB_prev[[#This Row],[Rounding]]</f>
        <v>0</v>
      </c>
    </row>
    <row r="263" spans="30:41" x14ac:dyDescent="0.25">
      <c r="AD263" s="1067" t="str">
        <f t="shared" si="15"/>
        <v/>
      </c>
      <c r="AE263" s="1063" t="str">
        <f>IF(ISNA(VLOOKUP(TB_prev[[#This Row],[Synt]],GL[[#Headers],[#Data],[subtotal label]],1,FALSE)),0,(VLOOKUP(TB_prev[[#This Row],[Synt]],GL[[#Headers],[#Data],[subtotal label]],1,FALSE)))</f>
        <v/>
      </c>
      <c r="AF263" s="1063" t="e">
        <f>IF((TB_prev[[#This Row],[Synt]]-TB_prev[[#This Row],[Subtotal Y/N]])=0,0,VLOOKUP(TB_prev[[#This Row],[Synt]],GL[[Account]:[Line]],3,FALSE))</f>
        <v>#VALUE!</v>
      </c>
      <c r="AG263" s="1063" t="e">
        <f>VLOOKUP(TB_prev[[#This Row],[Synt]],GL[[Account]:[B/P]],4,FALSE)</f>
        <v>#N/A</v>
      </c>
      <c r="AH263" s="1066" t="e">
        <v>#VALUE!</v>
      </c>
      <c r="AI263" s="1065" t="e">
        <f>TB_prev[[#This Row],[Synt]]&amp;TB_prev[[#This Row],[Line No. manual corr.]]</f>
        <v>#VALUE!</v>
      </c>
      <c r="AJ263" s="1064">
        <f t="shared" si="16"/>
        <v>0</v>
      </c>
      <c r="AK263" s="1064">
        <f t="shared" si="17"/>
        <v>0</v>
      </c>
      <c r="AL263" s="1064">
        <f t="shared" si="18"/>
        <v>0</v>
      </c>
      <c r="AM263" s="1064">
        <f t="shared" si="19"/>
        <v>0</v>
      </c>
      <c r="AN263" s="1064"/>
      <c r="AO263" s="1064">
        <f>TB_prev[[#This Row],[Closing balance]]+TB_prev[[#This Row],[Rounding]]</f>
        <v>0</v>
      </c>
    </row>
    <row r="264" spans="30:41" x14ac:dyDescent="0.25">
      <c r="AD264" s="1067" t="str">
        <f t="shared" ref="AD264:AD327" si="20">LEFT(B264,3)</f>
        <v/>
      </c>
      <c r="AE264" s="1063" t="str">
        <f>IF(ISNA(VLOOKUP(TB_prev[[#This Row],[Synt]],GL[[#Headers],[#Data],[subtotal label]],1,FALSE)),0,(VLOOKUP(TB_prev[[#This Row],[Synt]],GL[[#Headers],[#Data],[subtotal label]],1,FALSE)))</f>
        <v/>
      </c>
      <c r="AF264" s="1063" t="e">
        <f>IF((TB_prev[[#This Row],[Synt]]-TB_prev[[#This Row],[Subtotal Y/N]])=0,0,VLOOKUP(TB_prev[[#This Row],[Synt]],GL[[Account]:[Line]],3,FALSE))</f>
        <v>#VALUE!</v>
      </c>
      <c r="AG264" s="1063" t="e">
        <f>VLOOKUP(TB_prev[[#This Row],[Synt]],GL[[Account]:[B/P]],4,FALSE)</f>
        <v>#N/A</v>
      </c>
      <c r="AH264" s="1066" t="e">
        <v>#VALUE!</v>
      </c>
      <c r="AI264" s="1065" t="e">
        <f>TB_prev[[#This Row],[Synt]]&amp;TB_prev[[#This Row],[Line No. manual corr.]]</f>
        <v>#VALUE!</v>
      </c>
      <c r="AJ264" s="1064">
        <f t="shared" ref="AJ264:AJ327" si="21">K264-N264</f>
        <v>0</v>
      </c>
      <c r="AK264" s="1064">
        <f t="shared" ref="AK264:AK327" si="22">Q264</f>
        <v>0</v>
      </c>
      <c r="AL264" s="1064">
        <f t="shared" ref="AL264:AL327" si="23">U264</f>
        <v>0</v>
      </c>
      <c r="AM264" s="1064">
        <f t="shared" ref="AM264:AM327" si="24">X264-AB264</f>
        <v>0</v>
      </c>
      <c r="AN264" s="1064"/>
      <c r="AO264" s="1064">
        <f>TB_prev[[#This Row],[Closing balance]]+TB_prev[[#This Row],[Rounding]]</f>
        <v>0</v>
      </c>
    </row>
    <row r="265" spans="30:41" x14ac:dyDescent="0.25">
      <c r="AD265" s="1067" t="str">
        <f t="shared" si="20"/>
        <v/>
      </c>
      <c r="AE265" s="1063" t="str">
        <f>IF(ISNA(VLOOKUP(TB_prev[[#This Row],[Synt]],GL[[#Headers],[#Data],[subtotal label]],1,FALSE)),0,(VLOOKUP(TB_prev[[#This Row],[Synt]],GL[[#Headers],[#Data],[subtotal label]],1,FALSE)))</f>
        <v/>
      </c>
      <c r="AF265" s="1063" t="e">
        <f>IF((TB_prev[[#This Row],[Synt]]-TB_prev[[#This Row],[Subtotal Y/N]])=0,0,VLOOKUP(TB_prev[[#This Row],[Synt]],GL[[Account]:[Line]],3,FALSE))</f>
        <v>#VALUE!</v>
      </c>
      <c r="AG265" s="1063" t="e">
        <f>VLOOKUP(TB_prev[[#This Row],[Synt]],GL[[Account]:[B/P]],4,FALSE)</f>
        <v>#N/A</v>
      </c>
      <c r="AH265" s="1066" t="e">
        <v>#VALUE!</v>
      </c>
      <c r="AI265" s="1065" t="e">
        <f>TB_prev[[#This Row],[Synt]]&amp;TB_prev[[#This Row],[Line No. manual corr.]]</f>
        <v>#VALUE!</v>
      </c>
      <c r="AJ265" s="1064">
        <f t="shared" si="21"/>
        <v>0</v>
      </c>
      <c r="AK265" s="1064">
        <f t="shared" si="22"/>
        <v>0</v>
      </c>
      <c r="AL265" s="1064">
        <f t="shared" si="23"/>
        <v>0</v>
      </c>
      <c r="AM265" s="1064">
        <f t="shared" si="24"/>
        <v>0</v>
      </c>
      <c r="AN265" s="1064"/>
      <c r="AO265" s="1064">
        <f>TB_prev[[#This Row],[Closing balance]]+TB_prev[[#This Row],[Rounding]]</f>
        <v>0</v>
      </c>
    </row>
    <row r="266" spans="30:41" x14ac:dyDescent="0.25">
      <c r="AD266" s="1067" t="str">
        <f t="shared" si="20"/>
        <v/>
      </c>
      <c r="AE266" s="1063" t="str">
        <f>IF(ISNA(VLOOKUP(TB_prev[[#This Row],[Synt]],GL[[#Headers],[#Data],[subtotal label]],1,FALSE)),0,(VLOOKUP(TB_prev[[#This Row],[Synt]],GL[[#Headers],[#Data],[subtotal label]],1,FALSE)))</f>
        <v/>
      </c>
      <c r="AF266" s="1063" t="e">
        <f>IF((TB_prev[[#This Row],[Synt]]-TB_prev[[#This Row],[Subtotal Y/N]])=0,0,VLOOKUP(TB_prev[[#This Row],[Synt]],GL[[Account]:[Line]],3,FALSE))</f>
        <v>#VALUE!</v>
      </c>
      <c r="AG266" s="1063" t="e">
        <f>VLOOKUP(TB_prev[[#This Row],[Synt]],GL[[Account]:[B/P]],4,FALSE)</f>
        <v>#N/A</v>
      </c>
      <c r="AH266" s="1066" t="e">
        <v>#VALUE!</v>
      </c>
      <c r="AI266" s="1065" t="e">
        <f>TB_prev[[#This Row],[Synt]]&amp;TB_prev[[#This Row],[Line No. manual corr.]]</f>
        <v>#VALUE!</v>
      </c>
      <c r="AJ266" s="1064">
        <f t="shared" si="21"/>
        <v>0</v>
      </c>
      <c r="AK266" s="1064">
        <f t="shared" si="22"/>
        <v>0</v>
      </c>
      <c r="AL266" s="1064">
        <f t="shared" si="23"/>
        <v>0</v>
      </c>
      <c r="AM266" s="1064">
        <f t="shared" si="24"/>
        <v>0</v>
      </c>
      <c r="AN266" s="1064"/>
      <c r="AO266" s="1064">
        <f>TB_prev[[#This Row],[Closing balance]]+TB_prev[[#This Row],[Rounding]]</f>
        <v>0</v>
      </c>
    </row>
    <row r="267" spans="30:41" x14ac:dyDescent="0.25">
      <c r="AD267" s="1067" t="str">
        <f t="shared" si="20"/>
        <v/>
      </c>
      <c r="AE267" s="1063" t="str">
        <f>IF(ISNA(VLOOKUP(TB_prev[[#This Row],[Synt]],GL[[#Headers],[#Data],[subtotal label]],1,FALSE)),0,(VLOOKUP(TB_prev[[#This Row],[Synt]],GL[[#Headers],[#Data],[subtotal label]],1,FALSE)))</f>
        <v/>
      </c>
      <c r="AF267" s="1063" t="e">
        <f>IF((TB_prev[[#This Row],[Synt]]-TB_prev[[#This Row],[Subtotal Y/N]])=0,0,VLOOKUP(TB_prev[[#This Row],[Synt]],GL[[Account]:[Line]],3,FALSE))</f>
        <v>#VALUE!</v>
      </c>
      <c r="AG267" s="1063" t="e">
        <f>VLOOKUP(TB_prev[[#This Row],[Synt]],GL[[Account]:[B/P]],4,FALSE)</f>
        <v>#N/A</v>
      </c>
      <c r="AH267" s="1066" t="e">
        <v>#VALUE!</v>
      </c>
      <c r="AI267" s="1065" t="e">
        <f>TB_prev[[#This Row],[Synt]]&amp;TB_prev[[#This Row],[Line No. manual corr.]]</f>
        <v>#VALUE!</v>
      </c>
      <c r="AJ267" s="1064">
        <f t="shared" si="21"/>
        <v>0</v>
      </c>
      <c r="AK267" s="1064">
        <f t="shared" si="22"/>
        <v>0</v>
      </c>
      <c r="AL267" s="1064">
        <f t="shared" si="23"/>
        <v>0</v>
      </c>
      <c r="AM267" s="1064">
        <f t="shared" si="24"/>
        <v>0</v>
      </c>
      <c r="AN267" s="1064"/>
      <c r="AO267" s="1064">
        <f>TB_prev[[#This Row],[Closing balance]]+TB_prev[[#This Row],[Rounding]]</f>
        <v>0</v>
      </c>
    </row>
    <row r="268" spans="30:41" x14ac:dyDescent="0.25">
      <c r="AD268" s="1067" t="str">
        <f t="shared" si="20"/>
        <v/>
      </c>
      <c r="AE268" s="1063" t="str">
        <f>IF(ISNA(VLOOKUP(TB_prev[[#This Row],[Synt]],GL[[#Headers],[#Data],[subtotal label]],1,FALSE)),0,(VLOOKUP(TB_prev[[#This Row],[Synt]],GL[[#Headers],[#Data],[subtotal label]],1,FALSE)))</f>
        <v/>
      </c>
      <c r="AF268" s="1063" t="e">
        <f>IF((TB_prev[[#This Row],[Synt]]-TB_prev[[#This Row],[Subtotal Y/N]])=0,0,VLOOKUP(TB_prev[[#This Row],[Synt]],GL[[Account]:[Line]],3,FALSE))</f>
        <v>#VALUE!</v>
      </c>
      <c r="AG268" s="1063" t="e">
        <f>VLOOKUP(TB_prev[[#This Row],[Synt]],GL[[Account]:[B/P]],4,FALSE)</f>
        <v>#N/A</v>
      </c>
      <c r="AH268" s="1066" t="e">
        <v>#VALUE!</v>
      </c>
      <c r="AI268" s="1065" t="e">
        <f>TB_prev[[#This Row],[Synt]]&amp;TB_prev[[#This Row],[Line No. manual corr.]]</f>
        <v>#VALUE!</v>
      </c>
      <c r="AJ268" s="1064">
        <f t="shared" si="21"/>
        <v>0</v>
      </c>
      <c r="AK268" s="1064">
        <f t="shared" si="22"/>
        <v>0</v>
      </c>
      <c r="AL268" s="1064">
        <f t="shared" si="23"/>
        <v>0</v>
      </c>
      <c r="AM268" s="1064">
        <f t="shared" si="24"/>
        <v>0</v>
      </c>
      <c r="AN268" s="1064"/>
      <c r="AO268" s="1064">
        <f>TB_prev[[#This Row],[Closing balance]]+TB_prev[[#This Row],[Rounding]]</f>
        <v>0</v>
      </c>
    </row>
    <row r="269" spans="30:41" x14ac:dyDescent="0.25">
      <c r="AD269" s="1067" t="str">
        <f t="shared" si="20"/>
        <v/>
      </c>
      <c r="AE269" s="1063" t="str">
        <f>IF(ISNA(VLOOKUP(TB_prev[[#This Row],[Synt]],GL[[#Headers],[#Data],[subtotal label]],1,FALSE)),0,(VLOOKUP(TB_prev[[#This Row],[Synt]],GL[[#Headers],[#Data],[subtotal label]],1,FALSE)))</f>
        <v/>
      </c>
      <c r="AF269" s="1063" t="e">
        <f>IF((TB_prev[[#This Row],[Synt]]-TB_prev[[#This Row],[Subtotal Y/N]])=0,0,VLOOKUP(TB_prev[[#This Row],[Synt]],GL[[Account]:[Line]],3,FALSE))</f>
        <v>#VALUE!</v>
      </c>
      <c r="AG269" s="1063" t="e">
        <f>VLOOKUP(TB_prev[[#This Row],[Synt]],GL[[Account]:[B/P]],4,FALSE)</f>
        <v>#N/A</v>
      </c>
      <c r="AH269" s="1066" t="e">
        <v>#VALUE!</v>
      </c>
      <c r="AI269" s="1065" t="e">
        <f>TB_prev[[#This Row],[Synt]]&amp;TB_prev[[#This Row],[Line No. manual corr.]]</f>
        <v>#VALUE!</v>
      </c>
      <c r="AJ269" s="1064">
        <f t="shared" si="21"/>
        <v>0</v>
      </c>
      <c r="AK269" s="1064">
        <f t="shared" si="22"/>
        <v>0</v>
      </c>
      <c r="AL269" s="1064">
        <f t="shared" si="23"/>
        <v>0</v>
      </c>
      <c r="AM269" s="1064">
        <f t="shared" si="24"/>
        <v>0</v>
      </c>
      <c r="AN269" s="1064"/>
      <c r="AO269" s="1064">
        <f>TB_prev[[#This Row],[Closing balance]]+TB_prev[[#This Row],[Rounding]]</f>
        <v>0</v>
      </c>
    </row>
    <row r="270" spans="30:41" x14ac:dyDescent="0.25">
      <c r="AD270" s="1067" t="str">
        <f t="shared" si="20"/>
        <v/>
      </c>
      <c r="AE270" s="1063" t="str">
        <f>IF(ISNA(VLOOKUP(TB_prev[[#This Row],[Synt]],GL[[#Headers],[#Data],[subtotal label]],1,FALSE)),0,(VLOOKUP(TB_prev[[#This Row],[Synt]],GL[[#Headers],[#Data],[subtotal label]],1,FALSE)))</f>
        <v/>
      </c>
      <c r="AF270" s="1063" t="e">
        <f>IF((TB_prev[[#This Row],[Synt]]-TB_prev[[#This Row],[Subtotal Y/N]])=0,0,VLOOKUP(TB_prev[[#This Row],[Synt]],GL[[Account]:[Line]],3,FALSE))</f>
        <v>#VALUE!</v>
      </c>
      <c r="AG270" s="1063" t="e">
        <f>VLOOKUP(TB_prev[[#This Row],[Synt]],GL[[Account]:[B/P]],4,FALSE)</f>
        <v>#N/A</v>
      </c>
      <c r="AH270" s="1066" t="e">
        <v>#VALUE!</v>
      </c>
      <c r="AI270" s="1065" t="e">
        <f>TB_prev[[#This Row],[Synt]]&amp;TB_prev[[#This Row],[Line No. manual corr.]]</f>
        <v>#VALUE!</v>
      </c>
      <c r="AJ270" s="1064">
        <f t="shared" si="21"/>
        <v>0</v>
      </c>
      <c r="AK270" s="1064">
        <f t="shared" si="22"/>
        <v>0</v>
      </c>
      <c r="AL270" s="1064">
        <f t="shared" si="23"/>
        <v>0</v>
      </c>
      <c r="AM270" s="1064">
        <f t="shared" si="24"/>
        <v>0</v>
      </c>
      <c r="AN270" s="1064"/>
      <c r="AO270" s="1064">
        <f>TB_prev[[#This Row],[Closing balance]]+TB_prev[[#This Row],[Rounding]]</f>
        <v>0</v>
      </c>
    </row>
    <row r="271" spans="30:41" x14ac:dyDescent="0.25">
      <c r="AD271" s="1067" t="str">
        <f t="shared" si="20"/>
        <v/>
      </c>
      <c r="AE271" s="1063" t="str">
        <f>IF(ISNA(VLOOKUP(TB_prev[[#This Row],[Synt]],GL[[#Headers],[#Data],[subtotal label]],1,FALSE)),0,(VLOOKUP(TB_prev[[#This Row],[Synt]],GL[[#Headers],[#Data],[subtotal label]],1,FALSE)))</f>
        <v/>
      </c>
      <c r="AF271" s="1063" t="e">
        <f>IF((TB_prev[[#This Row],[Synt]]-TB_prev[[#This Row],[Subtotal Y/N]])=0,0,VLOOKUP(TB_prev[[#This Row],[Synt]],GL[[Account]:[Line]],3,FALSE))</f>
        <v>#VALUE!</v>
      </c>
      <c r="AG271" s="1063" t="e">
        <f>VLOOKUP(TB_prev[[#This Row],[Synt]],GL[[Account]:[B/P]],4,FALSE)</f>
        <v>#N/A</v>
      </c>
      <c r="AH271" s="1066" t="e">
        <v>#VALUE!</v>
      </c>
      <c r="AI271" s="1065" t="e">
        <f>TB_prev[[#This Row],[Synt]]&amp;TB_prev[[#This Row],[Line No. manual corr.]]</f>
        <v>#VALUE!</v>
      </c>
      <c r="AJ271" s="1064">
        <f t="shared" si="21"/>
        <v>0</v>
      </c>
      <c r="AK271" s="1064">
        <f t="shared" si="22"/>
        <v>0</v>
      </c>
      <c r="AL271" s="1064">
        <f t="shared" si="23"/>
        <v>0</v>
      </c>
      <c r="AM271" s="1064">
        <f t="shared" si="24"/>
        <v>0</v>
      </c>
      <c r="AN271" s="1064"/>
      <c r="AO271" s="1064">
        <f>TB_prev[[#This Row],[Closing balance]]+TB_prev[[#This Row],[Rounding]]</f>
        <v>0</v>
      </c>
    </row>
    <row r="272" spans="30:41" x14ac:dyDescent="0.25">
      <c r="AD272" s="1067" t="str">
        <f t="shared" si="20"/>
        <v/>
      </c>
      <c r="AE272" s="1063" t="str">
        <f>IF(ISNA(VLOOKUP(TB_prev[[#This Row],[Synt]],GL[[#Headers],[#Data],[subtotal label]],1,FALSE)),0,(VLOOKUP(TB_prev[[#This Row],[Synt]],GL[[#Headers],[#Data],[subtotal label]],1,FALSE)))</f>
        <v/>
      </c>
      <c r="AF272" s="1063" t="e">
        <f>IF((TB_prev[[#This Row],[Synt]]-TB_prev[[#This Row],[Subtotal Y/N]])=0,0,VLOOKUP(TB_prev[[#This Row],[Synt]],GL[[Account]:[Line]],3,FALSE))</f>
        <v>#VALUE!</v>
      </c>
      <c r="AG272" s="1063" t="e">
        <f>VLOOKUP(TB_prev[[#This Row],[Synt]],GL[[Account]:[B/P]],4,FALSE)</f>
        <v>#N/A</v>
      </c>
      <c r="AH272" s="1066" t="e">
        <v>#VALUE!</v>
      </c>
      <c r="AI272" s="1065" t="e">
        <f>TB_prev[[#This Row],[Synt]]&amp;TB_prev[[#This Row],[Line No. manual corr.]]</f>
        <v>#VALUE!</v>
      </c>
      <c r="AJ272" s="1064">
        <f t="shared" si="21"/>
        <v>0</v>
      </c>
      <c r="AK272" s="1064">
        <f t="shared" si="22"/>
        <v>0</v>
      </c>
      <c r="AL272" s="1064">
        <f t="shared" si="23"/>
        <v>0</v>
      </c>
      <c r="AM272" s="1064">
        <f t="shared" si="24"/>
        <v>0</v>
      </c>
      <c r="AN272" s="1064"/>
      <c r="AO272" s="1064">
        <f>TB_prev[[#This Row],[Closing balance]]+TB_prev[[#This Row],[Rounding]]</f>
        <v>0</v>
      </c>
    </row>
    <row r="273" spans="30:41" x14ac:dyDescent="0.25">
      <c r="AD273" s="1067" t="str">
        <f t="shared" si="20"/>
        <v/>
      </c>
      <c r="AE273" s="1063" t="str">
        <f>IF(ISNA(VLOOKUP(TB_prev[[#This Row],[Synt]],GL[[#Headers],[#Data],[subtotal label]],1,FALSE)),0,(VLOOKUP(TB_prev[[#This Row],[Synt]],GL[[#Headers],[#Data],[subtotal label]],1,FALSE)))</f>
        <v/>
      </c>
      <c r="AF273" s="1063" t="e">
        <f>IF((TB_prev[[#This Row],[Synt]]-TB_prev[[#This Row],[Subtotal Y/N]])=0,0,VLOOKUP(TB_prev[[#This Row],[Synt]],GL[[Account]:[Line]],3,FALSE))</f>
        <v>#VALUE!</v>
      </c>
      <c r="AG273" s="1063" t="e">
        <f>VLOOKUP(TB_prev[[#This Row],[Synt]],GL[[Account]:[B/P]],4,FALSE)</f>
        <v>#N/A</v>
      </c>
      <c r="AH273" s="1066" t="e">
        <v>#VALUE!</v>
      </c>
      <c r="AI273" s="1065" t="e">
        <f>TB_prev[[#This Row],[Synt]]&amp;TB_prev[[#This Row],[Line No. manual corr.]]</f>
        <v>#VALUE!</v>
      </c>
      <c r="AJ273" s="1064">
        <f t="shared" si="21"/>
        <v>0</v>
      </c>
      <c r="AK273" s="1064">
        <f t="shared" si="22"/>
        <v>0</v>
      </c>
      <c r="AL273" s="1064">
        <f t="shared" si="23"/>
        <v>0</v>
      </c>
      <c r="AM273" s="1064">
        <f t="shared" si="24"/>
        <v>0</v>
      </c>
      <c r="AN273" s="1064"/>
      <c r="AO273" s="1064">
        <f>TB_prev[[#This Row],[Closing balance]]+TB_prev[[#This Row],[Rounding]]</f>
        <v>0</v>
      </c>
    </row>
    <row r="274" spans="30:41" x14ac:dyDescent="0.25">
      <c r="AD274" s="1067" t="str">
        <f t="shared" si="20"/>
        <v/>
      </c>
      <c r="AE274" s="1063" t="str">
        <f>IF(ISNA(VLOOKUP(TB_prev[[#This Row],[Synt]],GL[[#Headers],[#Data],[subtotal label]],1,FALSE)),0,(VLOOKUP(TB_prev[[#This Row],[Synt]],GL[[#Headers],[#Data],[subtotal label]],1,FALSE)))</f>
        <v/>
      </c>
      <c r="AF274" s="1063" t="e">
        <f>IF((TB_prev[[#This Row],[Synt]]-TB_prev[[#This Row],[Subtotal Y/N]])=0,0,VLOOKUP(TB_prev[[#This Row],[Synt]],GL[[Account]:[Line]],3,FALSE))</f>
        <v>#VALUE!</v>
      </c>
      <c r="AG274" s="1063" t="e">
        <f>VLOOKUP(TB_prev[[#This Row],[Synt]],GL[[Account]:[B/P]],4,FALSE)</f>
        <v>#N/A</v>
      </c>
      <c r="AH274" s="1066" t="e">
        <v>#VALUE!</v>
      </c>
      <c r="AI274" s="1065" t="e">
        <f>TB_prev[[#This Row],[Synt]]&amp;TB_prev[[#This Row],[Line No. manual corr.]]</f>
        <v>#VALUE!</v>
      </c>
      <c r="AJ274" s="1064">
        <f t="shared" si="21"/>
        <v>0</v>
      </c>
      <c r="AK274" s="1064">
        <f t="shared" si="22"/>
        <v>0</v>
      </c>
      <c r="AL274" s="1064">
        <f t="shared" si="23"/>
        <v>0</v>
      </c>
      <c r="AM274" s="1064">
        <f t="shared" si="24"/>
        <v>0</v>
      </c>
      <c r="AN274" s="1064"/>
      <c r="AO274" s="1064">
        <f>TB_prev[[#This Row],[Closing balance]]+TB_prev[[#This Row],[Rounding]]</f>
        <v>0</v>
      </c>
    </row>
    <row r="275" spans="30:41" x14ac:dyDescent="0.25">
      <c r="AD275" s="1067" t="str">
        <f t="shared" si="20"/>
        <v/>
      </c>
      <c r="AE275" s="1063" t="str">
        <f>IF(ISNA(VLOOKUP(TB_prev[[#This Row],[Synt]],GL[[#Headers],[#Data],[subtotal label]],1,FALSE)),0,(VLOOKUP(TB_prev[[#This Row],[Synt]],GL[[#Headers],[#Data],[subtotal label]],1,FALSE)))</f>
        <v/>
      </c>
      <c r="AF275" s="1063" t="e">
        <f>IF((TB_prev[[#This Row],[Synt]]-TB_prev[[#This Row],[Subtotal Y/N]])=0,0,VLOOKUP(TB_prev[[#This Row],[Synt]],GL[[Account]:[Line]],3,FALSE))</f>
        <v>#VALUE!</v>
      </c>
      <c r="AG275" s="1063" t="e">
        <f>VLOOKUP(TB_prev[[#This Row],[Synt]],GL[[Account]:[B/P]],4,FALSE)</f>
        <v>#N/A</v>
      </c>
      <c r="AH275" s="1066" t="e">
        <v>#VALUE!</v>
      </c>
      <c r="AI275" s="1065" t="e">
        <f>TB_prev[[#This Row],[Synt]]&amp;TB_prev[[#This Row],[Line No. manual corr.]]</f>
        <v>#VALUE!</v>
      </c>
      <c r="AJ275" s="1064">
        <f t="shared" si="21"/>
        <v>0</v>
      </c>
      <c r="AK275" s="1064">
        <f t="shared" si="22"/>
        <v>0</v>
      </c>
      <c r="AL275" s="1064">
        <f t="shared" si="23"/>
        <v>0</v>
      </c>
      <c r="AM275" s="1064">
        <f t="shared" si="24"/>
        <v>0</v>
      </c>
      <c r="AN275" s="1064"/>
      <c r="AO275" s="1064">
        <f>TB_prev[[#This Row],[Closing balance]]+TB_prev[[#This Row],[Rounding]]</f>
        <v>0</v>
      </c>
    </row>
    <row r="276" spans="30:41" x14ac:dyDescent="0.25">
      <c r="AD276" s="1067" t="str">
        <f t="shared" si="20"/>
        <v/>
      </c>
      <c r="AE276" s="1063" t="str">
        <f>IF(ISNA(VLOOKUP(TB_prev[[#This Row],[Synt]],GL[[#Headers],[#Data],[subtotal label]],1,FALSE)),0,(VLOOKUP(TB_prev[[#This Row],[Synt]],GL[[#Headers],[#Data],[subtotal label]],1,FALSE)))</f>
        <v/>
      </c>
      <c r="AF276" s="1063" t="e">
        <f>IF((TB_prev[[#This Row],[Synt]]-TB_prev[[#This Row],[Subtotal Y/N]])=0,0,VLOOKUP(TB_prev[[#This Row],[Synt]],GL[[Account]:[Line]],3,FALSE))</f>
        <v>#VALUE!</v>
      </c>
      <c r="AG276" s="1063" t="e">
        <f>VLOOKUP(TB_prev[[#This Row],[Synt]],GL[[Account]:[B/P]],4,FALSE)</f>
        <v>#N/A</v>
      </c>
      <c r="AH276" s="1066" t="e">
        <v>#VALUE!</v>
      </c>
      <c r="AI276" s="1065" t="e">
        <f>TB_prev[[#This Row],[Synt]]&amp;TB_prev[[#This Row],[Line No. manual corr.]]</f>
        <v>#VALUE!</v>
      </c>
      <c r="AJ276" s="1064">
        <f t="shared" si="21"/>
        <v>0</v>
      </c>
      <c r="AK276" s="1064">
        <f t="shared" si="22"/>
        <v>0</v>
      </c>
      <c r="AL276" s="1064">
        <f t="shared" si="23"/>
        <v>0</v>
      </c>
      <c r="AM276" s="1064">
        <f t="shared" si="24"/>
        <v>0</v>
      </c>
      <c r="AN276" s="1064"/>
      <c r="AO276" s="1064">
        <f>TB_prev[[#This Row],[Closing balance]]+TB_prev[[#This Row],[Rounding]]</f>
        <v>0</v>
      </c>
    </row>
    <row r="277" spans="30:41" x14ac:dyDescent="0.25">
      <c r="AD277" s="1067" t="str">
        <f t="shared" si="20"/>
        <v/>
      </c>
      <c r="AE277" s="1063" t="str">
        <f>IF(ISNA(VLOOKUP(TB_prev[[#This Row],[Synt]],GL[[#Headers],[#Data],[subtotal label]],1,FALSE)),0,(VLOOKUP(TB_prev[[#This Row],[Synt]],GL[[#Headers],[#Data],[subtotal label]],1,FALSE)))</f>
        <v/>
      </c>
      <c r="AF277" s="1063" t="e">
        <f>IF((TB_prev[[#This Row],[Synt]]-TB_prev[[#This Row],[Subtotal Y/N]])=0,0,VLOOKUP(TB_prev[[#This Row],[Synt]],GL[[Account]:[Line]],3,FALSE))</f>
        <v>#VALUE!</v>
      </c>
      <c r="AG277" s="1063" t="e">
        <f>VLOOKUP(TB_prev[[#This Row],[Synt]],GL[[Account]:[B/P]],4,FALSE)</f>
        <v>#N/A</v>
      </c>
      <c r="AH277" s="1066" t="e">
        <v>#VALUE!</v>
      </c>
      <c r="AI277" s="1065" t="e">
        <f>TB_prev[[#This Row],[Synt]]&amp;TB_prev[[#This Row],[Line No. manual corr.]]</f>
        <v>#VALUE!</v>
      </c>
      <c r="AJ277" s="1064">
        <f t="shared" si="21"/>
        <v>0</v>
      </c>
      <c r="AK277" s="1064">
        <f t="shared" si="22"/>
        <v>0</v>
      </c>
      <c r="AL277" s="1064">
        <f t="shared" si="23"/>
        <v>0</v>
      </c>
      <c r="AM277" s="1064">
        <f t="shared" si="24"/>
        <v>0</v>
      </c>
      <c r="AN277" s="1064"/>
      <c r="AO277" s="1064">
        <f>TB_prev[[#This Row],[Closing balance]]+TB_prev[[#This Row],[Rounding]]</f>
        <v>0</v>
      </c>
    </row>
    <row r="278" spans="30:41" x14ac:dyDescent="0.25">
      <c r="AD278" s="1067" t="str">
        <f t="shared" si="20"/>
        <v/>
      </c>
      <c r="AE278" s="1063" t="str">
        <f>IF(ISNA(VLOOKUP(TB_prev[[#This Row],[Synt]],GL[[#Headers],[#Data],[subtotal label]],1,FALSE)),0,(VLOOKUP(TB_prev[[#This Row],[Synt]],GL[[#Headers],[#Data],[subtotal label]],1,FALSE)))</f>
        <v/>
      </c>
      <c r="AF278" s="1063" t="e">
        <f>IF((TB_prev[[#This Row],[Synt]]-TB_prev[[#This Row],[Subtotal Y/N]])=0,0,VLOOKUP(TB_prev[[#This Row],[Synt]],GL[[Account]:[Line]],3,FALSE))</f>
        <v>#VALUE!</v>
      </c>
      <c r="AG278" s="1063" t="e">
        <f>VLOOKUP(TB_prev[[#This Row],[Synt]],GL[[Account]:[B/P]],4,FALSE)</f>
        <v>#N/A</v>
      </c>
      <c r="AH278" s="1066" t="e">
        <v>#VALUE!</v>
      </c>
      <c r="AI278" s="1065" t="e">
        <f>TB_prev[[#This Row],[Synt]]&amp;TB_prev[[#This Row],[Line No. manual corr.]]</f>
        <v>#VALUE!</v>
      </c>
      <c r="AJ278" s="1064">
        <f t="shared" si="21"/>
        <v>0</v>
      </c>
      <c r="AK278" s="1064">
        <f t="shared" si="22"/>
        <v>0</v>
      </c>
      <c r="AL278" s="1064">
        <f t="shared" si="23"/>
        <v>0</v>
      </c>
      <c r="AM278" s="1064">
        <f t="shared" si="24"/>
        <v>0</v>
      </c>
      <c r="AN278" s="1064"/>
      <c r="AO278" s="1064">
        <f>TB_prev[[#This Row],[Closing balance]]+TB_prev[[#This Row],[Rounding]]</f>
        <v>0</v>
      </c>
    </row>
    <row r="279" spans="30:41" x14ac:dyDescent="0.25">
      <c r="AD279" s="1067" t="str">
        <f t="shared" si="20"/>
        <v/>
      </c>
      <c r="AE279" s="1063" t="str">
        <f>IF(ISNA(VLOOKUP(TB_prev[[#This Row],[Synt]],GL[[#Headers],[#Data],[subtotal label]],1,FALSE)),0,(VLOOKUP(TB_prev[[#This Row],[Synt]],GL[[#Headers],[#Data],[subtotal label]],1,FALSE)))</f>
        <v/>
      </c>
      <c r="AF279" s="1063" t="e">
        <f>IF((TB_prev[[#This Row],[Synt]]-TB_prev[[#This Row],[Subtotal Y/N]])=0,0,VLOOKUP(TB_prev[[#This Row],[Synt]],GL[[Account]:[Line]],3,FALSE))</f>
        <v>#VALUE!</v>
      </c>
      <c r="AG279" s="1063" t="e">
        <f>VLOOKUP(TB_prev[[#This Row],[Synt]],GL[[Account]:[B/P]],4,FALSE)</f>
        <v>#N/A</v>
      </c>
      <c r="AH279" s="1066" t="e">
        <v>#VALUE!</v>
      </c>
      <c r="AI279" s="1065" t="e">
        <f>TB_prev[[#This Row],[Synt]]&amp;TB_prev[[#This Row],[Line No. manual corr.]]</f>
        <v>#VALUE!</v>
      </c>
      <c r="AJ279" s="1064">
        <f t="shared" si="21"/>
        <v>0</v>
      </c>
      <c r="AK279" s="1064">
        <f t="shared" si="22"/>
        <v>0</v>
      </c>
      <c r="AL279" s="1064">
        <f t="shared" si="23"/>
        <v>0</v>
      </c>
      <c r="AM279" s="1064">
        <f t="shared" si="24"/>
        <v>0</v>
      </c>
      <c r="AN279" s="1064"/>
      <c r="AO279" s="1064">
        <f>TB_prev[[#This Row],[Closing balance]]+TB_prev[[#This Row],[Rounding]]</f>
        <v>0</v>
      </c>
    </row>
    <row r="280" spans="30:41" x14ac:dyDescent="0.25">
      <c r="AD280" s="1067" t="str">
        <f t="shared" si="20"/>
        <v/>
      </c>
      <c r="AE280" s="1063" t="str">
        <f>IF(ISNA(VLOOKUP(TB_prev[[#This Row],[Synt]],GL[[#Headers],[#Data],[subtotal label]],1,FALSE)),0,(VLOOKUP(TB_prev[[#This Row],[Synt]],GL[[#Headers],[#Data],[subtotal label]],1,FALSE)))</f>
        <v/>
      </c>
      <c r="AF280" s="1063" t="e">
        <f>IF((TB_prev[[#This Row],[Synt]]-TB_prev[[#This Row],[Subtotal Y/N]])=0,0,VLOOKUP(TB_prev[[#This Row],[Synt]],GL[[Account]:[Line]],3,FALSE))</f>
        <v>#VALUE!</v>
      </c>
      <c r="AG280" s="1063" t="e">
        <f>VLOOKUP(TB_prev[[#This Row],[Synt]],GL[[Account]:[B/P]],4,FALSE)</f>
        <v>#N/A</v>
      </c>
      <c r="AH280" s="1066" t="e">
        <v>#VALUE!</v>
      </c>
      <c r="AI280" s="1065" t="e">
        <f>TB_prev[[#This Row],[Synt]]&amp;TB_prev[[#This Row],[Line No. manual corr.]]</f>
        <v>#VALUE!</v>
      </c>
      <c r="AJ280" s="1064">
        <f t="shared" si="21"/>
        <v>0</v>
      </c>
      <c r="AK280" s="1064">
        <f t="shared" si="22"/>
        <v>0</v>
      </c>
      <c r="AL280" s="1064">
        <f t="shared" si="23"/>
        <v>0</v>
      </c>
      <c r="AM280" s="1064">
        <f t="shared" si="24"/>
        <v>0</v>
      </c>
      <c r="AN280" s="1064"/>
      <c r="AO280" s="1064">
        <f>TB_prev[[#This Row],[Closing balance]]+TB_prev[[#This Row],[Rounding]]</f>
        <v>0</v>
      </c>
    </row>
    <row r="281" spans="30:41" x14ac:dyDescent="0.25">
      <c r="AD281" s="1067" t="str">
        <f t="shared" si="20"/>
        <v/>
      </c>
      <c r="AE281" s="1063" t="str">
        <f>IF(ISNA(VLOOKUP(TB_prev[[#This Row],[Synt]],GL[[#Headers],[#Data],[subtotal label]],1,FALSE)),0,(VLOOKUP(TB_prev[[#This Row],[Synt]],GL[[#Headers],[#Data],[subtotal label]],1,FALSE)))</f>
        <v/>
      </c>
      <c r="AF281" s="1063" t="e">
        <f>IF((TB_prev[[#This Row],[Synt]]-TB_prev[[#This Row],[Subtotal Y/N]])=0,0,VLOOKUP(TB_prev[[#This Row],[Synt]],GL[[Account]:[Line]],3,FALSE))</f>
        <v>#VALUE!</v>
      </c>
      <c r="AG281" s="1063" t="e">
        <f>VLOOKUP(TB_prev[[#This Row],[Synt]],GL[[Account]:[B/P]],4,FALSE)</f>
        <v>#N/A</v>
      </c>
      <c r="AH281" s="1066" t="e">
        <v>#VALUE!</v>
      </c>
      <c r="AI281" s="1065" t="e">
        <f>TB_prev[[#This Row],[Synt]]&amp;TB_prev[[#This Row],[Line No. manual corr.]]</f>
        <v>#VALUE!</v>
      </c>
      <c r="AJ281" s="1064">
        <f t="shared" si="21"/>
        <v>0</v>
      </c>
      <c r="AK281" s="1064">
        <f t="shared" si="22"/>
        <v>0</v>
      </c>
      <c r="AL281" s="1064">
        <f t="shared" si="23"/>
        <v>0</v>
      </c>
      <c r="AM281" s="1064">
        <f t="shared" si="24"/>
        <v>0</v>
      </c>
      <c r="AN281" s="1064"/>
      <c r="AO281" s="1064">
        <f>TB_prev[[#This Row],[Closing balance]]+TB_prev[[#This Row],[Rounding]]</f>
        <v>0</v>
      </c>
    </row>
    <row r="282" spans="30:41" x14ac:dyDescent="0.25">
      <c r="AD282" s="1067" t="str">
        <f t="shared" si="20"/>
        <v/>
      </c>
      <c r="AE282" s="1063" t="str">
        <f>IF(ISNA(VLOOKUP(TB_prev[[#This Row],[Synt]],GL[[#Headers],[#Data],[subtotal label]],1,FALSE)),0,(VLOOKUP(TB_prev[[#This Row],[Synt]],GL[[#Headers],[#Data],[subtotal label]],1,FALSE)))</f>
        <v/>
      </c>
      <c r="AF282" s="1063" t="e">
        <f>IF((TB_prev[[#This Row],[Synt]]-TB_prev[[#This Row],[Subtotal Y/N]])=0,0,VLOOKUP(TB_prev[[#This Row],[Synt]],GL[[Account]:[Line]],3,FALSE))</f>
        <v>#VALUE!</v>
      </c>
      <c r="AG282" s="1063" t="e">
        <f>VLOOKUP(TB_prev[[#This Row],[Synt]],GL[[Account]:[B/P]],4,FALSE)</f>
        <v>#N/A</v>
      </c>
      <c r="AH282" s="1066" t="e">
        <v>#VALUE!</v>
      </c>
      <c r="AI282" s="1065" t="e">
        <f>TB_prev[[#This Row],[Synt]]&amp;TB_prev[[#This Row],[Line No. manual corr.]]</f>
        <v>#VALUE!</v>
      </c>
      <c r="AJ282" s="1064">
        <f t="shared" si="21"/>
        <v>0</v>
      </c>
      <c r="AK282" s="1064">
        <f t="shared" si="22"/>
        <v>0</v>
      </c>
      <c r="AL282" s="1064">
        <f t="shared" si="23"/>
        <v>0</v>
      </c>
      <c r="AM282" s="1064">
        <f t="shared" si="24"/>
        <v>0</v>
      </c>
      <c r="AN282" s="1064"/>
      <c r="AO282" s="1064">
        <f>TB_prev[[#This Row],[Closing balance]]+TB_prev[[#This Row],[Rounding]]</f>
        <v>0</v>
      </c>
    </row>
    <row r="283" spans="30:41" x14ac:dyDescent="0.25">
      <c r="AD283" s="1067" t="str">
        <f t="shared" si="20"/>
        <v/>
      </c>
      <c r="AE283" s="1063" t="str">
        <f>IF(ISNA(VLOOKUP(TB_prev[[#This Row],[Synt]],GL[[#Headers],[#Data],[subtotal label]],1,FALSE)),0,(VLOOKUP(TB_prev[[#This Row],[Synt]],GL[[#Headers],[#Data],[subtotal label]],1,FALSE)))</f>
        <v/>
      </c>
      <c r="AF283" s="1063" t="e">
        <f>IF((TB_prev[[#This Row],[Synt]]-TB_prev[[#This Row],[Subtotal Y/N]])=0,0,VLOOKUP(TB_prev[[#This Row],[Synt]],GL[[Account]:[Line]],3,FALSE))</f>
        <v>#VALUE!</v>
      </c>
      <c r="AG283" s="1063" t="e">
        <f>VLOOKUP(TB_prev[[#This Row],[Synt]],GL[[Account]:[B/P]],4,FALSE)</f>
        <v>#N/A</v>
      </c>
      <c r="AH283" s="1066" t="e">
        <v>#VALUE!</v>
      </c>
      <c r="AI283" s="1065" t="e">
        <f>TB_prev[[#This Row],[Synt]]&amp;TB_prev[[#This Row],[Line No. manual corr.]]</f>
        <v>#VALUE!</v>
      </c>
      <c r="AJ283" s="1064">
        <f t="shared" si="21"/>
        <v>0</v>
      </c>
      <c r="AK283" s="1064">
        <f t="shared" si="22"/>
        <v>0</v>
      </c>
      <c r="AL283" s="1064">
        <f t="shared" si="23"/>
        <v>0</v>
      </c>
      <c r="AM283" s="1064">
        <f t="shared" si="24"/>
        <v>0</v>
      </c>
      <c r="AN283" s="1064"/>
      <c r="AO283" s="1064">
        <f>TB_prev[[#This Row],[Closing balance]]+TB_prev[[#This Row],[Rounding]]</f>
        <v>0</v>
      </c>
    </row>
    <row r="284" spans="30:41" x14ac:dyDescent="0.25">
      <c r="AD284" s="1067" t="str">
        <f t="shared" si="20"/>
        <v/>
      </c>
      <c r="AE284" s="1063" t="str">
        <f>IF(ISNA(VLOOKUP(TB_prev[[#This Row],[Synt]],GL[[#Headers],[#Data],[subtotal label]],1,FALSE)),0,(VLOOKUP(TB_prev[[#This Row],[Synt]],GL[[#Headers],[#Data],[subtotal label]],1,FALSE)))</f>
        <v/>
      </c>
      <c r="AF284" s="1063" t="e">
        <f>IF((TB_prev[[#This Row],[Synt]]-TB_prev[[#This Row],[Subtotal Y/N]])=0,0,VLOOKUP(TB_prev[[#This Row],[Synt]],GL[[Account]:[Line]],3,FALSE))</f>
        <v>#VALUE!</v>
      </c>
      <c r="AG284" s="1063" t="e">
        <f>VLOOKUP(TB_prev[[#This Row],[Synt]],GL[[Account]:[B/P]],4,FALSE)</f>
        <v>#N/A</v>
      </c>
      <c r="AH284" s="1066" t="e">
        <v>#VALUE!</v>
      </c>
      <c r="AI284" s="1065" t="e">
        <f>TB_prev[[#This Row],[Synt]]&amp;TB_prev[[#This Row],[Line No. manual corr.]]</f>
        <v>#VALUE!</v>
      </c>
      <c r="AJ284" s="1064">
        <f t="shared" si="21"/>
        <v>0</v>
      </c>
      <c r="AK284" s="1064">
        <f t="shared" si="22"/>
        <v>0</v>
      </c>
      <c r="AL284" s="1064">
        <f t="shared" si="23"/>
        <v>0</v>
      </c>
      <c r="AM284" s="1064">
        <f t="shared" si="24"/>
        <v>0</v>
      </c>
      <c r="AN284" s="1064"/>
      <c r="AO284" s="1064">
        <f>TB_prev[[#This Row],[Closing balance]]+TB_prev[[#This Row],[Rounding]]</f>
        <v>0</v>
      </c>
    </row>
    <row r="285" spans="30:41" x14ac:dyDescent="0.25">
      <c r="AD285" s="1067" t="str">
        <f t="shared" si="20"/>
        <v/>
      </c>
      <c r="AE285" s="1063" t="str">
        <f>IF(ISNA(VLOOKUP(TB_prev[[#This Row],[Synt]],GL[[#Headers],[#Data],[subtotal label]],1,FALSE)),0,(VLOOKUP(TB_prev[[#This Row],[Synt]],GL[[#Headers],[#Data],[subtotal label]],1,FALSE)))</f>
        <v/>
      </c>
      <c r="AF285" s="1063" t="e">
        <f>IF((TB_prev[[#This Row],[Synt]]-TB_prev[[#This Row],[Subtotal Y/N]])=0,0,VLOOKUP(TB_prev[[#This Row],[Synt]],GL[[Account]:[Line]],3,FALSE))</f>
        <v>#VALUE!</v>
      </c>
      <c r="AG285" s="1063" t="e">
        <f>VLOOKUP(TB_prev[[#This Row],[Synt]],GL[[Account]:[B/P]],4,FALSE)</f>
        <v>#N/A</v>
      </c>
      <c r="AH285" s="1066" t="e">
        <v>#VALUE!</v>
      </c>
      <c r="AI285" s="1065" t="e">
        <f>TB_prev[[#This Row],[Synt]]&amp;TB_prev[[#This Row],[Line No. manual corr.]]</f>
        <v>#VALUE!</v>
      </c>
      <c r="AJ285" s="1064">
        <f t="shared" si="21"/>
        <v>0</v>
      </c>
      <c r="AK285" s="1064">
        <f t="shared" si="22"/>
        <v>0</v>
      </c>
      <c r="AL285" s="1064">
        <f t="shared" si="23"/>
        <v>0</v>
      </c>
      <c r="AM285" s="1064">
        <f t="shared" si="24"/>
        <v>0</v>
      </c>
      <c r="AN285" s="1064"/>
      <c r="AO285" s="1064">
        <f>TB_prev[[#This Row],[Closing balance]]+TB_prev[[#This Row],[Rounding]]</f>
        <v>0</v>
      </c>
    </row>
    <row r="286" spans="30:41" x14ac:dyDescent="0.25">
      <c r="AD286" s="1067" t="str">
        <f t="shared" si="20"/>
        <v/>
      </c>
      <c r="AE286" s="1063" t="str">
        <f>IF(ISNA(VLOOKUP(TB_prev[[#This Row],[Synt]],GL[[#Headers],[#Data],[subtotal label]],1,FALSE)),0,(VLOOKUP(TB_prev[[#This Row],[Synt]],GL[[#Headers],[#Data],[subtotal label]],1,FALSE)))</f>
        <v/>
      </c>
      <c r="AF286" s="1063" t="e">
        <f>IF((TB_prev[[#This Row],[Synt]]-TB_prev[[#This Row],[Subtotal Y/N]])=0,0,VLOOKUP(TB_prev[[#This Row],[Synt]],GL[[Account]:[Line]],3,FALSE))</f>
        <v>#VALUE!</v>
      </c>
      <c r="AG286" s="1063" t="e">
        <f>VLOOKUP(TB_prev[[#This Row],[Synt]],GL[[Account]:[B/P]],4,FALSE)</f>
        <v>#N/A</v>
      </c>
      <c r="AH286" s="1066" t="e">
        <v>#VALUE!</v>
      </c>
      <c r="AI286" s="1065" t="e">
        <f>TB_prev[[#This Row],[Synt]]&amp;TB_prev[[#This Row],[Line No. manual corr.]]</f>
        <v>#VALUE!</v>
      </c>
      <c r="AJ286" s="1064">
        <f t="shared" si="21"/>
        <v>0</v>
      </c>
      <c r="AK286" s="1064">
        <f t="shared" si="22"/>
        <v>0</v>
      </c>
      <c r="AL286" s="1064">
        <f t="shared" si="23"/>
        <v>0</v>
      </c>
      <c r="AM286" s="1064">
        <f t="shared" si="24"/>
        <v>0</v>
      </c>
      <c r="AN286" s="1064"/>
      <c r="AO286" s="1064">
        <f>TB_prev[[#This Row],[Closing balance]]+TB_prev[[#This Row],[Rounding]]</f>
        <v>0</v>
      </c>
    </row>
    <row r="287" spans="30:41" x14ac:dyDescent="0.25">
      <c r="AD287" s="1067" t="str">
        <f t="shared" si="20"/>
        <v/>
      </c>
      <c r="AE287" s="1063" t="str">
        <f>IF(ISNA(VLOOKUP(TB_prev[[#This Row],[Synt]],GL[[#Headers],[#Data],[subtotal label]],1,FALSE)),0,(VLOOKUP(TB_prev[[#This Row],[Synt]],GL[[#Headers],[#Data],[subtotal label]],1,FALSE)))</f>
        <v/>
      </c>
      <c r="AF287" s="1063" t="e">
        <f>IF((TB_prev[[#This Row],[Synt]]-TB_prev[[#This Row],[Subtotal Y/N]])=0,0,VLOOKUP(TB_prev[[#This Row],[Synt]],GL[[Account]:[Line]],3,FALSE))</f>
        <v>#VALUE!</v>
      </c>
      <c r="AG287" s="1063" t="e">
        <f>VLOOKUP(TB_prev[[#This Row],[Synt]],GL[[Account]:[B/P]],4,FALSE)</f>
        <v>#N/A</v>
      </c>
      <c r="AH287" s="1066" t="e">
        <v>#VALUE!</v>
      </c>
      <c r="AI287" s="1065" t="e">
        <f>TB_prev[[#This Row],[Synt]]&amp;TB_prev[[#This Row],[Line No. manual corr.]]</f>
        <v>#VALUE!</v>
      </c>
      <c r="AJ287" s="1064">
        <f t="shared" si="21"/>
        <v>0</v>
      </c>
      <c r="AK287" s="1064">
        <f t="shared" si="22"/>
        <v>0</v>
      </c>
      <c r="AL287" s="1064">
        <f t="shared" si="23"/>
        <v>0</v>
      </c>
      <c r="AM287" s="1064">
        <f t="shared" si="24"/>
        <v>0</v>
      </c>
      <c r="AN287" s="1064"/>
      <c r="AO287" s="1064">
        <f>TB_prev[[#This Row],[Closing balance]]+TB_prev[[#This Row],[Rounding]]</f>
        <v>0</v>
      </c>
    </row>
    <row r="288" spans="30:41" x14ac:dyDescent="0.25">
      <c r="AD288" s="1067" t="str">
        <f t="shared" si="20"/>
        <v/>
      </c>
      <c r="AE288" s="1063" t="str">
        <f>IF(ISNA(VLOOKUP(TB_prev[[#This Row],[Synt]],GL[[#Headers],[#Data],[subtotal label]],1,FALSE)),0,(VLOOKUP(TB_prev[[#This Row],[Synt]],GL[[#Headers],[#Data],[subtotal label]],1,FALSE)))</f>
        <v/>
      </c>
      <c r="AF288" s="1063" t="e">
        <f>IF((TB_prev[[#This Row],[Synt]]-TB_prev[[#This Row],[Subtotal Y/N]])=0,0,VLOOKUP(TB_prev[[#This Row],[Synt]],GL[[Account]:[Line]],3,FALSE))</f>
        <v>#VALUE!</v>
      </c>
      <c r="AG288" s="1063" t="e">
        <f>VLOOKUP(TB_prev[[#This Row],[Synt]],GL[[Account]:[B/P]],4,FALSE)</f>
        <v>#N/A</v>
      </c>
      <c r="AH288" s="1066" t="e">
        <v>#VALUE!</v>
      </c>
      <c r="AI288" s="1065" t="e">
        <f>TB_prev[[#This Row],[Synt]]&amp;TB_prev[[#This Row],[Line No. manual corr.]]</f>
        <v>#VALUE!</v>
      </c>
      <c r="AJ288" s="1064">
        <f t="shared" si="21"/>
        <v>0</v>
      </c>
      <c r="AK288" s="1064">
        <f t="shared" si="22"/>
        <v>0</v>
      </c>
      <c r="AL288" s="1064">
        <f t="shared" si="23"/>
        <v>0</v>
      </c>
      <c r="AM288" s="1064">
        <f t="shared" si="24"/>
        <v>0</v>
      </c>
      <c r="AN288" s="1064"/>
      <c r="AO288" s="1064">
        <f>TB_prev[[#This Row],[Closing balance]]+TB_prev[[#This Row],[Rounding]]</f>
        <v>0</v>
      </c>
    </row>
    <row r="289" spans="30:41" x14ac:dyDescent="0.25">
      <c r="AD289" s="1067" t="str">
        <f t="shared" si="20"/>
        <v/>
      </c>
      <c r="AE289" s="1063" t="str">
        <f>IF(ISNA(VLOOKUP(TB_prev[[#This Row],[Synt]],GL[[#Headers],[#Data],[subtotal label]],1,FALSE)),0,(VLOOKUP(TB_prev[[#This Row],[Synt]],GL[[#Headers],[#Data],[subtotal label]],1,FALSE)))</f>
        <v/>
      </c>
      <c r="AF289" s="1063" t="e">
        <f>IF((TB_prev[[#This Row],[Synt]]-TB_prev[[#This Row],[Subtotal Y/N]])=0,0,VLOOKUP(TB_prev[[#This Row],[Synt]],GL[[Account]:[Line]],3,FALSE))</f>
        <v>#VALUE!</v>
      </c>
      <c r="AG289" s="1063" t="e">
        <f>VLOOKUP(TB_prev[[#This Row],[Synt]],GL[[Account]:[B/P]],4,FALSE)</f>
        <v>#N/A</v>
      </c>
      <c r="AH289" s="1066" t="e">
        <v>#VALUE!</v>
      </c>
      <c r="AI289" s="1065" t="e">
        <f>TB_prev[[#This Row],[Synt]]&amp;TB_prev[[#This Row],[Line No. manual corr.]]</f>
        <v>#VALUE!</v>
      </c>
      <c r="AJ289" s="1064">
        <f t="shared" si="21"/>
        <v>0</v>
      </c>
      <c r="AK289" s="1064">
        <f t="shared" si="22"/>
        <v>0</v>
      </c>
      <c r="AL289" s="1064">
        <f t="shared" si="23"/>
        <v>0</v>
      </c>
      <c r="AM289" s="1064">
        <f t="shared" si="24"/>
        <v>0</v>
      </c>
      <c r="AN289" s="1064"/>
      <c r="AO289" s="1064">
        <f>TB_prev[[#This Row],[Closing balance]]+TB_prev[[#This Row],[Rounding]]</f>
        <v>0</v>
      </c>
    </row>
    <row r="290" spans="30:41" x14ac:dyDescent="0.25">
      <c r="AD290" s="1067" t="str">
        <f t="shared" si="20"/>
        <v/>
      </c>
      <c r="AE290" s="1063" t="str">
        <f>IF(ISNA(VLOOKUP(TB_prev[[#This Row],[Synt]],GL[[#Headers],[#Data],[subtotal label]],1,FALSE)),0,(VLOOKUP(TB_prev[[#This Row],[Synt]],GL[[#Headers],[#Data],[subtotal label]],1,FALSE)))</f>
        <v/>
      </c>
      <c r="AF290" s="1063" t="e">
        <f>IF((TB_prev[[#This Row],[Synt]]-TB_prev[[#This Row],[Subtotal Y/N]])=0,0,VLOOKUP(TB_prev[[#This Row],[Synt]],GL[[Account]:[Line]],3,FALSE))</f>
        <v>#VALUE!</v>
      </c>
      <c r="AG290" s="1063" t="e">
        <f>VLOOKUP(TB_prev[[#This Row],[Synt]],GL[[Account]:[B/P]],4,FALSE)</f>
        <v>#N/A</v>
      </c>
      <c r="AH290" s="1066" t="e">
        <v>#VALUE!</v>
      </c>
      <c r="AI290" s="1065" t="e">
        <f>TB_prev[[#This Row],[Synt]]&amp;TB_prev[[#This Row],[Line No. manual corr.]]</f>
        <v>#VALUE!</v>
      </c>
      <c r="AJ290" s="1064">
        <f t="shared" si="21"/>
        <v>0</v>
      </c>
      <c r="AK290" s="1064">
        <f t="shared" si="22"/>
        <v>0</v>
      </c>
      <c r="AL290" s="1064">
        <f t="shared" si="23"/>
        <v>0</v>
      </c>
      <c r="AM290" s="1064">
        <f t="shared" si="24"/>
        <v>0</v>
      </c>
      <c r="AN290" s="1064"/>
      <c r="AO290" s="1064">
        <f>TB_prev[[#This Row],[Closing balance]]+TB_prev[[#This Row],[Rounding]]</f>
        <v>0</v>
      </c>
    </row>
    <row r="291" spans="30:41" x14ac:dyDescent="0.25">
      <c r="AD291" s="1067" t="str">
        <f t="shared" si="20"/>
        <v/>
      </c>
      <c r="AE291" s="1063" t="str">
        <f>IF(ISNA(VLOOKUP(TB_prev[[#This Row],[Synt]],GL[[#Headers],[#Data],[subtotal label]],1,FALSE)),0,(VLOOKUP(TB_prev[[#This Row],[Synt]],GL[[#Headers],[#Data],[subtotal label]],1,FALSE)))</f>
        <v/>
      </c>
      <c r="AF291" s="1063" t="e">
        <f>IF((TB_prev[[#This Row],[Synt]]-TB_prev[[#This Row],[Subtotal Y/N]])=0,0,VLOOKUP(TB_prev[[#This Row],[Synt]],GL[[Account]:[Line]],3,FALSE))</f>
        <v>#VALUE!</v>
      </c>
      <c r="AG291" s="1063" t="e">
        <f>VLOOKUP(TB_prev[[#This Row],[Synt]],GL[[Account]:[B/P]],4,FALSE)</f>
        <v>#N/A</v>
      </c>
      <c r="AH291" s="1066" t="e">
        <v>#VALUE!</v>
      </c>
      <c r="AI291" s="1065" t="e">
        <f>TB_prev[[#This Row],[Synt]]&amp;TB_prev[[#This Row],[Line No. manual corr.]]</f>
        <v>#VALUE!</v>
      </c>
      <c r="AJ291" s="1064">
        <f t="shared" si="21"/>
        <v>0</v>
      </c>
      <c r="AK291" s="1064">
        <f t="shared" si="22"/>
        <v>0</v>
      </c>
      <c r="AL291" s="1064">
        <f t="shared" si="23"/>
        <v>0</v>
      </c>
      <c r="AM291" s="1064">
        <f t="shared" si="24"/>
        <v>0</v>
      </c>
      <c r="AN291" s="1064"/>
      <c r="AO291" s="1064">
        <f>TB_prev[[#This Row],[Closing balance]]+TB_prev[[#This Row],[Rounding]]</f>
        <v>0</v>
      </c>
    </row>
    <row r="292" spans="30:41" x14ac:dyDescent="0.25">
      <c r="AD292" s="1067" t="str">
        <f t="shared" si="20"/>
        <v/>
      </c>
      <c r="AE292" s="1063" t="str">
        <f>IF(ISNA(VLOOKUP(TB_prev[[#This Row],[Synt]],GL[[#Headers],[#Data],[subtotal label]],1,FALSE)),0,(VLOOKUP(TB_prev[[#This Row],[Synt]],GL[[#Headers],[#Data],[subtotal label]],1,FALSE)))</f>
        <v/>
      </c>
      <c r="AF292" s="1063" t="e">
        <f>IF((TB_prev[[#This Row],[Synt]]-TB_prev[[#This Row],[Subtotal Y/N]])=0,0,VLOOKUP(TB_prev[[#This Row],[Synt]],GL[[Account]:[Line]],3,FALSE))</f>
        <v>#VALUE!</v>
      </c>
      <c r="AG292" s="1063" t="e">
        <f>VLOOKUP(TB_prev[[#This Row],[Synt]],GL[[Account]:[B/P]],4,FALSE)</f>
        <v>#N/A</v>
      </c>
      <c r="AH292" s="1066" t="e">
        <v>#VALUE!</v>
      </c>
      <c r="AI292" s="1065" t="e">
        <f>TB_prev[[#This Row],[Synt]]&amp;TB_prev[[#This Row],[Line No. manual corr.]]</f>
        <v>#VALUE!</v>
      </c>
      <c r="AJ292" s="1064">
        <f t="shared" si="21"/>
        <v>0</v>
      </c>
      <c r="AK292" s="1064">
        <f t="shared" si="22"/>
        <v>0</v>
      </c>
      <c r="AL292" s="1064">
        <f t="shared" si="23"/>
        <v>0</v>
      </c>
      <c r="AM292" s="1064">
        <f t="shared" si="24"/>
        <v>0</v>
      </c>
      <c r="AN292" s="1064"/>
      <c r="AO292" s="1064">
        <f>TB_prev[[#This Row],[Closing balance]]+TB_prev[[#This Row],[Rounding]]</f>
        <v>0</v>
      </c>
    </row>
    <row r="293" spans="30:41" x14ac:dyDescent="0.25">
      <c r="AD293" s="1067" t="str">
        <f t="shared" si="20"/>
        <v/>
      </c>
      <c r="AE293" s="1063" t="str">
        <f>IF(ISNA(VLOOKUP(TB_prev[[#This Row],[Synt]],GL[[#Headers],[#Data],[subtotal label]],1,FALSE)),0,(VLOOKUP(TB_prev[[#This Row],[Synt]],GL[[#Headers],[#Data],[subtotal label]],1,FALSE)))</f>
        <v/>
      </c>
      <c r="AF293" s="1063" t="e">
        <f>IF((TB_prev[[#This Row],[Synt]]-TB_prev[[#This Row],[Subtotal Y/N]])=0,0,VLOOKUP(TB_prev[[#This Row],[Synt]],GL[[Account]:[Line]],3,FALSE))</f>
        <v>#VALUE!</v>
      </c>
      <c r="AG293" s="1063" t="e">
        <f>VLOOKUP(TB_prev[[#This Row],[Synt]],GL[[Account]:[B/P]],4,FALSE)</f>
        <v>#N/A</v>
      </c>
      <c r="AH293" s="1066" t="e">
        <v>#VALUE!</v>
      </c>
      <c r="AI293" s="1065" t="e">
        <f>TB_prev[[#This Row],[Synt]]&amp;TB_prev[[#This Row],[Line No. manual corr.]]</f>
        <v>#VALUE!</v>
      </c>
      <c r="AJ293" s="1064">
        <f t="shared" si="21"/>
        <v>0</v>
      </c>
      <c r="AK293" s="1064">
        <f t="shared" si="22"/>
        <v>0</v>
      </c>
      <c r="AL293" s="1064">
        <f t="shared" si="23"/>
        <v>0</v>
      </c>
      <c r="AM293" s="1064">
        <f t="shared" si="24"/>
        <v>0</v>
      </c>
      <c r="AN293" s="1064"/>
      <c r="AO293" s="1064">
        <f>TB_prev[[#This Row],[Closing balance]]+TB_prev[[#This Row],[Rounding]]</f>
        <v>0</v>
      </c>
    </row>
    <row r="294" spans="30:41" x14ac:dyDescent="0.25">
      <c r="AD294" s="1067" t="str">
        <f t="shared" si="20"/>
        <v/>
      </c>
      <c r="AE294" s="1063" t="str">
        <f>IF(ISNA(VLOOKUP(TB_prev[[#This Row],[Synt]],GL[[#Headers],[#Data],[subtotal label]],1,FALSE)),0,(VLOOKUP(TB_prev[[#This Row],[Synt]],GL[[#Headers],[#Data],[subtotal label]],1,FALSE)))</f>
        <v/>
      </c>
      <c r="AF294" s="1063" t="e">
        <f>IF((TB_prev[[#This Row],[Synt]]-TB_prev[[#This Row],[Subtotal Y/N]])=0,0,VLOOKUP(TB_prev[[#This Row],[Synt]],GL[[Account]:[Line]],3,FALSE))</f>
        <v>#VALUE!</v>
      </c>
      <c r="AG294" s="1063" t="e">
        <f>VLOOKUP(TB_prev[[#This Row],[Synt]],GL[[Account]:[B/P]],4,FALSE)</f>
        <v>#N/A</v>
      </c>
      <c r="AH294" s="1066" t="e">
        <v>#VALUE!</v>
      </c>
      <c r="AI294" s="1065" t="e">
        <f>TB_prev[[#This Row],[Synt]]&amp;TB_prev[[#This Row],[Line No. manual corr.]]</f>
        <v>#VALUE!</v>
      </c>
      <c r="AJ294" s="1064">
        <f t="shared" si="21"/>
        <v>0</v>
      </c>
      <c r="AK294" s="1064">
        <f t="shared" si="22"/>
        <v>0</v>
      </c>
      <c r="AL294" s="1064">
        <f t="shared" si="23"/>
        <v>0</v>
      </c>
      <c r="AM294" s="1064">
        <f t="shared" si="24"/>
        <v>0</v>
      </c>
      <c r="AN294" s="1064"/>
      <c r="AO294" s="1064">
        <f>TB_prev[[#This Row],[Closing balance]]+TB_prev[[#This Row],[Rounding]]</f>
        <v>0</v>
      </c>
    </row>
    <row r="295" spans="30:41" x14ac:dyDescent="0.25">
      <c r="AD295" s="1067" t="str">
        <f t="shared" si="20"/>
        <v/>
      </c>
      <c r="AE295" s="1063" t="str">
        <f>IF(ISNA(VLOOKUP(TB_prev[[#This Row],[Synt]],GL[[#Headers],[#Data],[subtotal label]],1,FALSE)),0,(VLOOKUP(TB_prev[[#This Row],[Synt]],GL[[#Headers],[#Data],[subtotal label]],1,FALSE)))</f>
        <v/>
      </c>
      <c r="AF295" s="1063" t="e">
        <f>IF((TB_prev[[#This Row],[Synt]]-TB_prev[[#This Row],[Subtotal Y/N]])=0,0,VLOOKUP(TB_prev[[#This Row],[Synt]],GL[[Account]:[Line]],3,FALSE))</f>
        <v>#VALUE!</v>
      </c>
      <c r="AG295" s="1063" t="e">
        <f>VLOOKUP(TB_prev[[#This Row],[Synt]],GL[[Account]:[B/P]],4,FALSE)</f>
        <v>#N/A</v>
      </c>
      <c r="AH295" s="1066" t="e">
        <v>#VALUE!</v>
      </c>
      <c r="AI295" s="1065" t="e">
        <f>TB_prev[[#This Row],[Synt]]&amp;TB_prev[[#This Row],[Line No. manual corr.]]</f>
        <v>#VALUE!</v>
      </c>
      <c r="AJ295" s="1064">
        <f t="shared" si="21"/>
        <v>0</v>
      </c>
      <c r="AK295" s="1064">
        <f t="shared" si="22"/>
        <v>0</v>
      </c>
      <c r="AL295" s="1064">
        <f t="shared" si="23"/>
        <v>0</v>
      </c>
      <c r="AM295" s="1064">
        <f t="shared" si="24"/>
        <v>0</v>
      </c>
      <c r="AN295" s="1064"/>
      <c r="AO295" s="1064">
        <f>TB_prev[[#This Row],[Closing balance]]+TB_prev[[#This Row],[Rounding]]</f>
        <v>0</v>
      </c>
    </row>
    <row r="296" spans="30:41" x14ac:dyDescent="0.25">
      <c r="AD296" s="1067" t="str">
        <f t="shared" si="20"/>
        <v/>
      </c>
      <c r="AE296" s="1063" t="str">
        <f>IF(ISNA(VLOOKUP(TB_prev[[#This Row],[Synt]],GL[[#Headers],[#Data],[subtotal label]],1,FALSE)),0,(VLOOKUP(TB_prev[[#This Row],[Synt]],GL[[#Headers],[#Data],[subtotal label]],1,FALSE)))</f>
        <v/>
      </c>
      <c r="AF296" s="1063" t="e">
        <f>IF((TB_prev[[#This Row],[Synt]]-TB_prev[[#This Row],[Subtotal Y/N]])=0,0,VLOOKUP(TB_prev[[#This Row],[Synt]],GL[[Account]:[Line]],3,FALSE))</f>
        <v>#VALUE!</v>
      </c>
      <c r="AG296" s="1063" t="e">
        <f>VLOOKUP(TB_prev[[#This Row],[Synt]],GL[[Account]:[B/P]],4,FALSE)</f>
        <v>#N/A</v>
      </c>
      <c r="AH296" s="1066" t="e">
        <v>#VALUE!</v>
      </c>
      <c r="AI296" s="1065" t="e">
        <f>TB_prev[[#This Row],[Synt]]&amp;TB_prev[[#This Row],[Line No. manual corr.]]</f>
        <v>#VALUE!</v>
      </c>
      <c r="AJ296" s="1064">
        <f t="shared" si="21"/>
        <v>0</v>
      </c>
      <c r="AK296" s="1064">
        <f t="shared" si="22"/>
        <v>0</v>
      </c>
      <c r="AL296" s="1064">
        <f t="shared" si="23"/>
        <v>0</v>
      </c>
      <c r="AM296" s="1064">
        <f t="shared" si="24"/>
        <v>0</v>
      </c>
      <c r="AN296" s="1064"/>
      <c r="AO296" s="1064">
        <f>TB_prev[[#This Row],[Closing balance]]+TB_prev[[#This Row],[Rounding]]</f>
        <v>0</v>
      </c>
    </row>
    <row r="297" spans="30:41" x14ac:dyDescent="0.25">
      <c r="AD297" s="1067" t="str">
        <f t="shared" si="20"/>
        <v/>
      </c>
      <c r="AE297" s="1063" t="str">
        <f>IF(ISNA(VLOOKUP(TB_prev[[#This Row],[Synt]],GL[[#Headers],[#Data],[subtotal label]],1,FALSE)),0,(VLOOKUP(TB_prev[[#This Row],[Synt]],GL[[#Headers],[#Data],[subtotal label]],1,FALSE)))</f>
        <v/>
      </c>
      <c r="AF297" s="1063" t="e">
        <f>IF((TB_prev[[#This Row],[Synt]]-TB_prev[[#This Row],[Subtotal Y/N]])=0,0,VLOOKUP(TB_prev[[#This Row],[Synt]],GL[[Account]:[Line]],3,FALSE))</f>
        <v>#VALUE!</v>
      </c>
      <c r="AG297" s="1063" t="e">
        <f>VLOOKUP(TB_prev[[#This Row],[Synt]],GL[[Account]:[B/P]],4,FALSE)</f>
        <v>#N/A</v>
      </c>
      <c r="AH297" s="1066" t="e">
        <v>#VALUE!</v>
      </c>
      <c r="AI297" s="1065" t="e">
        <f>TB_prev[[#This Row],[Synt]]&amp;TB_prev[[#This Row],[Line No. manual corr.]]</f>
        <v>#VALUE!</v>
      </c>
      <c r="AJ297" s="1064">
        <f t="shared" si="21"/>
        <v>0</v>
      </c>
      <c r="AK297" s="1064">
        <f t="shared" si="22"/>
        <v>0</v>
      </c>
      <c r="AL297" s="1064">
        <f t="shared" si="23"/>
        <v>0</v>
      </c>
      <c r="AM297" s="1064">
        <f t="shared" si="24"/>
        <v>0</v>
      </c>
      <c r="AN297" s="1064"/>
      <c r="AO297" s="1064">
        <f>TB_prev[[#This Row],[Closing balance]]+TB_prev[[#This Row],[Rounding]]</f>
        <v>0</v>
      </c>
    </row>
    <row r="298" spans="30:41" x14ac:dyDescent="0.25">
      <c r="AD298" s="1067" t="str">
        <f t="shared" si="20"/>
        <v/>
      </c>
      <c r="AE298" s="1063" t="str">
        <f>IF(ISNA(VLOOKUP(TB_prev[[#This Row],[Synt]],GL[[#Headers],[#Data],[subtotal label]],1,FALSE)),0,(VLOOKUP(TB_prev[[#This Row],[Synt]],GL[[#Headers],[#Data],[subtotal label]],1,FALSE)))</f>
        <v/>
      </c>
      <c r="AF298" s="1063" t="e">
        <f>IF((TB_prev[[#This Row],[Synt]]-TB_prev[[#This Row],[Subtotal Y/N]])=0,0,VLOOKUP(TB_prev[[#This Row],[Synt]],GL[[Account]:[Line]],3,FALSE))</f>
        <v>#VALUE!</v>
      </c>
      <c r="AG298" s="1063" t="e">
        <f>VLOOKUP(TB_prev[[#This Row],[Synt]],GL[[Account]:[B/P]],4,FALSE)</f>
        <v>#N/A</v>
      </c>
      <c r="AH298" s="1066" t="e">
        <v>#VALUE!</v>
      </c>
      <c r="AI298" s="1065" t="e">
        <f>TB_prev[[#This Row],[Synt]]&amp;TB_prev[[#This Row],[Line No. manual corr.]]</f>
        <v>#VALUE!</v>
      </c>
      <c r="AJ298" s="1064">
        <f t="shared" si="21"/>
        <v>0</v>
      </c>
      <c r="AK298" s="1064">
        <f t="shared" si="22"/>
        <v>0</v>
      </c>
      <c r="AL298" s="1064">
        <f t="shared" si="23"/>
        <v>0</v>
      </c>
      <c r="AM298" s="1064">
        <f t="shared" si="24"/>
        <v>0</v>
      </c>
      <c r="AN298" s="1064"/>
      <c r="AO298" s="1064">
        <f>TB_prev[[#This Row],[Closing balance]]+TB_prev[[#This Row],[Rounding]]</f>
        <v>0</v>
      </c>
    </row>
    <row r="299" spans="30:41" x14ac:dyDescent="0.25">
      <c r="AD299" s="1067" t="str">
        <f t="shared" si="20"/>
        <v/>
      </c>
      <c r="AE299" s="1063" t="str">
        <f>IF(ISNA(VLOOKUP(TB_prev[[#This Row],[Synt]],GL[[#Headers],[#Data],[subtotal label]],1,FALSE)),0,(VLOOKUP(TB_prev[[#This Row],[Synt]],GL[[#Headers],[#Data],[subtotal label]],1,FALSE)))</f>
        <v/>
      </c>
      <c r="AF299" s="1063" t="e">
        <f>IF((TB_prev[[#This Row],[Synt]]-TB_prev[[#This Row],[Subtotal Y/N]])=0,0,VLOOKUP(TB_prev[[#This Row],[Synt]],GL[[Account]:[Line]],3,FALSE))</f>
        <v>#VALUE!</v>
      </c>
      <c r="AG299" s="1063" t="e">
        <f>VLOOKUP(TB_prev[[#This Row],[Synt]],GL[[Account]:[B/P]],4,FALSE)</f>
        <v>#N/A</v>
      </c>
      <c r="AH299" s="1066" t="e">
        <v>#VALUE!</v>
      </c>
      <c r="AI299" s="1065" t="e">
        <f>TB_prev[[#This Row],[Synt]]&amp;TB_prev[[#This Row],[Line No. manual corr.]]</f>
        <v>#VALUE!</v>
      </c>
      <c r="AJ299" s="1064">
        <f t="shared" si="21"/>
        <v>0</v>
      </c>
      <c r="AK299" s="1064">
        <f t="shared" si="22"/>
        <v>0</v>
      </c>
      <c r="AL299" s="1064">
        <f t="shared" si="23"/>
        <v>0</v>
      </c>
      <c r="AM299" s="1064">
        <f t="shared" si="24"/>
        <v>0</v>
      </c>
      <c r="AN299" s="1064"/>
      <c r="AO299" s="1064">
        <f>TB_prev[[#This Row],[Closing balance]]+TB_prev[[#This Row],[Rounding]]</f>
        <v>0</v>
      </c>
    </row>
    <row r="300" spans="30:41" x14ac:dyDescent="0.25">
      <c r="AD300" s="1067" t="str">
        <f t="shared" si="20"/>
        <v/>
      </c>
      <c r="AE300" s="1063" t="str">
        <f>IF(ISNA(VLOOKUP(TB_prev[[#This Row],[Synt]],GL[[#Headers],[#Data],[subtotal label]],1,FALSE)),0,(VLOOKUP(TB_prev[[#This Row],[Synt]],GL[[#Headers],[#Data],[subtotal label]],1,FALSE)))</f>
        <v/>
      </c>
      <c r="AF300" s="1063" t="e">
        <f>IF((TB_prev[[#This Row],[Synt]]-TB_prev[[#This Row],[Subtotal Y/N]])=0,0,VLOOKUP(TB_prev[[#This Row],[Synt]],GL[[Account]:[Line]],3,FALSE))</f>
        <v>#VALUE!</v>
      </c>
      <c r="AG300" s="1063" t="e">
        <f>VLOOKUP(TB_prev[[#This Row],[Synt]],GL[[Account]:[B/P]],4,FALSE)</f>
        <v>#N/A</v>
      </c>
      <c r="AH300" s="1066" t="e">
        <v>#VALUE!</v>
      </c>
      <c r="AI300" s="1065" t="e">
        <f>TB_prev[[#This Row],[Synt]]&amp;TB_prev[[#This Row],[Line No. manual corr.]]</f>
        <v>#VALUE!</v>
      </c>
      <c r="AJ300" s="1064">
        <f t="shared" si="21"/>
        <v>0</v>
      </c>
      <c r="AK300" s="1064">
        <f t="shared" si="22"/>
        <v>0</v>
      </c>
      <c r="AL300" s="1064">
        <f t="shared" si="23"/>
        <v>0</v>
      </c>
      <c r="AM300" s="1064">
        <f t="shared" si="24"/>
        <v>0</v>
      </c>
      <c r="AN300" s="1064"/>
      <c r="AO300" s="1064">
        <f>TB_prev[[#This Row],[Closing balance]]+TB_prev[[#This Row],[Rounding]]</f>
        <v>0</v>
      </c>
    </row>
    <row r="301" spans="30:41" x14ac:dyDescent="0.25">
      <c r="AD301" s="1067" t="str">
        <f t="shared" si="20"/>
        <v/>
      </c>
      <c r="AE301" s="1063" t="str">
        <f>IF(ISNA(VLOOKUP(TB_prev[[#This Row],[Synt]],GL[[#Headers],[#Data],[subtotal label]],1,FALSE)),0,(VLOOKUP(TB_prev[[#This Row],[Synt]],GL[[#Headers],[#Data],[subtotal label]],1,FALSE)))</f>
        <v/>
      </c>
      <c r="AF301" s="1063" t="e">
        <f>IF((TB_prev[[#This Row],[Synt]]-TB_prev[[#This Row],[Subtotal Y/N]])=0,0,VLOOKUP(TB_prev[[#This Row],[Synt]],GL[[Account]:[Line]],3,FALSE))</f>
        <v>#VALUE!</v>
      </c>
      <c r="AG301" s="1063" t="e">
        <f>VLOOKUP(TB_prev[[#This Row],[Synt]],GL[[Account]:[B/P]],4,FALSE)</f>
        <v>#N/A</v>
      </c>
      <c r="AH301" s="1066" t="e">
        <v>#VALUE!</v>
      </c>
      <c r="AI301" s="1065" t="e">
        <f>TB_prev[[#This Row],[Synt]]&amp;TB_prev[[#This Row],[Line No. manual corr.]]</f>
        <v>#VALUE!</v>
      </c>
      <c r="AJ301" s="1064">
        <f t="shared" si="21"/>
        <v>0</v>
      </c>
      <c r="AK301" s="1064">
        <f t="shared" si="22"/>
        <v>0</v>
      </c>
      <c r="AL301" s="1064">
        <f t="shared" si="23"/>
        <v>0</v>
      </c>
      <c r="AM301" s="1064">
        <f t="shared" si="24"/>
        <v>0</v>
      </c>
      <c r="AN301" s="1064"/>
      <c r="AO301" s="1064">
        <f>TB_prev[[#This Row],[Closing balance]]+TB_prev[[#This Row],[Rounding]]</f>
        <v>0</v>
      </c>
    </row>
    <row r="302" spans="30:41" x14ac:dyDescent="0.25">
      <c r="AD302" s="1067" t="str">
        <f t="shared" si="20"/>
        <v/>
      </c>
      <c r="AE302" s="1063" t="str">
        <f>IF(ISNA(VLOOKUP(TB_prev[[#This Row],[Synt]],GL[[#Headers],[#Data],[subtotal label]],1,FALSE)),0,(VLOOKUP(TB_prev[[#This Row],[Synt]],GL[[#Headers],[#Data],[subtotal label]],1,FALSE)))</f>
        <v/>
      </c>
      <c r="AF302" s="1063" t="e">
        <f>IF((TB_prev[[#This Row],[Synt]]-TB_prev[[#This Row],[Subtotal Y/N]])=0,0,VLOOKUP(TB_prev[[#This Row],[Synt]],GL[[Account]:[Line]],3,FALSE))</f>
        <v>#VALUE!</v>
      </c>
      <c r="AG302" s="1063" t="e">
        <f>VLOOKUP(TB_prev[[#This Row],[Synt]],GL[[Account]:[B/P]],4,FALSE)</f>
        <v>#N/A</v>
      </c>
      <c r="AH302" s="1066" t="e">
        <v>#VALUE!</v>
      </c>
      <c r="AI302" s="1065" t="e">
        <f>TB_prev[[#This Row],[Synt]]&amp;TB_prev[[#This Row],[Line No. manual corr.]]</f>
        <v>#VALUE!</v>
      </c>
      <c r="AJ302" s="1064">
        <f t="shared" si="21"/>
        <v>0</v>
      </c>
      <c r="AK302" s="1064">
        <f t="shared" si="22"/>
        <v>0</v>
      </c>
      <c r="AL302" s="1064">
        <f t="shared" si="23"/>
        <v>0</v>
      </c>
      <c r="AM302" s="1064">
        <f t="shared" si="24"/>
        <v>0</v>
      </c>
      <c r="AN302" s="1064"/>
      <c r="AO302" s="1064">
        <f>TB_prev[[#This Row],[Closing balance]]+TB_prev[[#This Row],[Rounding]]</f>
        <v>0</v>
      </c>
    </row>
    <row r="303" spans="30:41" x14ac:dyDescent="0.25">
      <c r="AD303" s="1067" t="str">
        <f t="shared" si="20"/>
        <v/>
      </c>
      <c r="AE303" s="1063" t="str">
        <f>IF(ISNA(VLOOKUP(TB_prev[[#This Row],[Synt]],GL[[#Headers],[#Data],[subtotal label]],1,FALSE)),0,(VLOOKUP(TB_prev[[#This Row],[Synt]],GL[[#Headers],[#Data],[subtotal label]],1,FALSE)))</f>
        <v/>
      </c>
      <c r="AF303" s="1063" t="e">
        <f>IF((TB_prev[[#This Row],[Synt]]-TB_prev[[#This Row],[Subtotal Y/N]])=0,0,VLOOKUP(TB_prev[[#This Row],[Synt]],GL[[Account]:[Line]],3,FALSE))</f>
        <v>#VALUE!</v>
      </c>
      <c r="AG303" s="1063" t="e">
        <f>VLOOKUP(TB_prev[[#This Row],[Synt]],GL[[Account]:[B/P]],4,FALSE)</f>
        <v>#N/A</v>
      </c>
      <c r="AH303" s="1066" t="e">
        <v>#VALUE!</v>
      </c>
      <c r="AI303" s="1065" t="e">
        <f>TB_prev[[#This Row],[Synt]]&amp;TB_prev[[#This Row],[Line No. manual corr.]]</f>
        <v>#VALUE!</v>
      </c>
      <c r="AJ303" s="1064">
        <f t="shared" si="21"/>
        <v>0</v>
      </c>
      <c r="AK303" s="1064">
        <f t="shared" si="22"/>
        <v>0</v>
      </c>
      <c r="AL303" s="1064">
        <f t="shared" si="23"/>
        <v>0</v>
      </c>
      <c r="AM303" s="1064">
        <f t="shared" si="24"/>
        <v>0</v>
      </c>
      <c r="AN303" s="1064"/>
      <c r="AO303" s="1064">
        <f>TB_prev[[#This Row],[Closing balance]]+TB_prev[[#This Row],[Rounding]]</f>
        <v>0</v>
      </c>
    </row>
    <row r="304" spans="30:41" x14ac:dyDescent="0.25">
      <c r="AD304" s="1067" t="str">
        <f t="shared" si="20"/>
        <v/>
      </c>
      <c r="AE304" s="1063" t="str">
        <f>IF(ISNA(VLOOKUP(TB_prev[[#This Row],[Synt]],GL[[#Headers],[#Data],[subtotal label]],1,FALSE)),0,(VLOOKUP(TB_prev[[#This Row],[Synt]],GL[[#Headers],[#Data],[subtotal label]],1,FALSE)))</f>
        <v/>
      </c>
      <c r="AF304" s="1063" t="e">
        <f>IF((TB_prev[[#This Row],[Synt]]-TB_prev[[#This Row],[Subtotal Y/N]])=0,0,VLOOKUP(TB_prev[[#This Row],[Synt]],GL[[Account]:[Line]],3,FALSE))</f>
        <v>#VALUE!</v>
      </c>
      <c r="AG304" s="1063" t="e">
        <f>VLOOKUP(TB_prev[[#This Row],[Synt]],GL[[Account]:[B/P]],4,FALSE)</f>
        <v>#N/A</v>
      </c>
      <c r="AH304" s="1066" t="e">
        <v>#VALUE!</v>
      </c>
      <c r="AI304" s="1065" t="e">
        <f>TB_prev[[#This Row],[Synt]]&amp;TB_prev[[#This Row],[Line No. manual corr.]]</f>
        <v>#VALUE!</v>
      </c>
      <c r="AJ304" s="1064">
        <f t="shared" si="21"/>
        <v>0</v>
      </c>
      <c r="AK304" s="1064">
        <f t="shared" si="22"/>
        <v>0</v>
      </c>
      <c r="AL304" s="1064">
        <f t="shared" si="23"/>
        <v>0</v>
      </c>
      <c r="AM304" s="1064">
        <f t="shared" si="24"/>
        <v>0</v>
      </c>
      <c r="AN304" s="1064"/>
      <c r="AO304" s="1064">
        <f>TB_prev[[#This Row],[Closing balance]]+TB_prev[[#This Row],[Rounding]]</f>
        <v>0</v>
      </c>
    </row>
    <row r="305" spans="30:41" x14ac:dyDescent="0.25">
      <c r="AD305" s="1067" t="str">
        <f t="shared" si="20"/>
        <v/>
      </c>
      <c r="AE305" s="1063" t="str">
        <f>IF(ISNA(VLOOKUP(TB_prev[[#This Row],[Synt]],GL[[#Headers],[#Data],[subtotal label]],1,FALSE)),0,(VLOOKUP(TB_prev[[#This Row],[Synt]],GL[[#Headers],[#Data],[subtotal label]],1,FALSE)))</f>
        <v/>
      </c>
      <c r="AF305" s="1063" t="e">
        <f>IF((TB_prev[[#This Row],[Synt]]-TB_prev[[#This Row],[Subtotal Y/N]])=0,0,VLOOKUP(TB_prev[[#This Row],[Synt]],GL[[Account]:[Line]],3,FALSE))</f>
        <v>#VALUE!</v>
      </c>
      <c r="AG305" s="1063" t="e">
        <f>VLOOKUP(TB_prev[[#This Row],[Synt]],GL[[Account]:[B/P]],4,FALSE)</f>
        <v>#N/A</v>
      </c>
      <c r="AH305" s="1066" t="e">
        <v>#VALUE!</v>
      </c>
      <c r="AI305" s="1065" t="e">
        <f>TB_prev[[#This Row],[Synt]]&amp;TB_prev[[#This Row],[Line No. manual corr.]]</f>
        <v>#VALUE!</v>
      </c>
      <c r="AJ305" s="1064">
        <f t="shared" si="21"/>
        <v>0</v>
      </c>
      <c r="AK305" s="1064">
        <f t="shared" si="22"/>
        <v>0</v>
      </c>
      <c r="AL305" s="1064">
        <f t="shared" si="23"/>
        <v>0</v>
      </c>
      <c r="AM305" s="1064">
        <f t="shared" si="24"/>
        <v>0</v>
      </c>
      <c r="AN305" s="1064"/>
      <c r="AO305" s="1064">
        <f>TB_prev[[#This Row],[Closing balance]]+TB_prev[[#This Row],[Rounding]]</f>
        <v>0</v>
      </c>
    </row>
    <row r="306" spans="30:41" x14ac:dyDescent="0.25">
      <c r="AD306" s="1067" t="str">
        <f t="shared" si="20"/>
        <v/>
      </c>
      <c r="AE306" s="1063" t="str">
        <f>IF(ISNA(VLOOKUP(TB_prev[[#This Row],[Synt]],GL[[#Headers],[#Data],[subtotal label]],1,FALSE)),0,(VLOOKUP(TB_prev[[#This Row],[Synt]],GL[[#Headers],[#Data],[subtotal label]],1,FALSE)))</f>
        <v/>
      </c>
      <c r="AF306" s="1063" t="e">
        <f>IF((TB_prev[[#This Row],[Synt]]-TB_prev[[#This Row],[Subtotal Y/N]])=0,0,VLOOKUP(TB_prev[[#This Row],[Synt]],GL[[Account]:[Line]],3,FALSE))</f>
        <v>#VALUE!</v>
      </c>
      <c r="AG306" s="1063" t="e">
        <f>VLOOKUP(TB_prev[[#This Row],[Synt]],GL[[Account]:[B/P]],4,FALSE)</f>
        <v>#N/A</v>
      </c>
      <c r="AH306" s="1066" t="e">
        <v>#VALUE!</v>
      </c>
      <c r="AI306" s="1065" t="e">
        <f>TB_prev[[#This Row],[Synt]]&amp;TB_prev[[#This Row],[Line No. manual corr.]]</f>
        <v>#VALUE!</v>
      </c>
      <c r="AJ306" s="1064">
        <f t="shared" si="21"/>
        <v>0</v>
      </c>
      <c r="AK306" s="1064">
        <f t="shared" si="22"/>
        <v>0</v>
      </c>
      <c r="AL306" s="1064">
        <f t="shared" si="23"/>
        <v>0</v>
      </c>
      <c r="AM306" s="1064">
        <f t="shared" si="24"/>
        <v>0</v>
      </c>
      <c r="AN306" s="1064"/>
      <c r="AO306" s="1064">
        <f>TB_prev[[#This Row],[Closing balance]]+TB_prev[[#This Row],[Rounding]]</f>
        <v>0</v>
      </c>
    </row>
    <row r="307" spans="30:41" x14ac:dyDescent="0.25">
      <c r="AD307" s="1067" t="str">
        <f t="shared" si="20"/>
        <v/>
      </c>
      <c r="AE307" s="1063" t="str">
        <f>IF(ISNA(VLOOKUP(TB_prev[[#This Row],[Synt]],GL[[#Headers],[#Data],[subtotal label]],1,FALSE)),0,(VLOOKUP(TB_prev[[#This Row],[Synt]],GL[[#Headers],[#Data],[subtotal label]],1,FALSE)))</f>
        <v/>
      </c>
      <c r="AF307" s="1063" t="e">
        <f>IF((TB_prev[[#This Row],[Synt]]-TB_prev[[#This Row],[Subtotal Y/N]])=0,0,VLOOKUP(TB_prev[[#This Row],[Synt]],GL[[Account]:[Line]],3,FALSE))</f>
        <v>#VALUE!</v>
      </c>
      <c r="AG307" s="1063" t="e">
        <f>VLOOKUP(TB_prev[[#This Row],[Synt]],GL[[Account]:[B/P]],4,FALSE)</f>
        <v>#N/A</v>
      </c>
      <c r="AH307" s="1066" t="e">
        <v>#VALUE!</v>
      </c>
      <c r="AI307" s="1065" t="e">
        <f>TB_prev[[#This Row],[Synt]]&amp;TB_prev[[#This Row],[Line No. manual corr.]]</f>
        <v>#VALUE!</v>
      </c>
      <c r="AJ307" s="1064">
        <f t="shared" si="21"/>
        <v>0</v>
      </c>
      <c r="AK307" s="1064">
        <f t="shared" si="22"/>
        <v>0</v>
      </c>
      <c r="AL307" s="1064">
        <f t="shared" si="23"/>
        <v>0</v>
      </c>
      <c r="AM307" s="1064">
        <f t="shared" si="24"/>
        <v>0</v>
      </c>
      <c r="AN307" s="1064"/>
      <c r="AO307" s="1064">
        <f>TB_prev[[#This Row],[Closing balance]]+TB_prev[[#This Row],[Rounding]]</f>
        <v>0</v>
      </c>
    </row>
    <row r="308" spans="30:41" x14ac:dyDescent="0.25">
      <c r="AD308" s="1067" t="str">
        <f t="shared" si="20"/>
        <v/>
      </c>
      <c r="AE308" s="1063" t="str">
        <f>IF(ISNA(VLOOKUP(TB_prev[[#This Row],[Synt]],GL[[#Headers],[#Data],[subtotal label]],1,FALSE)),0,(VLOOKUP(TB_prev[[#This Row],[Synt]],GL[[#Headers],[#Data],[subtotal label]],1,FALSE)))</f>
        <v/>
      </c>
      <c r="AF308" s="1063" t="e">
        <f>IF((TB_prev[[#This Row],[Synt]]-TB_prev[[#This Row],[Subtotal Y/N]])=0,0,VLOOKUP(TB_prev[[#This Row],[Synt]],GL[[Account]:[Line]],3,FALSE))</f>
        <v>#VALUE!</v>
      </c>
      <c r="AG308" s="1063" t="e">
        <f>VLOOKUP(TB_prev[[#This Row],[Synt]],GL[[Account]:[B/P]],4,FALSE)</f>
        <v>#N/A</v>
      </c>
      <c r="AH308" s="1066" t="e">
        <v>#VALUE!</v>
      </c>
      <c r="AI308" s="1065" t="e">
        <f>TB_prev[[#This Row],[Synt]]&amp;TB_prev[[#This Row],[Line No. manual corr.]]</f>
        <v>#VALUE!</v>
      </c>
      <c r="AJ308" s="1064">
        <f t="shared" si="21"/>
        <v>0</v>
      </c>
      <c r="AK308" s="1064">
        <f t="shared" si="22"/>
        <v>0</v>
      </c>
      <c r="AL308" s="1064">
        <f t="shared" si="23"/>
        <v>0</v>
      </c>
      <c r="AM308" s="1064">
        <f t="shared" si="24"/>
        <v>0</v>
      </c>
      <c r="AN308" s="1064"/>
      <c r="AO308" s="1064">
        <f>TB_prev[[#This Row],[Closing balance]]+TB_prev[[#This Row],[Rounding]]</f>
        <v>0</v>
      </c>
    </row>
    <row r="309" spans="30:41" x14ac:dyDescent="0.25">
      <c r="AD309" s="1067" t="str">
        <f t="shared" si="20"/>
        <v/>
      </c>
      <c r="AE309" s="1063" t="str">
        <f>IF(ISNA(VLOOKUP(TB_prev[[#This Row],[Synt]],GL[[#Headers],[#Data],[subtotal label]],1,FALSE)),0,(VLOOKUP(TB_prev[[#This Row],[Synt]],GL[[#Headers],[#Data],[subtotal label]],1,FALSE)))</f>
        <v/>
      </c>
      <c r="AF309" s="1063" t="e">
        <f>IF((TB_prev[[#This Row],[Synt]]-TB_prev[[#This Row],[Subtotal Y/N]])=0,0,VLOOKUP(TB_prev[[#This Row],[Synt]],GL[[Account]:[Line]],3,FALSE))</f>
        <v>#VALUE!</v>
      </c>
      <c r="AG309" s="1063" t="e">
        <f>VLOOKUP(TB_prev[[#This Row],[Synt]],GL[[Account]:[B/P]],4,FALSE)</f>
        <v>#N/A</v>
      </c>
      <c r="AH309" s="1066" t="e">
        <v>#VALUE!</v>
      </c>
      <c r="AI309" s="1065" t="e">
        <f>TB_prev[[#This Row],[Synt]]&amp;TB_prev[[#This Row],[Line No. manual corr.]]</f>
        <v>#VALUE!</v>
      </c>
      <c r="AJ309" s="1064">
        <f t="shared" si="21"/>
        <v>0</v>
      </c>
      <c r="AK309" s="1064">
        <f t="shared" si="22"/>
        <v>0</v>
      </c>
      <c r="AL309" s="1064">
        <f t="shared" si="23"/>
        <v>0</v>
      </c>
      <c r="AM309" s="1064">
        <f t="shared" si="24"/>
        <v>0</v>
      </c>
      <c r="AN309" s="1064"/>
      <c r="AO309" s="1064">
        <f>TB_prev[[#This Row],[Closing balance]]+TB_prev[[#This Row],[Rounding]]</f>
        <v>0</v>
      </c>
    </row>
    <row r="310" spans="30:41" x14ac:dyDescent="0.25">
      <c r="AD310" s="1067" t="str">
        <f t="shared" si="20"/>
        <v/>
      </c>
      <c r="AE310" s="1063" t="str">
        <f>IF(ISNA(VLOOKUP(TB_prev[[#This Row],[Synt]],GL[[#Headers],[#Data],[subtotal label]],1,FALSE)),0,(VLOOKUP(TB_prev[[#This Row],[Synt]],GL[[#Headers],[#Data],[subtotal label]],1,FALSE)))</f>
        <v/>
      </c>
      <c r="AF310" s="1063" t="e">
        <f>IF((TB_prev[[#This Row],[Synt]]-TB_prev[[#This Row],[Subtotal Y/N]])=0,0,VLOOKUP(TB_prev[[#This Row],[Synt]],GL[[Account]:[Line]],3,FALSE))</f>
        <v>#VALUE!</v>
      </c>
      <c r="AG310" s="1063" t="e">
        <f>VLOOKUP(TB_prev[[#This Row],[Synt]],GL[[Account]:[B/P]],4,FALSE)</f>
        <v>#N/A</v>
      </c>
      <c r="AH310" s="1066" t="e">
        <v>#VALUE!</v>
      </c>
      <c r="AI310" s="1065" t="e">
        <f>TB_prev[[#This Row],[Synt]]&amp;TB_prev[[#This Row],[Line No. manual corr.]]</f>
        <v>#VALUE!</v>
      </c>
      <c r="AJ310" s="1064">
        <f t="shared" si="21"/>
        <v>0</v>
      </c>
      <c r="AK310" s="1064">
        <f t="shared" si="22"/>
        <v>0</v>
      </c>
      <c r="AL310" s="1064">
        <f t="shared" si="23"/>
        <v>0</v>
      </c>
      <c r="AM310" s="1064">
        <f t="shared" si="24"/>
        <v>0</v>
      </c>
      <c r="AN310" s="1064"/>
      <c r="AO310" s="1064">
        <f>TB_prev[[#This Row],[Closing balance]]+TB_prev[[#This Row],[Rounding]]</f>
        <v>0</v>
      </c>
    </row>
    <row r="311" spans="30:41" x14ac:dyDescent="0.25">
      <c r="AD311" s="1067" t="str">
        <f t="shared" si="20"/>
        <v/>
      </c>
      <c r="AE311" s="1063" t="str">
        <f>IF(ISNA(VLOOKUP(TB_prev[[#This Row],[Synt]],GL[[#Headers],[#Data],[subtotal label]],1,FALSE)),0,(VLOOKUP(TB_prev[[#This Row],[Synt]],GL[[#Headers],[#Data],[subtotal label]],1,FALSE)))</f>
        <v/>
      </c>
      <c r="AF311" s="1063" t="e">
        <f>IF((TB_prev[[#This Row],[Synt]]-TB_prev[[#This Row],[Subtotal Y/N]])=0,0,VLOOKUP(TB_prev[[#This Row],[Synt]],GL[[Account]:[Line]],3,FALSE))</f>
        <v>#VALUE!</v>
      </c>
      <c r="AG311" s="1063" t="e">
        <f>VLOOKUP(TB_prev[[#This Row],[Synt]],GL[[Account]:[B/P]],4,FALSE)</f>
        <v>#N/A</v>
      </c>
      <c r="AH311" s="1066" t="e">
        <v>#VALUE!</v>
      </c>
      <c r="AI311" s="1065" t="e">
        <f>TB_prev[[#This Row],[Synt]]&amp;TB_prev[[#This Row],[Line No. manual corr.]]</f>
        <v>#VALUE!</v>
      </c>
      <c r="AJ311" s="1064">
        <f t="shared" si="21"/>
        <v>0</v>
      </c>
      <c r="AK311" s="1064">
        <f t="shared" si="22"/>
        <v>0</v>
      </c>
      <c r="AL311" s="1064">
        <f t="shared" si="23"/>
        <v>0</v>
      </c>
      <c r="AM311" s="1064">
        <f t="shared" si="24"/>
        <v>0</v>
      </c>
      <c r="AN311" s="1064"/>
      <c r="AO311" s="1064">
        <f>TB_prev[[#This Row],[Closing balance]]+TB_prev[[#This Row],[Rounding]]</f>
        <v>0</v>
      </c>
    </row>
    <row r="312" spans="30:41" x14ac:dyDescent="0.25">
      <c r="AD312" s="1067" t="str">
        <f t="shared" si="20"/>
        <v/>
      </c>
      <c r="AE312" s="1063" t="str">
        <f>IF(ISNA(VLOOKUP(TB_prev[[#This Row],[Synt]],GL[[#Headers],[#Data],[subtotal label]],1,FALSE)),0,(VLOOKUP(TB_prev[[#This Row],[Synt]],GL[[#Headers],[#Data],[subtotal label]],1,FALSE)))</f>
        <v/>
      </c>
      <c r="AF312" s="1063" t="e">
        <f>IF((TB_prev[[#This Row],[Synt]]-TB_prev[[#This Row],[Subtotal Y/N]])=0,0,VLOOKUP(TB_prev[[#This Row],[Synt]],GL[[Account]:[Line]],3,FALSE))</f>
        <v>#VALUE!</v>
      </c>
      <c r="AG312" s="1063" t="e">
        <f>VLOOKUP(TB_prev[[#This Row],[Synt]],GL[[Account]:[B/P]],4,FALSE)</f>
        <v>#N/A</v>
      </c>
      <c r="AH312" s="1066" t="e">
        <v>#VALUE!</v>
      </c>
      <c r="AI312" s="1065" t="e">
        <f>TB_prev[[#This Row],[Synt]]&amp;TB_prev[[#This Row],[Line No. manual corr.]]</f>
        <v>#VALUE!</v>
      </c>
      <c r="AJ312" s="1064">
        <f t="shared" si="21"/>
        <v>0</v>
      </c>
      <c r="AK312" s="1064">
        <f t="shared" si="22"/>
        <v>0</v>
      </c>
      <c r="AL312" s="1064">
        <f t="shared" si="23"/>
        <v>0</v>
      </c>
      <c r="AM312" s="1064">
        <f t="shared" si="24"/>
        <v>0</v>
      </c>
      <c r="AN312" s="1064"/>
      <c r="AO312" s="1064">
        <f>TB_prev[[#This Row],[Closing balance]]+TB_prev[[#This Row],[Rounding]]</f>
        <v>0</v>
      </c>
    </row>
    <row r="313" spans="30:41" x14ac:dyDescent="0.25">
      <c r="AD313" s="1067" t="str">
        <f t="shared" si="20"/>
        <v/>
      </c>
      <c r="AE313" s="1063" t="str">
        <f>IF(ISNA(VLOOKUP(TB_prev[[#This Row],[Synt]],GL[[#Headers],[#Data],[subtotal label]],1,FALSE)),0,(VLOOKUP(TB_prev[[#This Row],[Synt]],GL[[#Headers],[#Data],[subtotal label]],1,FALSE)))</f>
        <v/>
      </c>
      <c r="AF313" s="1063" t="e">
        <f>IF((TB_prev[[#This Row],[Synt]]-TB_prev[[#This Row],[Subtotal Y/N]])=0,0,VLOOKUP(TB_prev[[#This Row],[Synt]],GL[[Account]:[Line]],3,FALSE))</f>
        <v>#VALUE!</v>
      </c>
      <c r="AG313" s="1063" t="e">
        <f>VLOOKUP(TB_prev[[#This Row],[Synt]],GL[[Account]:[B/P]],4,FALSE)</f>
        <v>#N/A</v>
      </c>
      <c r="AH313" s="1066" t="e">
        <v>#VALUE!</v>
      </c>
      <c r="AI313" s="1065" t="e">
        <f>TB_prev[[#This Row],[Synt]]&amp;TB_prev[[#This Row],[Line No. manual corr.]]</f>
        <v>#VALUE!</v>
      </c>
      <c r="AJ313" s="1064">
        <f t="shared" si="21"/>
        <v>0</v>
      </c>
      <c r="AK313" s="1064">
        <f t="shared" si="22"/>
        <v>0</v>
      </c>
      <c r="AL313" s="1064">
        <f t="shared" si="23"/>
        <v>0</v>
      </c>
      <c r="AM313" s="1064">
        <f t="shared" si="24"/>
        <v>0</v>
      </c>
      <c r="AN313" s="1064"/>
      <c r="AO313" s="1064">
        <f>TB_prev[[#This Row],[Closing balance]]+TB_prev[[#This Row],[Rounding]]</f>
        <v>0</v>
      </c>
    </row>
    <row r="314" spans="30:41" x14ac:dyDescent="0.25">
      <c r="AD314" s="1067" t="str">
        <f t="shared" si="20"/>
        <v/>
      </c>
      <c r="AE314" s="1063" t="str">
        <f>IF(ISNA(VLOOKUP(TB_prev[[#This Row],[Synt]],GL[[#Headers],[#Data],[subtotal label]],1,FALSE)),0,(VLOOKUP(TB_prev[[#This Row],[Synt]],GL[[#Headers],[#Data],[subtotal label]],1,FALSE)))</f>
        <v/>
      </c>
      <c r="AF314" s="1063" t="e">
        <f>IF((TB_prev[[#This Row],[Synt]]-TB_prev[[#This Row],[Subtotal Y/N]])=0,0,VLOOKUP(TB_prev[[#This Row],[Synt]],GL[[Account]:[Line]],3,FALSE))</f>
        <v>#VALUE!</v>
      </c>
      <c r="AG314" s="1063" t="e">
        <f>VLOOKUP(TB_prev[[#This Row],[Synt]],GL[[Account]:[B/P]],4,FALSE)</f>
        <v>#N/A</v>
      </c>
      <c r="AH314" s="1066" t="e">
        <v>#VALUE!</v>
      </c>
      <c r="AI314" s="1065" t="e">
        <f>TB_prev[[#This Row],[Synt]]&amp;TB_prev[[#This Row],[Line No. manual corr.]]</f>
        <v>#VALUE!</v>
      </c>
      <c r="AJ314" s="1064">
        <f t="shared" si="21"/>
        <v>0</v>
      </c>
      <c r="AK314" s="1064">
        <f t="shared" si="22"/>
        <v>0</v>
      </c>
      <c r="AL314" s="1064">
        <f t="shared" si="23"/>
        <v>0</v>
      </c>
      <c r="AM314" s="1064">
        <f t="shared" si="24"/>
        <v>0</v>
      </c>
      <c r="AN314" s="1064"/>
      <c r="AO314" s="1064">
        <f>TB_prev[[#This Row],[Closing balance]]+TB_prev[[#This Row],[Rounding]]</f>
        <v>0</v>
      </c>
    </row>
    <row r="315" spans="30:41" x14ac:dyDescent="0.25">
      <c r="AD315" s="1067" t="str">
        <f t="shared" si="20"/>
        <v/>
      </c>
      <c r="AE315" s="1063" t="str">
        <f>IF(ISNA(VLOOKUP(TB_prev[[#This Row],[Synt]],GL[[#Headers],[#Data],[subtotal label]],1,FALSE)),0,(VLOOKUP(TB_prev[[#This Row],[Synt]],GL[[#Headers],[#Data],[subtotal label]],1,FALSE)))</f>
        <v/>
      </c>
      <c r="AF315" s="1063" t="e">
        <f>IF((TB_prev[[#This Row],[Synt]]-TB_prev[[#This Row],[Subtotal Y/N]])=0,0,VLOOKUP(TB_prev[[#This Row],[Synt]],GL[[Account]:[Line]],3,FALSE))</f>
        <v>#VALUE!</v>
      </c>
      <c r="AG315" s="1063" t="e">
        <f>VLOOKUP(TB_prev[[#This Row],[Synt]],GL[[Account]:[B/P]],4,FALSE)</f>
        <v>#N/A</v>
      </c>
      <c r="AH315" s="1066" t="e">
        <v>#VALUE!</v>
      </c>
      <c r="AI315" s="1065" t="e">
        <f>TB_prev[[#This Row],[Synt]]&amp;TB_prev[[#This Row],[Line No. manual corr.]]</f>
        <v>#VALUE!</v>
      </c>
      <c r="AJ315" s="1064">
        <f t="shared" si="21"/>
        <v>0</v>
      </c>
      <c r="AK315" s="1064">
        <f t="shared" si="22"/>
        <v>0</v>
      </c>
      <c r="AL315" s="1064">
        <f t="shared" si="23"/>
        <v>0</v>
      </c>
      <c r="AM315" s="1064">
        <f t="shared" si="24"/>
        <v>0</v>
      </c>
      <c r="AN315" s="1064"/>
      <c r="AO315" s="1064">
        <f>TB_prev[[#This Row],[Closing balance]]+TB_prev[[#This Row],[Rounding]]</f>
        <v>0</v>
      </c>
    </row>
    <row r="316" spans="30:41" x14ac:dyDescent="0.25">
      <c r="AD316" s="1067" t="str">
        <f t="shared" si="20"/>
        <v/>
      </c>
      <c r="AE316" s="1063" t="str">
        <f>IF(ISNA(VLOOKUP(TB_prev[[#This Row],[Synt]],GL[[#Headers],[#Data],[subtotal label]],1,FALSE)),0,(VLOOKUP(TB_prev[[#This Row],[Synt]],GL[[#Headers],[#Data],[subtotal label]],1,FALSE)))</f>
        <v/>
      </c>
      <c r="AF316" s="1063" t="e">
        <f>IF((TB_prev[[#This Row],[Synt]]-TB_prev[[#This Row],[Subtotal Y/N]])=0,0,VLOOKUP(TB_prev[[#This Row],[Synt]],GL[[Account]:[Line]],3,FALSE))</f>
        <v>#VALUE!</v>
      </c>
      <c r="AG316" s="1063" t="e">
        <f>VLOOKUP(TB_prev[[#This Row],[Synt]],GL[[Account]:[B/P]],4,FALSE)</f>
        <v>#N/A</v>
      </c>
      <c r="AH316" s="1066" t="e">
        <v>#VALUE!</v>
      </c>
      <c r="AI316" s="1065" t="e">
        <f>TB_prev[[#This Row],[Synt]]&amp;TB_prev[[#This Row],[Line No. manual corr.]]</f>
        <v>#VALUE!</v>
      </c>
      <c r="AJ316" s="1064">
        <f t="shared" si="21"/>
        <v>0</v>
      </c>
      <c r="AK316" s="1064">
        <f t="shared" si="22"/>
        <v>0</v>
      </c>
      <c r="AL316" s="1064">
        <f t="shared" si="23"/>
        <v>0</v>
      </c>
      <c r="AM316" s="1064">
        <f t="shared" si="24"/>
        <v>0</v>
      </c>
      <c r="AN316" s="1064"/>
      <c r="AO316" s="1064">
        <f>TB_prev[[#This Row],[Closing balance]]+TB_prev[[#This Row],[Rounding]]</f>
        <v>0</v>
      </c>
    </row>
    <row r="317" spans="30:41" x14ac:dyDescent="0.25">
      <c r="AD317" s="1067" t="str">
        <f t="shared" si="20"/>
        <v/>
      </c>
      <c r="AE317" s="1063" t="str">
        <f>IF(ISNA(VLOOKUP(TB_prev[[#This Row],[Synt]],GL[[#Headers],[#Data],[subtotal label]],1,FALSE)),0,(VLOOKUP(TB_prev[[#This Row],[Synt]],GL[[#Headers],[#Data],[subtotal label]],1,FALSE)))</f>
        <v/>
      </c>
      <c r="AF317" s="1063" t="e">
        <f>IF((TB_prev[[#This Row],[Synt]]-TB_prev[[#This Row],[Subtotal Y/N]])=0,0,VLOOKUP(TB_prev[[#This Row],[Synt]],GL[[Account]:[Line]],3,FALSE))</f>
        <v>#VALUE!</v>
      </c>
      <c r="AG317" s="1063" t="e">
        <f>VLOOKUP(TB_prev[[#This Row],[Synt]],GL[[Account]:[B/P]],4,FALSE)</f>
        <v>#N/A</v>
      </c>
      <c r="AH317" s="1066" t="e">
        <v>#VALUE!</v>
      </c>
      <c r="AI317" s="1065" t="e">
        <f>TB_prev[[#This Row],[Synt]]&amp;TB_prev[[#This Row],[Line No. manual corr.]]</f>
        <v>#VALUE!</v>
      </c>
      <c r="AJ317" s="1064">
        <f t="shared" si="21"/>
        <v>0</v>
      </c>
      <c r="AK317" s="1064">
        <f t="shared" si="22"/>
        <v>0</v>
      </c>
      <c r="AL317" s="1064">
        <f t="shared" si="23"/>
        <v>0</v>
      </c>
      <c r="AM317" s="1064">
        <f t="shared" si="24"/>
        <v>0</v>
      </c>
      <c r="AN317" s="1064"/>
      <c r="AO317" s="1064">
        <f>TB_prev[[#This Row],[Closing balance]]+TB_prev[[#This Row],[Rounding]]</f>
        <v>0</v>
      </c>
    </row>
    <row r="318" spans="30:41" x14ac:dyDescent="0.25">
      <c r="AD318" s="1067" t="str">
        <f t="shared" si="20"/>
        <v/>
      </c>
      <c r="AE318" s="1063" t="str">
        <f>IF(ISNA(VLOOKUP(TB_prev[[#This Row],[Synt]],GL[[#Headers],[#Data],[subtotal label]],1,FALSE)),0,(VLOOKUP(TB_prev[[#This Row],[Synt]],GL[[#Headers],[#Data],[subtotal label]],1,FALSE)))</f>
        <v/>
      </c>
      <c r="AF318" s="1063" t="e">
        <f>IF((TB_prev[[#This Row],[Synt]]-TB_prev[[#This Row],[Subtotal Y/N]])=0,0,VLOOKUP(TB_prev[[#This Row],[Synt]],GL[[Account]:[Line]],3,FALSE))</f>
        <v>#VALUE!</v>
      </c>
      <c r="AG318" s="1063" t="e">
        <f>VLOOKUP(TB_prev[[#This Row],[Synt]],GL[[Account]:[B/P]],4,FALSE)</f>
        <v>#N/A</v>
      </c>
      <c r="AH318" s="1066" t="e">
        <v>#VALUE!</v>
      </c>
      <c r="AI318" s="1065" t="e">
        <f>TB_prev[[#This Row],[Synt]]&amp;TB_prev[[#This Row],[Line No. manual corr.]]</f>
        <v>#VALUE!</v>
      </c>
      <c r="AJ318" s="1064">
        <f t="shared" si="21"/>
        <v>0</v>
      </c>
      <c r="AK318" s="1064">
        <f t="shared" si="22"/>
        <v>0</v>
      </c>
      <c r="AL318" s="1064">
        <f t="shared" si="23"/>
        <v>0</v>
      </c>
      <c r="AM318" s="1064">
        <f t="shared" si="24"/>
        <v>0</v>
      </c>
      <c r="AN318" s="1064"/>
      <c r="AO318" s="1064">
        <f>TB_prev[[#This Row],[Closing balance]]+TB_prev[[#This Row],[Rounding]]</f>
        <v>0</v>
      </c>
    </row>
    <row r="319" spans="30:41" x14ac:dyDescent="0.25">
      <c r="AD319" s="1067" t="str">
        <f t="shared" si="20"/>
        <v/>
      </c>
      <c r="AE319" s="1063" t="str">
        <f>IF(ISNA(VLOOKUP(TB_prev[[#This Row],[Synt]],GL[[#Headers],[#Data],[subtotal label]],1,FALSE)),0,(VLOOKUP(TB_prev[[#This Row],[Synt]],GL[[#Headers],[#Data],[subtotal label]],1,FALSE)))</f>
        <v/>
      </c>
      <c r="AF319" s="1063" t="e">
        <f>IF((TB_prev[[#This Row],[Synt]]-TB_prev[[#This Row],[Subtotal Y/N]])=0,0,VLOOKUP(TB_prev[[#This Row],[Synt]],GL[[Account]:[Line]],3,FALSE))</f>
        <v>#VALUE!</v>
      </c>
      <c r="AG319" s="1063" t="e">
        <f>VLOOKUP(TB_prev[[#This Row],[Synt]],GL[[Account]:[B/P]],4,FALSE)</f>
        <v>#N/A</v>
      </c>
      <c r="AH319" s="1066" t="e">
        <v>#VALUE!</v>
      </c>
      <c r="AI319" s="1065" t="e">
        <f>TB_prev[[#This Row],[Synt]]&amp;TB_prev[[#This Row],[Line No. manual corr.]]</f>
        <v>#VALUE!</v>
      </c>
      <c r="AJ319" s="1064">
        <f t="shared" si="21"/>
        <v>0</v>
      </c>
      <c r="AK319" s="1064">
        <f t="shared" si="22"/>
        <v>0</v>
      </c>
      <c r="AL319" s="1064">
        <f t="shared" si="23"/>
        <v>0</v>
      </c>
      <c r="AM319" s="1064">
        <f t="shared" si="24"/>
        <v>0</v>
      </c>
      <c r="AN319" s="1064"/>
      <c r="AO319" s="1064">
        <f>TB_prev[[#This Row],[Closing balance]]+TB_prev[[#This Row],[Rounding]]</f>
        <v>0</v>
      </c>
    </row>
    <row r="320" spans="30:41" x14ac:dyDescent="0.25">
      <c r="AD320" s="1067" t="str">
        <f t="shared" si="20"/>
        <v/>
      </c>
      <c r="AE320" s="1063" t="str">
        <f>IF(ISNA(VLOOKUP(TB_prev[[#This Row],[Synt]],GL[[#Headers],[#Data],[subtotal label]],1,FALSE)),0,(VLOOKUP(TB_prev[[#This Row],[Synt]],GL[[#Headers],[#Data],[subtotal label]],1,FALSE)))</f>
        <v/>
      </c>
      <c r="AF320" s="1063" t="e">
        <f>IF((TB_prev[[#This Row],[Synt]]-TB_prev[[#This Row],[Subtotal Y/N]])=0,0,VLOOKUP(TB_prev[[#This Row],[Synt]],GL[[Account]:[Line]],3,FALSE))</f>
        <v>#VALUE!</v>
      </c>
      <c r="AG320" s="1063" t="e">
        <f>VLOOKUP(TB_prev[[#This Row],[Synt]],GL[[Account]:[B/P]],4,FALSE)</f>
        <v>#N/A</v>
      </c>
      <c r="AH320" s="1066" t="e">
        <v>#VALUE!</v>
      </c>
      <c r="AI320" s="1065" t="e">
        <f>TB_prev[[#This Row],[Synt]]&amp;TB_prev[[#This Row],[Line No. manual corr.]]</f>
        <v>#VALUE!</v>
      </c>
      <c r="AJ320" s="1064">
        <f t="shared" si="21"/>
        <v>0</v>
      </c>
      <c r="AK320" s="1064">
        <f t="shared" si="22"/>
        <v>0</v>
      </c>
      <c r="AL320" s="1064">
        <f t="shared" si="23"/>
        <v>0</v>
      </c>
      <c r="AM320" s="1064">
        <f t="shared" si="24"/>
        <v>0</v>
      </c>
      <c r="AN320" s="1064"/>
      <c r="AO320" s="1064">
        <f>TB_prev[[#This Row],[Closing balance]]+TB_prev[[#This Row],[Rounding]]</f>
        <v>0</v>
      </c>
    </row>
    <row r="321" spans="30:41" x14ac:dyDescent="0.25">
      <c r="AD321" s="1067" t="str">
        <f t="shared" si="20"/>
        <v/>
      </c>
      <c r="AE321" s="1063" t="str">
        <f>IF(ISNA(VLOOKUP(TB_prev[[#This Row],[Synt]],GL[[#Headers],[#Data],[subtotal label]],1,FALSE)),0,(VLOOKUP(TB_prev[[#This Row],[Synt]],GL[[#Headers],[#Data],[subtotal label]],1,FALSE)))</f>
        <v/>
      </c>
      <c r="AF321" s="1063" t="e">
        <f>IF((TB_prev[[#This Row],[Synt]]-TB_prev[[#This Row],[Subtotal Y/N]])=0,0,VLOOKUP(TB_prev[[#This Row],[Synt]],GL[[Account]:[Line]],3,FALSE))</f>
        <v>#VALUE!</v>
      </c>
      <c r="AG321" s="1063" t="e">
        <f>VLOOKUP(TB_prev[[#This Row],[Synt]],GL[[Account]:[B/P]],4,FALSE)</f>
        <v>#N/A</v>
      </c>
      <c r="AH321" s="1066" t="e">
        <v>#VALUE!</v>
      </c>
      <c r="AI321" s="1065" t="e">
        <f>TB_prev[[#This Row],[Synt]]&amp;TB_prev[[#This Row],[Line No. manual corr.]]</f>
        <v>#VALUE!</v>
      </c>
      <c r="AJ321" s="1064">
        <f t="shared" si="21"/>
        <v>0</v>
      </c>
      <c r="AK321" s="1064">
        <f t="shared" si="22"/>
        <v>0</v>
      </c>
      <c r="AL321" s="1064">
        <f t="shared" si="23"/>
        <v>0</v>
      </c>
      <c r="AM321" s="1064">
        <f t="shared" si="24"/>
        <v>0</v>
      </c>
      <c r="AN321" s="1064"/>
      <c r="AO321" s="1064">
        <f>TB_prev[[#This Row],[Closing balance]]+TB_prev[[#This Row],[Rounding]]</f>
        <v>0</v>
      </c>
    </row>
    <row r="322" spans="30:41" x14ac:dyDescent="0.25">
      <c r="AD322" s="1067" t="str">
        <f t="shared" si="20"/>
        <v/>
      </c>
      <c r="AE322" s="1063" t="str">
        <f>IF(ISNA(VLOOKUP(TB_prev[[#This Row],[Synt]],GL[[#Headers],[#Data],[subtotal label]],1,FALSE)),0,(VLOOKUP(TB_prev[[#This Row],[Synt]],GL[[#Headers],[#Data],[subtotal label]],1,FALSE)))</f>
        <v/>
      </c>
      <c r="AF322" s="1063" t="e">
        <f>IF((TB_prev[[#This Row],[Synt]]-TB_prev[[#This Row],[Subtotal Y/N]])=0,0,VLOOKUP(TB_prev[[#This Row],[Synt]],GL[[Account]:[Line]],3,FALSE))</f>
        <v>#VALUE!</v>
      </c>
      <c r="AG322" s="1063" t="e">
        <f>VLOOKUP(TB_prev[[#This Row],[Synt]],GL[[Account]:[B/P]],4,FALSE)</f>
        <v>#N/A</v>
      </c>
      <c r="AH322" s="1066" t="e">
        <v>#VALUE!</v>
      </c>
      <c r="AI322" s="1065" t="e">
        <f>TB_prev[[#This Row],[Synt]]&amp;TB_prev[[#This Row],[Line No. manual corr.]]</f>
        <v>#VALUE!</v>
      </c>
      <c r="AJ322" s="1064">
        <f t="shared" si="21"/>
        <v>0</v>
      </c>
      <c r="AK322" s="1064">
        <f t="shared" si="22"/>
        <v>0</v>
      </c>
      <c r="AL322" s="1064">
        <f t="shared" si="23"/>
        <v>0</v>
      </c>
      <c r="AM322" s="1064">
        <f t="shared" si="24"/>
        <v>0</v>
      </c>
      <c r="AN322" s="1064"/>
      <c r="AO322" s="1064">
        <f>TB_prev[[#This Row],[Closing balance]]+TB_prev[[#This Row],[Rounding]]</f>
        <v>0</v>
      </c>
    </row>
    <row r="323" spans="30:41" x14ac:dyDescent="0.25">
      <c r="AD323" s="1067" t="str">
        <f t="shared" si="20"/>
        <v/>
      </c>
      <c r="AE323" s="1063" t="str">
        <f>IF(ISNA(VLOOKUP(TB_prev[[#This Row],[Synt]],GL[[#Headers],[#Data],[subtotal label]],1,FALSE)),0,(VLOOKUP(TB_prev[[#This Row],[Synt]],GL[[#Headers],[#Data],[subtotal label]],1,FALSE)))</f>
        <v/>
      </c>
      <c r="AF323" s="1063" t="e">
        <f>IF((TB_prev[[#This Row],[Synt]]-TB_prev[[#This Row],[Subtotal Y/N]])=0,0,VLOOKUP(TB_prev[[#This Row],[Synt]],GL[[Account]:[Line]],3,FALSE))</f>
        <v>#VALUE!</v>
      </c>
      <c r="AG323" s="1063" t="e">
        <f>VLOOKUP(TB_prev[[#This Row],[Synt]],GL[[Account]:[B/P]],4,FALSE)</f>
        <v>#N/A</v>
      </c>
      <c r="AH323" s="1066" t="e">
        <v>#VALUE!</v>
      </c>
      <c r="AI323" s="1065" t="e">
        <f>TB_prev[[#This Row],[Synt]]&amp;TB_prev[[#This Row],[Line No. manual corr.]]</f>
        <v>#VALUE!</v>
      </c>
      <c r="AJ323" s="1064">
        <f t="shared" si="21"/>
        <v>0</v>
      </c>
      <c r="AK323" s="1064">
        <f t="shared" si="22"/>
        <v>0</v>
      </c>
      <c r="AL323" s="1064">
        <f t="shared" si="23"/>
        <v>0</v>
      </c>
      <c r="AM323" s="1064">
        <f t="shared" si="24"/>
        <v>0</v>
      </c>
      <c r="AN323" s="1064"/>
      <c r="AO323" s="1064">
        <f>TB_prev[[#This Row],[Closing balance]]+TB_prev[[#This Row],[Rounding]]</f>
        <v>0</v>
      </c>
    </row>
    <row r="324" spans="30:41" x14ac:dyDescent="0.25">
      <c r="AD324" s="1067" t="str">
        <f t="shared" si="20"/>
        <v/>
      </c>
      <c r="AE324" s="1063" t="str">
        <f>IF(ISNA(VLOOKUP(TB_prev[[#This Row],[Synt]],GL[[#Headers],[#Data],[subtotal label]],1,FALSE)),0,(VLOOKUP(TB_prev[[#This Row],[Synt]],GL[[#Headers],[#Data],[subtotal label]],1,FALSE)))</f>
        <v/>
      </c>
      <c r="AF324" s="1063" t="e">
        <f>IF((TB_prev[[#This Row],[Synt]]-TB_prev[[#This Row],[Subtotal Y/N]])=0,0,VLOOKUP(TB_prev[[#This Row],[Synt]],GL[[Account]:[Line]],3,FALSE))</f>
        <v>#VALUE!</v>
      </c>
      <c r="AG324" s="1063" t="e">
        <f>VLOOKUP(TB_prev[[#This Row],[Synt]],GL[[Account]:[B/P]],4,FALSE)</f>
        <v>#N/A</v>
      </c>
      <c r="AH324" s="1066" t="e">
        <v>#VALUE!</v>
      </c>
      <c r="AI324" s="1065" t="e">
        <f>TB_prev[[#This Row],[Synt]]&amp;TB_prev[[#This Row],[Line No. manual corr.]]</f>
        <v>#VALUE!</v>
      </c>
      <c r="AJ324" s="1064">
        <f t="shared" si="21"/>
        <v>0</v>
      </c>
      <c r="AK324" s="1064">
        <f t="shared" si="22"/>
        <v>0</v>
      </c>
      <c r="AL324" s="1064">
        <f t="shared" si="23"/>
        <v>0</v>
      </c>
      <c r="AM324" s="1064">
        <f t="shared" si="24"/>
        <v>0</v>
      </c>
      <c r="AN324" s="1064"/>
      <c r="AO324" s="1064">
        <f>TB_prev[[#This Row],[Closing balance]]+TB_prev[[#This Row],[Rounding]]</f>
        <v>0</v>
      </c>
    </row>
    <row r="325" spans="30:41" x14ac:dyDescent="0.25">
      <c r="AD325" s="1067" t="str">
        <f t="shared" si="20"/>
        <v/>
      </c>
      <c r="AE325" s="1063" t="str">
        <f>IF(ISNA(VLOOKUP(TB_prev[[#This Row],[Synt]],GL[[#Headers],[#Data],[subtotal label]],1,FALSE)),0,(VLOOKUP(TB_prev[[#This Row],[Synt]],GL[[#Headers],[#Data],[subtotal label]],1,FALSE)))</f>
        <v/>
      </c>
      <c r="AF325" s="1063" t="e">
        <f>IF((TB_prev[[#This Row],[Synt]]-TB_prev[[#This Row],[Subtotal Y/N]])=0,0,VLOOKUP(TB_prev[[#This Row],[Synt]],GL[[Account]:[Line]],3,FALSE))</f>
        <v>#VALUE!</v>
      </c>
      <c r="AG325" s="1063" t="e">
        <f>VLOOKUP(TB_prev[[#This Row],[Synt]],GL[[Account]:[B/P]],4,FALSE)</f>
        <v>#N/A</v>
      </c>
      <c r="AH325" s="1066" t="e">
        <v>#VALUE!</v>
      </c>
      <c r="AI325" s="1065" t="e">
        <f>TB_prev[[#This Row],[Synt]]&amp;TB_prev[[#This Row],[Line No. manual corr.]]</f>
        <v>#VALUE!</v>
      </c>
      <c r="AJ325" s="1064">
        <f t="shared" si="21"/>
        <v>0</v>
      </c>
      <c r="AK325" s="1064">
        <f t="shared" si="22"/>
        <v>0</v>
      </c>
      <c r="AL325" s="1064">
        <f t="shared" si="23"/>
        <v>0</v>
      </c>
      <c r="AM325" s="1064">
        <f t="shared" si="24"/>
        <v>0</v>
      </c>
      <c r="AN325" s="1064"/>
      <c r="AO325" s="1064">
        <f>TB_prev[[#This Row],[Closing balance]]+TB_prev[[#This Row],[Rounding]]</f>
        <v>0</v>
      </c>
    </row>
    <row r="326" spans="30:41" x14ac:dyDescent="0.25">
      <c r="AD326" s="1067" t="str">
        <f t="shared" si="20"/>
        <v/>
      </c>
      <c r="AE326" s="1063" t="str">
        <f>IF(ISNA(VLOOKUP(TB_prev[[#This Row],[Synt]],GL[[#Headers],[#Data],[subtotal label]],1,FALSE)),0,(VLOOKUP(TB_prev[[#This Row],[Synt]],GL[[#Headers],[#Data],[subtotal label]],1,FALSE)))</f>
        <v/>
      </c>
      <c r="AF326" s="1063" t="e">
        <f>IF((TB_prev[[#This Row],[Synt]]-TB_prev[[#This Row],[Subtotal Y/N]])=0,0,VLOOKUP(TB_prev[[#This Row],[Synt]],GL[[Account]:[Line]],3,FALSE))</f>
        <v>#VALUE!</v>
      </c>
      <c r="AG326" s="1063" t="e">
        <f>VLOOKUP(TB_prev[[#This Row],[Synt]],GL[[Account]:[B/P]],4,FALSE)</f>
        <v>#N/A</v>
      </c>
      <c r="AH326" s="1066" t="e">
        <v>#VALUE!</v>
      </c>
      <c r="AI326" s="1065" t="e">
        <f>TB_prev[[#This Row],[Synt]]&amp;TB_prev[[#This Row],[Line No. manual corr.]]</f>
        <v>#VALUE!</v>
      </c>
      <c r="AJ326" s="1064">
        <f t="shared" si="21"/>
        <v>0</v>
      </c>
      <c r="AK326" s="1064">
        <f t="shared" si="22"/>
        <v>0</v>
      </c>
      <c r="AL326" s="1064">
        <f t="shared" si="23"/>
        <v>0</v>
      </c>
      <c r="AM326" s="1064">
        <f t="shared" si="24"/>
        <v>0</v>
      </c>
      <c r="AN326" s="1064"/>
      <c r="AO326" s="1064">
        <f>TB_prev[[#This Row],[Closing balance]]+TB_prev[[#This Row],[Rounding]]</f>
        <v>0</v>
      </c>
    </row>
    <row r="327" spans="30:41" x14ac:dyDescent="0.25">
      <c r="AD327" s="1067" t="str">
        <f t="shared" si="20"/>
        <v/>
      </c>
      <c r="AE327" s="1063" t="str">
        <f>IF(ISNA(VLOOKUP(TB_prev[[#This Row],[Synt]],GL[[#Headers],[#Data],[subtotal label]],1,FALSE)),0,(VLOOKUP(TB_prev[[#This Row],[Synt]],GL[[#Headers],[#Data],[subtotal label]],1,FALSE)))</f>
        <v/>
      </c>
      <c r="AF327" s="1063" t="e">
        <f>IF((TB_prev[[#This Row],[Synt]]-TB_prev[[#This Row],[Subtotal Y/N]])=0,0,VLOOKUP(TB_prev[[#This Row],[Synt]],GL[[Account]:[Line]],3,FALSE))</f>
        <v>#VALUE!</v>
      </c>
      <c r="AG327" s="1063" t="e">
        <f>VLOOKUP(TB_prev[[#This Row],[Synt]],GL[[Account]:[B/P]],4,FALSE)</f>
        <v>#N/A</v>
      </c>
      <c r="AH327" s="1066" t="e">
        <v>#VALUE!</v>
      </c>
      <c r="AI327" s="1065" t="e">
        <f>TB_prev[[#This Row],[Synt]]&amp;TB_prev[[#This Row],[Line No. manual corr.]]</f>
        <v>#VALUE!</v>
      </c>
      <c r="AJ327" s="1064">
        <f t="shared" si="21"/>
        <v>0</v>
      </c>
      <c r="AK327" s="1064">
        <f t="shared" si="22"/>
        <v>0</v>
      </c>
      <c r="AL327" s="1064">
        <f t="shared" si="23"/>
        <v>0</v>
      </c>
      <c r="AM327" s="1064">
        <f t="shared" si="24"/>
        <v>0</v>
      </c>
      <c r="AN327" s="1064"/>
      <c r="AO327" s="1064">
        <f>TB_prev[[#This Row],[Closing balance]]+TB_prev[[#This Row],[Rounding]]</f>
        <v>0</v>
      </c>
    </row>
    <row r="328" spans="30:41" x14ac:dyDescent="0.25">
      <c r="AD328" s="1067" t="str">
        <f t="shared" ref="AD328:AD391" si="25">LEFT(B328,3)</f>
        <v/>
      </c>
      <c r="AE328" s="1063" t="str">
        <f>IF(ISNA(VLOOKUP(TB_prev[[#This Row],[Synt]],GL[[#Headers],[#Data],[subtotal label]],1,FALSE)),0,(VLOOKUP(TB_prev[[#This Row],[Synt]],GL[[#Headers],[#Data],[subtotal label]],1,FALSE)))</f>
        <v/>
      </c>
      <c r="AF328" s="1063" t="e">
        <f>IF((TB_prev[[#This Row],[Synt]]-TB_prev[[#This Row],[Subtotal Y/N]])=0,0,VLOOKUP(TB_prev[[#This Row],[Synt]],GL[[Account]:[Line]],3,FALSE))</f>
        <v>#VALUE!</v>
      </c>
      <c r="AG328" s="1063" t="e">
        <f>VLOOKUP(TB_prev[[#This Row],[Synt]],GL[[Account]:[B/P]],4,FALSE)</f>
        <v>#N/A</v>
      </c>
      <c r="AH328" s="1066" t="e">
        <v>#VALUE!</v>
      </c>
      <c r="AI328" s="1065" t="e">
        <f>TB_prev[[#This Row],[Synt]]&amp;TB_prev[[#This Row],[Line No. manual corr.]]</f>
        <v>#VALUE!</v>
      </c>
      <c r="AJ328" s="1064">
        <f t="shared" ref="AJ328:AJ391" si="26">K328-N328</f>
        <v>0</v>
      </c>
      <c r="AK328" s="1064">
        <f t="shared" ref="AK328:AK391" si="27">Q328</f>
        <v>0</v>
      </c>
      <c r="AL328" s="1064">
        <f t="shared" ref="AL328:AL391" si="28">U328</f>
        <v>0</v>
      </c>
      <c r="AM328" s="1064">
        <f t="shared" ref="AM328:AM391" si="29">X328-AB328</f>
        <v>0</v>
      </c>
      <c r="AN328" s="1064"/>
      <c r="AO328" s="1064">
        <f>TB_prev[[#This Row],[Closing balance]]+TB_prev[[#This Row],[Rounding]]</f>
        <v>0</v>
      </c>
    </row>
    <row r="329" spans="30:41" x14ac:dyDescent="0.25">
      <c r="AD329" s="1067" t="str">
        <f t="shared" si="25"/>
        <v/>
      </c>
      <c r="AE329" s="1063" t="str">
        <f>IF(ISNA(VLOOKUP(TB_prev[[#This Row],[Synt]],GL[[#Headers],[#Data],[subtotal label]],1,FALSE)),0,(VLOOKUP(TB_prev[[#This Row],[Synt]],GL[[#Headers],[#Data],[subtotal label]],1,FALSE)))</f>
        <v/>
      </c>
      <c r="AF329" s="1063" t="e">
        <f>IF((TB_prev[[#This Row],[Synt]]-TB_prev[[#This Row],[Subtotal Y/N]])=0,0,VLOOKUP(TB_prev[[#This Row],[Synt]],GL[[Account]:[Line]],3,FALSE))</f>
        <v>#VALUE!</v>
      </c>
      <c r="AG329" s="1063" t="e">
        <f>VLOOKUP(TB_prev[[#This Row],[Synt]],GL[[Account]:[B/P]],4,FALSE)</f>
        <v>#N/A</v>
      </c>
      <c r="AH329" s="1066" t="e">
        <v>#VALUE!</v>
      </c>
      <c r="AI329" s="1065" t="e">
        <f>TB_prev[[#This Row],[Synt]]&amp;TB_prev[[#This Row],[Line No. manual corr.]]</f>
        <v>#VALUE!</v>
      </c>
      <c r="AJ329" s="1064">
        <f t="shared" si="26"/>
        <v>0</v>
      </c>
      <c r="AK329" s="1064">
        <f t="shared" si="27"/>
        <v>0</v>
      </c>
      <c r="AL329" s="1064">
        <f t="shared" si="28"/>
        <v>0</v>
      </c>
      <c r="AM329" s="1064">
        <f t="shared" si="29"/>
        <v>0</v>
      </c>
      <c r="AN329" s="1064"/>
      <c r="AO329" s="1064">
        <f>TB_prev[[#This Row],[Closing balance]]+TB_prev[[#This Row],[Rounding]]</f>
        <v>0</v>
      </c>
    </row>
    <row r="330" spans="30:41" x14ac:dyDescent="0.25">
      <c r="AD330" s="1067" t="str">
        <f t="shared" si="25"/>
        <v/>
      </c>
      <c r="AE330" s="1063" t="str">
        <f>IF(ISNA(VLOOKUP(TB_prev[[#This Row],[Synt]],GL[[#Headers],[#Data],[subtotal label]],1,FALSE)),0,(VLOOKUP(TB_prev[[#This Row],[Synt]],GL[[#Headers],[#Data],[subtotal label]],1,FALSE)))</f>
        <v/>
      </c>
      <c r="AF330" s="1063" t="e">
        <f>IF((TB_prev[[#This Row],[Synt]]-TB_prev[[#This Row],[Subtotal Y/N]])=0,0,VLOOKUP(TB_prev[[#This Row],[Synt]],GL[[Account]:[Line]],3,FALSE))</f>
        <v>#VALUE!</v>
      </c>
      <c r="AG330" s="1063" t="e">
        <f>VLOOKUP(TB_prev[[#This Row],[Synt]],GL[[Account]:[B/P]],4,FALSE)</f>
        <v>#N/A</v>
      </c>
      <c r="AH330" s="1066" t="e">
        <v>#VALUE!</v>
      </c>
      <c r="AI330" s="1065" t="e">
        <f>TB_prev[[#This Row],[Synt]]&amp;TB_prev[[#This Row],[Line No. manual corr.]]</f>
        <v>#VALUE!</v>
      </c>
      <c r="AJ330" s="1064">
        <f t="shared" si="26"/>
        <v>0</v>
      </c>
      <c r="AK330" s="1064">
        <f t="shared" si="27"/>
        <v>0</v>
      </c>
      <c r="AL330" s="1064">
        <f t="shared" si="28"/>
        <v>0</v>
      </c>
      <c r="AM330" s="1064">
        <f t="shared" si="29"/>
        <v>0</v>
      </c>
      <c r="AN330" s="1064"/>
      <c r="AO330" s="1064">
        <f>TB_prev[[#This Row],[Closing balance]]+TB_prev[[#This Row],[Rounding]]</f>
        <v>0</v>
      </c>
    </row>
    <row r="331" spans="30:41" x14ac:dyDescent="0.25">
      <c r="AD331" s="1067" t="str">
        <f t="shared" si="25"/>
        <v/>
      </c>
      <c r="AE331" s="1063" t="str">
        <f>IF(ISNA(VLOOKUP(TB_prev[[#This Row],[Synt]],GL[[#Headers],[#Data],[subtotal label]],1,FALSE)),0,(VLOOKUP(TB_prev[[#This Row],[Synt]],GL[[#Headers],[#Data],[subtotal label]],1,FALSE)))</f>
        <v/>
      </c>
      <c r="AF331" s="1063" t="e">
        <f>IF((TB_prev[[#This Row],[Synt]]-TB_prev[[#This Row],[Subtotal Y/N]])=0,0,VLOOKUP(TB_prev[[#This Row],[Synt]],GL[[Account]:[Line]],3,FALSE))</f>
        <v>#VALUE!</v>
      </c>
      <c r="AG331" s="1063" t="e">
        <f>VLOOKUP(TB_prev[[#This Row],[Synt]],GL[[Account]:[B/P]],4,FALSE)</f>
        <v>#N/A</v>
      </c>
      <c r="AH331" s="1066" t="e">
        <v>#VALUE!</v>
      </c>
      <c r="AI331" s="1065" t="e">
        <f>TB_prev[[#This Row],[Synt]]&amp;TB_prev[[#This Row],[Line No. manual corr.]]</f>
        <v>#VALUE!</v>
      </c>
      <c r="AJ331" s="1064">
        <f t="shared" si="26"/>
        <v>0</v>
      </c>
      <c r="AK331" s="1064">
        <f t="shared" si="27"/>
        <v>0</v>
      </c>
      <c r="AL331" s="1064">
        <f t="shared" si="28"/>
        <v>0</v>
      </c>
      <c r="AM331" s="1064">
        <f t="shared" si="29"/>
        <v>0</v>
      </c>
      <c r="AN331" s="1064"/>
      <c r="AO331" s="1064">
        <f>TB_prev[[#This Row],[Closing balance]]+TB_prev[[#This Row],[Rounding]]</f>
        <v>0</v>
      </c>
    </row>
    <row r="332" spans="30:41" x14ac:dyDescent="0.25">
      <c r="AD332" s="1067" t="str">
        <f t="shared" si="25"/>
        <v/>
      </c>
      <c r="AE332" s="1063" t="str">
        <f>IF(ISNA(VLOOKUP(TB_prev[[#This Row],[Synt]],GL[[#Headers],[#Data],[subtotal label]],1,FALSE)),0,(VLOOKUP(TB_prev[[#This Row],[Synt]],GL[[#Headers],[#Data],[subtotal label]],1,FALSE)))</f>
        <v/>
      </c>
      <c r="AF332" s="1063" t="e">
        <f>IF((TB_prev[[#This Row],[Synt]]-TB_prev[[#This Row],[Subtotal Y/N]])=0,0,VLOOKUP(TB_prev[[#This Row],[Synt]],GL[[Account]:[Line]],3,FALSE))</f>
        <v>#VALUE!</v>
      </c>
      <c r="AG332" s="1063" t="e">
        <f>VLOOKUP(TB_prev[[#This Row],[Synt]],GL[[Account]:[B/P]],4,FALSE)</f>
        <v>#N/A</v>
      </c>
      <c r="AH332" s="1066" t="e">
        <v>#VALUE!</v>
      </c>
      <c r="AI332" s="1065" t="e">
        <f>TB_prev[[#This Row],[Synt]]&amp;TB_prev[[#This Row],[Line No. manual corr.]]</f>
        <v>#VALUE!</v>
      </c>
      <c r="AJ332" s="1064">
        <f t="shared" si="26"/>
        <v>0</v>
      </c>
      <c r="AK332" s="1064">
        <f t="shared" si="27"/>
        <v>0</v>
      </c>
      <c r="AL332" s="1064">
        <f t="shared" si="28"/>
        <v>0</v>
      </c>
      <c r="AM332" s="1064">
        <f t="shared" si="29"/>
        <v>0</v>
      </c>
      <c r="AN332" s="1064"/>
      <c r="AO332" s="1064">
        <f>TB_prev[[#This Row],[Closing balance]]+TB_prev[[#This Row],[Rounding]]</f>
        <v>0</v>
      </c>
    </row>
    <row r="333" spans="30:41" x14ac:dyDescent="0.25">
      <c r="AD333" s="1067" t="str">
        <f t="shared" si="25"/>
        <v/>
      </c>
      <c r="AE333" s="1063" t="str">
        <f>IF(ISNA(VLOOKUP(TB_prev[[#This Row],[Synt]],GL[[#Headers],[#Data],[subtotal label]],1,FALSE)),0,(VLOOKUP(TB_prev[[#This Row],[Synt]],GL[[#Headers],[#Data],[subtotal label]],1,FALSE)))</f>
        <v/>
      </c>
      <c r="AF333" s="1063" t="e">
        <f>IF((TB_prev[[#This Row],[Synt]]-TB_prev[[#This Row],[Subtotal Y/N]])=0,0,VLOOKUP(TB_prev[[#This Row],[Synt]],GL[[Account]:[Line]],3,FALSE))</f>
        <v>#VALUE!</v>
      </c>
      <c r="AG333" s="1063" t="e">
        <f>VLOOKUP(TB_prev[[#This Row],[Synt]],GL[[Account]:[B/P]],4,FALSE)</f>
        <v>#N/A</v>
      </c>
      <c r="AH333" s="1066" t="e">
        <v>#VALUE!</v>
      </c>
      <c r="AI333" s="1065" t="e">
        <f>TB_prev[[#This Row],[Synt]]&amp;TB_prev[[#This Row],[Line No. manual corr.]]</f>
        <v>#VALUE!</v>
      </c>
      <c r="AJ333" s="1064">
        <f t="shared" si="26"/>
        <v>0</v>
      </c>
      <c r="AK333" s="1064">
        <f t="shared" si="27"/>
        <v>0</v>
      </c>
      <c r="AL333" s="1064">
        <f t="shared" si="28"/>
        <v>0</v>
      </c>
      <c r="AM333" s="1064">
        <f t="shared" si="29"/>
        <v>0</v>
      </c>
      <c r="AN333" s="1064"/>
      <c r="AO333" s="1064">
        <f>TB_prev[[#This Row],[Closing balance]]+TB_prev[[#This Row],[Rounding]]</f>
        <v>0</v>
      </c>
    </row>
    <row r="334" spans="30:41" x14ac:dyDescent="0.25">
      <c r="AD334" s="1067" t="str">
        <f t="shared" si="25"/>
        <v/>
      </c>
      <c r="AE334" s="1063" t="str">
        <f>IF(ISNA(VLOOKUP(TB_prev[[#This Row],[Synt]],GL[[#Headers],[#Data],[subtotal label]],1,FALSE)),0,(VLOOKUP(TB_prev[[#This Row],[Synt]],GL[[#Headers],[#Data],[subtotal label]],1,FALSE)))</f>
        <v/>
      </c>
      <c r="AF334" s="1063" t="e">
        <f>IF((TB_prev[[#This Row],[Synt]]-TB_prev[[#This Row],[Subtotal Y/N]])=0,0,VLOOKUP(TB_prev[[#This Row],[Synt]],GL[[Account]:[Line]],3,FALSE))</f>
        <v>#VALUE!</v>
      </c>
      <c r="AG334" s="1063" t="e">
        <f>VLOOKUP(TB_prev[[#This Row],[Synt]],GL[[Account]:[B/P]],4,FALSE)</f>
        <v>#N/A</v>
      </c>
      <c r="AH334" s="1066" t="e">
        <v>#VALUE!</v>
      </c>
      <c r="AI334" s="1065" t="e">
        <f>TB_prev[[#This Row],[Synt]]&amp;TB_prev[[#This Row],[Line No. manual corr.]]</f>
        <v>#VALUE!</v>
      </c>
      <c r="AJ334" s="1064">
        <f t="shared" si="26"/>
        <v>0</v>
      </c>
      <c r="AK334" s="1064">
        <f t="shared" si="27"/>
        <v>0</v>
      </c>
      <c r="AL334" s="1064">
        <f t="shared" si="28"/>
        <v>0</v>
      </c>
      <c r="AM334" s="1064">
        <f t="shared" si="29"/>
        <v>0</v>
      </c>
      <c r="AN334" s="1064"/>
      <c r="AO334" s="1064">
        <f>TB_prev[[#This Row],[Closing balance]]+TB_prev[[#This Row],[Rounding]]</f>
        <v>0</v>
      </c>
    </row>
    <row r="335" spans="30:41" x14ac:dyDescent="0.25">
      <c r="AD335" s="1067" t="str">
        <f t="shared" si="25"/>
        <v/>
      </c>
      <c r="AE335" s="1063" t="str">
        <f>IF(ISNA(VLOOKUP(TB_prev[[#This Row],[Synt]],GL[[#Headers],[#Data],[subtotal label]],1,FALSE)),0,(VLOOKUP(TB_prev[[#This Row],[Synt]],GL[[#Headers],[#Data],[subtotal label]],1,FALSE)))</f>
        <v/>
      </c>
      <c r="AF335" s="1063" t="e">
        <f>IF((TB_prev[[#This Row],[Synt]]-TB_prev[[#This Row],[Subtotal Y/N]])=0,0,VLOOKUP(TB_prev[[#This Row],[Synt]],GL[[Account]:[Line]],3,FALSE))</f>
        <v>#VALUE!</v>
      </c>
      <c r="AG335" s="1063" t="e">
        <f>VLOOKUP(TB_prev[[#This Row],[Synt]],GL[[Account]:[B/P]],4,FALSE)</f>
        <v>#N/A</v>
      </c>
      <c r="AH335" s="1066" t="e">
        <v>#VALUE!</v>
      </c>
      <c r="AI335" s="1065" t="e">
        <f>TB_prev[[#This Row],[Synt]]&amp;TB_prev[[#This Row],[Line No. manual corr.]]</f>
        <v>#VALUE!</v>
      </c>
      <c r="AJ335" s="1064">
        <f t="shared" si="26"/>
        <v>0</v>
      </c>
      <c r="AK335" s="1064">
        <f t="shared" si="27"/>
        <v>0</v>
      </c>
      <c r="AL335" s="1064">
        <f t="shared" si="28"/>
        <v>0</v>
      </c>
      <c r="AM335" s="1064">
        <f t="shared" si="29"/>
        <v>0</v>
      </c>
      <c r="AN335" s="1064"/>
      <c r="AO335" s="1064">
        <f>TB_prev[[#This Row],[Closing balance]]+TB_prev[[#This Row],[Rounding]]</f>
        <v>0</v>
      </c>
    </row>
    <row r="336" spans="30:41" x14ac:dyDescent="0.25">
      <c r="AD336" s="1067" t="str">
        <f t="shared" si="25"/>
        <v/>
      </c>
      <c r="AE336" s="1063" t="str">
        <f>IF(ISNA(VLOOKUP(TB_prev[[#This Row],[Synt]],GL[[#Headers],[#Data],[subtotal label]],1,FALSE)),0,(VLOOKUP(TB_prev[[#This Row],[Synt]],GL[[#Headers],[#Data],[subtotal label]],1,FALSE)))</f>
        <v/>
      </c>
      <c r="AF336" s="1063" t="e">
        <f>IF((TB_prev[[#This Row],[Synt]]-TB_prev[[#This Row],[Subtotal Y/N]])=0,0,VLOOKUP(TB_prev[[#This Row],[Synt]],GL[[Account]:[Line]],3,FALSE))</f>
        <v>#VALUE!</v>
      </c>
      <c r="AG336" s="1063" t="e">
        <f>VLOOKUP(TB_prev[[#This Row],[Synt]],GL[[Account]:[B/P]],4,FALSE)</f>
        <v>#N/A</v>
      </c>
      <c r="AH336" s="1066" t="e">
        <v>#VALUE!</v>
      </c>
      <c r="AI336" s="1065" t="e">
        <f>TB_prev[[#This Row],[Synt]]&amp;TB_prev[[#This Row],[Line No. manual corr.]]</f>
        <v>#VALUE!</v>
      </c>
      <c r="AJ336" s="1064">
        <f t="shared" si="26"/>
        <v>0</v>
      </c>
      <c r="AK336" s="1064">
        <f t="shared" si="27"/>
        <v>0</v>
      </c>
      <c r="AL336" s="1064">
        <f t="shared" si="28"/>
        <v>0</v>
      </c>
      <c r="AM336" s="1064">
        <f t="shared" si="29"/>
        <v>0</v>
      </c>
      <c r="AN336" s="1064"/>
      <c r="AO336" s="1064">
        <f>TB_prev[[#This Row],[Closing balance]]+TB_prev[[#This Row],[Rounding]]</f>
        <v>0</v>
      </c>
    </row>
    <row r="337" spans="30:41" x14ac:dyDescent="0.25">
      <c r="AD337" s="1067" t="str">
        <f t="shared" si="25"/>
        <v/>
      </c>
      <c r="AE337" s="1063" t="str">
        <f>IF(ISNA(VLOOKUP(TB_prev[[#This Row],[Synt]],GL[[#Headers],[#Data],[subtotal label]],1,FALSE)),0,(VLOOKUP(TB_prev[[#This Row],[Synt]],GL[[#Headers],[#Data],[subtotal label]],1,FALSE)))</f>
        <v/>
      </c>
      <c r="AF337" s="1063" t="e">
        <f>IF((TB_prev[[#This Row],[Synt]]-TB_prev[[#This Row],[Subtotal Y/N]])=0,0,VLOOKUP(TB_prev[[#This Row],[Synt]],GL[[Account]:[Line]],3,FALSE))</f>
        <v>#VALUE!</v>
      </c>
      <c r="AG337" s="1063" t="e">
        <f>VLOOKUP(TB_prev[[#This Row],[Synt]],GL[[Account]:[B/P]],4,FALSE)</f>
        <v>#N/A</v>
      </c>
      <c r="AH337" s="1066" t="e">
        <v>#VALUE!</v>
      </c>
      <c r="AI337" s="1065" t="e">
        <f>TB_prev[[#This Row],[Synt]]&amp;TB_prev[[#This Row],[Line No. manual corr.]]</f>
        <v>#VALUE!</v>
      </c>
      <c r="AJ337" s="1064">
        <f t="shared" si="26"/>
        <v>0</v>
      </c>
      <c r="AK337" s="1064">
        <f t="shared" si="27"/>
        <v>0</v>
      </c>
      <c r="AL337" s="1064">
        <f t="shared" si="28"/>
        <v>0</v>
      </c>
      <c r="AM337" s="1064">
        <f t="shared" si="29"/>
        <v>0</v>
      </c>
      <c r="AN337" s="1064"/>
      <c r="AO337" s="1064">
        <f>TB_prev[[#This Row],[Closing balance]]+TB_prev[[#This Row],[Rounding]]</f>
        <v>0</v>
      </c>
    </row>
    <row r="338" spans="30:41" x14ac:dyDescent="0.25">
      <c r="AD338" s="1067" t="str">
        <f t="shared" si="25"/>
        <v/>
      </c>
      <c r="AE338" s="1063" t="str">
        <f>IF(ISNA(VLOOKUP(TB_prev[[#This Row],[Synt]],GL[[#Headers],[#Data],[subtotal label]],1,FALSE)),0,(VLOOKUP(TB_prev[[#This Row],[Synt]],GL[[#Headers],[#Data],[subtotal label]],1,FALSE)))</f>
        <v/>
      </c>
      <c r="AF338" s="1063" t="e">
        <f>IF((TB_prev[[#This Row],[Synt]]-TB_prev[[#This Row],[Subtotal Y/N]])=0,0,VLOOKUP(TB_prev[[#This Row],[Synt]],GL[[Account]:[Line]],3,FALSE))</f>
        <v>#VALUE!</v>
      </c>
      <c r="AG338" s="1063" t="e">
        <f>VLOOKUP(TB_prev[[#This Row],[Synt]],GL[[Account]:[B/P]],4,FALSE)</f>
        <v>#N/A</v>
      </c>
      <c r="AH338" s="1066" t="e">
        <v>#VALUE!</v>
      </c>
      <c r="AI338" s="1065" t="e">
        <f>TB_prev[[#This Row],[Synt]]&amp;TB_prev[[#This Row],[Line No. manual corr.]]</f>
        <v>#VALUE!</v>
      </c>
      <c r="AJ338" s="1064">
        <f t="shared" si="26"/>
        <v>0</v>
      </c>
      <c r="AK338" s="1064">
        <f t="shared" si="27"/>
        <v>0</v>
      </c>
      <c r="AL338" s="1064">
        <f t="shared" si="28"/>
        <v>0</v>
      </c>
      <c r="AM338" s="1064">
        <f t="shared" si="29"/>
        <v>0</v>
      </c>
      <c r="AN338" s="1064"/>
      <c r="AO338" s="1064">
        <f>TB_prev[[#This Row],[Closing balance]]+TB_prev[[#This Row],[Rounding]]</f>
        <v>0</v>
      </c>
    </row>
    <row r="339" spans="30:41" x14ac:dyDescent="0.25">
      <c r="AD339" s="1067" t="str">
        <f t="shared" si="25"/>
        <v/>
      </c>
      <c r="AE339" s="1063" t="str">
        <f>IF(ISNA(VLOOKUP(TB_prev[[#This Row],[Synt]],GL[[#Headers],[#Data],[subtotal label]],1,FALSE)),0,(VLOOKUP(TB_prev[[#This Row],[Synt]],GL[[#Headers],[#Data],[subtotal label]],1,FALSE)))</f>
        <v/>
      </c>
      <c r="AF339" s="1063" t="e">
        <f>IF((TB_prev[[#This Row],[Synt]]-TB_prev[[#This Row],[Subtotal Y/N]])=0,0,VLOOKUP(TB_prev[[#This Row],[Synt]],GL[[Account]:[Line]],3,FALSE))</f>
        <v>#VALUE!</v>
      </c>
      <c r="AG339" s="1063" t="e">
        <f>VLOOKUP(TB_prev[[#This Row],[Synt]],GL[[Account]:[B/P]],4,FALSE)</f>
        <v>#N/A</v>
      </c>
      <c r="AH339" s="1066" t="e">
        <v>#VALUE!</v>
      </c>
      <c r="AI339" s="1065" t="e">
        <f>TB_prev[[#This Row],[Synt]]&amp;TB_prev[[#This Row],[Line No. manual corr.]]</f>
        <v>#VALUE!</v>
      </c>
      <c r="AJ339" s="1064">
        <f t="shared" si="26"/>
        <v>0</v>
      </c>
      <c r="AK339" s="1064">
        <f t="shared" si="27"/>
        <v>0</v>
      </c>
      <c r="AL339" s="1064">
        <f t="shared" si="28"/>
        <v>0</v>
      </c>
      <c r="AM339" s="1064">
        <f t="shared" si="29"/>
        <v>0</v>
      </c>
      <c r="AN339" s="1064"/>
      <c r="AO339" s="1064">
        <f>TB_prev[[#This Row],[Closing balance]]+TB_prev[[#This Row],[Rounding]]</f>
        <v>0</v>
      </c>
    </row>
    <row r="340" spans="30:41" x14ac:dyDescent="0.25">
      <c r="AD340" s="1067" t="str">
        <f t="shared" si="25"/>
        <v/>
      </c>
      <c r="AE340" s="1063" t="str">
        <f>IF(ISNA(VLOOKUP(TB_prev[[#This Row],[Synt]],GL[[#Headers],[#Data],[subtotal label]],1,FALSE)),0,(VLOOKUP(TB_prev[[#This Row],[Synt]],GL[[#Headers],[#Data],[subtotal label]],1,FALSE)))</f>
        <v/>
      </c>
      <c r="AF340" s="1063" t="e">
        <f>IF((TB_prev[[#This Row],[Synt]]-TB_prev[[#This Row],[Subtotal Y/N]])=0,0,VLOOKUP(TB_prev[[#This Row],[Synt]],GL[[Account]:[Line]],3,FALSE))</f>
        <v>#VALUE!</v>
      </c>
      <c r="AG340" s="1063" t="e">
        <f>VLOOKUP(TB_prev[[#This Row],[Synt]],GL[[Account]:[B/P]],4,FALSE)</f>
        <v>#N/A</v>
      </c>
      <c r="AH340" s="1066" t="e">
        <v>#VALUE!</v>
      </c>
      <c r="AI340" s="1065" t="e">
        <f>TB_prev[[#This Row],[Synt]]&amp;TB_prev[[#This Row],[Line No. manual corr.]]</f>
        <v>#VALUE!</v>
      </c>
      <c r="AJ340" s="1064">
        <f t="shared" si="26"/>
        <v>0</v>
      </c>
      <c r="AK340" s="1064">
        <f t="shared" si="27"/>
        <v>0</v>
      </c>
      <c r="AL340" s="1064">
        <f t="shared" si="28"/>
        <v>0</v>
      </c>
      <c r="AM340" s="1064">
        <f t="shared" si="29"/>
        <v>0</v>
      </c>
      <c r="AN340" s="1064"/>
      <c r="AO340" s="1064">
        <f>TB_prev[[#This Row],[Closing balance]]+TB_prev[[#This Row],[Rounding]]</f>
        <v>0</v>
      </c>
    </row>
    <row r="341" spans="30:41" x14ac:dyDescent="0.25">
      <c r="AD341" s="1067" t="str">
        <f t="shared" si="25"/>
        <v/>
      </c>
      <c r="AE341" s="1063" t="str">
        <f>IF(ISNA(VLOOKUP(TB_prev[[#This Row],[Synt]],GL[[#Headers],[#Data],[subtotal label]],1,FALSE)),0,(VLOOKUP(TB_prev[[#This Row],[Synt]],GL[[#Headers],[#Data],[subtotal label]],1,FALSE)))</f>
        <v/>
      </c>
      <c r="AF341" s="1063" t="e">
        <f>IF((TB_prev[[#This Row],[Synt]]-TB_prev[[#This Row],[Subtotal Y/N]])=0,0,VLOOKUP(TB_prev[[#This Row],[Synt]],GL[[Account]:[Line]],3,FALSE))</f>
        <v>#VALUE!</v>
      </c>
      <c r="AG341" s="1063" t="e">
        <f>VLOOKUP(TB_prev[[#This Row],[Synt]],GL[[Account]:[B/P]],4,FALSE)</f>
        <v>#N/A</v>
      </c>
      <c r="AH341" s="1066" t="e">
        <v>#VALUE!</v>
      </c>
      <c r="AI341" s="1065" t="e">
        <f>TB_prev[[#This Row],[Synt]]&amp;TB_prev[[#This Row],[Line No. manual corr.]]</f>
        <v>#VALUE!</v>
      </c>
      <c r="AJ341" s="1064">
        <f t="shared" si="26"/>
        <v>0</v>
      </c>
      <c r="AK341" s="1064">
        <f t="shared" si="27"/>
        <v>0</v>
      </c>
      <c r="AL341" s="1064">
        <f t="shared" si="28"/>
        <v>0</v>
      </c>
      <c r="AM341" s="1064">
        <f t="shared" si="29"/>
        <v>0</v>
      </c>
      <c r="AN341" s="1064"/>
      <c r="AO341" s="1064">
        <f>TB_prev[[#This Row],[Closing balance]]+TB_prev[[#This Row],[Rounding]]</f>
        <v>0</v>
      </c>
    </row>
    <row r="342" spans="30:41" x14ac:dyDescent="0.25">
      <c r="AD342" s="1067" t="str">
        <f t="shared" si="25"/>
        <v/>
      </c>
      <c r="AE342" s="1063" t="str">
        <f>IF(ISNA(VLOOKUP(TB_prev[[#This Row],[Synt]],GL[[#Headers],[#Data],[subtotal label]],1,FALSE)),0,(VLOOKUP(TB_prev[[#This Row],[Synt]],GL[[#Headers],[#Data],[subtotal label]],1,FALSE)))</f>
        <v/>
      </c>
      <c r="AF342" s="1063" t="e">
        <f>IF((TB_prev[[#This Row],[Synt]]-TB_prev[[#This Row],[Subtotal Y/N]])=0,0,VLOOKUP(TB_prev[[#This Row],[Synt]],GL[[Account]:[Line]],3,FALSE))</f>
        <v>#VALUE!</v>
      </c>
      <c r="AG342" s="1063" t="e">
        <f>VLOOKUP(TB_prev[[#This Row],[Synt]],GL[[Account]:[B/P]],4,FALSE)</f>
        <v>#N/A</v>
      </c>
      <c r="AH342" s="1066" t="e">
        <v>#VALUE!</v>
      </c>
      <c r="AI342" s="1065" t="e">
        <f>TB_prev[[#This Row],[Synt]]&amp;TB_prev[[#This Row],[Line No. manual corr.]]</f>
        <v>#VALUE!</v>
      </c>
      <c r="AJ342" s="1064">
        <f t="shared" si="26"/>
        <v>0</v>
      </c>
      <c r="AK342" s="1064">
        <f t="shared" si="27"/>
        <v>0</v>
      </c>
      <c r="AL342" s="1064">
        <f t="shared" si="28"/>
        <v>0</v>
      </c>
      <c r="AM342" s="1064">
        <f t="shared" si="29"/>
        <v>0</v>
      </c>
      <c r="AN342" s="1064"/>
      <c r="AO342" s="1064">
        <f>TB_prev[[#This Row],[Closing balance]]+TB_prev[[#This Row],[Rounding]]</f>
        <v>0</v>
      </c>
    </row>
    <row r="343" spans="30:41" x14ac:dyDescent="0.25">
      <c r="AD343" s="1067" t="str">
        <f t="shared" si="25"/>
        <v/>
      </c>
      <c r="AE343" s="1063" t="str">
        <f>IF(ISNA(VLOOKUP(TB_prev[[#This Row],[Synt]],GL[[#Headers],[#Data],[subtotal label]],1,FALSE)),0,(VLOOKUP(TB_prev[[#This Row],[Synt]],GL[[#Headers],[#Data],[subtotal label]],1,FALSE)))</f>
        <v/>
      </c>
      <c r="AF343" s="1063" t="e">
        <f>IF((TB_prev[[#This Row],[Synt]]-TB_prev[[#This Row],[Subtotal Y/N]])=0,0,VLOOKUP(TB_prev[[#This Row],[Synt]],GL[[Account]:[Line]],3,FALSE))</f>
        <v>#VALUE!</v>
      </c>
      <c r="AG343" s="1063" t="e">
        <f>VLOOKUP(TB_prev[[#This Row],[Synt]],GL[[Account]:[B/P]],4,FALSE)</f>
        <v>#N/A</v>
      </c>
      <c r="AH343" s="1066" t="e">
        <v>#VALUE!</v>
      </c>
      <c r="AI343" s="1065" t="e">
        <f>TB_prev[[#This Row],[Synt]]&amp;TB_prev[[#This Row],[Line No. manual corr.]]</f>
        <v>#VALUE!</v>
      </c>
      <c r="AJ343" s="1064">
        <f t="shared" si="26"/>
        <v>0</v>
      </c>
      <c r="AK343" s="1064">
        <f t="shared" si="27"/>
        <v>0</v>
      </c>
      <c r="AL343" s="1064">
        <f t="shared" si="28"/>
        <v>0</v>
      </c>
      <c r="AM343" s="1064">
        <f t="shared" si="29"/>
        <v>0</v>
      </c>
      <c r="AN343" s="1064"/>
      <c r="AO343" s="1064">
        <f>TB_prev[[#This Row],[Closing balance]]+TB_prev[[#This Row],[Rounding]]</f>
        <v>0</v>
      </c>
    </row>
    <row r="344" spans="30:41" x14ac:dyDescent="0.25">
      <c r="AD344" s="1067" t="str">
        <f t="shared" si="25"/>
        <v/>
      </c>
      <c r="AE344" s="1063" t="str">
        <f>IF(ISNA(VLOOKUP(TB_prev[[#This Row],[Synt]],GL[[#Headers],[#Data],[subtotal label]],1,FALSE)),0,(VLOOKUP(TB_prev[[#This Row],[Synt]],GL[[#Headers],[#Data],[subtotal label]],1,FALSE)))</f>
        <v/>
      </c>
      <c r="AF344" s="1063" t="e">
        <f>IF((TB_prev[[#This Row],[Synt]]-TB_prev[[#This Row],[Subtotal Y/N]])=0,0,VLOOKUP(TB_prev[[#This Row],[Synt]],GL[[Account]:[Line]],3,FALSE))</f>
        <v>#VALUE!</v>
      </c>
      <c r="AG344" s="1063" t="e">
        <f>VLOOKUP(TB_prev[[#This Row],[Synt]],GL[[Account]:[B/P]],4,FALSE)</f>
        <v>#N/A</v>
      </c>
      <c r="AH344" s="1066" t="e">
        <v>#VALUE!</v>
      </c>
      <c r="AI344" s="1065" t="e">
        <f>TB_prev[[#This Row],[Synt]]&amp;TB_prev[[#This Row],[Line No. manual corr.]]</f>
        <v>#VALUE!</v>
      </c>
      <c r="AJ344" s="1064">
        <f t="shared" si="26"/>
        <v>0</v>
      </c>
      <c r="AK344" s="1064">
        <f t="shared" si="27"/>
        <v>0</v>
      </c>
      <c r="AL344" s="1064">
        <f t="shared" si="28"/>
        <v>0</v>
      </c>
      <c r="AM344" s="1064">
        <f t="shared" si="29"/>
        <v>0</v>
      </c>
      <c r="AN344" s="1064"/>
      <c r="AO344" s="1064">
        <f>TB_prev[[#This Row],[Closing balance]]+TB_prev[[#This Row],[Rounding]]</f>
        <v>0</v>
      </c>
    </row>
    <row r="345" spans="30:41" x14ac:dyDescent="0.25">
      <c r="AD345" s="1067" t="str">
        <f t="shared" si="25"/>
        <v/>
      </c>
      <c r="AE345" s="1063" t="str">
        <f>IF(ISNA(VLOOKUP(TB_prev[[#This Row],[Synt]],GL[[#Headers],[#Data],[subtotal label]],1,FALSE)),0,(VLOOKUP(TB_prev[[#This Row],[Synt]],GL[[#Headers],[#Data],[subtotal label]],1,FALSE)))</f>
        <v/>
      </c>
      <c r="AF345" s="1063" t="e">
        <f>IF((TB_prev[[#This Row],[Synt]]-TB_prev[[#This Row],[Subtotal Y/N]])=0,0,VLOOKUP(TB_prev[[#This Row],[Synt]],GL[[Account]:[Line]],3,FALSE))</f>
        <v>#VALUE!</v>
      </c>
      <c r="AG345" s="1063" t="e">
        <f>VLOOKUP(TB_prev[[#This Row],[Synt]],GL[[Account]:[B/P]],4,FALSE)</f>
        <v>#N/A</v>
      </c>
      <c r="AH345" s="1066" t="e">
        <v>#VALUE!</v>
      </c>
      <c r="AI345" s="1065" t="e">
        <f>TB_prev[[#This Row],[Synt]]&amp;TB_prev[[#This Row],[Line No. manual corr.]]</f>
        <v>#VALUE!</v>
      </c>
      <c r="AJ345" s="1064">
        <f t="shared" si="26"/>
        <v>0</v>
      </c>
      <c r="AK345" s="1064">
        <f t="shared" si="27"/>
        <v>0</v>
      </c>
      <c r="AL345" s="1064">
        <f t="shared" si="28"/>
        <v>0</v>
      </c>
      <c r="AM345" s="1064">
        <f t="shared" si="29"/>
        <v>0</v>
      </c>
      <c r="AN345" s="1064"/>
      <c r="AO345" s="1064">
        <f>TB_prev[[#This Row],[Closing balance]]+TB_prev[[#This Row],[Rounding]]</f>
        <v>0</v>
      </c>
    </row>
    <row r="346" spans="30:41" x14ac:dyDescent="0.25">
      <c r="AD346" s="1067" t="str">
        <f t="shared" si="25"/>
        <v/>
      </c>
      <c r="AE346" s="1063" t="str">
        <f>IF(ISNA(VLOOKUP(TB_prev[[#This Row],[Synt]],GL[[#Headers],[#Data],[subtotal label]],1,FALSE)),0,(VLOOKUP(TB_prev[[#This Row],[Synt]],GL[[#Headers],[#Data],[subtotal label]],1,FALSE)))</f>
        <v/>
      </c>
      <c r="AF346" s="1063" t="e">
        <f>IF((TB_prev[[#This Row],[Synt]]-TB_prev[[#This Row],[Subtotal Y/N]])=0,0,VLOOKUP(TB_prev[[#This Row],[Synt]],GL[[Account]:[Line]],3,FALSE))</f>
        <v>#VALUE!</v>
      </c>
      <c r="AG346" s="1063" t="e">
        <f>VLOOKUP(TB_prev[[#This Row],[Synt]],GL[[Account]:[B/P]],4,FALSE)</f>
        <v>#N/A</v>
      </c>
      <c r="AH346" s="1066" t="e">
        <v>#VALUE!</v>
      </c>
      <c r="AI346" s="1065" t="e">
        <f>TB_prev[[#This Row],[Synt]]&amp;TB_prev[[#This Row],[Line No. manual corr.]]</f>
        <v>#VALUE!</v>
      </c>
      <c r="AJ346" s="1064">
        <f t="shared" si="26"/>
        <v>0</v>
      </c>
      <c r="AK346" s="1064">
        <f t="shared" si="27"/>
        <v>0</v>
      </c>
      <c r="AL346" s="1064">
        <f t="shared" si="28"/>
        <v>0</v>
      </c>
      <c r="AM346" s="1064">
        <f t="shared" si="29"/>
        <v>0</v>
      </c>
      <c r="AN346" s="1064"/>
      <c r="AO346" s="1064">
        <f>TB_prev[[#This Row],[Closing balance]]+TB_prev[[#This Row],[Rounding]]</f>
        <v>0</v>
      </c>
    </row>
    <row r="347" spans="30:41" x14ac:dyDescent="0.25">
      <c r="AD347" s="1067" t="str">
        <f t="shared" si="25"/>
        <v/>
      </c>
      <c r="AE347" s="1063" t="str">
        <f>IF(ISNA(VLOOKUP(TB_prev[[#This Row],[Synt]],GL[[#Headers],[#Data],[subtotal label]],1,FALSE)),0,(VLOOKUP(TB_prev[[#This Row],[Synt]],GL[[#Headers],[#Data],[subtotal label]],1,FALSE)))</f>
        <v/>
      </c>
      <c r="AF347" s="1063" t="e">
        <f>IF((TB_prev[[#This Row],[Synt]]-TB_prev[[#This Row],[Subtotal Y/N]])=0,0,VLOOKUP(TB_prev[[#This Row],[Synt]],GL[[Account]:[Line]],3,FALSE))</f>
        <v>#VALUE!</v>
      </c>
      <c r="AG347" s="1063" t="e">
        <f>VLOOKUP(TB_prev[[#This Row],[Synt]],GL[[Account]:[B/P]],4,FALSE)</f>
        <v>#N/A</v>
      </c>
      <c r="AH347" s="1066" t="e">
        <v>#VALUE!</v>
      </c>
      <c r="AI347" s="1065" t="e">
        <f>TB_prev[[#This Row],[Synt]]&amp;TB_prev[[#This Row],[Line No. manual corr.]]</f>
        <v>#VALUE!</v>
      </c>
      <c r="AJ347" s="1064">
        <f t="shared" si="26"/>
        <v>0</v>
      </c>
      <c r="AK347" s="1064">
        <f t="shared" si="27"/>
        <v>0</v>
      </c>
      <c r="AL347" s="1064">
        <f t="shared" si="28"/>
        <v>0</v>
      </c>
      <c r="AM347" s="1064">
        <f t="shared" si="29"/>
        <v>0</v>
      </c>
      <c r="AN347" s="1064"/>
      <c r="AO347" s="1064">
        <f>TB_prev[[#This Row],[Closing balance]]+TB_prev[[#This Row],[Rounding]]</f>
        <v>0</v>
      </c>
    </row>
    <row r="348" spans="30:41" x14ac:dyDescent="0.25">
      <c r="AD348" s="1067" t="str">
        <f t="shared" si="25"/>
        <v/>
      </c>
      <c r="AE348" s="1063" t="str">
        <f>IF(ISNA(VLOOKUP(TB_prev[[#This Row],[Synt]],GL[[#Headers],[#Data],[subtotal label]],1,FALSE)),0,(VLOOKUP(TB_prev[[#This Row],[Synt]],GL[[#Headers],[#Data],[subtotal label]],1,FALSE)))</f>
        <v/>
      </c>
      <c r="AF348" s="1063" t="e">
        <f>IF((TB_prev[[#This Row],[Synt]]-TB_prev[[#This Row],[Subtotal Y/N]])=0,0,VLOOKUP(TB_prev[[#This Row],[Synt]],GL[[Account]:[Line]],3,FALSE))</f>
        <v>#VALUE!</v>
      </c>
      <c r="AG348" s="1063" t="e">
        <f>VLOOKUP(TB_prev[[#This Row],[Synt]],GL[[Account]:[B/P]],4,FALSE)</f>
        <v>#N/A</v>
      </c>
      <c r="AH348" s="1066" t="e">
        <v>#VALUE!</v>
      </c>
      <c r="AI348" s="1065" t="e">
        <f>TB_prev[[#This Row],[Synt]]&amp;TB_prev[[#This Row],[Line No. manual corr.]]</f>
        <v>#VALUE!</v>
      </c>
      <c r="AJ348" s="1064">
        <f t="shared" si="26"/>
        <v>0</v>
      </c>
      <c r="AK348" s="1064">
        <f t="shared" si="27"/>
        <v>0</v>
      </c>
      <c r="AL348" s="1064">
        <f t="shared" si="28"/>
        <v>0</v>
      </c>
      <c r="AM348" s="1064">
        <f t="shared" si="29"/>
        <v>0</v>
      </c>
      <c r="AN348" s="1064"/>
      <c r="AO348" s="1064">
        <f>TB_prev[[#This Row],[Closing balance]]+TB_prev[[#This Row],[Rounding]]</f>
        <v>0</v>
      </c>
    </row>
    <row r="349" spans="30:41" x14ac:dyDescent="0.25">
      <c r="AD349" s="1067" t="str">
        <f t="shared" si="25"/>
        <v/>
      </c>
      <c r="AE349" s="1063" t="str">
        <f>IF(ISNA(VLOOKUP(TB_prev[[#This Row],[Synt]],GL[[#Headers],[#Data],[subtotal label]],1,FALSE)),0,(VLOOKUP(TB_prev[[#This Row],[Synt]],GL[[#Headers],[#Data],[subtotal label]],1,FALSE)))</f>
        <v/>
      </c>
      <c r="AF349" s="1063" t="e">
        <f>IF((TB_prev[[#This Row],[Synt]]-TB_prev[[#This Row],[Subtotal Y/N]])=0,0,VLOOKUP(TB_prev[[#This Row],[Synt]],GL[[Account]:[Line]],3,FALSE))</f>
        <v>#VALUE!</v>
      </c>
      <c r="AG349" s="1063" t="e">
        <f>VLOOKUP(TB_prev[[#This Row],[Synt]],GL[[Account]:[B/P]],4,FALSE)</f>
        <v>#N/A</v>
      </c>
      <c r="AH349" s="1066" t="e">
        <v>#VALUE!</v>
      </c>
      <c r="AI349" s="1065" t="e">
        <f>TB_prev[[#This Row],[Synt]]&amp;TB_prev[[#This Row],[Line No. manual corr.]]</f>
        <v>#VALUE!</v>
      </c>
      <c r="AJ349" s="1064">
        <f t="shared" si="26"/>
        <v>0</v>
      </c>
      <c r="AK349" s="1064">
        <f t="shared" si="27"/>
        <v>0</v>
      </c>
      <c r="AL349" s="1064">
        <f t="shared" si="28"/>
        <v>0</v>
      </c>
      <c r="AM349" s="1064">
        <f t="shared" si="29"/>
        <v>0</v>
      </c>
      <c r="AN349" s="1064"/>
      <c r="AO349" s="1064">
        <f>TB_prev[[#This Row],[Closing balance]]+TB_prev[[#This Row],[Rounding]]</f>
        <v>0</v>
      </c>
    </row>
    <row r="350" spans="30:41" x14ac:dyDescent="0.25">
      <c r="AD350" s="1067" t="str">
        <f t="shared" si="25"/>
        <v/>
      </c>
      <c r="AE350" s="1063" t="str">
        <f>IF(ISNA(VLOOKUP(TB_prev[[#This Row],[Synt]],GL[[#Headers],[#Data],[subtotal label]],1,FALSE)),0,(VLOOKUP(TB_prev[[#This Row],[Synt]],GL[[#Headers],[#Data],[subtotal label]],1,FALSE)))</f>
        <v/>
      </c>
      <c r="AF350" s="1063" t="e">
        <f>IF((TB_prev[[#This Row],[Synt]]-TB_prev[[#This Row],[Subtotal Y/N]])=0,0,VLOOKUP(TB_prev[[#This Row],[Synt]],GL[[Account]:[Line]],3,FALSE))</f>
        <v>#VALUE!</v>
      </c>
      <c r="AG350" s="1063" t="e">
        <f>VLOOKUP(TB_prev[[#This Row],[Synt]],GL[[Account]:[B/P]],4,FALSE)</f>
        <v>#N/A</v>
      </c>
      <c r="AH350" s="1066" t="e">
        <v>#VALUE!</v>
      </c>
      <c r="AI350" s="1065" t="e">
        <f>TB_prev[[#This Row],[Synt]]&amp;TB_prev[[#This Row],[Line No. manual corr.]]</f>
        <v>#VALUE!</v>
      </c>
      <c r="AJ350" s="1064">
        <f t="shared" si="26"/>
        <v>0</v>
      </c>
      <c r="AK350" s="1064">
        <f t="shared" si="27"/>
        <v>0</v>
      </c>
      <c r="AL350" s="1064">
        <f t="shared" si="28"/>
        <v>0</v>
      </c>
      <c r="AM350" s="1064">
        <f t="shared" si="29"/>
        <v>0</v>
      </c>
      <c r="AN350" s="1064"/>
      <c r="AO350" s="1064">
        <f>TB_prev[[#This Row],[Closing balance]]+TB_prev[[#This Row],[Rounding]]</f>
        <v>0</v>
      </c>
    </row>
    <row r="351" spans="30:41" x14ac:dyDescent="0.25">
      <c r="AD351" s="1067" t="str">
        <f t="shared" si="25"/>
        <v/>
      </c>
      <c r="AE351" s="1063" t="str">
        <f>IF(ISNA(VLOOKUP(TB_prev[[#This Row],[Synt]],GL[[#Headers],[#Data],[subtotal label]],1,FALSE)),0,(VLOOKUP(TB_prev[[#This Row],[Synt]],GL[[#Headers],[#Data],[subtotal label]],1,FALSE)))</f>
        <v/>
      </c>
      <c r="AF351" s="1063" t="e">
        <f>IF((TB_prev[[#This Row],[Synt]]-TB_prev[[#This Row],[Subtotal Y/N]])=0,0,VLOOKUP(TB_prev[[#This Row],[Synt]],GL[[Account]:[Line]],3,FALSE))</f>
        <v>#VALUE!</v>
      </c>
      <c r="AG351" s="1063" t="e">
        <f>VLOOKUP(TB_prev[[#This Row],[Synt]],GL[[Account]:[B/P]],4,FALSE)</f>
        <v>#N/A</v>
      </c>
      <c r="AH351" s="1066" t="e">
        <v>#VALUE!</v>
      </c>
      <c r="AI351" s="1065" t="e">
        <f>TB_prev[[#This Row],[Synt]]&amp;TB_prev[[#This Row],[Line No. manual corr.]]</f>
        <v>#VALUE!</v>
      </c>
      <c r="AJ351" s="1064">
        <f t="shared" si="26"/>
        <v>0</v>
      </c>
      <c r="AK351" s="1064">
        <f t="shared" si="27"/>
        <v>0</v>
      </c>
      <c r="AL351" s="1064">
        <f t="shared" si="28"/>
        <v>0</v>
      </c>
      <c r="AM351" s="1064">
        <f t="shared" si="29"/>
        <v>0</v>
      </c>
      <c r="AN351" s="1064"/>
      <c r="AO351" s="1064">
        <f>TB_prev[[#This Row],[Closing balance]]+TB_prev[[#This Row],[Rounding]]</f>
        <v>0</v>
      </c>
    </row>
    <row r="352" spans="30:41" x14ac:dyDescent="0.25">
      <c r="AD352" s="1067" t="str">
        <f t="shared" si="25"/>
        <v/>
      </c>
      <c r="AE352" s="1063" t="str">
        <f>IF(ISNA(VLOOKUP(TB_prev[[#This Row],[Synt]],GL[[#Headers],[#Data],[subtotal label]],1,FALSE)),0,(VLOOKUP(TB_prev[[#This Row],[Synt]],GL[[#Headers],[#Data],[subtotal label]],1,FALSE)))</f>
        <v/>
      </c>
      <c r="AF352" s="1063" t="e">
        <f>IF((TB_prev[[#This Row],[Synt]]-TB_prev[[#This Row],[Subtotal Y/N]])=0,0,VLOOKUP(TB_prev[[#This Row],[Synt]],GL[[Account]:[Line]],3,FALSE))</f>
        <v>#VALUE!</v>
      </c>
      <c r="AG352" s="1063" t="e">
        <f>VLOOKUP(TB_prev[[#This Row],[Synt]],GL[[Account]:[B/P]],4,FALSE)</f>
        <v>#N/A</v>
      </c>
      <c r="AH352" s="1066" t="e">
        <v>#VALUE!</v>
      </c>
      <c r="AI352" s="1065" t="e">
        <f>TB_prev[[#This Row],[Synt]]&amp;TB_prev[[#This Row],[Line No. manual corr.]]</f>
        <v>#VALUE!</v>
      </c>
      <c r="AJ352" s="1064">
        <f t="shared" si="26"/>
        <v>0</v>
      </c>
      <c r="AK352" s="1064">
        <f t="shared" si="27"/>
        <v>0</v>
      </c>
      <c r="AL352" s="1064">
        <f t="shared" si="28"/>
        <v>0</v>
      </c>
      <c r="AM352" s="1064">
        <f t="shared" si="29"/>
        <v>0</v>
      </c>
      <c r="AN352" s="1064"/>
      <c r="AO352" s="1064">
        <f>TB_prev[[#This Row],[Closing balance]]+TB_prev[[#This Row],[Rounding]]</f>
        <v>0</v>
      </c>
    </row>
    <row r="353" spans="30:41" x14ac:dyDescent="0.25">
      <c r="AD353" s="1067" t="str">
        <f t="shared" si="25"/>
        <v/>
      </c>
      <c r="AE353" s="1063" t="str">
        <f>IF(ISNA(VLOOKUP(TB_prev[[#This Row],[Synt]],GL[[#Headers],[#Data],[subtotal label]],1,FALSE)),0,(VLOOKUP(TB_prev[[#This Row],[Synt]],GL[[#Headers],[#Data],[subtotal label]],1,FALSE)))</f>
        <v/>
      </c>
      <c r="AF353" s="1063" t="e">
        <f>IF((TB_prev[[#This Row],[Synt]]-TB_prev[[#This Row],[Subtotal Y/N]])=0,0,VLOOKUP(TB_prev[[#This Row],[Synt]],GL[[Account]:[Line]],3,FALSE))</f>
        <v>#VALUE!</v>
      </c>
      <c r="AG353" s="1063" t="e">
        <f>VLOOKUP(TB_prev[[#This Row],[Synt]],GL[[Account]:[B/P]],4,FALSE)</f>
        <v>#N/A</v>
      </c>
      <c r="AH353" s="1066" t="e">
        <v>#VALUE!</v>
      </c>
      <c r="AI353" s="1065" t="e">
        <f>TB_prev[[#This Row],[Synt]]&amp;TB_prev[[#This Row],[Line No. manual corr.]]</f>
        <v>#VALUE!</v>
      </c>
      <c r="AJ353" s="1064">
        <f t="shared" si="26"/>
        <v>0</v>
      </c>
      <c r="AK353" s="1064">
        <f t="shared" si="27"/>
        <v>0</v>
      </c>
      <c r="AL353" s="1064">
        <f t="shared" si="28"/>
        <v>0</v>
      </c>
      <c r="AM353" s="1064">
        <f t="shared" si="29"/>
        <v>0</v>
      </c>
      <c r="AN353" s="1064"/>
      <c r="AO353" s="1064">
        <f>TB_prev[[#This Row],[Closing balance]]+TB_prev[[#This Row],[Rounding]]</f>
        <v>0</v>
      </c>
    </row>
    <row r="354" spans="30:41" x14ac:dyDescent="0.25">
      <c r="AD354" s="1067" t="str">
        <f t="shared" si="25"/>
        <v/>
      </c>
      <c r="AE354" s="1063" t="str">
        <f>IF(ISNA(VLOOKUP(TB_prev[[#This Row],[Synt]],GL[[#Headers],[#Data],[subtotal label]],1,FALSE)),0,(VLOOKUP(TB_prev[[#This Row],[Synt]],GL[[#Headers],[#Data],[subtotal label]],1,FALSE)))</f>
        <v/>
      </c>
      <c r="AF354" s="1063" t="e">
        <f>IF((TB_prev[[#This Row],[Synt]]-TB_prev[[#This Row],[Subtotal Y/N]])=0,0,VLOOKUP(TB_prev[[#This Row],[Synt]],GL[[Account]:[Line]],3,FALSE))</f>
        <v>#VALUE!</v>
      </c>
      <c r="AG354" s="1063" t="e">
        <f>VLOOKUP(TB_prev[[#This Row],[Synt]],GL[[Account]:[B/P]],4,FALSE)</f>
        <v>#N/A</v>
      </c>
      <c r="AH354" s="1066" t="e">
        <v>#VALUE!</v>
      </c>
      <c r="AI354" s="1065" t="e">
        <f>TB_prev[[#This Row],[Synt]]&amp;TB_prev[[#This Row],[Line No. manual corr.]]</f>
        <v>#VALUE!</v>
      </c>
      <c r="AJ354" s="1064">
        <f t="shared" si="26"/>
        <v>0</v>
      </c>
      <c r="AK354" s="1064">
        <f t="shared" si="27"/>
        <v>0</v>
      </c>
      <c r="AL354" s="1064">
        <f t="shared" si="28"/>
        <v>0</v>
      </c>
      <c r="AM354" s="1064">
        <f t="shared" si="29"/>
        <v>0</v>
      </c>
      <c r="AN354" s="1064"/>
      <c r="AO354" s="1064">
        <f>TB_prev[[#This Row],[Closing balance]]+TB_prev[[#This Row],[Rounding]]</f>
        <v>0</v>
      </c>
    </row>
    <row r="355" spans="30:41" x14ac:dyDescent="0.25">
      <c r="AD355" s="1067" t="str">
        <f t="shared" si="25"/>
        <v/>
      </c>
      <c r="AE355" s="1063" t="str">
        <f>IF(ISNA(VLOOKUP(TB_prev[[#This Row],[Synt]],GL[[#Headers],[#Data],[subtotal label]],1,FALSE)),0,(VLOOKUP(TB_prev[[#This Row],[Synt]],GL[[#Headers],[#Data],[subtotal label]],1,FALSE)))</f>
        <v/>
      </c>
      <c r="AF355" s="1063" t="e">
        <f>IF((TB_prev[[#This Row],[Synt]]-TB_prev[[#This Row],[Subtotal Y/N]])=0,0,VLOOKUP(TB_prev[[#This Row],[Synt]],GL[[Account]:[Line]],3,FALSE))</f>
        <v>#VALUE!</v>
      </c>
      <c r="AG355" s="1063" t="e">
        <f>VLOOKUP(TB_prev[[#This Row],[Synt]],GL[[Account]:[B/P]],4,FALSE)</f>
        <v>#N/A</v>
      </c>
      <c r="AH355" s="1066" t="e">
        <v>#VALUE!</v>
      </c>
      <c r="AI355" s="1065" t="e">
        <f>TB_prev[[#This Row],[Synt]]&amp;TB_prev[[#This Row],[Line No. manual corr.]]</f>
        <v>#VALUE!</v>
      </c>
      <c r="AJ355" s="1064">
        <f t="shared" si="26"/>
        <v>0</v>
      </c>
      <c r="AK355" s="1064">
        <f t="shared" si="27"/>
        <v>0</v>
      </c>
      <c r="AL355" s="1064">
        <f t="shared" si="28"/>
        <v>0</v>
      </c>
      <c r="AM355" s="1064">
        <f t="shared" si="29"/>
        <v>0</v>
      </c>
      <c r="AN355" s="1064"/>
      <c r="AO355" s="1064">
        <f>TB_prev[[#This Row],[Closing balance]]+TB_prev[[#This Row],[Rounding]]</f>
        <v>0</v>
      </c>
    </row>
    <row r="356" spans="30:41" x14ac:dyDescent="0.25">
      <c r="AD356" s="1067" t="str">
        <f t="shared" si="25"/>
        <v/>
      </c>
      <c r="AE356" s="1063" t="str">
        <f>IF(ISNA(VLOOKUP(TB_prev[[#This Row],[Synt]],GL[[#Headers],[#Data],[subtotal label]],1,FALSE)),0,(VLOOKUP(TB_prev[[#This Row],[Synt]],GL[[#Headers],[#Data],[subtotal label]],1,FALSE)))</f>
        <v/>
      </c>
      <c r="AF356" s="1063" t="e">
        <f>IF((TB_prev[[#This Row],[Synt]]-TB_prev[[#This Row],[Subtotal Y/N]])=0,0,VLOOKUP(TB_prev[[#This Row],[Synt]],GL[[Account]:[Line]],3,FALSE))</f>
        <v>#VALUE!</v>
      </c>
      <c r="AG356" s="1063" t="e">
        <f>VLOOKUP(TB_prev[[#This Row],[Synt]],GL[[Account]:[B/P]],4,FALSE)</f>
        <v>#N/A</v>
      </c>
      <c r="AH356" s="1066" t="e">
        <v>#VALUE!</v>
      </c>
      <c r="AI356" s="1065" t="e">
        <f>TB_prev[[#This Row],[Synt]]&amp;TB_prev[[#This Row],[Line No. manual corr.]]</f>
        <v>#VALUE!</v>
      </c>
      <c r="AJ356" s="1064">
        <f t="shared" si="26"/>
        <v>0</v>
      </c>
      <c r="AK356" s="1064">
        <f t="shared" si="27"/>
        <v>0</v>
      </c>
      <c r="AL356" s="1064">
        <f t="shared" si="28"/>
        <v>0</v>
      </c>
      <c r="AM356" s="1064">
        <f t="shared" si="29"/>
        <v>0</v>
      </c>
      <c r="AN356" s="1064"/>
      <c r="AO356" s="1064">
        <f>TB_prev[[#This Row],[Closing balance]]+TB_prev[[#This Row],[Rounding]]</f>
        <v>0</v>
      </c>
    </row>
    <row r="357" spans="30:41" x14ac:dyDescent="0.25">
      <c r="AD357" s="1067" t="str">
        <f t="shared" si="25"/>
        <v/>
      </c>
      <c r="AE357" s="1063" t="str">
        <f>IF(ISNA(VLOOKUP(TB_prev[[#This Row],[Synt]],GL[[#Headers],[#Data],[subtotal label]],1,FALSE)),0,(VLOOKUP(TB_prev[[#This Row],[Synt]],GL[[#Headers],[#Data],[subtotal label]],1,FALSE)))</f>
        <v/>
      </c>
      <c r="AF357" s="1063" t="e">
        <f>IF((TB_prev[[#This Row],[Synt]]-TB_prev[[#This Row],[Subtotal Y/N]])=0,0,VLOOKUP(TB_prev[[#This Row],[Synt]],GL[[Account]:[Line]],3,FALSE))</f>
        <v>#VALUE!</v>
      </c>
      <c r="AG357" s="1063" t="e">
        <f>VLOOKUP(TB_prev[[#This Row],[Synt]],GL[[Account]:[B/P]],4,FALSE)</f>
        <v>#N/A</v>
      </c>
      <c r="AH357" s="1066" t="e">
        <v>#VALUE!</v>
      </c>
      <c r="AI357" s="1065" t="e">
        <f>TB_prev[[#This Row],[Synt]]&amp;TB_prev[[#This Row],[Line No. manual corr.]]</f>
        <v>#VALUE!</v>
      </c>
      <c r="AJ357" s="1064">
        <f t="shared" si="26"/>
        <v>0</v>
      </c>
      <c r="AK357" s="1064">
        <f t="shared" si="27"/>
        <v>0</v>
      </c>
      <c r="AL357" s="1064">
        <f t="shared" si="28"/>
        <v>0</v>
      </c>
      <c r="AM357" s="1064">
        <f t="shared" si="29"/>
        <v>0</v>
      </c>
      <c r="AN357" s="1064"/>
      <c r="AO357" s="1064">
        <f>TB_prev[[#This Row],[Closing balance]]+TB_prev[[#This Row],[Rounding]]</f>
        <v>0</v>
      </c>
    </row>
    <row r="358" spans="30:41" x14ac:dyDescent="0.25">
      <c r="AD358" s="1067" t="str">
        <f t="shared" si="25"/>
        <v/>
      </c>
      <c r="AE358" s="1063" t="str">
        <f>IF(ISNA(VLOOKUP(TB_prev[[#This Row],[Synt]],GL[[#Headers],[#Data],[subtotal label]],1,FALSE)),0,(VLOOKUP(TB_prev[[#This Row],[Synt]],GL[[#Headers],[#Data],[subtotal label]],1,FALSE)))</f>
        <v/>
      </c>
      <c r="AF358" s="1063" t="e">
        <f>IF((TB_prev[[#This Row],[Synt]]-TB_prev[[#This Row],[Subtotal Y/N]])=0,0,VLOOKUP(TB_prev[[#This Row],[Synt]],GL[[Account]:[Line]],3,FALSE))</f>
        <v>#VALUE!</v>
      </c>
      <c r="AG358" s="1063" t="e">
        <f>VLOOKUP(TB_prev[[#This Row],[Synt]],GL[[Account]:[B/P]],4,FALSE)</f>
        <v>#N/A</v>
      </c>
      <c r="AH358" s="1066" t="e">
        <v>#VALUE!</v>
      </c>
      <c r="AI358" s="1065" t="e">
        <f>TB_prev[[#This Row],[Synt]]&amp;TB_prev[[#This Row],[Line No. manual corr.]]</f>
        <v>#VALUE!</v>
      </c>
      <c r="AJ358" s="1064">
        <f t="shared" si="26"/>
        <v>0</v>
      </c>
      <c r="AK358" s="1064">
        <f t="shared" si="27"/>
        <v>0</v>
      </c>
      <c r="AL358" s="1064">
        <f t="shared" si="28"/>
        <v>0</v>
      </c>
      <c r="AM358" s="1064">
        <f t="shared" si="29"/>
        <v>0</v>
      </c>
      <c r="AN358" s="1064"/>
      <c r="AO358" s="1064">
        <f>TB_prev[[#This Row],[Closing balance]]+TB_prev[[#This Row],[Rounding]]</f>
        <v>0</v>
      </c>
    </row>
    <row r="359" spans="30:41" x14ac:dyDescent="0.25">
      <c r="AD359" s="1067" t="str">
        <f t="shared" si="25"/>
        <v/>
      </c>
      <c r="AE359" s="1063" t="str">
        <f>IF(ISNA(VLOOKUP(TB_prev[[#This Row],[Synt]],GL[[#Headers],[#Data],[subtotal label]],1,FALSE)),0,(VLOOKUP(TB_prev[[#This Row],[Synt]],GL[[#Headers],[#Data],[subtotal label]],1,FALSE)))</f>
        <v/>
      </c>
      <c r="AF359" s="1063" t="e">
        <f>IF((TB_prev[[#This Row],[Synt]]-TB_prev[[#This Row],[Subtotal Y/N]])=0,0,VLOOKUP(TB_prev[[#This Row],[Synt]],GL[[Account]:[Line]],3,FALSE))</f>
        <v>#VALUE!</v>
      </c>
      <c r="AG359" s="1063" t="e">
        <f>VLOOKUP(TB_prev[[#This Row],[Synt]],GL[[Account]:[B/P]],4,FALSE)</f>
        <v>#N/A</v>
      </c>
      <c r="AH359" s="1066" t="e">
        <v>#VALUE!</v>
      </c>
      <c r="AI359" s="1065" t="e">
        <f>TB_prev[[#This Row],[Synt]]&amp;TB_prev[[#This Row],[Line No. manual corr.]]</f>
        <v>#VALUE!</v>
      </c>
      <c r="AJ359" s="1064">
        <f t="shared" si="26"/>
        <v>0</v>
      </c>
      <c r="AK359" s="1064">
        <f t="shared" si="27"/>
        <v>0</v>
      </c>
      <c r="AL359" s="1064">
        <f t="shared" si="28"/>
        <v>0</v>
      </c>
      <c r="AM359" s="1064">
        <f t="shared" si="29"/>
        <v>0</v>
      </c>
      <c r="AN359" s="1064"/>
      <c r="AO359" s="1064">
        <f>TB_prev[[#This Row],[Closing balance]]+TB_prev[[#This Row],[Rounding]]</f>
        <v>0</v>
      </c>
    </row>
    <row r="360" spans="30:41" x14ac:dyDescent="0.25">
      <c r="AD360" s="1067" t="str">
        <f t="shared" si="25"/>
        <v/>
      </c>
      <c r="AE360" s="1063" t="str">
        <f>IF(ISNA(VLOOKUP(TB_prev[[#This Row],[Synt]],GL[[#Headers],[#Data],[subtotal label]],1,FALSE)),0,(VLOOKUP(TB_prev[[#This Row],[Synt]],GL[[#Headers],[#Data],[subtotal label]],1,FALSE)))</f>
        <v/>
      </c>
      <c r="AF360" s="1063" t="e">
        <f>IF((TB_prev[[#This Row],[Synt]]-TB_prev[[#This Row],[Subtotal Y/N]])=0,0,VLOOKUP(TB_prev[[#This Row],[Synt]],GL[[Account]:[Line]],3,FALSE))</f>
        <v>#VALUE!</v>
      </c>
      <c r="AG360" s="1063" t="e">
        <f>VLOOKUP(TB_prev[[#This Row],[Synt]],GL[[Account]:[B/P]],4,FALSE)</f>
        <v>#N/A</v>
      </c>
      <c r="AH360" s="1066" t="e">
        <v>#VALUE!</v>
      </c>
      <c r="AI360" s="1065" t="e">
        <f>TB_prev[[#This Row],[Synt]]&amp;TB_prev[[#This Row],[Line No. manual corr.]]</f>
        <v>#VALUE!</v>
      </c>
      <c r="AJ360" s="1064">
        <f t="shared" si="26"/>
        <v>0</v>
      </c>
      <c r="AK360" s="1064">
        <f t="shared" si="27"/>
        <v>0</v>
      </c>
      <c r="AL360" s="1064">
        <f t="shared" si="28"/>
        <v>0</v>
      </c>
      <c r="AM360" s="1064">
        <f t="shared" si="29"/>
        <v>0</v>
      </c>
      <c r="AN360" s="1064"/>
      <c r="AO360" s="1064">
        <f>TB_prev[[#This Row],[Closing balance]]+TB_prev[[#This Row],[Rounding]]</f>
        <v>0</v>
      </c>
    </row>
    <row r="361" spans="30:41" x14ac:dyDescent="0.25">
      <c r="AD361" s="1067" t="str">
        <f t="shared" si="25"/>
        <v/>
      </c>
      <c r="AE361" s="1063" t="str">
        <f>IF(ISNA(VLOOKUP(TB_prev[[#This Row],[Synt]],GL[[#Headers],[#Data],[subtotal label]],1,FALSE)),0,(VLOOKUP(TB_prev[[#This Row],[Synt]],GL[[#Headers],[#Data],[subtotal label]],1,FALSE)))</f>
        <v/>
      </c>
      <c r="AF361" s="1063" t="e">
        <f>IF((TB_prev[[#This Row],[Synt]]-TB_prev[[#This Row],[Subtotal Y/N]])=0,0,VLOOKUP(TB_prev[[#This Row],[Synt]],GL[[Account]:[Line]],3,FALSE))</f>
        <v>#VALUE!</v>
      </c>
      <c r="AG361" s="1063" t="e">
        <f>VLOOKUP(TB_prev[[#This Row],[Synt]],GL[[Account]:[B/P]],4,FALSE)</f>
        <v>#N/A</v>
      </c>
      <c r="AH361" s="1066" t="e">
        <v>#VALUE!</v>
      </c>
      <c r="AI361" s="1065" t="e">
        <f>TB_prev[[#This Row],[Synt]]&amp;TB_prev[[#This Row],[Line No. manual corr.]]</f>
        <v>#VALUE!</v>
      </c>
      <c r="AJ361" s="1064">
        <f t="shared" si="26"/>
        <v>0</v>
      </c>
      <c r="AK361" s="1064">
        <f t="shared" si="27"/>
        <v>0</v>
      </c>
      <c r="AL361" s="1064">
        <f t="shared" si="28"/>
        <v>0</v>
      </c>
      <c r="AM361" s="1064">
        <f t="shared" si="29"/>
        <v>0</v>
      </c>
      <c r="AN361" s="1064"/>
      <c r="AO361" s="1064">
        <f>TB_prev[[#This Row],[Closing balance]]+TB_prev[[#This Row],[Rounding]]</f>
        <v>0</v>
      </c>
    </row>
    <row r="362" spans="30:41" x14ac:dyDescent="0.25">
      <c r="AD362" s="1067" t="str">
        <f t="shared" si="25"/>
        <v/>
      </c>
      <c r="AE362" s="1063" t="str">
        <f>IF(ISNA(VLOOKUP(TB_prev[[#This Row],[Synt]],GL[[#Headers],[#Data],[subtotal label]],1,FALSE)),0,(VLOOKUP(TB_prev[[#This Row],[Synt]],GL[[#Headers],[#Data],[subtotal label]],1,FALSE)))</f>
        <v/>
      </c>
      <c r="AF362" s="1063" t="e">
        <f>IF((TB_prev[[#This Row],[Synt]]-TB_prev[[#This Row],[Subtotal Y/N]])=0,0,VLOOKUP(TB_prev[[#This Row],[Synt]],GL[[Account]:[Line]],3,FALSE))</f>
        <v>#VALUE!</v>
      </c>
      <c r="AG362" s="1063" t="e">
        <f>VLOOKUP(TB_prev[[#This Row],[Synt]],GL[[Account]:[B/P]],4,FALSE)</f>
        <v>#N/A</v>
      </c>
      <c r="AH362" s="1066" t="e">
        <v>#VALUE!</v>
      </c>
      <c r="AI362" s="1065" t="e">
        <f>TB_prev[[#This Row],[Synt]]&amp;TB_prev[[#This Row],[Line No. manual corr.]]</f>
        <v>#VALUE!</v>
      </c>
      <c r="AJ362" s="1064">
        <f t="shared" si="26"/>
        <v>0</v>
      </c>
      <c r="AK362" s="1064">
        <f t="shared" si="27"/>
        <v>0</v>
      </c>
      <c r="AL362" s="1064">
        <f t="shared" si="28"/>
        <v>0</v>
      </c>
      <c r="AM362" s="1064">
        <f t="shared" si="29"/>
        <v>0</v>
      </c>
      <c r="AN362" s="1064"/>
      <c r="AO362" s="1064">
        <f>TB_prev[[#This Row],[Closing balance]]+TB_prev[[#This Row],[Rounding]]</f>
        <v>0</v>
      </c>
    </row>
    <row r="363" spans="30:41" x14ac:dyDescent="0.25">
      <c r="AD363" s="1067" t="str">
        <f t="shared" si="25"/>
        <v/>
      </c>
      <c r="AE363" s="1063" t="str">
        <f>IF(ISNA(VLOOKUP(TB_prev[[#This Row],[Synt]],GL[[#Headers],[#Data],[subtotal label]],1,FALSE)),0,(VLOOKUP(TB_prev[[#This Row],[Synt]],GL[[#Headers],[#Data],[subtotal label]],1,FALSE)))</f>
        <v/>
      </c>
      <c r="AF363" s="1063" t="e">
        <f>IF((TB_prev[[#This Row],[Synt]]-TB_prev[[#This Row],[Subtotal Y/N]])=0,0,VLOOKUP(TB_prev[[#This Row],[Synt]],GL[[Account]:[Line]],3,FALSE))</f>
        <v>#VALUE!</v>
      </c>
      <c r="AG363" s="1063" t="e">
        <f>VLOOKUP(TB_prev[[#This Row],[Synt]],GL[[Account]:[B/P]],4,FALSE)</f>
        <v>#N/A</v>
      </c>
      <c r="AH363" s="1066" t="e">
        <v>#VALUE!</v>
      </c>
      <c r="AI363" s="1065" t="e">
        <f>TB_prev[[#This Row],[Synt]]&amp;TB_prev[[#This Row],[Line No. manual corr.]]</f>
        <v>#VALUE!</v>
      </c>
      <c r="AJ363" s="1064">
        <f t="shared" si="26"/>
        <v>0</v>
      </c>
      <c r="AK363" s="1064">
        <f t="shared" si="27"/>
        <v>0</v>
      </c>
      <c r="AL363" s="1064">
        <f t="shared" si="28"/>
        <v>0</v>
      </c>
      <c r="AM363" s="1064">
        <f t="shared" si="29"/>
        <v>0</v>
      </c>
      <c r="AN363" s="1064"/>
      <c r="AO363" s="1064">
        <f>TB_prev[[#This Row],[Closing balance]]+TB_prev[[#This Row],[Rounding]]</f>
        <v>0</v>
      </c>
    </row>
    <row r="364" spans="30:41" x14ac:dyDescent="0.25">
      <c r="AD364" s="1067" t="str">
        <f t="shared" si="25"/>
        <v/>
      </c>
      <c r="AE364" s="1063" t="str">
        <f>IF(ISNA(VLOOKUP(TB_prev[[#This Row],[Synt]],GL[[#Headers],[#Data],[subtotal label]],1,FALSE)),0,(VLOOKUP(TB_prev[[#This Row],[Synt]],GL[[#Headers],[#Data],[subtotal label]],1,FALSE)))</f>
        <v/>
      </c>
      <c r="AF364" s="1063" t="e">
        <f>IF((TB_prev[[#This Row],[Synt]]-TB_prev[[#This Row],[Subtotal Y/N]])=0,0,VLOOKUP(TB_prev[[#This Row],[Synt]],GL[[Account]:[Line]],3,FALSE))</f>
        <v>#VALUE!</v>
      </c>
      <c r="AG364" s="1063" t="e">
        <f>VLOOKUP(TB_prev[[#This Row],[Synt]],GL[[Account]:[B/P]],4,FALSE)</f>
        <v>#N/A</v>
      </c>
      <c r="AH364" s="1066" t="e">
        <v>#VALUE!</v>
      </c>
      <c r="AI364" s="1065" t="e">
        <f>TB_prev[[#This Row],[Synt]]&amp;TB_prev[[#This Row],[Line No. manual corr.]]</f>
        <v>#VALUE!</v>
      </c>
      <c r="AJ364" s="1064">
        <f t="shared" si="26"/>
        <v>0</v>
      </c>
      <c r="AK364" s="1064">
        <f t="shared" si="27"/>
        <v>0</v>
      </c>
      <c r="AL364" s="1064">
        <f t="shared" si="28"/>
        <v>0</v>
      </c>
      <c r="AM364" s="1064">
        <f t="shared" si="29"/>
        <v>0</v>
      </c>
      <c r="AN364" s="1064"/>
      <c r="AO364" s="1064">
        <f>TB_prev[[#This Row],[Closing balance]]+TB_prev[[#This Row],[Rounding]]</f>
        <v>0</v>
      </c>
    </row>
    <row r="365" spans="30:41" x14ac:dyDescent="0.25">
      <c r="AD365" s="1067" t="str">
        <f t="shared" si="25"/>
        <v/>
      </c>
      <c r="AE365" s="1063" t="str">
        <f>IF(ISNA(VLOOKUP(TB_prev[[#This Row],[Synt]],GL[[#Headers],[#Data],[subtotal label]],1,FALSE)),0,(VLOOKUP(TB_prev[[#This Row],[Synt]],GL[[#Headers],[#Data],[subtotal label]],1,FALSE)))</f>
        <v/>
      </c>
      <c r="AF365" s="1063" t="e">
        <f>IF((TB_prev[[#This Row],[Synt]]-TB_prev[[#This Row],[Subtotal Y/N]])=0,0,VLOOKUP(TB_prev[[#This Row],[Synt]],GL[[Account]:[Line]],3,FALSE))</f>
        <v>#VALUE!</v>
      </c>
      <c r="AG365" s="1063" t="e">
        <f>VLOOKUP(TB_prev[[#This Row],[Synt]],GL[[Account]:[B/P]],4,FALSE)</f>
        <v>#N/A</v>
      </c>
      <c r="AH365" s="1066" t="e">
        <v>#VALUE!</v>
      </c>
      <c r="AI365" s="1065" t="e">
        <f>TB_prev[[#This Row],[Synt]]&amp;TB_prev[[#This Row],[Line No. manual corr.]]</f>
        <v>#VALUE!</v>
      </c>
      <c r="AJ365" s="1064">
        <f t="shared" si="26"/>
        <v>0</v>
      </c>
      <c r="AK365" s="1064">
        <f t="shared" si="27"/>
        <v>0</v>
      </c>
      <c r="AL365" s="1064">
        <f t="shared" si="28"/>
        <v>0</v>
      </c>
      <c r="AM365" s="1064">
        <f t="shared" si="29"/>
        <v>0</v>
      </c>
      <c r="AN365" s="1064"/>
      <c r="AO365" s="1064">
        <f>TB_prev[[#This Row],[Closing balance]]+TB_prev[[#This Row],[Rounding]]</f>
        <v>0</v>
      </c>
    </row>
    <row r="366" spans="30:41" x14ac:dyDescent="0.25">
      <c r="AD366" s="1067" t="str">
        <f t="shared" si="25"/>
        <v/>
      </c>
      <c r="AE366" s="1063" t="str">
        <f>IF(ISNA(VLOOKUP(TB_prev[[#This Row],[Synt]],GL[[#Headers],[#Data],[subtotal label]],1,FALSE)),0,(VLOOKUP(TB_prev[[#This Row],[Synt]],GL[[#Headers],[#Data],[subtotal label]],1,FALSE)))</f>
        <v/>
      </c>
      <c r="AF366" s="1063" t="e">
        <f>IF((TB_prev[[#This Row],[Synt]]-TB_prev[[#This Row],[Subtotal Y/N]])=0,0,VLOOKUP(TB_prev[[#This Row],[Synt]],GL[[Account]:[Line]],3,FALSE))</f>
        <v>#VALUE!</v>
      </c>
      <c r="AG366" s="1063" t="e">
        <f>VLOOKUP(TB_prev[[#This Row],[Synt]],GL[[Account]:[B/P]],4,FALSE)</f>
        <v>#N/A</v>
      </c>
      <c r="AH366" s="1066" t="e">
        <v>#VALUE!</v>
      </c>
      <c r="AI366" s="1065" t="e">
        <f>TB_prev[[#This Row],[Synt]]&amp;TB_prev[[#This Row],[Line No. manual corr.]]</f>
        <v>#VALUE!</v>
      </c>
      <c r="AJ366" s="1064">
        <f t="shared" si="26"/>
        <v>0</v>
      </c>
      <c r="AK366" s="1064">
        <f t="shared" si="27"/>
        <v>0</v>
      </c>
      <c r="AL366" s="1064">
        <f t="shared" si="28"/>
        <v>0</v>
      </c>
      <c r="AM366" s="1064">
        <f t="shared" si="29"/>
        <v>0</v>
      </c>
      <c r="AN366" s="1064"/>
      <c r="AO366" s="1064">
        <f>TB_prev[[#This Row],[Closing balance]]+TB_prev[[#This Row],[Rounding]]</f>
        <v>0</v>
      </c>
    </row>
    <row r="367" spans="30:41" x14ac:dyDescent="0.25">
      <c r="AD367" s="1067" t="str">
        <f t="shared" si="25"/>
        <v/>
      </c>
      <c r="AE367" s="1063" t="str">
        <f>IF(ISNA(VLOOKUP(TB_prev[[#This Row],[Synt]],GL[[#Headers],[#Data],[subtotal label]],1,FALSE)),0,(VLOOKUP(TB_prev[[#This Row],[Synt]],GL[[#Headers],[#Data],[subtotal label]],1,FALSE)))</f>
        <v/>
      </c>
      <c r="AF367" s="1063" t="e">
        <f>IF((TB_prev[[#This Row],[Synt]]-TB_prev[[#This Row],[Subtotal Y/N]])=0,0,VLOOKUP(TB_prev[[#This Row],[Synt]],GL[[Account]:[Line]],3,FALSE))</f>
        <v>#VALUE!</v>
      </c>
      <c r="AG367" s="1063" t="e">
        <f>VLOOKUP(TB_prev[[#This Row],[Synt]],GL[[Account]:[B/P]],4,FALSE)</f>
        <v>#N/A</v>
      </c>
      <c r="AH367" s="1066" t="e">
        <v>#VALUE!</v>
      </c>
      <c r="AI367" s="1065" t="e">
        <f>TB_prev[[#This Row],[Synt]]&amp;TB_prev[[#This Row],[Line No. manual corr.]]</f>
        <v>#VALUE!</v>
      </c>
      <c r="AJ367" s="1064">
        <f t="shared" si="26"/>
        <v>0</v>
      </c>
      <c r="AK367" s="1064">
        <f t="shared" si="27"/>
        <v>0</v>
      </c>
      <c r="AL367" s="1064">
        <f t="shared" si="28"/>
        <v>0</v>
      </c>
      <c r="AM367" s="1064">
        <f t="shared" si="29"/>
        <v>0</v>
      </c>
      <c r="AN367" s="1064"/>
      <c r="AO367" s="1064">
        <f>TB_prev[[#This Row],[Closing balance]]+TB_prev[[#This Row],[Rounding]]</f>
        <v>0</v>
      </c>
    </row>
    <row r="368" spans="30:41" x14ac:dyDescent="0.25">
      <c r="AD368" s="1067" t="str">
        <f t="shared" si="25"/>
        <v/>
      </c>
      <c r="AE368" s="1063" t="str">
        <f>IF(ISNA(VLOOKUP(TB_prev[[#This Row],[Synt]],GL[[#Headers],[#Data],[subtotal label]],1,FALSE)),0,(VLOOKUP(TB_prev[[#This Row],[Synt]],GL[[#Headers],[#Data],[subtotal label]],1,FALSE)))</f>
        <v/>
      </c>
      <c r="AF368" s="1063" t="e">
        <f>IF((TB_prev[[#This Row],[Synt]]-TB_prev[[#This Row],[Subtotal Y/N]])=0,0,VLOOKUP(TB_prev[[#This Row],[Synt]],GL[[Account]:[Line]],3,FALSE))</f>
        <v>#VALUE!</v>
      </c>
      <c r="AG368" s="1063" t="e">
        <f>VLOOKUP(TB_prev[[#This Row],[Synt]],GL[[Account]:[B/P]],4,FALSE)</f>
        <v>#N/A</v>
      </c>
      <c r="AH368" s="1066" t="e">
        <v>#VALUE!</v>
      </c>
      <c r="AI368" s="1065" t="e">
        <f>TB_prev[[#This Row],[Synt]]&amp;TB_prev[[#This Row],[Line No. manual corr.]]</f>
        <v>#VALUE!</v>
      </c>
      <c r="AJ368" s="1064">
        <f t="shared" si="26"/>
        <v>0</v>
      </c>
      <c r="AK368" s="1064">
        <f t="shared" si="27"/>
        <v>0</v>
      </c>
      <c r="AL368" s="1064">
        <f t="shared" si="28"/>
        <v>0</v>
      </c>
      <c r="AM368" s="1064">
        <f t="shared" si="29"/>
        <v>0</v>
      </c>
      <c r="AN368" s="1064"/>
      <c r="AO368" s="1064">
        <f>TB_prev[[#This Row],[Closing balance]]+TB_prev[[#This Row],[Rounding]]</f>
        <v>0</v>
      </c>
    </row>
    <row r="369" spans="30:41" x14ac:dyDescent="0.25">
      <c r="AD369" s="1067" t="str">
        <f t="shared" si="25"/>
        <v/>
      </c>
      <c r="AE369" s="1063" t="str">
        <f>IF(ISNA(VLOOKUP(TB_prev[[#This Row],[Synt]],GL[[#Headers],[#Data],[subtotal label]],1,FALSE)),0,(VLOOKUP(TB_prev[[#This Row],[Synt]],GL[[#Headers],[#Data],[subtotal label]],1,FALSE)))</f>
        <v/>
      </c>
      <c r="AF369" s="1063" t="e">
        <f>IF((TB_prev[[#This Row],[Synt]]-TB_prev[[#This Row],[Subtotal Y/N]])=0,0,VLOOKUP(TB_prev[[#This Row],[Synt]],GL[[Account]:[Line]],3,FALSE))</f>
        <v>#VALUE!</v>
      </c>
      <c r="AG369" s="1063" t="e">
        <f>VLOOKUP(TB_prev[[#This Row],[Synt]],GL[[Account]:[B/P]],4,FALSE)</f>
        <v>#N/A</v>
      </c>
      <c r="AH369" s="1066" t="e">
        <v>#VALUE!</v>
      </c>
      <c r="AI369" s="1065" t="e">
        <f>TB_prev[[#This Row],[Synt]]&amp;TB_prev[[#This Row],[Line No. manual corr.]]</f>
        <v>#VALUE!</v>
      </c>
      <c r="AJ369" s="1064">
        <f t="shared" si="26"/>
        <v>0</v>
      </c>
      <c r="AK369" s="1064">
        <f t="shared" si="27"/>
        <v>0</v>
      </c>
      <c r="AL369" s="1064">
        <f t="shared" si="28"/>
        <v>0</v>
      </c>
      <c r="AM369" s="1064">
        <f t="shared" si="29"/>
        <v>0</v>
      </c>
      <c r="AN369" s="1064"/>
      <c r="AO369" s="1064">
        <f>TB_prev[[#This Row],[Closing balance]]+TB_prev[[#This Row],[Rounding]]</f>
        <v>0</v>
      </c>
    </row>
    <row r="370" spans="30:41" x14ac:dyDescent="0.25">
      <c r="AD370" s="1067" t="str">
        <f t="shared" si="25"/>
        <v/>
      </c>
      <c r="AE370" s="1063" t="str">
        <f>IF(ISNA(VLOOKUP(TB_prev[[#This Row],[Synt]],GL[[#Headers],[#Data],[subtotal label]],1,FALSE)),0,(VLOOKUP(TB_prev[[#This Row],[Synt]],GL[[#Headers],[#Data],[subtotal label]],1,FALSE)))</f>
        <v/>
      </c>
      <c r="AF370" s="1063" t="e">
        <f>IF((TB_prev[[#This Row],[Synt]]-TB_prev[[#This Row],[Subtotal Y/N]])=0,0,VLOOKUP(TB_prev[[#This Row],[Synt]],GL[[Account]:[Line]],3,FALSE))</f>
        <v>#VALUE!</v>
      </c>
      <c r="AG370" s="1063" t="e">
        <f>VLOOKUP(TB_prev[[#This Row],[Synt]],GL[[Account]:[B/P]],4,FALSE)</f>
        <v>#N/A</v>
      </c>
      <c r="AH370" s="1066" t="e">
        <v>#VALUE!</v>
      </c>
      <c r="AI370" s="1065" t="e">
        <f>TB_prev[[#This Row],[Synt]]&amp;TB_prev[[#This Row],[Line No. manual corr.]]</f>
        <v>#VALUE!</v>
      </c>
      <c r="AJ370" s="1064">
        <f t="shared" si="26"/>
        <v>0</v>
      </c>
      <c r="AK370" s="1064">
        <f t="shared" si="27"/>
        <v>0</v>
      </c>
      <c r="AL370" s="1064">
        <f t="shared" si="28"/>
        <v>0</v>
      </c>
      <c r="AM370" s="1064">
        <f t="shared" si="29"/>
        <v>0</v>
      </c>
      <c r="AN370" s="1064"/>
      <c r="AO370" s="1064">
        <f>TB_prev[[#This Row],[Closing balance]]+TB_prev[[#This Row],[Rounding]]</f>
        <v>0</v>
      </c>
    </row>
    <row r="371" spans="30:41" x14ac:dyDescent="0.25">
      <c r="AD371" s="1067" t="str">
        <f t="shared" si="25"/>
        <v/>
      </c>
      <c r="AE371" s="1063" t="str">
        <f>IF(ISNA(VLOOKUP(TB_prev[[#This Row],[Synt]],GL[[#Headers],[#Data],[subtotal label]],1,FALSE)),0,(VLOOKUP(TB_prev[[#This Row],[Synt]],GL[[#Headers],[#Data],[subtotal label]],1,FALSE)))</f>
        <v/>
      </c>
      <c r="AF371" s="1063" t="e">
        <f>IF((TB_prev[[#This Row],[Synt]]-TB_prev[[#This Row],[Subtotal Y/N]])=0,0,VLOOKUP(TB_prev[[#This Row],[Synt]],GL[[Account]:[Line]],3,FALSE))</f>
        <v>#VALUE!</v>
      </c>
      <c r="AG371" s="1063" t="e">
        <f>VLOOKUP(TB_prev[[#This Row],[Synt]],GL[[Account]:[B/P]],4,FALSE)</f>
        <v>#N/A</v>
      </c>
      <c r="AH371" s="1066" t="e">
        <v>#VALUE!</v>
      </c>
      <c r="AI371" s="1065" t="e">
        <f>TB_prev[[#This Row],[Synt]]&amp;TB_prev[[#This Row],[Line No. manual corr.]]</f>
        <v>#VALUE!</v>
      </c>
      <c r="AJ371" s="1064">
        <f t="shared" si="26"/>
        <v>0</v>
      </c>
      <c r="AK371" s="1064">
        <f t="shared" si="27"/>
        <v>0</v>
      </c>
      <c r="AL371" s="1064">
        <f t="shared" si="28"/>
        <v>0</v>
      </c>
      <c r="AM371" s="1064">
        <f t="shared" si="29"/>
        <v>0</v>
      </c>
      <c r="AN371" s="1064"/>
      <c r="AO371" s="1064">
        <f>TB_prev[[#This Row],[Closing balance]]+TB_prev[[#This Row],[Rounding]]</f>
        <v>0</v>
      </c>
    </row>
    <row r="372" spans="30:41" x14ac:dyDescent="0.25">
      <c r="AD372" s="1067" t="str">
        <f t="shared" si="25"/>
        <v/>
      </c>
      <c r="AE372" s="1063" t="str">
        <f>IF(ISNA(VLOOKUP(TB_prev[[#This Row],[Synt]],GL[[#Headers],[#Data],[subtotal label]],1,FALSE)),0,(VLOOKUP(TB_prev[[#This Row],[Synt]],GL[[#Headers],[#Data],[subtotal label]],1,FALSE)))</f>
        <v/>
      </c>
      <c r="AF372" s="1063" t="e">
        <f>IF((TB_prev[[#This Row],[Synt]]-TB_prev[[#This Row],[Subtotal Y/N]])=0,0,VLOOKUP(TB_prev[[#This Row],[Synt]],GL[[Account]:[Line]],3,FALSE))</f>
        <v>#VALUE!</v>
      </c>
      <c r="AG372" s="1063" t="e">
        <f>VLOOKUP(TB_prev[[#This Row],[Synt]],GL[[Account]:[B/P]],4,FALSE)</f>
        <v>#N/A</v>
      </c>
      <c r="AH372" s="1066" t="e">
        <v>#VALUE!</v>
      </c>
      <c r="AI372" s="1065" t="e">
        <f>TB_prev[[#This Row],[Synt]]&amp;TB_prev[[#This Row],[Line No. manual corr.]]</f>
        <v>#VALUE!</v>
      </c>
      <c r="AJ372" s="1064">
        <f t="shared" si="26"/>
        <v>0</v>
      </c>
      <c r="AK372" s="1064">
        <f t="shared" si="27"/>
        <v>0</v>
      </c>
      <c r="AL372" s="1064">
        <f t="shared" si="28"/>
        <v>0</v>
      </c>
      <c r="AM372" s="1064">
        <f t="shared" si="29"/>
        <v>0</v>
      </c>
      <c r="AN372" s="1064"/>
      <c r="AO372" s="1064">
        <f>TB_prev[[#This Row],[Closing balance]]+TB_prev[[#This Row],[Rounding]]</f>
        <v>0</v>
      </c>
    </row>
    <row r="373" spans="30:41" x14ac:dyDescent="0.25">
      <c r="AD373" s="1067" t="str">
        <f t="shared" si="25"/>
        <v/>
      </c>
      <c r="AE373" s="1063" t="str">
        <f>IF(ISNA(VLOOKUP(TB_prev[[#This Row],[Synt]],GL[[#Headers],[#Data],[subtotal label]],1,FALSE)),0,(VLOOKUP(TB_prev[[#This Row],[Synt]],GL[[#Headers],[#Data],[subtotal label]],1,FALSE)))</f>
        <v/>
      </c>
      <c r="AF373" s="1063" t="e">
        <f>IF((TB_prev[[#This Row],[Synt]]-TB_prev[[#This Row],[Subtotal Y/N]])=0,0,VLOOKUP(TB_prev[[#This Row],[Synt]],GL[[Account]:[Line]],3,FALSE))</f>
        <v>#VALUE!</v>
      </c>
      <c r="AG373" s="1063" t="e">
        <f>VLOOKUP(TB_prev[[#This Row],[Synt]],GL[[Account]:[B/P]],4,FALSE)</f>
        <v>#N/A</v>
      </c>
      <c r="AH373" s="1066" t="e">
        <v>#VALUE!</v>
      </c>
      <c r="AI373" s="1065" t="e">
        <f>TB_prev[[#This Row],[Synt]]&amp;TB_prev[[#This Row],[Line No. manual corr.]]</f>
        <v>#VALUE!</v>
      </c>
      <c r="AJ373" s="1064">
        <f t="shared" si="26"/>
        <v>0</v>
      </c>
      <c r="AK373" s="1064">
        <f t="shared" si="27"/>
        <v>0</v>
      </c>
      <c r="AL373" s="1064">
        <f t="shared" si="28"/>
        <v>0</v>
      </c>
      <c r="AM373" s="1064">
        <f t="shared" si="29"/>
        <v>0</v>
      </c>
      <c r="AN373" s="1064"/>
      <c r="AO373" s="1064">
        <f>TB_prev[[#This Row],[Closing balance]]+TB_prev[[#This Row],[Rounding]]</f>
        <v>0</v>
      </c>
    </row>
    <row r="374" spans="30:41" x14ac:dyDescent="0.25">
      <c r="AD374" s="1067" t="str">
        <f t="shared" si="25"/>
        <v/>
      </c>
      <c r="AE374" s="1063" t="str">
        <f>IF(ISNA(VLOOKUP(TB_prev[[#This Row],[Synt]],GL[[#Headers],[#Data],[subtotal label]],1,FALSE)),0,(VLOOKUP(TB_prev[[#This Row],[Synt]],GL[[#Headers],[#Data],[subtotal label]],1,FALSE)))</f>
        <v/>
      </c>
      <c r="AF374" s="1063" t="e">
        <f>IF((TB_prev[[#This Row],[Synt]]-TB_prev[[#This Row],[Subtotal Y/N]])=0,0,VLOOKUP(TB_prev[[#This Row],[Synt]],GL[[Account]:[Line]],3,FALSE))</f>
        <v>#VALUE!</v>
      </c>
      <c r="AG374" s="1063" t="e">
        <f>VLOOKUP(TB_prev[[#This Row],[Synt]],GL[[Account]:[B/P]],4,FALSE)</f>
        <v>#N/A</v>
      </c>
      <c r="AH374" s="1066" t="e">
        <v>#VALUE!</v>
      </c>
      <c r="AI374" s="1065" t="e">
        <f>TB_prev[[#This Row],[Synt]]&amp;TB_prev[[#This Row],[Line No. manual corr.]]</f>
        <v>#VALUE!</v>
      </c>
      <c r="AJ374" s="1064">
        <f t="shared" si="26"/>
        <v>0</v>
      </c>
      <c r="AK374" s="1064">
        <f t="shared" si="27"/>
        <v>0</v>
      </c>
      <c r="AL374" s="1064">
        <f t="shared" si="28"/>
        <v>0</v>
      </c>
      <c r="AM374" s="1064">
        <f t="shared" si="29"/>
        <v>0</v>
      </c>
      <c r="AN374" s="1064"/>
      <c r="AO374" s="1064">
        <f>TB_prev[[#This Row],[Closing balance]]+TB_prev[[#This Row],[Rounding]]</f>
        <v>0</v>
      </c>
    </row>
    <row r="375" spans="30:41" x14ac:dyDescent="0.25">
      <c r="AD375" s="1067" t="str">
        <f t="shared" si="25"/>
        <v/>
      </c>
      <c r="AE375" s="1063" t="str">
        <f>IF(ISNA(VLOOKUP(TB_prev[[#This Row],[Synt]],GL[[#Headers],[#Data],[subtotal label]],1,FALSE)),0,(VLOOKUP(TB_prev[[#This Row],[Synt]],GL[[#Headers],[#Data],[subtotal label]],1,FALSE)))</f>
        <v/>
      </c>
      <c r="AF375" s="1063" t="e">
        <f>IF((TB_prev[[#This Row],[Synt]]-TB_prev[[#This Row],[Subtotal Y/N]])=0,0,VLOOKUP(TB_prev[[#This Row],[Synt]],GL[[Account]:[Line]],3,FALSE))</f>
        <v>#VALUE!</v>
      </c>
      <c r="AG375" s="1063" t="e">
        <f>VLOOKUP(TB_prev[[#This Row],[Synt]],GL[[Account]:[B/P]],4,FALSE)</f>
        <v>#N/A</v>
      </c>
      <c r="AH375" s="1066" t="e">
        <v>#VALUE!</v>
      </c>
      <c r="AI375" s="1065" t="e">
        <f>TB_prev[[#This Row],[Synt]]&amp;TB_prev[[#This Row],[Line No. manual corr.]]</f>
        <v>#VALUE!</v>
      </c>
      <c r="AJ375" s="1064">
        <f t="shared" si="26"/>
        <v>0</v>
      </c>
      <c r="AK375" s="1064">
        <f t="shared" si="27"/>
        <v>0</v>
      </c>
      <c r="AL375" s="1064">
        <f t="shared" si="28"/>
        <v>0</v>
      </c>
      <c r="AM375" s="1064">
        <f t="shared" si="29"/>
        <v>0</v>
      </c>
      <c r="AN375" s="1064"/>
      <c r="AO375" s="1064">
        <f>TB_prev[[#This Row],[Closing balance]]+TB_prev[[#This Row],[Rounding]]</f>
        <v>0</v>
      </c>
    </row>
    <row r="376" spans="30:41" x14ac:dyDescent="0.25">
      <c r="AD376" s="1067" t="str">
        <f t="shared" si="25"/>
        <v/>
      </c>
      <c r="AE376" s="1063" t="str">
        <f>IF(ISNA(VLOOKUP(TB_prev[[#This Row],[Synt]],GL[[#Headers],[#Data],[subtotal label]],1,FALSE)),0,(VLOOKUP(TB_prev[[#This Row],[Synt]],GL[[#Headers],[#Data],[subtotal label]],1,FALSE)))</f>
        <v/>
      </c>
      <c r="AF376" s="1063" t="e">
        <f>IF((TB_prev[[#This Row],[Synt]]-TB_prev[[#This Row],[Subtotal Y/N]])=0,0,VLOOKUP(TB_prev[[#This Row],[Synt]],GL[[Account]:[Line]],3,FALSE))</f>
        <v>#VALUE!</v>
      </c>
      <c r="AG376" s="1063" t="e">
        <f>VLOOKUP(TB_prev[[#This Row],[Synt]],GL[[Account]:[B/P]],4,FALSE)</f>
        <v>#N/A</v>
      </c>
      <c r="AH376" s="1066" t="e">
        <v>#VALUE!</v>
      </c>
      <c r="AI376" s="1065" t="e">
        <f>TB_prev[[#This Row],[Synt]]&amp;TB_prev[[#This Row],[Line No. manual corr.]]</f>
        <v>#VALUE!</v>
      </c>
      <c r="AJ376" s="1064">
        <f t="shared" si="26"/>
        <v>0</v>
      </c>
      <c r="AK376" s="1064">
        <f t="shared" si="27"/>
        <v>0</v>
      </c>
      <c r="AL376" s="1064">
        <f t="shared" si="28"/>
        <v>0</v>
      </c>
      <c r="AM376" s="1064">
        <f t="shared" si="29"/>
        <v>0</v>
      </c>
      <c r="AN376" s="1064"/>
      <c r="AO376" s="1064">
        <f>TB_prev[[#This Row],[Closing balance]]+TB_prev[[#This Row],[Rounding]]</f>
        <v>0</v>
      </c>
    </row>
    <row r="377" spans="30:41" x14ac:dyDescent="0.25">
      <c r="AD377" s="1067" t="str">
        <f t="shared" si="25"/>
        <v/>
      </c>
      <c r="AE377" s="1063" t="str">
        <f>IF(ISNA(VLOOKUP(TB_prev[[#This Row],[Synt]],GL[[#Headers],[#Data],[subtotal label]],1,FALSE)),0,(VLOOKUP(TB_prev[[#This Row],[Synt]],GL[[#Headers],[#Data],[subtotal label]],1,FALSE)))</f>
        <v/>
      </c>
      <c r="AF377" s="1063" t="e">
        <f>IF((TB_prev[[#This Row],[Synt]]-TB_prev[[#This Row],[Subtotal Y/N]])=0,0,VLOOKUP(TB_prev[[#This Row],[Synt]],GL[[Account]:[Line]],3,FALSE))</f>
        <v>#VALUE!</v>
      </c>
      <c r="AG377" s="1063" t="e">
        <f>VLOOKUP(TB_prev[[#This Row],[Synt]],GL[[Account]:[B/P]],4,FALSE)</f>
        <v>#N/A</v>
      </c>
      <c r="AH377" s="1066" t="e">
        <v>#VALUE!</v>
      </c>
      <c r="AI377" s="1065" t="e">
        <f>TB_prev[[#This Row],[Synt]]&amp;TB_prev[[#This Row],[Line No. manual corr.]]</f>
        <v>#VALUE!</v>
      </c>
      <c r="AJ377" s="1064">
        <f t="shared" si="26"/>
        <v>0</v>
      </c>
      <c r="AK377" s="1064">
        <f t="shared" si="27"/>
        <v>0</v>
      </c>
      <c r="AL377" s="1064">
        <f t="shared" si="28"/>
        <v>0</v>
      </c>
      <c r="AM377" s="1064">
        <f t="shared" si="29"/>
        <v>0</v>
      </c>
      <c r="AN377" s="1064"/>
      <c r="AO377" s="1064">
        <f>TB_prev[[#This Row],[Closing balance]]+TB_prev[[#This Row],[Rounding]]</f>
        <v>0</v>
      </c>
    </row>
    <row r="378" spans="30:41" x14ac:dyDescent="0.25">
      <c r="AD378" s="1067" t="str">
        <f t="shared" si="25"/>
        <v/>
      </c>
      <c r="AE378" s="1063" t="str">
        <f>IF(ISNA(VLOOKUP(TB_prev[[#This Row],[Synt]],GL[[#Headers],[#Data],[subtotal label]],1,FALSE)),0,(VLOOKUP(TB_prev[[#This Row],[Synt]],GL[[#Headers],[#Data],[subtotal label]],1,FALSE)))</f>
        <v/>
      </c>
      <c r="AF378" s="1063" t="e">
        <f>IF((TB_prev[[#This Row],[Synt]]-TB_prev[[#This Row],[Subtotal Y/N]])=0,0,VLOOKUP(TB_prev[[#This Row],[Synt]],GL[[Account]:[Line]],3,FALSE))</f>
        <v>#VALUE!</v>
      </c>
      <c r="AG378" s="1063" t="e">
        <f>VLOOKUP(TB_prev[[#This Row],[Synt]],GL[[Account]:[B/P]],4,FALSE)</f>
        <v>#N/A</v>
      </c>
      <c r="AH378" s="1066" t="e">
        <v>#VALUE!</v>
      </c>
      <c r="AI378" s="1065" t="e">
        <f>TB_prev[[#This Row],[Synt]]&amp;TB_prev[[#This Row],[Line No. manual corr.]]</f>
        <v>#VALUE!</v>
      </c>
      <c r="AJ378" s="1064">
        <f t="shared" si="26"/>
        <v>0</v>
      </c>
      <c r="AK378" s="1064">
        <f t="shared" si="27"/>
        <v>0</v>
      </c>
      <c r="AL378" s="1064">
        <f t="shared" si="28"/>
        <v>0</v>
      </c>
      <c r="AM378" s="1064">
        <f t="shared" si="29"/>
        <v>0</v>
      </c>
      <c r="AN378" s="1064"/>
      <c r="AO378" s="1064">
        <f>TB_prev[[#This Row],[Closing balance]]+TB_prev[[#This Row],[Rounding]]</f>
        <v>0</v>
      </c>
    </row>
    <row r="379" spans="30:41" x14ac:dyDescent="0.25">
      <c r="AD379" s="1067" t="str">
        <f t="shared" si="25"/>
        <v/>
      </c>
      <c r="AE379" s="1063" t="str">
        <f>IF(ISNA(VLOOKUP(TB_prev[[#This Row],[Synt]],GL[[#Headers],[#Data],[subtotal label]],1,FALSE)),0,(VLOOKUP(TB_prev[[#This Row],[Synt]],GL[[#Headers],[#Data],[subtotal label]],1,FALSE)))</f>
        <v/>
      </c>
      <c r="AF379" s="1063" t="e">
        <f>IF((TB_prev[[#This Row],[Synt]]-TB_prev[[#This Row],[Subtotal Y/N]])=0,0,VLOOKUP(TB_prev[[#This Row],[Synt]],GL[[Account]:[Line]],3,FALSE))</f>
        <v>#VALUE!</v>
      </c>
      <c r="AG379" s="1063" t="e">
        <f>VLOOKUP(TB_prev[[#This Row],[Synt]],GL[[Account]:[B/P]],4,FALSE)</f>
        <v>#N/A</v>
      </c>
      <c r="AH379" s="1066" t="e">
        <v>#VALUE!</v>
      </c>
      <c r="AI379" s="1065" t="e">
        <f>TB_prev[[#This Row],[Synt]]&amp;TB_prev[[#This Row],[Line No. manual corr.]]</f>
        <v>#VALUE!</v>
      </c>
      <c r="AJ379" s="1064">
        <f t="shared" si="26"/>
        <v>0</v>
      </c>
      <c r="AK379" s="1064">
        <f t="shared" si="27"/>
        <v>0</v>
      </c>
      <c r="AL379" s="1064">
        <f t="shared" si="28"/>
        <v>0</v>
      </c>
      <c r="AM379" s="1064">
        <f t="shared" si="29"/>
        <v>0</v>
      </c>
      <c r="AN379" s="1064"/>
      <c r="AO379" s="1064">
        <f>TB_prev[[#This Row],[Closing balance]]+TB_prev[[#This Row],[Rounding]]</f>
        <v>0</v>
      </c>
    </row>
    <row r="380" spans="30:41" x14ac:dyDescent="0.25">
      <c r="AD380" s="1067" t="str">
        <f t="shared" si="25"/>
        <v/>
      </c>
      <c r="AE380" s="1063" t="str">
        <f>IF(ISNA(VLOOKUP(TB_prev[[#This Row],[Synt]],GL[[#Headers],[#Data],[subtotal label]],1,FALSE)),0,(VLOOKUP(TB_prev[[#This Row],[Synt]],GL[[#Headers],[#Data],[subtotal label]],1,FALSE)))</f>
        <v/>
      </c>
      <c r="AF380" s="1063" t="e">
        <f>IF((TB_prev[[#This Row],[Synt]]-TB_prev[[#This Row],[Subtotal Y/N]])=0,0,VLOOKUP(TB_prev[[#This Row],[Synt]],GL[[Account]:[Line]],3,FALSE))</f>
        <v>#VALUE!</v>
      </c>
      <c r="AG380" s="1063" t="e">
        <f>VLOOKUP(TB_prev[[#This Row],[Synt]],GL[[Account]:[B/P]],4,FALSE)</f>
        <v>#N/A</v>
      </c>
      <c r="AH380" s="1066" t="e">
        <v>#VALUE!</v>
      </c>
      <c r="AI380" s="1065" t="e">
        <f>TB_prev[[#This Row],[Synt]]&amp;TB_prev[[#This Row],[Line No. manual corr.]]</f>
        <v>#VALUE!</v>
      </c>
      <c r="AJ380" s="1064">
        <f t="shared" si="26"/>
        <v>0</v>
      </c>
      <c r="AK380" s="1064">
        <f t="shared" si="27"/>
        <v>0</v>
      </c>
      <c r="AL380" s="1064">
        <f t="shared" si="28"/>
        <v>0</v>
      </c>
      <c r="AM380" s="1064">
        <f t="shared" si="29"/>
        <v>0</v>
      </c>
      <c r="AN380" s="1064"/>
      <c r="AO380" s="1064">
        <f>TB_prev[[#This Row],[Closing balance]]+TB_prev[[#This Row],[Rounding]]</f>
        <v>0</v>
      </c>
    </row>
    <row r="381" spans="30:41" x14ac:dyDescent="0.25">
      <c r="AD381" s="1067" t="str">
        <f t="shared" si="25"/>
        <v/>
      </c>
      <c r="AE381" s="1063" t="str">
        <f>IF(ISNA(VLOOKUP(TB_prev[[#This Row],[Synt]],GL[[#Headers],[#Data],[subtotal label]],1,FALSE)),0,(VLOOKUP(TB_prev[[#This Row],[Synt]],GL[[#Headers],[#Data],[subtotal label]],1,FALSE)))</f>
        <v/>
      </c>
      <c r="AF381" s="1063" t="e">
        <f>IF((TB_prev[[#This Row],[Synt]]-TB_prev[[#This Row],[Subtotal Y/N]])=0,0,VLOOKUP(TB_prev[[#This Row],[Synt]],GL[[Account]:[Line]],3,FALSE))</f>
        <v>#VALUE!</v>
      </c>
      <c r="AG381" s="1063" t="e">
        <f>VLOOKUP(TB_prev[[#This Row],[Synt]],GL[[Account]:[B/P]],4,FALSE)</f>
        <v>#N/A</v>
      </c>
      <c r="AH381" s="1066" t="e">
        <v>#VALUE!</v>
      </c>
      <c r="AI381" s="1065" t="e">
        <f>TB_prev[[#This Row],[Synt]]&amp;TB_prev[[#This Row],[Line No. manual corr.]]</f>
        <v>#VALUE!</v>
      </c>
      <c r="AJ381" s="1064">
        <f t="shared" si="26"/>
        <v>0</v>
      </c>
      <c r="AK381" s="1064">
        <f t="shared" si="27"/>
        <v>0</v>
      </c>
      <c r="AL381" s="1064">
        <f t="shared" si="28"/>
        <v>0</v>
      </c>
      <c r="AM381" s="1064">
        <f t="shared" si="29"/>
        <v>0</v>
      </c>
      <c r="AN381" s="1064"/>
      <c r="AO381" s="1064">
        <f>TB_prev[[#This Row],[Closing balance]]+TB_prev[[#This Row],[Rounding]]</f>
        <v>0</v>
      </c>
    </row>
    <row r="382" spans="30:41" x14ac:dyDescent="0.25">
      <c r="AD382" s="1067" t="str">
        <f t="shared" si="25"/>
        <v/>
      </c>
      <c r="AE382" s="1063" t="str">
        <f>IF(ISNA(VLOOKUP(TB_prev[[#This Row],[Synt]],GL[[#Headers],[#Data],[subtotal label]],1,FALSE)),0,(VLOOKUP(TB_prev[[#This Row],[Synt]],GL[[#Headers],[#Data],[subtotal label]],1,FALSE)))</f>
        <v/>
      </c>
      <c r="AF382" s="1063" t="e">
        <f>IF((TB_prev[[#This Row],[Synt]]-TB_prev[[#This Row],[Subtotal Y/N]])=0,0,VLOOKUP(TB_prev[[#This Row],[Synt]],GL[[Account]:[Line]],3,FALSE))</f>
        <v>#VALUE!</v>
      </c>
      <c r="AG382" s="1063" t="e">
        <f>VLOOKUP(TB_prev[[#This Row],[Synt]],GL[[Account]:[B/P]],4,FALSE)</f>
        <v>#N/A</v>
      </c>
      <c r="AH382" s="1066" t="e">
        <v>#VALUE!</v>
      </c>
      <c r="AI382" s="1065" t="e">
        <f>TB_prev[[#This Row],[Synt]]&amp;TB_prev[[#This Row],[Line No. manual corr.]]</f>
        <v>#VALUE!</v>
      </c>
      <c r="AJ382" s="1064">
        <f t="shared" si="26"/>
        <v>0</v>
      </c>
      <c r="AK382" s="1064">
        <f t="shared" si="27"/>
        <v>0</v>
      </c>
      <c r="AL382" s="1064">
        <f t="shared" si="28"/>
        <v>0</v>
      </c>
      <c r="AM382" s="1064">
        <f t="shared" si="29"/>
        <v>0</v>
      </c>
      <c r="AN382" s="1064"/>
      <c r="AO382" s="1064">
        <f>TB_prev[[#This Row],[Closing balance]]+TB_prev[[#This Row],[Rounding]]</f>
        <v>0</v>
      </c>
    </row>
    <row r="383" spans="30:41" x14ac:dyDescent="0.25">
      <c r="AD383" s="1067" t="str">
        <f t="shared" si="25"/>
        <v/>
      </c>
      <c r="AE383" s="1063" t="str">
        <f>IF(ISNA(VLOOKUP(TB_prev[[#This Row],[Synt]],GL[[#Headers],[#Data],[subtotal label]],1,FALSE)),0,(VLOOKUP(TB_prev[[#This Row],[Synt]],GL[[#Headers],[#Data],[subtotal label]],1,FALSE)))</f>
        <v/>
      </c>
      <c r="AF383" s="1063" t="e">
        <f>IF((TB_prev[[#This Row],[Synt]]-TB_prev[[#This Row],[Subtotal Y/N]])=0,0,VLOOKUP(TB_prev[[#This Row],[Synt]],GL[[Account]:[Line]],3,FALSE))</f>
        <v>#VALUE!</v>
      </c>
      <c r="AG383" s="1063" t="e">
        <f>VLOOKUP(TB_prev[[#This Row],[Synt]],GL[[Account]:[B/P]],4,FALSE)</f>
        <v>#N/A</v>
      </c>
      <c r="AH383" s="1066" t="e">
        <v>#VALUE!</v>
      </c>
      <c r="AI383" s="1065" t="e">
        <f>TB_prev[[#This Row],[Synt]]&amp;TB_prev[[#This Row],[Line No. manual corr.]]</f>
        <v>#VALUE!</v>
      </c>
      <c r="AJ383" s="1064">
        <f t="shared" si="26"/>
        <v>0</v>
      </c>
      <c r="AK383" s="1064">
        <f t="shared" si="27"/>
        <v>0</v>
      </c>
      <c r="AL383" s="1064">
        <f t="shared" si="28"/>
        <v>0</v>
      </c>
      <c r="AM383" s="1064">
        <f t="shared" si="29"/>
        <v>0</v>
      </c>
      <c r="AN383" s="1064"/>
      <c r="AO383" s="1064">
        <f>TB_prev[[#This Row],[Closing balance]]+TB_prev[[#This Row],[Rounding]]</f>
        <v>0</v>
      </c>
    </row>
    <row r="384" spans="30:41" x14ac:dyDescent="0.25">
      <c r="AD384" s="1067" t="str">
        <f t="shared" si="25"/>
        <v/>
      </c>
      <c r="AE384" s="1063" t="str">
        <f>IF(ISNA(VLOOKUP(TB_prev[[#This Row],[Synt]],GL[[#Headers],[#Data],[subtotal label]],1,FALSE)),0,(VLOOKUP(TB_prev[[#This Row],[Synt]],GL[[#Headers],[#Data],[subtotal label]],1,FALSE)))</f>
        <v/>
      </c>
      <c r="AF384" s="1063" t="e">
        <f>IF((TB_prev[[#This Row],[Synt]]-TB_prev[[#This Row],[Subtotal Y/N]])=0,0,VLOOKUP(TB_prev[[#This Row],[Synt]],GL[[Account]:[Line]],3,FALSE))</f>
        <v>#VALUE!</v>
      </c>
      <c r="AG384" s="1063" t="e">
        <f>VLOOKUP(TB_prev[[#This Row],[Synt]],GL[[Account]:[B/P]],4,FALSE)</f>
        <v>#N/A</v>
      </c>
      <c r="AH384" s="1066" t="e">
        <v>#VALUE!</v>
      </c>
      <c r="AI384" s="1065" t="e">
        <f>TB_prev[[#This Row],[Synt]]&amp;TB_prev[[#This Row],[Line No. manual corr.]]</f>
        <v>#VALUE!</v>
      </c>
      <c r="AJ384" s="1064">
        <f t="shared" si="26"/>
        <v>0</v>
      </c>
      <c r="AK384" s="1064">
        <f t="shared" si="27"/>
        <v>0</v>
      </c>
      <c r="AL384" s="1064">
        <f t="shared" si="28"/>
        <v>0</v>
      </c>
      <c r="AM384" s="1064">
        <f t="shared" si="29"/>
        <v>0</v>
      </c>
      <c r="AN384" s="1064"/>
      <c r="AO384" s="1064">
        <f>TB_prev[[#This Row],[Closing balance]]+TB_prev[[#This Row],[Rounding]]</f>
        <v>0</v>
      </c>
    </row>
    <row r="385" spans="30:41" x14ac:dyDescent="0.25">
      <c r="AD385" s="1067" t="str">
        <f t="shared" si="25"/>
        <v/>
      </c>
      <c r="AE385" s="1063" t="str">
        <f>IF(ISNA(VLOOKUP(TB_prev[[#This Row],[Synt]],GL[[#Headers],[#Data],[subtotal label]],1,FALSE)),0,(VLOOKUP(TB_prev[[#This Row],[Synt]],GL[[#Headers],[#Data],[subtotal label]],1,FALSE)))</f>
        <v/>
      </c>
      <c r="AF385" s="1063" t="e">
        <f>IF((TB_prev[[#This Row],[Synt]]-TB_prev[[#This Row],[Subtotal Y/N]])=0,0,VLOOKUP(TB_prev[[#This Row],[Synt]],GL[[Account]:[Line]],3,FALSE))</f>
        <v>#VALUE!</v>
      </c>
      <c r="AG385" s="1063" t="e">
        <f>VLOOKUP(TB_prev[[#This Row],[Synt]],GL[[Account]:[B/P]],4,FALSE)</f>
        <v>#N/A</v>
      </c>
      <c r="AH385" s="1066" t="e">
        <v>#VALUE!</v>
      </c>
      <c r="AI385" s="1065" t="e">
        <f>TB_prev[[#This Row],[Synt]]&amp;TB_prev[[#This Row],[Line No. manual corr.]]</f>
        <v>#VALUE!</v>
      </c>
      <c r="AJ385" s="1064">
        <f t="shared" si="26"/>
        <v>0</v>
      </c>
      <c r="AK385" s="1064">
        <f t="shared" si="27"/>
        <v>0</v>
      </c>
      <c r="AL385" s="1064">
        <f t="shared" si="28"/>
        <v>0</v>
      </c>
      <c r="AM385" s="1064">
        <f t="shared" si="29"/>
        <v>0</v>
      </c>
      <c r="AN385" s="1064"/>
      <c r="AO385" s="1064">
        <f>TB_prev[[#This Row],[Closing balance]]+TB_prev[[#This Row],[Rounding]]</f>
        <v>0</v>
      </c>
    </row>
    <row r="386" spans="30:41" x14ac:dyDescent="0.25">
      <c r="AD386" s="1067" t="str">
        <f t="shared" si="25"/>
        <v/>
      </c>
      <c r="AE386" s="1063" t="str">
        <f>IF(ISNA(VLOOKUP(TB_prev[[#This Row],[Synt]],GL[[#Headers],[#Data],[subtotal label]],1,FALSE)),0,(VLOOKUP(TB_prev[[#This Row],[Synt]],GL[[#Headers],[#Data],[subtotal label]],1,FALSE)))</f>
        <v/>
      </c>
      <c r="AF386" s="1063" t="e">
        <f>IF((TB_prev[[#This Row],[Synt]]-TB_prev[[#This Row],[Subtotal Y/N]])=0,0,VLOOKUP(TB_prev[[#This Row],[Synt]],GL[[Account]:[Line]],3,FALSE))</f>
        <v>#VALUE!</v>
      </c>
      <c r="AG386" s="1063" t="e">
        <f>VLOOKUP(TB_prev[[#This Row],[Synt]],GL[[Account]:[B/P]],4,FALSE)</f>
        <v>#N/A</v>
      </c>
      <c r="AH386" s="1066" t="e">
        <v>#VALUE!</v>
      </c>
      <c r="AI386" s="1065" t="e">
        <f>TB_prev[[#This Row],[Synt]]&amp;TB_prev[[#This Row],[Line No. manual corr.]]</f>
        <v>#VALUE!</v>
      </c>
      <c r="AJ386" s="1064">
        <f t="shared" si="26"/>
        <v>0</v>
      </c>
      <c r="AK386" s="1064">
        <f t="shared" si="27"/>
        <v>0</v>
      </c>
      <c r="AL386" s="1064">
        <f t="shared" si="28"/>
        <v>0</v>
      </c>
      <c r="AM386" s="1064">
        <f t="shared" si="29"/>
        <v>0</v>
      </c>
      <c r="AN386" s="1064"/>
      <c r="AO386" s="1064">
        <f>TB_prev[[#This Row],[Closing balance]]+TB_prev[[#This Row],[Rounding]]</f>
        <v>0</v>
      </c>
    </row>
    <row r="387" spans="30:41" x14ac:dyDescent="0.25">
      <c r="AD387" s="1067" t="str">
        <f t="shared" si="25"/>
        <v/>
      </c>
      <c r="AE387" s="1063" t="str">
        <f>IF(ISNA(VLOOKUP(TB_prev[[#This Row],[Synt]],GL[[#Headers],[#Data],[subtotal label]],1,FALSE)),0,(VLOOKUP(TB_prev[[#This Row],[Synt]],GL[[#Headers],[#Data],[subtotal label]],1,FALSE)))</f>
        <v/>
      </c>
      <c r="AF387" s="1063" t="e">
        <f>IF((TB_prev[[#This Row],[Synt]]-TB_prev[[#This Row],[Subtotal Y/N]])=0,0,VLOOKUP(TB_prev[[#This Row],[Synt]],GL[[Account]:[Line]],3,FALSE))</f>
        <v>#VALUE!</v>
      </c>
      <c r="AG387" s="1063" t="e">
        <f>VLOOKUP(TB_prev[[#This Row],[Synt]],GL[[Account]:[B/P]],4,FALSE)</f>
        <v>#N/A</v>
      </c>
      <c r="AH387" s="1066" t="e">
        <v>#VALUE!</v>
      </c>
      <c r="AI387" s="1065" t="e">
        <f>TB_prev[[#This Row],[Synt]]&amp;TB_prev[[#This Row],[Line No. manual corr.]]</f>
        <v>#VALUE!</v>
      </c>
      <c r="AJ387" s="1064">
        <f t="shared" si="26"/>
        <v>0</v>
      </c>
      <c r="AK387" s="1064">
        <f t="shared" si="27"/>
        <v>0</v>
      </c>
      <c r="AL387" s="1064">
        <f t="shared" si="28"/>
        <v>0</v>
      </c>
      <c r="AM387" s="1064">
        <f t="shared" si="29"/>
        <v>0</v>
      </c>
      <c r="AN387" s="1064"/>
      <c r="AO387" s="1064">
        <f>TB_prev[[#This Row],[Closing balance]]+TB_prev[[#This Row],[Rounding]]</f>
        <v>0</v>
      </c>
    </row>
    <row r="388" spans="30:41" x14ac:dyDescent="0.25">
      <c r="AD388" s="1067" t="str">
        <f t="shared" si="25"/>
        <v/>
      </c>
      <c r="AE388" s="1063" t="str">
        <f>IF(ISNA(VLOOKUP(TB_prev[[#This Row],[Synt]],GL[[#Headers],[#Data],[subtotal label]],1,FALSE)),0,(VLOOKUP(TB_prev[[#This Row],[Synt]],GL[[#Headers],[#Data],[subtotal label]],1,FALSE)))</f>
        <v/>
      </c>
      <c r="AF388" s="1063" t="e">
        <f>IF((TB_prev[[#This Row],[Synt]]-TB_prev[[#This Row],[Subtotal Y/N]])=0,0,VLOOKUP(TB_prev[[#This Row],[Synt]],GL[[Account]:[Line]],3,FALSE))</f>
        <v>#VALUE!</v>
      </c>
      <c r="AG388" s="1063" t="e">
        <f>VLOOKUP(TB_prev[[#This Row],[Synt]],GL[[Account]:[B/P]],4,FALSE)</f>
        <v>#N/A</v>
      </c>
      <c r="AH388" s="1066" t="e">
        <v>#VALUE!</v>
      </c>
      <c r="AI388" s="1065" t="e">
        <f>TB_prev[[#This Row],[Synt]]&amp;TB_prev[[#This Row],[Line No. manual corr.]]</f>
        <v>#VALUE!</v>
      </c>
      <c r="AJ388" s="1064">
        <f t="shared" si="26"/>
        <v>0</v>
      </c>
      <c r="AK388" s="1064">
        <f t="shared" si="27"/>
        <v>0</v>
      </c>
      <c r="AL388" s="1064">
        <f t="shared" si="28"/>
        <v>0</v>
      </c>
      <c r="AM388" s="1064">
        <f t="shared" si="29"/>
        <v>0</v>
      </c>
      <c r="AN388" s="1064"/>
      <c r="AO388" s="1064">
        <f>TB_prev[[#This Row],[Closing balance]]+TB_prev[[#This Row],[Rounding]]</f>
        <v>0</v>
      </c>
    </row>
    <row r="389" spans="30:41" x14ac:dyDescent="0.25">
      <c r="AD389" s="1067" t="str">
        <f t="shared" si="25"/>
        <v/>
      </c>
      <c r="AE389" s="1063" t="str">
        <f>IF(ISNA(VLOOKUP(TB_prev[[#This Row],[Synt]],GL[[#Headers],[#Data],[subtotal label]],1,FALSE)),0,(VLOOKUP(TB_prev[[#This Row],[Synt]],GL[[#Headers],[#Data],[subtotal label]],1,FALSE)))</f>
        <v/>
      </c>
      <c r="AF389" s="1063" t="e">
        <f>IF((TB_prev[[#This Row],[Synt]]-TB_prev[[#This Row],[Subtotal Y/N]])=0,0,VLOOKUP(TB_prev[[#This Row],[Synt]],GL[[Account]:[Line]],3,FALSE))</f>
        <v>#VALUE!</v>
      </c>
      <c r="AG389" s="1063" t="e">
        <f>VLOOKUP(TB_prev[[#This Row],[Synt]],GL[[Account]:[B/P]],4,FALSE)</f>
        <v>#N/A</v>
      </c>
      <c r="AH389" s="1066" t="e">
        <v>#VALUE!</v>
      </c>
      <c r="AI389" s="1065" t="e">
        <f>TB_prev[[#This Row],[Synt]]&amp;TB_prev[[#This Row],[Line No. manual corr.]]</f>
        <v>#VALUE!</v>
      </c>
      <c r="AJ389" s="1064">
        <f t="shared" si="26"/>
        <v>0</v>
      </c>
      <c r="AK389" s="1064">
        <f t="shared" si="27"/>
        <v>0</v>
      </c>
      <c r="AL389" s="1064">
        <f t="shared" si="28"/>
        <v>0</v>
      </c>
      <c r="AM389" s="1064">
        <f t="shared" si="29"/>
        <v>0</v>
      </c>
      <c r="AN389" s="1064"/>
      <c r="AO389" s="1064">
        <f>TB_prev[[#This Row],[Closing balance]]+TB_prev[[#This Row],[Rounding]]</f>
        <v>0</v>
      </c>
    </row>
    <row r="390" spans="30:41" x14ac:dyDescent="0.25">
      <c r="AD390" s="1067" t="str">
        <f t="shared" si="25"/>
        <v/>
      </c>
      <c r="AE390" s="1063" t="str">
        <f>IF(ISNA(VLOOKUP(TB_prev[[#This Row],[Synt]],GL[[#Headers],[#Data],[subtotal label]],1,FALSE)),0,(VLOOKUP(TB_prev[[#This Row],[Synt]],GL[[#Headers],[#Data],[subtotal label]],1,FALSE)))</f>
        <v/>
      </c>
      <c r="AF390" s="1063" t="e">
        <f>IF((TB_prev[[#This Row],[Synt]]-TB_prev[[#This Row],[Subtotal Y/N]])=0,0,VLOOKUP(TB_prev[[#This Row],[Synt]],GL[[Account]:[Line]],3,FALSE))</f>
        <v>#VALUE!</v>
      </c>
      <c r="AG390" s="1063" t="e">
        <f>VLOOKUP(TB_prev[[#This Row],[Synt]],GL[[Account]:[B/P]],4,FALSE)</f>
        <v>#N/A</v>
      </c>
      <c r="AH390" s="1066" t="e">
        <v>#VALUE!</v>
      </c>
      <c r="AI390" s="1065" t="e">
        <f>TB_prev[[#This Row],[Synt]]&amp;TB_prev[[#This Row],[Line No. manual corr.]]</f>
        <v>#VALUE!</v>
      </c>
      <c r="AJ390" s="1064">
        <f t="shared" si="26"/>
        <v>0</v>
      </c>
      <c r="AK390" s="1064">
        <f t="shared" si="27"/>
        <v>0</v>
      </c>
      <c r="AL390" s="1064">
        <f t="shared" si="28"/>
        <v>0</v>
      </c>
      <c r="AM390" s="1064">
        <f t="shared" si="29"/>
        <v>0</v>
      </c>
      <c r="AN390" s="1064"/>
      <c r="AO390" s="1064">
        <f>TB_prev[[#This Row],[Closing balance]]+TB_prev[[#This Row],[Rounding]]</f>
        <v>0</v>
      </c>
    </row>
    <row r="391" spans="30:41" x14ac:dyDescent="0.25">
      <c r="AD391" s="1067" t="str">
        <f t="shared" si="25"/>
        <v/>
      </c>
      <c r="AE391" s="1063" t="str">
        <f>IF(ISNA(VLOOKUP(TB_prev[[#This Row],[Synt]],GL[[#Headers],[#Data],[subtotal label]],1,FALSE)),0,(VLOOKUP(TB_prev[[#This Row],[Synt]],GL[[#Headers],[#Data],[subtotal label]],1,FALSE)))</f>
        <v/>
      </c>
      <c r="AF391" s="1063" t="e">
        <f>IF((TB_prev[[#This Row],[Synt]]-TB_prev[[#This Row],[Subtotal Y/N]])=0,0,VLOOKUP(TB_prev[[#This Row],[Synt]],GL[[Account]:[Line]],3,FALSE))</f>
        <v>#VALUE!</v>
      </c>
      <c r="AG391" s="1063" t="e">
        <f>VLOOKUP(TB_prev[[#This Row],[Synt]],GL[[Account]:[B/P]],4,FALSE)</f>
        <v>#N/A</v>
      </c>
      <c r="AH391" s="1066" t="e">
        <v>#VALUE!</v>
      </c>
      <c r="AI391" s="1065" t="e">
        <f>TB_prev[[#This Row],[Synt]]&amp;TB_prev[[#This Row],[Line No. manual corr.]]</f>
        <v>#VALUE!</v>
      </c>
      <c r="AJ391" s="1064">
        <f t="shared" si="26"/>
        <v>0</v>
      </c>
      <c r="AK391" s="1064">
        <f t="shared" si="27"/>
        <v>0</v>
      </c>
      <c r="AL391" s="1064">
        <f t="shared" si="28"/>
        <v>0</v>
      </c>
      <c r="AM391" s="1064">
        <f t="shared" si="29"/>
        <v>0</v>
      </c>
      <c r="AN391" s="1064"/>
      <c r="AO391" s="1064">
        <f>TB_prev[[#This Row],[Closing balance]]+TB_prev[[#This Row],[Rounding]]</f>
        <v>0</v>
      </c>
    </row>
    <row r="392" spans="30:41" x14ac:dyDescent="0.25">
      <c r="AD392" s="1067" t="str">
        <f t="shared" ref="AD392:AD455" si="30">LEFT(B392,3)</f>
        <v/>
      </c>
      <c r="AE392" s="1063" t="str">
        <f>IF(ISNA(VLOOKUP(TB_prev[[#This Row],[Synt]],GL[[#Headers],[#Data],[subtotal label]],1,FALSE)),0,(VLOOKUP(TB_prev[[#This Row],[Synt]],GL[[#Headers],[#Data],[subtotal label]],1,FALSE)))</f>
        <v/>
      </c>
      <c r="AF392" s="1063" t="e">
        <f>IF((TB_prev[[#This Row],[Synt]]-TB_prev[[#This Row],[Subtotal Y/N]])=0,0,VLOOKUP(TB_prev[[#This Row],[Synt]],GL[[Account]:[Line]],3,FALSE))</f>
        <v>#VALUE!</v>
      </c>
      <c r="AG392" s="1063" t="e">
        <f>VLOOKUP(TB_prev[[#This Row],[Synt]],GL[[Account]:[B/P]],4,FALSE)</f>
        <v>#N/A</v>
      </c>
      <c r="AH392" s="1066" t="e">
        <v>#VALUE!</v>
      </c>
      <c r="AI392" s="1065" t="e">
        <f>TB_prev[[#This Row],[Synt]]&amp;TB_prev[[#This Row],[Line No. manual corr.]]</f>
        <v>#VALUE!</v>
      </c>
      <c r="AJ392" s="1064">
        <f t="shared" ref="AJ392:AJ455" si="31">K392-N392</f>
        <v>0</v>
      </c>
      <c r="AK392" s="1064">
        <f t="shared" ref="AK392:AK455" si="32">Q392</f>
        <v>0</v>
      </c>
      <c r="AL392" s="1064">
        <f t="shared" ref="AL392:AL455" si="33">U392</f>
        <v>0</v>
      </c>
      <c r="AM392" s="1064">
        <f t="shared" ref="AM392:AM455" si="34">X392-AB392</f>
        <v>0</v>
      </c>
      <c r="AN392" s="1064"/>
      <c r="AO392" s="1064">
        <f>TB_prev[[#This Row],[Closing balance]]+TB_prev[[#This Row],[Rounding]]</f>
        <v>0</v>
      </c>
    </row>
    <row r="393" spans="30:41" x14ac:dyDescent="0.25">
      <c r="AD393" s="1067" t="str">
        <f t="shared" si="30"/>
        <v/>
      </c>
      <c r="AE393" s="1063" t="str">
        <f>IF(ISNA(VLOOKUP(TB_prev[[#This Row],[Synt]],GL[[#Headers],[#Data],[subtotal label]],1,FALSE)),0,(VLOOKUP(TB_prev[[#This Row],[Synt]],GL[[#Headers],[#Data],[subtotal label]],1,FALSE)))</f>
        <v/>
      </c>
      <c r="AF393" s="1063" t="e">
        <f>IF((TB_prev[[#This Row],[Synt]]-TB_prev[[#This Row],[Subtotal Y/N]])=0,0,VLOOKUP(TB_prev[[#This Row],[Synt]],GL[[Account]:[Line]],3,FALSE))</f>
        <v>#VALUE!</v>
      </c>
      <c r="AG393" s="1063" t="e">
        <f>VLOOKUP(TB_prev[[#This Row],[Synt]],GL[[Account]:[B/P]],4,FALSE)</f>
        <v>#N/A</v>
      </c>
      <c r="AH393" s="1066" t="e">
        <v>#VALUE!</v>
      </c>
      <c r="AI393" s="1065" t="e">
        <f>TB_prev[[#This Row],[Synt]]&amp;TB_prev[[#This Row],[Line No. manual corr.]]</f>
        <v>#VALUE!</v>
      </c>
      <c r="AJ393" s="1064">
        <f t="shared" si="31"/>
        <v>0</v>
      </c>
      <c r="AK393" s="1064">
        <f t="shared" si="32"/>
        <v>0</v>
      </c>
      <c r="AL393" s="1064">
        <f t="shared" si="33"/>
        <v>0</v>
      </c>
      <c r="AM393" s="1064">
        <f t="shared" si="34"/>
        <v>0</v>
      </c>
      <c r="AN393" s="1064"/>
      <c r="AO393" s="1064">
        <f>TB_prev[[#This Row],[Closing balance]]+TB_prev[[#This Row],[Rounding]]</f>
        <v>0</v>
      </c>
    </row>
    <row r="394" spans="30:41" x14ac:dyDescent="0.25">
      <c r="AD394" s="1067" t="str">
        <f t="shared" si="30"/>
        <v/>
      </c>
      <c r="AE394" s="1063" t="str">
        <f>IF(ISNA(VLOOKUP(TB_prev[[#This Row],[Synt]],GL[[#Headers],[#Data],[subtotal label]],1,FALSE)),0,(VLOOKUP(TB_prev[[#This Row],[Synt]],GL[[#Headers],[#Data],[subtotal label]],1,FALSE)))</f>
        <v/>
      </c>
      <c r="AF394" s="1063" t="e">
        <f>IF((TB_prev[[#This Row],[Synt]]-TB_prev[[#This Row],[Subtotal Y/N]])=0,0,VLOOKUP(TB_prev[[#This Row],[Synt]],GL[[Account]:[Line]],3,FALSE))</f>
        <v>#VALUE!</v>
      </c>
      <c r="AG394" s="1063" t="e">
        <f>VLOOKUP(TB_prev[[#This Row],[Synt]],GL[[Account]:[B/P]],4,FALSE)</f>
        <v>#N/A</v>
      </c>
      <c r="AH394" s="1066" t="e">
        <v>#VALUE!</v>
      </c>
      <c r="AI394" s="1065" t="e">
        <f>TB_prev[[#This Row],[Synt]]&amp;TB_prev[[#This Row],[Line No. manual corr.]]</f>
        <v>#VALUE!</v>
      </c>
      <c r="AJ394" s="1064">
        <f t="shared" si="31"/>
        <v>0</v>
      </c>
      <c r="AK394" s="1064">
        <f t="shared" si="32"/>
        <v>0</v>
      </c>
      <c r="AL394" s="1064">
        <f t="shared" si="33"/>
        <v>0</v>
      </c>
      <c r="AM394" s="1064">
        <f t="shared" si="34"/>
        <v>0</v>
      </c>
      <c r="AN394" s="1064"/>
      <c r="AO394" s="1064">
        <f>TB_prev[[#This Row],[Closing balance]]+TB_prev[[#This Row],[Rounding]]</f>
        <v>0</v>
      </c>
    </row>
    <row r="395" spans="30:41" x14ac:dyDescent="0.25">
      <c r="AD395" s="1067" t="str">
        <f t="shared" si="30"/>
        <v/>
      </c>
      <c r="AE395" s="1063" t="str">
        <f>IF(ISNA(VLOOKUP(TB_prev[[#This Row],[Synt]],GL[[#Headers],[#Data],[subtotal label]],1,FALSE)),0,(VLOOKUP(TB_prev[[#This Row],[Synt]],GL[[#Headers],[#Data],[subtotal label]],1,FALSE)))</f>
        <v/>
      </c>
      <c r="AF395" s="1063" t="e">
        <f>IF((TB_prev[[#This Row],[Synt]]-TB_prev[[#This Row],[Subtotal Y/N]])=0,0,VLOOKUP(TB_prev[[#This Row],[Synt]],GL[[Account]:[Line]],3,FALSE))</f>
        <v>#VALUE!</v>
      </c>
      <c r="AG395" s="1063" t="e">
        <f>VLOOKUP(TB_prev[[#This Row],[Synt]],GL[[Account]:[B/P]],4,FALSE)</f>
        <v>#N/A</v>
      </c>
      <c r="AH395" s="1066" t="e">
        <v>#VALUE!</v>
      </c>
      <c r="AI395" s="1065" t="e">
        <f>TB_prev[[#This Row],[Synt]]&amp;TB_prev[[#This Row],[Line No. manual corr.]]</f>
        <v>#VALUE!</v>
      </c>
      <c r="AJ395" s="1064">
        <f t="shared" si="31"/>
        <v>0</v>
      </c>
      <c r="AK395" s="1064">
        <f t="shared" si="32"/>
        <v>0</v>
      </c>
      <c r="AL395" s="1064">
        <f t="shared" si="33"/>
        <v>0</v>
      </c>
      <c r="AM395" s="1064">
        <f t="shared" si="34"/>
        <v>0</v>
      </c>
      <c r="AN395" s="1064"/>
      <c r="AO395" s="1064">
        <f>TB_prev[[#This Row],[Closing balance]]+TB_prev[[#This Row],[Rounding]]</f>
        <v>0</v>
      </c>
    </row>
    <row r="396" spans="30:41" x14ac:dyDescent="0.25">
      <c r="AD396" s="1067" t="str">
        <f t="shared" si="30"/>
        <v/>
      </c>
      <c r="AE396" s="1063" t="str">
        <f>IF(ISNA(VLOOKUP(TB_prev[[#This Row],[Synt]],GL[[#Headers],[#Data],[subtotal label]],1,FALSE)),0,(VLOOKUP(TB_prev[[#This Row],[Synt]],GL[[#Headers],[#Data],[subtotal label]],1,FALSE)))</f>
        <v/>
      </c>
      <c r="AF396" s="1063" t="e">
        <f>IF((TB_prev[[#This Row],[Synt]]-TB_prev[[#This Row],[Subtotal Y/N]])=0,0,VLOOKUP(TB_prev[[#This Row],[Synt]],GL[[Account]:[Line]],3,FALSE))</f>
        <v>#VALUE!</v>
      </c>
      <c r="AG396" s="1063" t="e">
        <f>VLOOKUP(TB_prev[[#This Row],[Synt]],GL[[Account]:[B/P]],4,FALSE)</f>
        <v>#N/A</v>
      </c>
      <c r="AH396" s="1066" t="e">
        <v>#VALUE!</v>
      </c>
      <c r="AI396" s="1065" t="e">
        <f>TB_prev[[#This Row],[Synt]]&amp;TB_prev[[#This Row],[Line No. manual corr.]]</f>
        <v>#VALUE!</v>
      </c>
      <c r="AJ396" s="1064">
        <f t="shared" si="31"/>
        <v>0</v>
      </c>
      <c r="AK396" s="1064">
        <f t="shared" si="32"/>
        <v>0</v>
      </c>
      <c r="AL396" s="1064">
        <f t="shared" si="33"/>
        <v>0</v>
      </c>
      <c r="AM396" s="1064">
        <f t="shared" si="34"/>
        <v>0</v>
      </c>
      <c r="AN396" s="1064"/>
      <c r="AO396" s="1064">
        <f>TB_prev[[#This Row],[Closing balance]]+TB_prev[[#This Row],[Rounding]]</f>
        <v>0</v>
      </c>
    </row>
    <row r="397" spans="30:41" x14ac:dyDescent="0.25">
      <c r="AD397" s="1067" t="str">
        <f t="shared" si="30"/>
        <v/>
      </c>
      <c r="AE397" s="1063" t="str">
        <f>IF(ISNA(VLOOKUP(TB_prev[[#This Row],[Synt]],GL[[#Headers],[#Data],[subtotal label]],1,FALSE)),0,(VLOOKUP(TB_prev[[#This Row],[Synt]],GL[[#Headers],[#Data],[subtotal label]],1,FALSE)))</f>
        <v/>
      </c>
      <c r="AF397" s="1063" t="e">
        <f>IF((TB_prev[[#This Row],[Synt]]-TB_prev[[#This Row],[Subtotal Y/N]])=0,0,VLOOKUP(TB_prev[[#This Row],[Synt]],GL[[Account]:[Line]],3,FALSE))</f>
        <v>#VALUE!</v>
      </c>
      <c r="AG397" s="1063" t="e">
        <f>VLOOKUP(TB_prev[[#This Row],[Synt]],GL[[Account]:[B/P]],4,FALSE)</f>
        <v>#N/A</v>
      </c>
      <c r="AH397" s="1066" t="e">
        <v>#VALUE!</v>
      </c>
      <c r="AI397" s="1065" t="e">
        <f>TB_prev[[#This Row],[Synt]]&amp;TB_prev[[#This Row],[Line No. manual corr.]]</f>
        <v>#VALUE!</v>
      </c>
      <c r="AJ397" s="1064">
        <f t="shared" si="31"/>
        <v>0</v>
      </c>
      <c r="AK397" s="1064">
        <f t="shared" si="32"/>
        <v>0</v>
      </c>
      <c r="AL397" s="1064">
        <f t="shared" si="33"/>
        <v>0</v>
      </c>
      <c r="AM397" s="1064">
        <f t="shared" si="34"/>
        <v>0</v>
      </c>
      <c r="AN397" s="1064"/>
      <c r="AO397" s="1064">
        <f>TB_prev[[#This Row],[Closing balance]]+TB_prev[[#This Row],[Rounding]]</f>
        <v>0</v>
      </c>
    </row>
    <row r="398" spans="30:41" x14ac:dyDescent="0.25">
      <c r="AD398" s="1067" t="str">
        <f t="shared" si="30"/>
        <v/>
      </c>
      <c r="AE398" s="1063" t="str">
        <f>IF(ISNA(VLOOKUP(TB_prev[[#This Row],[Synt]],GL[[#Headers],[#Data],[subtotal label]],1,FALSE)),0,(VLOOKUP(TB_prev[[#This Row],[Synt]],GL[[#Headers],[#Data],[subtotal label]],1,FALSE)))</f>
        <v/>
      </c>
      <c r="AF398" s="1063" t="e">
        <f>IF((TB_prev[[#This Row],[Synt]]-TB_prev[[#This Row],[Subtotal Y/N]])=0,0,VLOOKUP(TB_prev[[#This Row],[Synt]],GL[[Account]:[Line]],3,FALSE))</f>
        <v>#VALUE!</v>
      </c>
      <c r="AG398" s="1063" t="e">
        <f>VLOOKUP(TB_prev[[#This Row],[Synt]],GL[[Account]:[B/P]],4,FALSE)</f>
        <v>#N/A</v>
      </c>
      <c r="AH398" s="1066" t="e">
        <v>#VALUE!</v>
      </c>
      <c r="AI398" s="1065" t="e">
        <f>TB_prev[[#This Row],[Synt]]&amp;TB_prev[[#This Row],[Line No. manual corr.]]</f>
        <v>#VALUE!</v>
      </c>
      <c r="AJ398" s="1064">
        <f t="shared" si="31"/>
        <v>0</v>
      </c>
      <c r="AK398" s="1064">
        <f t="shared" si="32"/>
        <v>0</v>
      </c>
      <c r="AL398" s="1064">
        <f t="shared" si="33"/>
        <v>0</v>
      </c>
      <c r="AM398" s="1064">
        <f t="shared" si="34"/>
        <v>0</v>
      </c>
      <c r="AN398" s="1064"/>
      <c r="AO398" s="1064">
        <f>TB_prev[[#This Row],[Closing balance]]+TB_prev[[#This Row],[Rounding]]</f>
        <v>0</v>
      </c>
    </row>
    <row r="399" spans="30:41" x14ac:dyDescent="0.25">
      <c r="AD399" s="1067" t="str">
        <f t="shared" si="30"/>
        <v/>
      </c>
      <c r="AE399" s="1063" t="str">
        <f>IF(ISNA(VLOOKUP(TB_prev[[#This Row],[Synt]],GL[[#Headers],[#Data],[subtotal label]],1,FALSE)),0,(VLOOKUP(TB_prev[[#This Row],[Synt]],GL[[#Headers],[#Data],[subtotal label]],1,FALSE)))</f>
        <v/>
      </c>
      <c r="AF399" s="1063" t="e">
        <f>IF((TB_prev[[#This Row],[Synt]]-TB_prev[[#This Row],[Subtotal Y/N]])=0,0,VLOOKUP(TB_prev[[#This Row],[Synt]],GL[[Account]:[Line]],3,FALSE))</f>
        <v>#VALUE!</v>
      </c>
      <c r="AG399" s="1063" t="e">
        <f>VLOOKUP(TB_prev[[#This Row],[Synt]],GL[[Account]:[B/P]],4,FALSE)</f>
        <v>#N/A</v>
      </c>
      <c r="AH399" s="1066" t="e">
        <v>#VALUE!</v>
      </c>
      <c r="AI399" s="1065" t="e">
        <f>TB_prev[[#This Row],[Synt]]&amp;TB_prev[[#This Row],[Line No. manual corr.]]</f>
        <v>#VALUE!</v>
      </c>
      <c r="AJ399" s="1064">
        <f t="shared" si="31"/>
        <v>0</v>
      </c>
      <c r="AK399" s="1064">
        <f t="shared" si="32"/>
        <v>0</v>
      </c>
      <c r="AL399" s="1064">
        <f t="shared" si="33"/>
        <v>0</v>
      </c>
      <c r="AM399" s="1064">
        <f t="shared" si="34"/>
        <v>0</v>
      </c>
      <c r="AN399" s="1064"/>
      <c r="AO399" s="1064">
        <f>TB_prev[[#This Row],[Closing balance]]+TB_prev[[#This Row],[Rounding]]</f>
        <v>0</v>
      </c>
    </row>
    <row r="400" spans="30:41" x14ac:dyDescent="0.25">
      <c r="AD400" s="1067" t="str">
        <f t="shared" si="30"/>
        <v/>
      </c>
      <c r="AE400" s="1063" t="str">
        <f>IF(ISNA(VLOOKUP(TB_prev[[#This Row],[Synt]],GL[[#Headers],[#Data],[subtotal label]],1,FALSE)),0,(VLOOKUP(TB_prev[[#This Row],[Synt]],GL[[#Headers],[#Data],[subtotal label]],1,FALSE)))</f>
        <v/>
      </c>
      <c r="AF400" s="1063" t="e">
        <f>IF((TB_prev[[#This Row],[Synt]]-TB_prev[[#This Row],[Subtotal Y/N]])=0,0,VLOOKUP(TB_prev[[#This Row],[Synt]],GL[[Account]:[Line]],3,FALSE))</f>
        <v>#VALUE!</v>
      </c>
      <c r="AG400" s="1063" t="e">
        <f>VLOOKUP(TB_prev[[#This Row],[Synt]],GL[[Account]:[B/P]],4,FALSE)</f>
        <v>#N/A</v>
      </c>
      <c r="AH400" s="1066" t="e">
        <v>#VALUE!</v>
      </c>
      <c r="AI400" s="1065" t="e">
        <f>TB_prev[[#This Row],[Synt]]&amp;TB_prev[[#This Row],[Line No. manual corr.]]</f>
        <v>#VALUE!</v>
      </c>
      <c r="AJ400" s="1064">
        <f t="shared" si="31"/>
        <v>0</v>
      </c>
      <c r="AK400" s="1064">
        <f t="shared" si="32"/>
        <v>0</v>
      </c>
      <c r="AL400" s="1064">
        <f t="shared" si="33"/>
        <v>0</v>
      </c>
      <c r="AM400" s="1064">
        <f t="shared" si="34"/>
        <v>0</v>
      </c>
      <c r="AN400" s="1064"/>
      <c r="AO400" s="1064">
        <f>TB_prev[[#This Row],[Closing balance]]+TB_prev[[#This Row],[Rounding]]</f>
        <v>0</v>
      </c>
    </row>
    <row r="401" spans="30:41" x14ac:dyDescent="0.25">
      <c r="AD401" s="1067" t="str">
        <f t="shared" si="30"/>
        <v/>
      </c>
      <c r="AE401" s="1063" t="str">
        <f>IF(ISNA(VLOOKUP(TB_prev[[#This Row],[Synt]],GL[[#Headers],[#Data],[subtotal label]],1,FALSE)),0,(VLOOKUP(TB_prev[[#This Row],[Synt]],GL[[#Headers],[#Data],[subtotal label]],1,FALSE)))</f>
        <v/>
      </c>
      <c r="AF401" s="1063" t="e">
        <f>IF((TB_prev[[#This Row],[Synt]]-TB_prev[[#This Row],[Subtotal Y/N]])=0,0,VLOOKUP(TB_prev[[#This Row],[Synt]],GL[[Account]:[Line]],3,FALSE))</f>
        <v>#VALUE!</v>
      </c>
      <c r="AG401" s="1063" t="e">
        <f>VLOOKUP(TB_prev[[#This Row],[Synt]],GL[[Account]:[B/P]],4,FALSE)</f>
        <v>#N/A</v>
      </c>
      <c r="AH401" s="1066" t="e">
        <v>#VALUE!</v>
      </c>
      <c r="AI401" s="1065" t="e">
        <f>TB_prev[[#This Row],[Synt]]&amp;TB_prev[[#This Row],[Line No. manual corr.]]</f>
        <v>#VALUE!</v>
      </c>
      <c r="AJ401" s="1064">
        <f t="shared" si="31"/>
        <v>0</v>
      </c>
      <c r="AK401" s="1064">
        <f t="shared" si="32"/>
        <v>0</v>
      </c>
      <c r="AL401" s="1064">
        <f t="shared" si="33"/>
        <v>0</v>
      </c>
      <c r="AM401" s="1064">
        <f t="shared" si="34"/>
        <v>0</v>
      </c>
      <c r="AN401" s="1064"/>
      <c r="AO401" s="1064">
        <f>TB_prev[[#This Row],[Closing balance]]+TB_prev[[#This Row],[Rounding]]</f>
        <v>0</v>
      </c>
    </row>
    <row r="402" spans="30:41" x14ac:dyDescent="0.25">
      <c r="AD402" s="1067" t="str">
        <f t="shared" si="30"/>
        <v/>
      </c>
      <c r="AE402" s="1063" t="str">
        <f>IF(ISNA(VLOOKUP(TB_prev[[#This Row],[Synt]],GL[[#Headers],[#Data],[subtotal label]],1,FALSE)),0,(VLOOKUP(TB_prev[[#This Row],[Synt]],GL[[#Headers],[#Data],[subtotal label]],1,FALSE)))</f>
        <v/>
      </c>
      <c r="AF402" s="1063" t="e">
        <f>IF((TB_prev[[#This Row],[Synt]]-TB_prev[[#This Row],[Subtotal Y/N]])=0,0,VLOOKUP(TB_prev[[#This Row],[Synt]],GL[[Account]:[Line]],3,FALSE))</f>
        <v>#VALUE!</v>
      </c>
      <c r="AG402" s="1063" t="e">
        <f>VLOOKUP(TB_prev[[#This Row],[Synt]],GL[[Account]:[B/P]],4,FALSE)</f>
        <v>#N/A</v>
      </c>
      <c r="AH402" s="1066" t="e">
        <v>#VALUE!</v>
      </c>
      <c r="AI402" s="1065" t="e">
        <f>TB_prev[[#This Row],[Synt]]&amp;TB_prev[[#This Row],[Line No. manual corr.]]</f>
        <v>#VALUE!</v>
      </c>
      <c r="AJ402" s="1064">
        <f t="shared" si="31"/>
        <v>0</v>
      </c>
      <c r="AK402" s="1064">
        <f t="shared" si="32"/>
        <v>0</v>
      </c>
      <c r="AL402" s="1064">
        <f t="shared" si="33"/>
        <v>0</v>
      </c>
      <c r="AM402" s="1064">
        <f t="shared" si="34"/>
        <v>0</v>
      </c>
      <c r="AN402" s="1064"/>
      <c r="AO402" s="1064">
        <f>TB_prev[[#This Row],[Closing balance]]+TB_prev[[#This Row],[Rounding]]</f>
        <v>0</v>
      </c>
    </row>
    <row r="403" spans="30:41" x14ac:dyDescent="0.25">
      <c r="AD403" s="1067" t="str">
        <f t="shared" si="30"/>
        <v/>
      </c>
      <c r="AE403" s="1063" t="str">
        <f>IF(ISNA(VLOOKUP(TB_prev[[#This Row],[Synt]],GL[[#Headers],[#Data],[subtotal label]],1,FALSE)),0,(VLOOKUP(TB_prev[[#This Row],[Synt]],GL[[#Headers],[#Data],[subtotal label]],1,FALSE)))</f>
        <v/>
      </c>
      <c r="AF403" s="1063" t="e">
        <f>IF((TB_prev[[#This Row],[Synt]]-TB_prev[[#This Row],[Subtotal Y/N]])=0,0,VLOOKUP(TB_prev[[#This Row],[Synt]],GL[[Account]:[Line]],3,FALSE))</f>
        <v>#VALUE!</v>
      </c>
      <c r="AG403" s="1063" t="e">
        <f>VLOOKUP(TB_prev[[#This Row],[Synt]],GL[[Account]:[B/P]],4,FALSE)</f>
        <v>#N/A</v>
      </c>
      <c r="AH403" s="1066" t="e">
        <v>#VALUE!</v>
      </c>
      <c r="AI403" s="1065" t="e">
        <f>TB_prev[[#This Row],[Synt]]&amp;TB_prev[[#This Row],[Line No. manual corr.]]</f>
        <v>#VALUE!</v>
      </c>
      <c r="AJ403" s="1064">
        <f t="shared" si="31"/>
        <v>0</v>
      </c>
      <c r="AK403" s="1064">
        <f t="shared" si="32"/>
        <v>0</v>
      </c>
      <c r="AL403" s="1064">
        <f t="shared" si="33"/>
        <v>0</v>
      </c>
      <c r="AM403" s="1064">
        <f t="shared" si="34"/>
        <v>0</v>
      </c>
      <c r="AN403" s="1064"/>
      <c r="AO403" s="1064">
        <f>TB_prev[[#This Row],[Closing balance]]+TB_prev[[#This Row],[Rounding]]</f>
        <v>0</v>
      </c>
    </row>
    <row r="404" spans="30:41" x14ac:dyDescent="0.25">
      <c r="AD404" s="1067" t="str">
        <f t="shared" si="30"/>
        <v/>
      </c>
      <c r="AE404" s="1063" t="str">
        <f>IF(ISNA(VLOOKUP(TB_prev[[#This Row],[Synt]],GL[[#Headers],[#Data],[subtotal label]],1,FALSE)),0,(VLOOKUP(TB_prev[[#This Row],[Synt]],GL[[#Headers],[#Data],[subtotal label]],1,FALSE)))</f>
        <v/>
      </c>
      <c r="AF404" s="1063" t="e">
        <f>IF((TB_prev[[#This Row],[Synt]]-TB_prev[[#This Row],[Subtotal Y/N]])=0,0,VLOOKUP(TB_prev[[#This Row],[Synt]],GL[[Account]:[Line]],3,FALSE))</f>
        <v>#VALUE!</v>
      </c>
      <c r="AG404" s="1063" t="e">
        <f>VLOOKUP(TB_prev[[#This Row],[Synt]],GL[[Account]:[B/P]],4,FALSE)</f>
        <v>#N/A</v>
      </c>
      <c r="AH404" s="1066" t="e">
        <v>#VALUE!</v>
      </c>
      <c r="AI404" s="1065" t="e">
        <f>TB_prev[[#This Row],[Synt]]&amp;TB_prev[[#This Row],[Line No. manual corr.]]</f>
        <v>#VALUE!</v>
      </c>
      <c r="AJ404" s="1064">
        <f t="shared" si="31"/>
        <v>0</v>
      </c>
      <c r="AK404" s="1064">
        <f t="shared" si="32"/>
        <v>0</v>
      </c>
      <c r="AL404" s="1064">
        <f t="shared" si="33"/>
        <v>0</v>
      </c>
      <c r="AM404" s="1064">
        <f t="shared" si="34"/>
        <v>0</v>
      </c>
      <c r="AN404" s="1064"/>
      <c r="AO404" s="1064">
        <f>TB_prev[[#This Row],[Closing balance]]+TB_prev[[#This Row],[Rounding]]</f>
        <v>0</v>
      </c>
    </row>
    <row r="405" spans="30:41" x14ac:dyDescent="0.25">
      <c r="AD405" s="1067" t="str">
        <f t="shared" si="30"/>
        <v/>
      </c>
      <c r="AE405" s="1063" t="str">
        <f>IF(ISNA(VLOOKUP(TB_prev[[#This Row],[Synt]],GL[[#Headers],[#Data],[subtotal label]],1,FALSE)),0,(VLOOKUP(TB_prev[[#This Row],[Synt]],GL[[#Headers],[#Data],[subtotal label]],1,FALSE)))</f>
        <v/>
      </c>
      <c r="AF405" s="1063" t="e">
        <f>IF((TB_prev[[#This Row],[Synt]]-TB_prev[[#This Row],[Subtotal Y/N]])=0,0,VLOOKUP(TB_prev[[#This Row],[Synt]],GL[[Account]:[Line]],3,FALSE))</f>
        <v>#VALUE!</v>
      </c>
      <c r="AG405" s="1063" t="e">
        <f>VLOOKUP(TB_prev[[#This Row],[Synt]],GL[[Account]:[B/P]],4,FALSE)</f>
        <v>#N/A</v>
      </c>
      <c r="AH405" s="1066" t="e">
        <v>#VALUE!</v>
      </c>
      <c r="AI405" s="1065" t="e">
        <f>TB_prev[[#This Row],[Synt]]&amp;TB_prev[[#This Row],[Line No. manual corr.]]</f>
        <v>#VALUE!</v>
      </c>
      <c r="AJ405" s="1064">
        <f t="shared" si="31"/>
        <v>0</v>
      </c>
      <c r="AK405" s="1064">
        <f t="shared" si="32"/>
        <v>0</v>
      </c>
      <c r="AL405" s="1064">
        <f t="shared" si="33"/>
        <v>0</v>
      </c>
      <c r="AM405" s="1064">
        <f t="shared" si="34"/>
        <v>0</v>
      </c>
      <c r="AN405" s="1064"/>
      <c r="AO405" s="1064">
        <f>TB_prev[[#This Row],[Closing balance]]+TB_prev[[#This Row],[Rounding]]</f>
        <v>0</v>
      </c>
    </row>
    <row r="406" spans="30:41" x14ac:dyDescent="0.25">
      <c r="AD406" s="1067" t="str">
        <f t="shared" si="30"/>
        <v/>
      </c>
      <c r="AE406" s="1063" t="str">
        <f>IF(ISNA(VLOOKUP(TB_prev[[#This Row],[Synt]],GL[[#Headers],[#Data],[subtotal label]],1,FALSE)),0,(VLOOKUP(TB_prev[[#This Row],[Synt]],GL[[#Headers],[#Data],[subtotal label]],1,FALSE)))</f>
        <v/>
      </c>
      <c r="AF406" s="1063" t="e">
        <f>IF((TB_prev[[#This Row],[Synt]]-TB_prev[[#This Row],[Subtotal Y/N]])=0,0,VLOOKUP(TB_prev[[#This Row],[Synt]],GL[[Account]:[Line]],3,FALSE))</f>
        <v>#VALUE!</v>
      </c>
      <c r="AG406" s="1063" t="e">
        <f>VLOOKUP(TB_prev[[#This Row],[Synt]],GL[[Account]:[B/P]],4,FALSE)</f>
        <v>#N/A</v>
      </c>
      <c r="AH406" s="1066" t="e">
        <v>#VALUE!</v>
      </c>
      <c r="AI406" s="1065" t="e">
        <f>TB_prev[[#This Row],[Synt]]&amp;TB_prev[[#This Row],[Line No. manual corr.]]</f>
        <v>#VALUE!</v>
      </c>
      <c r="AJ406" s="1064">
        <f t="shared" si="31"/>
        <v>0</v>
      </c>
      <c r="AK406" s="1064">
        <f t="shared" si="32"/>
        <v>0</v>
      </c>
      <c r="AL406" s="1064">
        <f t="shared" si="33"/>
        <v>0</v>
      </c>
      <c r="AM406" s="1064">
        <f t="shared" si="34"/>
        <v>0</v>
      </c>
      <c r="AN406" s="1064"/>
      <c r="AO406" s="1064">
        <f>TB_prev[[#This Row],[Closing balance]]+TB_prev[[#This Row],[Rounding]]</f>
        <v>0</v>
      </c>
    </row>
    <row r="407" spans="30:41" x14ac:dyDescent="0.25">
      <c r="AD407" s="1067" t="str">
        <f t="shared" si="30"/>
        <v/>
      </c>
      <c r="AE407" s="1063" t="str">
        <f>IF(ISNA(VLOOKUP(TB_prev[[#This Row],[Synt]],GL[[#Headers],[#Data],[subtotal label]],1,FALSE)),0,(VLOOKUP(TB_prev[[#This Row],[Synt]],GL[[#Headers],[#Data],[subtotal label]],1,FALSE)))</f>
        <v/>
      </c>
      <c r="AF407" s="1063" t="e">
        <f>IF((TB_prev[[#This Row],[Synt]]-TB_prev[[#This Row],[Subtotal Y/N]])=0,0,VLOOKUP(TB_prev[[#This Row],[Synt]],GL[[Account]:[Line]],3,FALSE))</f>
        <v>#VALUE!</v>
      </c>
      <c r="AG407" s="1063" t="e">
        <f>VLOOKUP(TB_prev[[#This Row],[Synt]],GL[[Account]:[B/P]],4,FALSE)</f>
        <v>#N/A</v>
      </c>
      <c r="AH407" s="1066" t="e">
        <v>#VALUE!</v>
      </c>
      <c r="AI407" s="1065" t="e">
        <f>TB_prev[[#This Row],[Synt]]&amp;TB_prev[[#This Row],[Line No. manual corr.]]</f>
        <v>#VALUE!</v>
      </c>
      <c r="AJ407" s="1064">
        <f t="shared" si="31"/>
        <v>0</v>
      </c>
      <c r="AK407" s="1064">
        <f t="shared" si="32"/>
        <v>0</v>
      </c>
      <c r="AL407" s="1064">
        <f t="shared" si="33"/>
        <v>0</v>
      </c>
      <c r="AM407" s="1064">
        <f t="shared" si="34"/>
        <v>0</v>
      </c>
      <c r="AN407" s="1064"/>
      <c r="AO407" s="1064">
        <f>TB_prev[[#This Row],[Closing balance]]+TB_prev[[#This Row],[Rounding]]</f>
        <v>0</v>
      </c>
    </row>
    <row r="408" spans="30:41" x14ac:dyDescent="0.25">
      <c r="AD408" s="1067" t="str">
        <f t="shared" si="30"/>
        <v/>
      </c>
      <c r="AE408" s="1063" t="str">
        <f>IF(ISNA(VLOOKUP(TB_prev[[#This Row],[Synt]],GL[[#Headers],[#Data],[subtotal label]],1,FALSE)),0,(VLOOKUP(TB_prev[[#This Row],[Synt]],GL[[#Headers],[#Data],[subtotal label]],1,FALSE)))</f>
        <v/>
      </c>
      <c r="AF408" s="1063" t="e">
        <f>IF((TB_prev[[#This Row],[Synt]]-TB_prev[[#This Row],[Subtotal Y/N]])=0,0,VLOOKUP(TB_prev[[#This Row],[Synt]],GL[[Account]:[Line]],3,FALSE))</f>
        <v>#VALUE!</v>
      </c>
      <c r="AG408" s="1063" t="e">
        <f>VLOOKUP(TB_prev[[#This Row],[Synt]],GL[[Account]:[B/P]],4,FALSE)</f>
        <v>#N/A</v>
      </c>
      <c r="AH408" s="1066" t="e">
        <v>#VALUE!</v>
      </c>
      <c r="AI408" s="1065" t="e">
        <f>TB_prev[[#This Row],[Synt]]&amp;TB_prev[[#This Row],[Line No. manual corr.]]</f>
        <v>#VALUE!</v>
      </c>
      <c r="AJ408" s="1064">
        <f t="shared" si="31"/>
        <v>0</v>
      </c>
      <c r="AK408" s="1064">
        <f t="shared" si="32"/>
        <v>0</v>
      </c>
      <c r="AL408" s="1064">
        <f t="shared" si="33"/>
        <v>0</v>
      </c>
      <c r="AM408" s="1064">
        <f t="shared" si="34"/>
        <v>0</v>
      </c>
      <c r="AN408" s="1064"/>
      <c r="AO408" s="1064">
        <f>TB_prev[[#This Row],[Closing balance]]+TB_prev[[#This Row],[Rounding]]</f>
        <v>0</v>
      </c>
    </row>
    <row r="409" spans="30:41" x14ac:dyDescent="0.25">
      <c r="AD409" s="1067" t="str">
        <f t="shared" si="30"/>
        <v/>
      </c>
      <c r="AE409" s="1063" t="str">
        <f>IF(ISNA(VLOOKUP(TB_prev[[#This Row],[Synt]],GL[[#Headers],[#Data],[subtotal label]],1,FALSE)),0,(VLOOKUP(TB_prev[[#This Row],[Synt]],GL[[#Headers],[#Data],[subtotal label]],1,FALSE)))</f>
        <v/>
      </c>
      <c r="AF409" s="1063" t="e">
        <f>IF((TB_prev[[#This Row],[Synt]]-TB_prev[[#This Row],[Subtotal Y/N]])=0,0,VLOOKUP(TB_prev[[#This Row],[Synt]],GL[[Account]:[Line]],3,FALSE))</f>
        <v>#VALUE!</v>
      </c>
      <c r="AG409" s="1063" t="e">
        <f>VLOOKUP(TB_prev[[#This Row],[Synt]],GL[[Account]:[B/P]],4,FALSE)</f>
        <v>#N/A</v>
      </c>
      <c r="AH409" s="1066" t="e">
        <v>#VALUE!</v>
      </c>
      <c r="AI409" s="1065" t="e">
        <f>TB_prev[[#This Row],[Synt]]&amp;TB_prev[[#This Row],[Line No. manual corr.]]</f>
        <v>#VALUE!</v>
      </c>
      <c r="AJ409" s="1064">
        <f t="shared" si="31"/>
        <v>0</v>
      </c>
      <c r="AK409" s="1064">
        <f t="shared" si="32"/>
        <v>0</v>
      </c>
      <c r="AL409" s="1064">
        <f t="shared" si="33"/>
        <v>0</v>
      </c>
      <c r="AM409" s="1064">
        <f t="shared" si="34"/>
        <v>0</v>
      </c>
      <c r="AN409" s="1064"/>
      <c r="AO409" s="1064">
        <f>TB_prev[[#This Row],[Closing balance]]+TB_prev[[#This Row],[Rounding]]</f>
        <v>0</v>
      </c>
    </row>
    <row r="410" spans="30:41" x14ac:dyDescent="0.25">
      <c r="AD410" s="1067" t="str">
        <f t="shared" si="30"/>
        <v/>
      </c>
      <c r="AE410" s="1063" t="str">
        <f>IF(ISNA(VLOOKUP(TB_prev[[#This Row],[Synt]],GL[[#Headers],[#Data],[subtotal label]],1,FALSE)),0,(VLOOKUP(TB_prev[[#This Row],[Synt]],GL[[#Headers],[#Data],[subtotal label]],1,FALSE)))</f>
        <v/>
      </c>
      <c r="AF410" s="1063" t="e">
        <f>IF((TB_prev[[#This Row],[Synt]]-TB_prev[[#This Row],[Subtotal Y/N]])=0,0,VLOOKUP(TB_prev[[#This Row],[Synt]],GL[[Account]:[Line]],3,FALSE))</f>
        <v>#VALUE!</v>
      </c>
      <c r="AG410" s="1063" t="e">
        <f>VLOOKUP(TB_prev[[#This Row],[Synt]],GL[[Account]:[B/P]],4,FALSE)</f>
        <v>#N/A</v>
      </c>
      <c r="AH410" s="1066" t="e">
        <v>#VALUE!</v>
      </c>
      <c r="AI410" s="1065" t="e">
        <f>TB_prev[[#This Row],[Synt]]&amp;TB_prev[[#This Row],[Line No. manual corr.]]</f>
        <v>#VALUE!</v>
      </c>
      <c r="AJ410" s="1064">
        <f t="shared" si="31"/>
        <v>0</v>
      </c>
      <c r="AK410" s="1064">
        <f t="shared" si="32"/>
        <v>0</v>
      </c>
      <c r="AL410" s="1064">
        <f t="shared" si="33"/>
        <v>0</v>
      </c>
      <c r="AM410" s="1064">
        <f t="shared" si="34"/>
        <v>0</v>
      </c>
      <c r="AN410" s="1064"/>
      <c r="AO410" s="1064">
        <f>TB_prev[[#This Row],[Closing balance]]+TB_prev[[#This Row],[Rounding]]</f>
        <v>0</v>
      </c>
    </row>
    <row r="411" spans="30:41" x14ac:dyDescent="0.25">
      <c r="AD411" s="1067" t="str">
        <f t="shared" si="30"/>
        <v/>
      </c>
      <c r="AE411" s="1063" t="str">
        <f>IF(ISNA(VLOOKUP(TB_prev[[#This Row],[Synt]],GL[[#Headers],[#Data],[subtotal label]],1,FALSE)),0,(VLOOKUP(TB_prev[[#This Row],[Synt]],GL[[#Headers],[#Data],[subtotal label]],1,FALSE)))</f>
        <v/>
      </c>
      <c r="AF411" s="1063" t="e">
        <f>IF((TB_prev[[#This Row],[Synt]]-TB_prev[[#This Row],[Subtotal Y/N]])=0,0,VLOOKUP(TB_prev[[#This Row],[Synt]],GL[[Account]:[Line]],3,FALSE))</f>
        <v>#VALUE!</v>
      </c>
      <c r="AG411" s="1063" t="e">
        <f>VLOOKUP(TB_prev[[#This Row],[Synt]],GL[[Account]:[B/P]],4,FALSE)</f>
        <v>#N/A</v>
      </c>
      <c r="AH411" s="1066" t="e">
        <v>#VALUE!</v>
      </c>
      <c r="AI411" s="1065" t="e">
        <f>TB_prev[[#This Row],[Synt]]&amp;TB_prev[[#This Row],[Line No. manual corr.]]</f>
        <v>#VALUE!</v>
      </c>
      <c r="AJ411" s="1064">
        <f t="shared" si="31"/>
        <v>0</v>
      </c>
      <c r="AK411" s="1064">
        <f t="shared" si="32"/>
        <v>0</v>
      </c>
      <c r="AL411" s="1064">
        <f t="shared" si="33"/>
        <v>0</v>
      </c>
      <c r="AM411" s="1064">
        <f t="shared" si="34"/>
        <v>0</v>
      </c>
      <c r="AN411" s="1064"/>
      <c r="AO411" s="1064">
        <f>TB_prev[[#This Row],[Closing balance]]+TB_prev[[#This Row],[Rounding]]</f>
        <v>0</v>
      </c>
    </row>
    <row r="412" spans="30:41" x14ac:dyDescent="0.25">
      <c r="AD412" s="1067" t="str">
        <f t="shared" si="30"/>
        <v/>
      </c>
      <c r="AE412" s="1063" t="str">
        <f>IF(ISNA(VLOOKUP(TB_prev[[#This Row],[Synt]],GL[[#Headers],[#Data],[subtotal label]],1,FALSE)),0,(VLOOKUP(TB_prev[[#This Row],[Synt]],GL[[#Headers],[#Data],[subtotal label]],1,FALSE)))</f>
        <v/>
      </c>
      <c r="AF412" s="1063" t="e">
        <f>IF((TB_prev[[#This Row],[Synt]]-TB_prev[[#This Row],[Subtotal Y/N]])=0,0,VLOOKUP(TB_prev[[#This Row],[Synt]],GL[[Account]:[Line]],3,FALSE))</f>
        <v>#VALUE!</v>
      </c>
      <c r="AG412" s="1063" t="e">
        <f>VLOOKUP(TB_prev[[#This Row],[Synt]],GL[[Account]:[B/P]],4,FALSE)</f>
        <v>#N/A</v>
      </c>
      <c r="AH412" s="1066" t="e">
        <v>#VALUE!</v>
      </c>
      <c r="AI412" s="1065" t="e">
        <f>TB_prev[[#This Row],[Synt]]&amp;TB_prev[[#This Row],[Line No. manual corr.]]</f>
        <v>#VALUE!</v>
      </c>
      <c r="AJ412" s="1064">
        <f t="shared" si="31"/>
        <v>0</v>
      </c>
      <c r="AK412" s="1064">
        <f t="shared" si="32"/>
        <v>0</v>
      </c>
      <c r="AL412" s="1064">
        <f t="shared" si="33"/>
        <v>0</v>
      </c>
      <c r="AM412" s="1064">
        <f t="shared" si="34"/>
        <v>0</v>
      </c>
      <c r="AN412" s="1064"/>
      <c r="AO412" s="1064">
        <f>TB_prev[[#This Row],[Closing balance]]+TB_prev[[#This Row],[Rounding]]</f>
        <v>0</v>
      </c>
    </row>
    <row r="413" spans="30:41" x14ac:dyDescent="0.25">
      <c r="AD413" s="1067" t="str">
        <f t="shared" si="30"/>
        <v/>
      </c>
      <c r="AE413" s="1063" t="str">
        <f>IF(ISNA(VLOOKUP(TB_prev[[#This Row],[Synt]],GL[[#Headers],[#Data],[subtotal label]],1,FALSE)),0,(VLOOKUP(TB_prev[[#This Row],[Synt]],GL[[#Headers],[#Data],[subtotal label]],1,FALSE)))</f>
        <v/>
      </c>
      <c r="AF413" s="1063" t="e">
        <f>IF((TB_prev[[#This Row],[Synt]]-TB_prev[[#This Row],[Subtotal Y/N]])=0,0,VLOOKUP(TB_prev[[#This Row],[Synt]],GL[[Account]:[Line]],3,FALSE))</f>
        <v>#VALUE!</v>
      </c>
      <c r="AG413" s="1063" t="e">
        <f>VLOOKUP(TB_prev[[#This Row],[Synt]],GL[[Account]:[B/P]],4,FALSE)</f>
        <v>#N/A</v>
      </c>
      <c r="AH413" s="1066" t="e">
        <v>#VALUE!</v>
      </c>
      <c r="AI413" s="1065" t="e">
        <f>TB_prev[[#This Row],[Synt]]&amp;TB_prev[[#This Row],[Line No. manual corr.]]</f>
        <v>#VALUE!</v>
      </c>
      <c r="AJ413" s="1064">
        <f t="shared" si="31"/>
        <v>0</v>
      </c>
      <c r="AK413" s="1064">
        <f t="shared" si="32"/>
        <v>0</v>
      </c>
      <c r="AL413" s="1064">
        <f t="shared" si="33"/>
        <v>0</v>
      </c>
      <c r="AM413" s="1064">
        <f t="shared" si="34"/>
        <v>0</v>
      </c>
      <c r="AN413" s="1064"/>
      <c r="AO413" s="1064">
        <f>TB_prev[[#This Row],[Closing balance]]+TB_prev[[#This Row],[Rounding]]</f>
        <v>0</v>
      </c>
    </row>
    <row r="414" spans="30:41" x14ac:dyDescent="0.25">
      <c r="AD414" s="1067" t="str">
        <f t="shared" si="30"/>
        <v/>
      </c>
      <c r="AE414" s="1063" t="str">
        <f>IF(ISNA(VLOOKUP(TB_prev[[#This Row],[Synt]],GL[[#Headers],[#Data],[subtotal label]],1,FALSE)),0,(VLOOKUP(TB_prev[[#This Row],[Synt]],GL[[#Headers],[#Data],[subtotal label]],1,FALSE)))</f>
        <v/>
      </c>
      <c r="AF414" s="1063" t="e">
        <f>IF((TB_prev[[#This Row],[Synt]]-TB_prev[[#This Row],[Subtotal Y/N]])=0,0,VLOOKUP(TB_prev[[#This Row],[Synt]],GL[[Account]:[Line]],3,FALSE))</f>
        <v>#VALUE!</v>
      </c>
      <c r="AG414" s="1063" t="e">
        <f>VLOOKUP(TB_prev[[#This Row],[Synt]],GL[[Account]:[B/P]],4,FALSE)</f>
        <v>#N/A</v>
      </c>
      <c r="AH414" s="1066" t="e">
        <v>#VALUE!</v>
      </c>
      <c r="AI414" s="1065" t="e">
        <f>TB_prev[[#This Row],[Synt]]&amp;TB_prev[[#This Row],[Line No. manual corr.]]</f>
        <v>#VALUE!</v>
      </c>
      <c r="AJ414" s="1064">
        <f t="shared" si="31"/>
        <v>0</v>
      </c>
      <c r="AK414" s="1064">
        <f t="shared" si="32"/>
        <v>0</v>
      </c>
      <c r="AL414" s="1064">
        <f t="shared" si="33"/>
        <v>0</v>
      </c>
      <c r="AM414" s="1064">
        <f t="shared" si="34"/>
        <v>0</v>
      </c>
      <c r="AN414" s="1064"/>
      <c r="AO414" s="1064">
        <f>TB_prev[[#This Row],[Closing balance]]+TB_prev[[#This Row],[Rounding]]</f>
        <v>0</v>
      </c>
    </row>
    <row r="415" spans="30:41" x14ac:dyDescent="0.25">
      <c r="AD415" s="1067" t="str">
        <f t="shared" si="30"/>
        <v/>
      </c>
      <c r="AE415" s="1063" t="str">
        <f>IF(ISNA(VLOOKUP(TB_prev[[#This Row],[Synt]],GL[[#Headers],[#Data],[subtotal label]],1,FALSE)),0,(VLOOKUP(TB_prev[[#This Row],[Synt]],GL[[#Headers],[#Data],[subtotal label]],1,FALSE)))</f>
        <v/>
      </c>
      <c r="AF415" s="1063" t="e">
        <f>IF((TB_prev[[#This Row],[Synt]]-TB_prev[[#This Row],[Subtotal Y/N]])=0,0,VLOOKUP(TB_prev[[#This Row],[Synt]],GL[[Account]:[Line]],3,FALSE))</f>
        <v>#VALUE!</v>
      </c>
      <c r="AG415" s="1063" t="e">
        <f>VLOOKUP(TB_prev[[#This Row],[Synt]],GL[[Account]:[B/P]],4,FALSE)</f>
        <v>#N/A</v>
      </c>
      <c r="AH415" s="1066" t="e">
        <v>#VALUE!</v>
      </c>
      <c r="AI415" s="1065" t="e">
        <f>TB_prev[[#This Row],[Synt]]&amp;TB_prev[[#This Row],[Line No. manual corr.]]</f>
        <v>#VALUE!</v>
      </c>
      <c r="AJ415" s="1064">
        <f t="shared" si="31"/>
        <v>0</v>
      </c>
      <c r="AK415" s="1064">
        <f t="shared" si="32"/>
        <v>0</v>
      </c>
      <c r="AL415" s="1064">
        <f t="shared" si="33"/>
        <v>0</v>
      </c>
      <c r="AM415" s="1064">
        <f t="shared" si="34"/>
        <v>0</v>
      </c>
      <c r="AN415" s="1064"/>
      <c r="AO415" s="1064">
        <f>TB_prev[[#This Row],[Closing balance]]+TB_prev[[#This Row],[Rounding]]</f>
        <v>0</v>
      </c>
    </row>
    <row r="416" spans="30:41" x14ac:dyDescent="0.25">
      <c r="AD416" s="1067" t="str">
        <f t="shared" si="30"/>
        <v/>
      </c>
      <c r="AE416" s="1063" t="str">
        <f>IF(ISNA(VLOOKUP(TB_prev[[#This Row],[Synt]],GL[[#Headers],[#Data],[subtotal label]],1,FALSE)),0,(VLOOKUP(TB_prev[[#This Row],[Synt]],GL[[#Headers],[#Data],[subtotal label]],1,FALSE)))</f>
        <v/>
      </c>
      <c r="AF416" s="1063" t="e">
        <f>IF((TB_prev[[#This Row],[Synt]]-TB_prev[[#This Row],[Subtotal Y/N]])=0,0,VLOOKUP(TB_prev[[#This Row],[Synt]],GL[[Account]:[Line]],3,FALSE))</f>
        <v>#VALUE!</v>
      </c>
      <c r="AG416" s="1063" t="e">
        <f>VLOOKUP(TB_prev[[#This Row],[Synt]],GL[[Account]:[B/P]],4,FALSE)</f>
        <v>#N/A</v>
      </c>
      <c r="AH416" s="1066" t="e">
        <v>#VALUE!</v>
      </c>
      <c r="AI416" s="1065" t="e">
        <f>TB_prev[[#This Row],[Synt]]&amp;TB_prev[[#This Row],[Line No. manual corr.]]</f>
        <v>#VALUE!</v>
      </c>
      <c r="AJ416" s="1064">
        <f t="shared" si="31"/>
        <v>0</v>
      </c>
      <c r="AK416" s="1064">
        <f t="shared" si="32"/>
        <v>0</v>
      </c>
      <c r="AL416" s="1064">
        <f t="shared" si="33"/>
        <v>0</v>
      </c>
      <c r="AM416" s="1064">
        <f t="shared" si="34"/>
        <v>0</v>
      </c>
      <c r="AN416" s="1064"/>
      <c r="AO416" s="1064">
        <f>TB_prev[[#This Row],[Closing balance]]+TB_prev[[#This Row],[Rounding]]</f>
        <v>0</v>
      </c>
    </row>
    <row r="417" spans="30:41" x14ac:dyDescent="0.25">
      <c r="AD417" s="1067" t="str">
        <f t="shared" si="30"/>
        <v/>
      </c>
      <c r="AE417" s="1063" t="str">
        <f>IF(ISNA(VLOOKUP(TB_prev[[#This Row],[Synt]],GL[[#Headers],[#Data],[subtotal label]],1,FALSE)),0,(VLOOKUP(TB_prev[[#This Row],[Synt]],GL[[#Headers],[#Data],[subtotal label]],1,FALSE)))</f>
        <v/>
      </c>
      <c r="AF417" s="1063" t="e">
        <f>IF((TB_prev[[#This Row],[Synt]]-TB_prev[[#This Row],[Subtotal Y/N]])=0,0,VLOOKUP(TB_prev[[#This Row],[Synt]],GL[[Account]:[Line]],3,FALSE))</f>
        <v>#VALUE!</v>
      </c>
      <c r="AG417" s="1063" t="e">
        <f>VLOOKUP(TB_prev[[#This Row],[Synt]],GL[[Account]:[B/P]],4,FALSE)</f>
        <v>#N/A</v>
      </c>
      <c r="AH417" s="1066" t="e">
        <v>#VALUE!</v>
      </c>
      <c r="AI417" s="1065" t="e">
        <f>TB_prev[[#This Row],[Synt]]&amp;TB_prev[[#This Row],[Line No. manual corr.]]</f>
        <v>#VALUE!</v>
      </c>
      <c r="AJ417" s="1064">
        <f t="shared" si="31"/>
        <v>0</v>
      </c>
      <c r="AK417" s="1064">
        <f t="shared" si="32"/>
        <v>0</v>
      </c>
      <c r="AL417" s="1064">
        <f t="shared" si="33"/>
        <v>0</v>
      </c>
      <c r="AM417" s="1064">
        <f t="shared" si="34"/>
        <v>0</v>
      </c>
      <c r="AN417" s="1064"/>
      <c r="AO417" s="1064">
        <f>TB_prev[[#This Row],[Closing balance]]+TB_prev[[#This Row],[Rounding]]</f>
        <v>0</v>
      </c>
    </row>
    <row r="418" spans="30:41" x14ac:dyDescent="0.25">
      <c r="AD418" s="1067" t="str">
        <f t="shared" si="30"/>
        <v/>
      </c>
      <c r="AE418" s="1063" t="str">
        <f>IF(ISNA(VLOOKUP(TB_prev[[#This Row],[Synt]],GL[[#Headers],[#Data],[subtotal label]],1,FALSE)),0,(VLOOKUP(TB_prev[[#This Row],[Synt]],GL[[#Headers],[#Data],[subtotal label]],1,FALSE)))</f>
        <v/>
      </c>
      <c r="AF418" s="1063" t="e">
        <f>IF((TB_prev[[#This Row],[Synt]]-TB_prev[[#This Row],[Subtotal Y/N]])=0,0,VLOOKUP(TB_prev[[#This Row],[Synt]],GL[[Account]:[Line]],3,FALSE))</f>
        <v>#VALUE!</v>
      </c>
      <c r="AG418" s="1063" t="e">
        <f>VLOOKUP(TB_prev[[#This Row],[Synt]],GL[[Account]:[B/P]],4,FALSE)</f>
        <v>#N/A</v>
      </c>
      <c r="AH418" s="1066" t="e">
        <v>#VALUE!</v>
      </c>
      <c r="AI418" s="1065" t="e">
        <f>TB_prev[[#This Row],[Synt]]&amp;TB_prev[[#This Row],[Line No. manual corr.]]</f>
        <v>#VALUE!</v>
      </c>
      <c r="AJ418" s="1064">
        <f t="shared" si="31"/>
        <v>0</v>
      </c>
      <c r="AK418" s="1064">
        <f t="shared" si="32"/>
        <v>0</v>
      </c>
      <c r="AL418" s="1064">
        <f t="shared" si="33"/>
        <v>0</v>
      </c>
      <c r="AM418" s="1064">
        <f t="shared" si="34"/>
        <v>0</v>
      </c>
      <c r="AN418" s="1064"/>
      <c r="AO418" s="1064">
        <f>TB_prev[[#This Row],[Closing balance]]+TB_prev[[#This Row],[Rounding]]</f>
        <v>0</v>
      </c>
    </row>
    <row r="419" spans="30:41" x14ac:dyDescent="0.25">
      <c r="AD419" s="1067" t="str">
        <f t="shared" si="30"/>
        <v/>
      </c>
      <c r="AE419" s="1063" t="str">
        <f>IF(ISNA(VLOOKUP(TB_prev[[#This Row],[Synt]],GL[[#Headers],[#Data],[subtotal label]],1,FALSE)),0,(VLOOKUP(TB_prev[[#This Row],[Synt]],GL[[#Headers],[#Data],[subtotal label]],1,FALSE)))</f>
        <v/>
      </c>
      <c r="AF419" s="1063" t="e">
        <f>IF((TB_prev[[#This Row],[Synt]]-TB_prev[[#This Row],[Subtotal Y/N]])=0,0,VLOOKUP(TB_prev[[#This Row],[Synt]],GL[[Account]:[Line]],3,FALSE))</f>
        <v>#VALUE!</v>
      </c>
      <c r="AG419" s="1063" t="e">
        <f>VLOOKUP(TB_prev[[#This Row],[Synt]],GL[[Account]:[B/P]],4,FALSE)</f>
        <v>#N/A</v>
      </c>
      <c r="AH419" s="1066" t="e">
        <v>#VALUE!</v>
      </c>
      <c r="AI419" s="1065" t="e">
        <f>TB_prev[[#This Row],[Synt]]&amp;TB_prev[[#This Row],[Line No. manual corr.]]</f>
        <v>#VALUE!</v>
      </c>
      <c r="AJ419" s="1064">
        <f t="shared" si="31"/>
        <v>0</v>
      </c>
      <c r="AK419" s="1064">
        <f t="shared" si="32"/>
        <v>0</v>
      </c>
      <c r="AL419" s="1064">
        <f t="shared" si="33"/>
        <v>0</v>
      </c>
      <c r="AM419" s="1064">
        <f t="shared" si="34"/>
        <v>0</v>
      </c>
      <c r="AN419" s="1064"/>
      <c r="AO419" s="1064">
        <f>TB_prev[[#This Row],[Closing balance]]+TB_prev[[#This Row],[Rounding]]</f>
        <v>0</v>
      </c>
    </row>
    <row r="420" spans="30:41" x14ac:dyDescent="0.25">
      <c r="AD420" s="1067" t="str">
        <f t="shared" si="30"/>
        <v/>
      </c>
      <c r="AE420" s="1063" t="str">
        <f>IF(ISNA(VLOOKUP(TB_prev[[#This Row],[Synt]],GL[[#Headers],[#Data],[subtotal label]],1,FALSE)),0,(VLOOKUP(TB_prev[[#This Row],[Synt]],GL[[#Headers],[#Data],[subtotal label]],1,FALSE)))</f>
        <v/>
      </c>
      <c r="AF420" s="1063" t="e">
        <f>IF((TB_prev[[#This Row],[Synt]]-TB_prev[[#This Row],[Subtotal Y/N]])=0,0,VLOOKUP(TB_prev[[#This Row],[Synt]],GL[[Account]:[Line]],3,FALSE))</f>
        <v>#VALUE!</v>
      </c>
      <c r="AG420" s="1063" t="e">
        <f>VLOOKUP(TB_prev[[#This Row],[Synt]],GL[[Account]:[B/P]],4,FALSE)</f>
        <v>#N/A</v>
      </c>
      <c r="AH420" s="1066" t="e">
        <v>#VALUE!</v>
      </c>
      <c r="AI420" s="1065" t="e">
        <f>TB_prev[[#This Row],[Synt]]&amp;TB_prev[[#This Row],[Line No. manual corr.]]</f>
        <v>#VALUE!</v>
      </c>
      <c r="AJ420" s="1064">
        <f t="shared" si="31"/>
        <v>0</v>
      </c>
      <c r="AK420" s="1064">
        <f t="shared" si="32"/>
        <v>0</v>
      </c>
      <c r="AL420" s="1064">
        <f t="shared" si="33"/>
        <v>0</v>
      </c>
      <c r="AM420" s="1064">
        <f t="shared" si="34"/>
        <v>0</v>
      </c>
      <c r="AN420" s="1064"/>
      <c r="AO420" s="1064">
        <f>TB_prev[[#This Row],[Closing balance]]+TB_prev[[#This Row],[Rounding]]</f>
        <v>0</v>
      </c>
    </row>
    <row r="421" spans="30:41" x14ac:dyDescent="0.25">
      <c r="AD421" s="1067" t="str">
        <f t="shared" si="30"/>
        <v/>
      </c>
      <c r="AE421" s="1063" t="str">
        <f>IF(ISNA(VLOOKUP(TB_prev[[#This Row],[Synt]],GL[[#Headers],[#Data],[subtotal label]],1,FALSE)),0,(VLOOKUP(TB_prev[[#This Row],[Synt]],GL[[#Headers],[#Data],[subtotal label]],1,FALSE)))</f>
        <v/>
      </c>
      <c r="AF421" s="1063" t="e">
        <f>IF((TB_prev[[#This Row],[Synt]]-TB_prev[[#This Row],[Subtotal Y/N]])=0,0,VLOOKUP(TB_prev[[#This Row],[Synt]],GL[[Account]:[Line]],3,FALSE))</f>
        <v>#VALUE!</v>
      </c>
      <c r="AG421" s="1063" t="e">
        <f>VLOOKUP(TB_prev[[#This Row],[Synt]],GL[[Account]:[B/P]],4,FALSE)</f>
        <v>#N/A</v>
      </c>
      <c r="AH421" s="1066" t="e">
        <v>#VALUE!</v>
      </c>
      <c r="AI421" s="1065" t="e">
        <f>TB_prev[[#This Row],[Synt]]&amp;TB_prev[[#This Row],[Line No. manual corr.]]</f>
        <v>#VALUE!</v>
      </c>
      <c r="AJ421" s="1064">
        <f t="shared" si="31"/>
        <v>0</v>
      </c>
      <c r="AK421" s="1064">
        <f t="shared" si="32"/>
        <v>0</v>
      </c>
      <c r="AL421" s="1064">
        <f t="shared" si="33"/>
        <v>0</v>
      </c>
      <c r="AM421" s="1064">
        <f t="shared" si="34"/>
        <v>0</v>
      </c>
      <c r="AN421" s="1064"/>
      <c r="AO421" s="1064">
        <f>TB_prev[[#This Row],[Closing balance]]+TB_prev[[#This Row],[Rounding]]</f>
        <v>0</v>
      </c>
    </row>
    <row r="422" spans="30:41" x14ac:dyDescent="0.25">
      <c r="AD422" s="1067" t="str">
        <f t="shared" si="30"/>
        <v/>
      </c>
      <c r="AE422" s="1063" t="str">
        <f>IF(ISNA(VLOOKUP(TB_prev[[#This Row],[Synt]],GL[[#Headers],[#Data],[subtotal label]],1,FALSE)),0,(VLOOKUP(TB_prev[[#This Row],[Synt]],GL[[#Headers],[#Data],[subtotal label]],1,FALSE)))</f>
        <v/>
      </c>
      <c r="AF422" s="1063" t="e">
        <f>IF((TB_prev[[#This Row],[Synt]]-TB_prev[[#This Row],[Subtotal Y/N]])=0,0,VLOOKUP(TB_prev[[#This Row],[Synt]],GL[[Account]:[Line]],3,FALSE))</f>
        <v>#VALUE!</v>
      </c>
      <c r="AG422" s="1063" t="e">
        <f>VLOOKUP(TB_prev[[#This Row],[Synt]],GL[[Account]:[B/P]],4,FALSE)</f>
        <v>#N/A</v>
      </c>
      <c r="AH422" s="1066" t="e">
        <v>#VALUE!</v>
      </c>
      <c r="AI422" s="1065" t="e">
        <f>TB_prev[[#This Row],[Synt]]&amp;TB_prev[[#This Row],[Line No. manual corr.]]</f>
        <v>#VALUE!</v>
      </c>
      <c r="AJ422" s="1064">
        <f t="shared" si="31"/>
        <v>0</v>
      </c>
      <c r="AK422" s="1064">
        <f t="shared" si="32"/>
        <v>0</v>
      </c>
      <c r="AL422" s="1064">
        <f t="shared" si="33"/>
        <v>0</v>
      </c>
      <c r="AM422" s="1064">
        <f t="shared" si="34"/>
        <v>0</v>
      </c>
      <c r="AN422" s="1064"/>
      <c r="AO422" s="1064">
        <f>TB_prev[[#This Row],[Closing balance]]+TB_prev[[#This Row],[Rounding]]</f>
        <v>0</v>
      </c>
    </row>
    <row r="423" spans="30:41" x14ac:dyDescent="0.25">
      <c r="AD423" s="1067" t="str">
        <f t="shared" si="30"/>
        <v/>
      </c>
      <c r="AE423" s="1063" t="str">
        <f>IF(ISNA(VLOOKUP(TB_prev[[#This Row],[Synt]],GL[[#Headers],[#Data],[subtotal label]],1,FALSE)),0,(VLOOKUP(TB_prev[[#This Row],[Synt]],GL[[#Headers],[#Data],[subtotal label]],1,FALSE)))</f>
        <v/>
      </c>
      <c r="AF423" s="1063" t="e">
        <f>IF((TB_prev[[#This Row],[Synt]]-TB_prev[[#This Row],[Subtotal Y/N]])=0,0,VLOOKUP(TB_prev[[#This Row],[Synt]],GL[[Account]:[Line]],3,FALSE))</f>
        <v>#VALUE!</v>
      </c>
      <c r="AG423" s="1063" t="e">
        <f>VLOOKUP(TB_prev[[#This Row],[Synt]],GL[[Account]:[B/P]],4,FALSE)</f>
        <v>#N/A</v>
      </c>
      <c r="AH423" s="1066" t="e">
        <v>#VALUE!</v>
      </c>
      <c r="AI423" s="1065" t="e">
        <f>TB_prev[[#This Row],[Synt]]&amp;TB_prev[[#This Row],[Line No. manual corr.]]</f>
        <v>#VALUE!</v>
      </c>
      <c r="AJ423" s="1064">
        <f t="shared" si="31"/>
        <v>0</v>
      </c>
      <c r="AK423" s="1064">
        <f t="shared" si="32"/>
        <v>0</v>
      </c>
      <c r="AL423" s="1064">
        <f t="shared" si="33"/>
        <v>0</v>
      </c>
      <c r="AM423" s="1064">
        <f t="shared" si="34"/>
        <v>0</v>
      </c>
      <c r="AN423" s="1064"/>
      <c r="AO423" s="1064">
        <f>TB_prev[[#This Row],[Closing balance]]+TB_prev[[#This Row],[Rounding]]</f>
        <v>0</v>
      </c>
    </row>
    <row r="424" spans="30:41" x14ac:dyDescent="0.25">
      <c r="AD424" s="1067" t="str">
        <f t="shared" si="30"/>
        <v/>
      </c>
      <c r="AE424" s="1063" t="str">
        <f>IF(ISNA(VLOOKUP(TB_prev[[#This Row],[Synt]],GL[[#Headers],[#Data],[subtotal label]],1,FALSE)),0,(VLOOKUP(TB_prev[[#This Row],[Synt]],GL[[#Headers],[#Data],[subtotal label]],1,FALSE)))</f>
        <v/>
      </c>
      <c r="AF424" s="1063" t="e">
        <f>IF((TB_prev[[#This Row],[Synt]]-TB_prev[[#This Row],[Subtotal Y/N]])=0,0,VLOOKUP(TB_prev[[#This Row],[Synt]],GL[[Account]:[Line]],3,FALSE))</f>
        <v>#VALUE!</v>
      </c>
      <c r="AG424" s="1063" t="e">
        <f>VLOOKUP(TB_prev[[#This Row],[Synt]],GL[[Account]:[B/P]],4,FALSE)</f>
        <v>#N/A</v>
      </c>
      <c r="AH424" s="1066" t="e">
        <v>#VALUE!</v>
      </c>
      <c r="AI424" s="1065" t="e">
        <f>TB_prev[[#This Row],[Synt]]&amp;TB_prev[[#This Row],[Line No. manual corr.]]</f>
        <v>#VALUE!</v>
      </c>
      <c r="AJ424" s="1064">
        <f t="shared" si="31"/>
        <v>0</v>
      </c>
      <c r="AK424" s="1064">
        <f t="shared" si="32"/>
        <v>0</v>
      </c>
      <c r="AL424" s="1064">
        <f t="shared" si="33"/>
        <v>0</v>
      </c>
      <c r="AM424" s="1064">
        <f t="shared" si="34"/>
        <v>0</v>
      </c>
      <c r="AN424" s="1064"/>
      <c r="AO424" s="1064">
        <f>TB_prev[[#This Row],[Closing balance]]+TB_prev[[#This Row],[Rounding]]</f>
        <v>0</v>
      </c>
    </row>
    <row r="425" spans="30:41" x14ac:dyDescent="0.25">
      <c r="AD425" s="1067" t="str">
        <f t="shared" si="30"/>
        <v/>
      </c>
      <c r="AE425" s="1063" t="str">
        <f>IF(ISNA(VLOOKUP(TB_prev[[#This Row],[Synt]],GL[[#Headers],[#Data],[subtotal label]],1,FALSE)),0,(VLOOKUP(TB_prev[[#This Row],[Synt]],GL[[#Headers],[#Data],[subtotal label]],1,FALSE)))</f>
        <v/>
      </c>
      <c r="AF425" s="1063" t="e">
        <f>IF((TB_prev[[#This Row],[Synt]]-TB_prev[[#This Row],[Subtotal Y/N]])=0,0,VLOOKUP(TB_prev[[#This Row],[Synt]],GL[[Account]:[Line]],3,FALSE))</f>
        <v>#VALUE!</v>
      </c>
      <c r="AG425" s="1063" t="e">
        <f>VLOOKUP(TB_prev[[#This Row],[Synt]],GL[[Account]:[B/P]],4,FALSE)</f>
        <v>#N/A</v>
      </c>
      <c r="AH425" s="1066" t="e">
        <v>#VALUE!</v>
      </c>
      <c r="AI425" s="1065" t="e">
        <f>TB_prev[[#This Row],[Synt]]&amp;TB_prev[[#This Row],[Line No. manual corr.]]</f>
        <v>#VALUE!</v>
      </c>
      <c r="AJ425" s="1064">
        <f t="shared" si="31"/>
        <v>0</v>
      </c>
      <c r="AK425" s="1064">
        <f t="shared" si="32"/>
        <v>0</v>
      </c>
      <c r="AL425" s="1064">
        <f t="shared" si="33"/>
        <v>0</v>
      </c>
      <c r="AM425" s="1064">
        <f t="shared" si="34"/>
        <v>0</v>
      </c>
      <c r="AN425" s="1064"/>
      <c r="AO425" s="1064">
        <f>TB_prev[[#This Row],[Closing balance]]+TB_prev[[#This Row],[Rounding]]</f>
        <v>0</v>
      </c>
    </row>
    <row r="426" spans="30:41" x14ac:dyDescent="0.25">
      <c r="AD426" s="1067" t="str">
        <f t="shared" si="30"/>
        <v/>
      </c>
      <c r="AE426" s="1063" t="str">
        <f>IF(ISNA(VLOOKUP(TB_prev[[#This Row],[Synt]],GL[[#Headers],[#Data],[subtotal label]],1,FALSE)),0,(VLOOKUP(TB_prev[[#This Row],[Synt]],GL[[#Headers],[#Data],[subtotal label]],1,FALSE)))</f>
        <v/>
      </c>
      <c r="AF426" s="1063" t="e">
        <f>IF((TB_prev[[#This Row],[Synt]]-TB_prev[[#This Row],[Subtotal Y/N]])=0,0,VLOOKUP(TB_prev[[#This Row],[Synt]],GL[[Account]:[Line]],3,FALSE))</f>
        <v>#VALUE!</v>
      </c>
      <c r="AG426" s="1063" t="e">
        <f>VLOOKUP(TB_prev[[#This Row],[Synt]],GL[[Account]:[B/P]],4,FALSE)</f>
        <v>#N/A</v>
      </c>
      <c r="AH426" s="1066" t="e">
        <v>#VALUE!</v>
      </c>
      <c r="AI426" s="1065" t="e">
        <f>TB_prev[[#This Row],[Synt]]&amp;TB_prev[[#This Row],[Line No. manual corr.]]</f>
        <v>#VALUE!</v>
      </c>
      <c r="AJ426" s="1064">
        <f t="shared" si="31"/>
        <v>0</v>
      </c>
      <c r="AK426" s="1064">
        <f t="shared" si="32"/>
        <v>0</v>
      </c>
      <c r="AL426" s="1064">
        <f t="shared" si="33"/>
        <v>0</v>
      </c>
      <c r="AM426" s="1064">
        <f t="shared" si="34"/>
        <v>0</v>
      </c>
      <c r="AN426" s="1064"/>
      <c r="AO426" s="1064">
        <f>TB_prev[[#This Row],[Closing balance]]+TB_prev[[#This Row],[Rounding]]</f>
        <v>0</v>
      </c>
    </row>
    <row r="427" spans="30:41" x14ac:dyDescent="0.25">
      <c r="AD427" s="1067" t="str">
        <f t="shared" si="30"/>
        <v/>
      </c>
      <c r="AE427" s="1063" t="str">
        <f>IF(ISNA(VLOOKUP(TB_prev[[#This Row],[Synt]],GL[[#Headers],[#Data],[subtotal label]],1,FALSE)),0,(VLOOKUP(TB_prev[[#This Row],[Synt]],GL[[#Headers],[#Data],[subtotal label]],1,FALSE)))</f>
        <v/>
      </c>
      <c r="AF427" s="1063" t="e">
        <f>IF((TB_prev[[#This Row],[Synt]]-TB_prev[[#This Row],[Subtotal Y/N]])=0,0,VLOOKUP(TB_prev[[#This Row],[Synt]],GL[[Account]:[Line]],3,FALSE))</f>
        <v>#VALUE!</v>
      </c>
      <c r="AG427" s="1063" t="e">
        <f>VLOOKUP(TB_prev[[#This Row],[Synt]],GL[[Account]:[B/P]],4,FALSE)</f>
        <v>#N/A</v>
      </c>
      <c r="AH427" s="1066" t="e">
        <v>#VALUE!</v>
      </c>
      <c r="AI427" s="1065" t="e">
        <f>TB_prev[[#This Row],[Synt]]&amp;TB_prev[[#This Row],[Line No. manual corr.]]</f>
        <v>#VALUE!</v>
      </c>
      <c r="AJ427" s="1064">
        <f t="shared" si="31"/>
        <v>0</v>
      </c>
      <c r="AK427" s="1064">
        <f t="shared" si="32"/>
        <v>0</v>
      </c>
      <c r="AL427" s="1064">
        <f t="shared" si="33"/>
        <v>0</v>
      </c>
      <c r="AM427" s="1064">
        <f t="shared" si="34"/>
        <v>0</v>
      </c>
      <c r="AN427" s="1064"/>
      <c r="AO427" s="1064">
        <f>TB_prev[[#This Row],[Closing balance]]+TB_prev[[#This Row],[Rounding]]</f>
        <v>0</v>
      </c>
    </row>
    <row r="428" spans="30:41" x14ac:dyDescent="0.25">
      <c r="AD428" s="1067" t="str">
        <f t="shared" si="30"/>
        <v/>
      </c>
      <c r="AE428" s="1063" t="str">
        <f>IF(ISNA(VLOOKUP(TB_prev[[#This Row],[Synt]],GL[[#Headers],[#Data],[subtotal label]],1,FALSE)),0,(VLOOKUP(TB_prev[[#This Row],[Synt]],GL[[#Headers],[#Data],[subtotal label]],1,FALSE)))</f>
        <v/>
      </c>
      <c r="AF428" s="1063" t="e">
        <f>IF((TB_prev[[#This Row],[Synt]]-TB_prev[[#This Row],[Subtotal Y/N]])=0,0,VLOOKUP(TB_prev[[#This Row],[Synt]],GL[[Account]:[Line]],3,FALSE))</f>
        <v>#VALUE!</v>
      </c>
      <c r="AG428" s="1063" t="e">
        <f>VLOOKUP(TB_prev[[#This Row],[Synt]],GL[[Account]:[B/P]],4,FALSE)</f>
        <v>#N/A</v>
      </c>
      <c r="AH428" s="1066" t="e">
        <v>#VALUE!</v>
      </c>
      <c r="AI428" s="1065" t="e">
        <f>TB_prev[[#This Row],[Synt]]&amp;TB_prev[[#This Row],[Line No. manual corr.]]</f>
        <v>#VALUE!</v>
      </c>
      <c r="AJ428" s="1064">
        <f t="shared" si="31"/>
        <v>0</v>
      </c>
      <c r="AK428" s="1064">
        <f t="shared" si="32"/>
        <v>0</v>
      </c>
      <c r="AL428" s="1064">
        <f t="shared" si="33"/>
        <v>0</v>
      </c>
      <c r="AM428" s="1064">
        <f t="shared" si="34"/>
        <v>0</v>
      </c>
      <c r="AN428" s="1064"/>
      <c r="AO428" s="1064">
        <f>TB_prev[[#This Row],[Closing balance]]+TB_prev[[#This Row],[Rounding]]</f>
        <v>0</v>
      </c>
    </row>
    <row r="429" spans="30:41" x14ac:dyDescent="0.25">
      <c r="AD429" s="1067" t="str">
        <f t="shared" si="30"/>
        <v/>
      </c>
      <c r="AE429" s="1063" t="str">
        <f>IF(ISNA(VLOOKUP(TB_prev[[#This Row],[Synt]],GL[[#Headers],[#Data],[subtotal label]],1,FALSE)),0,(VLOOKUP(TB_prev[[#This Row],[Synt]],GL[[#Headers],[#Data],[subtotal label]],1,FALSE)))</f>
        <v/>
      </c>
      <c r="AF429" s="1063" t="e">
        <f>IF((TB_prev[[#This Row],[Synt]]-TB_prev[[#This Row],[Subtotal Y/N]])=0,0,VLOOKUP(TB_prev[[#This Row],[Synt]],GL[[Account]:[Line]],3,FALSE))</f>
        <v>#VALUE!</v>
      </c>
      <c r="AG429" s="1063" t="e">
        <f>VLOOKUP(TB_prev[[#This Row],[Synt]],GL[[Account]:[B/P]],4,FALSE)</f>
        <v>#N/A</v>
      </c>
      <c r="AH429" s="1066" t="e">
        <v>#VALUE!</v>
      </c>
      <c r="AI429" s="1065" t="e">
        <f>TB_prev[[#This Row],[Synt]]&amp;TB_prev[[#This Row],[Line No. manual corr.]]</f>
        <v>#VALUE!</v>
      </c>
      <c r="AJ429" s="1064">
        <f t="shared" si="31"/>
        <v>0</v>
      </c>
      <c r="AK429" s="1064">
        <f t="shared" si="32"/>
        <v>0</v>
      </c>
      <c r="AL429" s="1064">
        <f t="shared" si="33"/>
        <v>0</v>
      </c>
      <c r="AM429" s="1064">
        <f t="shared" si="34"/>
        <v>0</v>
      </c>
      <c r="AN429" s="1064"/>
      <c r="AO429" s="1064">
        <f>TB_prev[[#This Row],[Closing balance]]+TB_prev[[#This Row],[Rounding]]</f>
        <v>0</v>
      </c>
    </row>
    <row r="430" spans="30:41" x14ac:dyDescent="0.25">
      <c r="AD430" s="1067" t="str">
        <f t="shared" si="30"/>
        <v/>
      </c>
      <c r="AE430" s="1063" t="str">
        <f>IF(ISNA(VLOOKUP(TB_prev[[#This Row],[Synt]],GL[[#Headers],[#Data],[subtotal label]],1,FALSE)),0,(VLOOKUP(TB_prev[[#This Row],[Synt]],GL[[#Headers],[#Data],[subtotal label]],1,FALSE)))</f>
        <v/>
      </c>
      <c r="AF430" s="1063" t="e">
        <f>IF((TB_prev[[#This Row],[Synt]]-TB_prev[[#This Row],[Subtotal Y/N]])=0,0,VLOOKUP(TB_prev[[#This Row],[Synt]],GL[[Account]:[Line]],3,FALSE))</f>
        <v>#VALUE!</v>
      </c>
      <c r="AG430" s="1063" t="e">
        <f>VLOOKUP(TB_prev[[#This Row],[Synt]],GL[[Account]:[B/P]],4,FALSE)</f>
        <v>#N/A</v>
      </c>
      <c r="AH430" s="1066" t="e">
        <v>#VALUE!</v>
      </c>
      <c r="AI430" s="1065" t="e">
        <f>TB_prev[[#This Row],[Synt]]&amp;TB_prev[[#This Row],[Line No. manual corr.]]</f>
        <v>#VALUE!</v>
      </c>
      <c r="AJ430" s="1064">
        <f t="shared" si="31"/>
        <v>0</v>
      </c>
      <c r="AK430" s="1064">
        <f t="shared" si="32"/>
        <v>0</v>
      </c>
      <c r="AL430" s="1064">
        <f t="shared" si="33"/>
        <v>0</v>
      </c>
      <c r="AM430" s="1064">
        <f t="shared" si="34"/>
        <v>0</v>
      </c>
      <c r="AN430" s="1064"/>
      <c r="AO430" s="1064">
        <f>TB_prev[[#This Row],[Closing balance]]+TB_prev[[#This Row],[Rounding]]</f>
        <v>0</v>
      </c>
    </row>
    <row r="431" spans="30:41" x14ac:dyDescent="0.25">
      <c r="AD431" s="1067" t="str">
        <f t="shared" si="30"/>
        <v/>
      </c>
      <c r="AE431" s="1063" t="str">
        <f>IF(ISNA(VLOOKUP(TB_prev[[#This Row],[Synt]],GL[[#Headers],[#Data],[subtotal label]],1,FALSE)),0,(VLOOKUP(TB_prev[[#This Row],[Synt]],GL[[#Headers],[#Data],[subtotal label]],1,FALSE)))</f>
        <v/>
      </c>
      <c r="AF431" s="1063" t="e">
        <f>IF((TB_prev[[#This Row],[Synt]]-TB_prev[[#This Row],[Subtotal Y/N]])=0,0,VLOOKUP(TB_prev[[#This Row],[Synt]],GL[[Account]:[Line]],3,FALSE))</f>
        <v>#VALUE!</v>
      </c>
      <c r="AG431" s="1063" t="e">
        <f>VLOOKUP(TB_prev[[#This Row],[Synt]],GL[[Account]:[B/P]],4,FALSE)</f>
        <v>#N/A</v>
      </c>
      <c r="AH431" s="1066" t="e">
        <v>#VALUE!</v>
      </c>
      <c r="AI431" s="1065" t="e">
        <f>TB_prev[[#This Row],[Synt]]&amp;TB_prev[[#This Row],[Line No. manual corr.]]</f>
        <v>#VALUE!</v>
      </c>
      <c r="AJ431" s="1064">
        <f t="shared" si="31"/>
        <v>0</v>
      </c>
      <c r="AK431" s="1064">
        <f t="shared" si="32"/>
        <v>0</v>
      </c>
      <c r="AL431" s="1064">
        <f t="shared" si="33"/>
        <v>0</v>
      </c>
      <c r="AM431" s="1064">
        <f t="shared" si="34"/>
        <v>0</v>
      </c>
      <c r="AN431" s="1064"/>
      <c r="AO431" s="1064">
        <f>TB_prev[[#This Row],[Closing balance]]+TB_prev[[#This Row],[Rounding]]</f>
        <v>0</v>
      </c>
    </row>
    <row r="432" spans="30:41" x14ac:dyDescent="0.25">
      <c r="AD432" s="1067" t="str">
        <f t="shared" si="30"/>
        <v/>
      </c>
      <c r="AE432" s="1063" t="str">
        <f>IF(ISNA(VLOOKUP(TB_prev[[#This Row],[Synt]],GL[[#Headers],[#Data],[subtotal label]],1,FALSE)),0,(VLOOKUP(TB_prev[[#This Row],[Synt]],GL[[#Headers],[#Data],[subtotal label]],1,FALSE)))</f>
        <v/>
      </c>
      <c r="AF432" s="1063" t="e">
        <f>IF((TB_prev[[#This Row],[Synt]]-TB_prev[[#This Row],[Subtotal Y/N]])=0,0,VLOOKUP(TB_prev[[#This Row],[Synt]],GL[[Account]:[Line]],3,FALSE))</f>
        <v>#VALUE!</v>
      </c>
      <c r="AG432" s="1063" t="e">
        <f>VLOOKUP(TB_prev[[#This Row],[Synt]],GL[[Account]:[B/P]],4,FALSE)</f>
        <v>#N/A</v>
      </c>
      <c r="AH432" s="1066" t="e">
        <v>#VALUE!</v>
      </c>
      <c r="AI432" s="1065" t="e">
        <f>TB_prev[[#This Row],[Synt]]&amp;TB_prev[[#This Row],[Line No. manual corr.]]</f>
        <v>#VALUE!</v>
      </c>
      <c r="AJ432" s="1064">
        <f t="shared" si="31"/>
        <v>0</v>
      </c>
      <c r="AK432" s="1064">
        <f t="shared" si="32"/>
        <v>0</v>
      </c>
      <c r="AL432" s="1064">
        <f t="shared" si="33"/>
        <v>0</v>
      </c>
      <c r="AM432" s="1064">
        <f t="shared" si="34"/>
        <v>0</v>
      </c>
      <c r="AN432" s="1064"/>
      <c r="AO432" s="1064">
        <f>TB_prev[[#This Row],[Closing balance]]+TB_prev[[#This Row],[Rounding]]</f>
        <v>0</v>
      </c>
    </row>
    <row r="433" spans="30:41" x14ac:dyDescent="0.25">
      <c r="AD433" s="1067" t="str">
        <f t="shared" si="30"/>
        <v/>
      </c>
      <c r="AE433" s="1063" t="str">
        <f>IF(ISNA(VLOOKUP(TB_prev[[#This Row],[Synt]],GL[[#Headers],[#Data],[subtotal label]],1,FALSE)),0,(VLOOKUP(TB_prev[[#This Row],[Synt]],GL[[#Headers],[#Data],[subtotal label]],1,FALSE)))</f>
        <v/>
      </c>
      <c r="AF433" s="1063" t="e">
        <f>IF((TB_prev[[#This Row],[Synt]]-TB_prev[[#This Row],[Subtotal Y/N]])=0,0,VLOOKUP(TB_prev[[#This Row],[Synt]],GL[[Account]:[Line]],3,FALSE))</f>
        <v>#VALUE!</v>
      </c>
      <c r="AG433" s="1063" t="e">
        <f>VLOOKUP(TB_prev[[#This Row],[Synt]],GL[[Account]:[B/P]],4,FALSE)</f>
        <v>#N/A</v>
      </c>
      <c r="AH433" s="1066" t="e">
        <v>#VALUE!</v>
      </c>
      <c r="AI433" s="1065" t="e">
        <f>TB_prev[[#This Row],[Synt]]&amp;TB_prev[[#This Row],[Line No. manual corr.]]</f>
        <v>#VALUE!</v>
      </c>
      <c r="AJ433" s="1064">
        <f t="shared" si="31"/>
        <v>0</v>
      </c>
      <c r="AK433" s="1064">
        <f t="shared" si="32"/>
        <v>0</v>
      </c>
      <c r="AL433" s="1064">
        <f t="shared" si="33"/>
        <v>0</v>
      </c>
      <c r="AM433" s="1064">
        <f t="shared" si="34"/>
        <v>0</v>
      </c>
      <c r="AN433" s="1064"/>
      <c r="AO433" s="1064">
        <f>TB_prev[[#This Row],[Closing balance]]+TB_prev[[#This Row],[Rounding]]</f>
        <v>0</v>
      </c>
    </row>
    <row r="434" spans="30:41" x14ac:dyDescent="0.25">
      <c r="AD434" s="1067" t="str">
        <f t="shared" si="30"/>
        <v/>
      </c>
      <c r="AE434" s="1063" t="str">
        <f>IF(ISNA(VLOOKUP(TB_prev[[#This Row],[Synt]],GL[[#Headers],[#Data],[subtotal label]],1,FALSE)),0,(VLOOKUP(TB_prev[[#This Row],[Synt]],GL[[#Headers],[#Data],[subtotal label]],1,FALSE)))</f>
        <v/>
      </c>
      <c r="AF434" s="1063" t="e">
        <f>IF((TB_prev[[#This Row],[Synt]]-TB_prev[[#This Row],[Subtotal Y/N]])=0,0,VLOOKUP(TB_prev[[#This Row],[Synt]],GL[[Account]:[Line]],3,FALSE))</f>
        <v>#VALUE!</v>
      </c>
      <c r="AG434" s="1063" t="e">
        <f>VLOOKUP(TB_prev[[#This Row],[Synt]],GL[[Account]:[B/P]],4,FALSE)</f>
        <v>#N/A</v>
      </c>
      <c r="AH434" s="1066" t="e">
        <v>#VALUE!</v>
      </c>
      <c r="AI434" s="1065" t="e">
        <f>TB_prev[[#This Row],[Synt]]&amp;TB_prev[[#This Row],[Line No. manual corr.]]</f>
        <v>#VALUE!</v>
      </c>
      <c r="AJ434" s="1064">
        <f t="shared" si="31"/>
        <v>0</v>
      </c>
      <c r="AK434" s="1064">
        <f t="shared" si="32"/>
        <v>0</v>
      </c>
      <c r="AL434" s="1064">
        <f t="shared" si="33"/>
        <v>0</v>
      </c>
      <c r="AM434" s="1064">
        <f t="shared" si="34"/>
        <v>0</v>
      </c>
      <c r="AN434" s="1064"/>
      <c r="AO434" s="1064">
        <f>TB_prev[[#This Row],[Closing balance]]+TB_prev[[#This Row],[Rounding]]</f>
        <v>0</v>
      </c>
    </row>
    <row r="435" spans="30:41" x14ac:dyDescent="0.25">
      <c r="AD435" s="1067" t="str">
        <f t="shared" si="30"/>
        <v/>
      </c>
      <c r="AE435" s="1063" t="str">
        <f>IF(ISNA(VLOOKUP(TB_prev[[#This Row],[Synt]],GL[[#Headers],[#Data],[subtotal label]],1,FALSE)),0,(VLOOKUP(TB_prev[[#This Row],[Synt]],GL[[#Headers],[#Data],[subtotal label]],1,FALSE)))</f>
        <v/>
      </c>
      <c r="AF435" s="1063" t="e">
        <f>IF((TB_prev[[#This Row],[Synt]]-TB_prev[[#This Row],[Subtotal Y/N]])=0,0,VLOOKUP(TB_prev[[#This Row],[Synt]],GL[[Account]:[Line]],3,FALSE))</f>
        <v>#VALUE!</v>
      </c>
      <c r="AG435" s="1063" t="e">
        <f>VLOOKUP(TB_prev[[#This Row],[Synt]],GL[[Account]:[B/P]],4,FALSE)</f>
        <v>#N/A</v>
      </c>
      <c r="AH435" s="1066" t="e">
        <v>#VALUE!</v>
      </c>
      <c r="AI435" s="1065" t="e">
        <f>TB_prev[[#This Row],[Synt]]&amp;TB_prev[[#This Row],[Line No. manual corr.]]</f>
        <v>#VALUE!</v>
      </c>
      <c r="AJ435" s="1064">
        <f t="shared" si="31"/>
        <v>0</v>
      </c>
      <c r="AK435" s="1064">
        <f t="shared" si="32"/>
        <v>0</v>
      </c>
      <c r="AL435" s="1064">
        <f t="shared" si="33"/>
        <v>0</v>
      </c>
      <c r="AM435" s="1064">
        <f t="shared" si="34"/>
        <v>0</v>
      </c>
      <c r="AN435" s="1064"/>
      <c r="AO435" s="1064">
        <f>TB_prev[[#This Row],[Closing balance]]+TB_prev[[#This Row],[Rounding]]</f>
        <v>0</v>
      </c>
    </row>
    <row r="436" spans="30:41" x14ac:dyDescent="0.25">
      <c r="AD436" s="1067" t="str">
        <f t="shared" si="30"/>
        <v/>
      </c>
      <c r="AE436" s="1063" t="str">
        <f>IF(ISNA(VLOOKUP(TB_prev[[#This Row],[Synt]],GL[[#Headers],[#Data],[subtotal label]],1,FALSE)),0,(VLOOKUP(TB_prev[[#This Row],[Synt]],GL[[#Headers],[#Data],[subtotal label]],1,FALSE)))</f>
        <v/>
      </c>
      <c r="AF436" s="1063" t="e">
        <f>IF((TB_prev[[#This Row],[Synt]]-TB_prev[[#This Row],[Subtotal Y/N]])=0,0,VLOOKUP(TB_prev[[#This Row],[Synt]],GL[[Account]:[Line]],3,FALSE))</f>
        <v>#VALUE!</v>
      </c>
      <c r="AG436" s="1063" t="e">
        <f>VLOOKUP(TB_prev[[#This Row],[Synt]],GL[[Account]:[B/P]],4,FALSE)</f>
        <v>#N/A</v>
      </c>
      <c r="AH436" s="1066" t="e">
        <v>#VALUE!</v>
      </c>
      <c r="AI436" s="1065" t="e">
        <f>TB_prev[[#This Row],[Synt]]&amp;TB_prev[[#This Row],[Line No. manual corr.]]</f>
        <v>#VALUE!</v>
      </c>
      <c r="AJ436" s="1064">
        <f t="shared" si="31"/>
        <v>0</v>
      </c>
      <c r="AK436" s="1064">
        <f t="shared" si="32"/>
        <v>0</v>
      </c>
      <c r="AL436" s="1064">
        <f t="shared" si="33"/>
        <v>0</v>
      </c>
      <c r="AM436" s="1064">
        <f t="shared" si="34"/>
        <v>0</v>
      </c>
      <c r="AN436" s="1064"/>
      <c r="AO436" s="1064">
        <f>TB_prev[[#This Row],[Closing balance]]+TB_prev[[#This Row],[Rounding]]</f>
        <v>0</v>
      </c>
    </row>
    <row r="437" spans="30:41" x14ac:dyDescent="0.25">
      <c r="AD437" s="1067" t="str">
        <f t="shared" si="30"/>
        <v/>
      </c>
      <c r="AE437" s="1063" t="str">
        <f>IF(ISNA(VLOOKUP(TB_prev[[#This Row],[Synt]],GL[[#Headers],[#Data],[subtotal label]],1,FALSE)),0,(VLOOKUP(TB_prev[[#This Row],[Synt]],GL[[#Headers],[#Data],[subtotal label]],1,FALSE)))</f>
        <v/>
      </c>
      <c r="AF437" s="1063" t="e">
        <f>IF((TB_prev[[#This Row],[Synt]]-TB_prev[[#This Row],[Subtotal Y/N]])=0,0,VLOOKUP(TB_prev[[#This Row],[Synt]],GL[[Account]:[Line]],3,FALSE))</f>
        <v>#VALUE!</v>
      </c>
      <c r="AG437" s="1063" t="e">
        <f>VLOOKUP(TB_prev[[#This Row],[Synt]],GL[[Account]:[B/P]],4,FALSE)</f>
        <v>#N/A</v>
      </c>
      <c r="AH437" s="1066" t="e">
        <v>#VALUE!</v>
      </c>
      <c r="AI437" s="1065" t="e">
        <f>TB_prev[[#This Row],[Synt]]&amp;TB_prev[[#This Row],[Line No. manual corr.]]</f>
        <v>#VALUE!</v>
      </c>
      <c r="AJ437" s="1064">
        <f t="shared" si="31"/>
        <v>0</v>
      </c>
      <c r="AK437" s="1064">
        <f t="shared" si="32"/>
        <v>0</v>
      </c>
      <c r="AL437" s="1064">
        <f t="shared" si="33"/>
        <v>0</v>
      </c>
      <c r="AM437" s="1064">
        <f t="shared" si="34"/>
        <v>0</v>
      </c>
      <c r="AN437" s="1064"/>
      <c r="AO437" s="1064">
        <f>TB_prev[[#This Row],[Closing balance]]+TB_prev[[#This Row],[Rounding]]</f>
        <v>0</v>
      </c>
    </row>
    <row r="438" spans="30:41" x14ac:dyDescent="0.25">
      <c r="AD438" s="1067" t="str">
        <f t="shared" si="30"/>
        <v/>
      </c>
      <c r="AE438" s="1063" t="str">
        <f>IF(ISNA(VLOOKUP(TB_prev[[#This Row],[Synt]],GL[[#Headers],[#Data],[subtotal label]],1,FALSE)),0,(VLOOKUP(TB_prev[[#This Row],[Synt]],GL[[#Headers],[#Data],[subtotal label]],1,FALSE)))</f>
        <v/>
      </c>
      <c r="AF438" s="1063" t="e">
        <f>IF((TB_prev[[#This Row],[Synt]]-TB_prev[[#This Row],[Subtotal Y/N]])=0,0,VLOOKUP(TB_prev[[#This Row],[Synt]],GL[[Account]:[Line]],3,FALSE))</f>
        <v>#VALUE!</v>
      </c>
      <c r="AG438" s="1063" t="e">
        <f>VLOOKUP(TB_prev[[#This Row],[Synt]],GL[[Account]:[B/P]],4,FALSE)</f>
        <v>#N/A</v>
      </c>
      <c r="AH438" s="1066" t="e">
        <v>#VALUE!</v>
      </c>
      <c r="AI438" s="1065" t="e">
        <f>TB_prev[[#This Row],[Synt]]&amp;TB_prev[[#This Row],[Line No. manual corr.]]</f>
        <v>#VALUE!</v>
      </c>
      <c r="AJ438" s="1064">
        <f t="shared" si="31"/>
        <v>0</v>
      </c>
      <c r="AK438" s="1064">
        <f t="shared" si="32"/>
        <v>0</v>
      </c>
      <c r="AL438" s="1064">
        <f t="shared" si="33"/>
        <v>0</v>
      </c>
      <c r="AM438" s="1064">
        <f t="shared" si="34"/>
        <v>0</v>
      </c>
      <c r="AN438" s="1064"/>
      <c r="AO438" s="1064">
        <f>TB_prev[[#This Row],[Closing balance]]+TB_prev[[#This Row],[Rounding]]</f>
        <v>0</v>
      </c>
    </row>
    <row r="439" spans="30:41" x14ac:dyDescent="0.25">
      <c r="AD439" s="1067" t="str">
        <f t="shared" si="30"/>
        <v/>
      </c>
      <c r="AE439" s="1063" t="str">
        <f>IF(ISNA(VLOOKUP(TB_prev[[#This Row],[Synt]],GL[[#Headers],[#Data],[subtotal label]],1,FALSE)),0,(VLOOKUP(TB_prev[[#This Row],[Synt]],GL[[#Headers],[#Data],[subtotal label]],1,FALSE)))</f>
        <v/>
      </c>
      <c r="AF439" s="1063" t="e">
        <f>IF((TB_prev[[#This Row],[Synt]]-TB_prev[[#This Row],[Subtotal Y/N]])=0,0,VLOOKUP(TB_prev[[#This Row],[Synt]],GL[[Account]:[Line]],3,FALSE))</f>
        <v>#VALUE!</v>
      </c>
      <c r="AG439" s="1063" t="e">
        <f>VLOOKUP(TB_prev[[#This Row],[Synt]],GL[[Account]:[B/P]],4,FALSE)</f>
        <v>#N/A</v>
      </c>
      <c r="AH439" s="1066" t="e">
        <v>#VALUE!</v>
      </c>
      <c r="AI439" s="1065" t="e">
        <f>TB_prev[[#This Row],[Synt]]&amp;TB_prev[[#This Row],[Line No. manual corr.]]</f>
        <v>#VALUE!</v>
      </c>
      <c r="AJ439" s="1064">
        <f t="shared" si="31"/>
        <v>0</v>
      </c>
      <c r="AK439" s="1064">
        <f t="shared" si="32"/>
        <v>0</v>
      </c>
      <c r="AL439" s="1064">
        <f t="shared" si="33"/>
        <v>0</v>
      </c>
      <c r="AM439" s="1064">
        <f t="shared" si="34"/>
        <v>0</v>
      </c>
      <c r="AN439" s="1064"/>
      <c r="AO439" s="1064">
        <f>TB_prev[[#This Row],[Closing balance]]+TB_prev[[#This Row],[Rounding]]</f>
        <v>0</v>
      </c>
    </row>
    <row r="440" spans="30:41" x14ac:dyDescent="0.25">
      <c r="AD440" s="1067" t="str">
        <f t="shared" si="30"/>
        <v/>
      </c>
      <c r="AE440" s="1063" t="str">
        <f>IF(ISNA(VLOOKUP(TB_prev[[#This Row],[Synt]],GL[[#Headers],[#Data],[subtotal label]],1,FALSE)),0,(VLOOKUP(TB_prev[[#This Row],[Synt]],GL[[#Headers],[#Data],[subtotal label]],1,FALSE)))</f>
        <v/>
      </c>
      <c r="AF440" s="1063" t="e">
        <f>IF((TB_prev[[#This Row],[Synt]]-TB_prev[[#This Row],[Subtotal Y/N]])=0,0,VLOOKUP(TB_prev[[#This Row],[Synt]],GL[[Account]:[Line]],3,FALSE))</f>
        <v>#VALUE!</v>
      </c>
      <c r="AG440" s="1063" t="e">
        <f>VLOOKUP(TB_prev[[#This Row],[Synt]],GL[[Account]:[B/P]],4,FALSE)</f>
        <v>#N/A</v>
      </c>
      <c r="AH440" s="1066" t="e">
        <v>#VALUE!</v>
      </c>
      <c r="AI440" s="1065" t="e">
        <f>TB_prev[[#This Row],[Synt]]&amp;TB_prev[[#This Row],[Line No. manual corr.]]</f>
        <v>#VALUE!</v>
      </c>
      <c r="AJ440" s="1064">
        <f t="shared" si="31"/>
        <v>0</v>
      </c>
      <c r="AK440" s="1064">
        <f t="shared" si="32"/>
        <v>0</v>
      </c>
      <c r="AL440" s="1064">
        <f t="shared" si="33"/>
        <v>0</v>
      </c>
      <c r="AM440" s="1064">
        <f t="shared" si="34"/>
        <v>0</v>
      </c>
      <c r="AN440" s="1064"/>
      <c r="AO440" s="1064">
        <f>TB_prev[[#This Row],[Closing balance]]+TB_prev[[#This Row],[Rounding]]</f>
        <v>0</v>
      </c>
    </row>
    <row r="441" spans="30:41" x14ac:dyDescent="0.25">
      <c r="AD441" s="1067" t="str">
        <f t="shared" si="30"/>
        <v/>
      </c>
      <c r="AE441" s="1063" t="str">
        <f>IF(ISNA(VLOOKUP(TB_prev[[#This Row],[Synt]],GL[[#Headers],[#Data],[subtotal label]],1,FALSE)),0,(VLOOKUP(TB_prev[[#This Row],[Synt]],GL[[#Headers],[#Data],[subtotal label]],1,FALSE)))</f>
        <v/>
      </c>
      <c r="AF441" s="1063" t="e">
        <f>IF((TB_prev[[#This Row],[Synt]]-TB_prev[[#This Row],[Subtotal Y/N]])=0,0,VLOOKUP(TB_prev[[#This Row],[Synt]],GL[[Account]:[Line]],3,FALSE))</f>
        <v>#VALUE!</v>
      </c>
      <c r="AG441" s="1063" t="e">
        <f>VLOOKUP(TB_prev[[#This Row],[Synt]],GL[[Account]:[B/P]],4,FALSE)</f>
        <v>#N/A</v>
      </c>
      <c r="AH441" s="1066" t="e">
        <v>#VALUE!</v>
      </c>
      <c r="AI441" s="1065" t="e">
        <f>TB_prev[[#This Row],[Synt]]&amp;TB_prev[[#This Row],[Line No. manual corr.]]</f>
        <v>#VALUE!</v>
      </c>
      <c r="AJ441" s="1064">
        <f t="shared" si="31"/>
        <v>0</v>
      </c>
      <c r="AK441" s="1064">
        <f t="shared" si="32"/>
        <v>0</v>
      </c>
      <c r="AL441" s="1064">
        <f t="shared" si="33"/>
        <v>0</v>
      </c>
      <c r="AM441" s="1064">
        <f t="shared" si="34"/>
        <v>0</v>
      </c>
      <c r="AN441" s="1064"/>
      <c r="AO441" s="1064">
        <f>TB_prev[[#This Row],[Closing balance]]+TB_prev[[#This Row],[Rounding]]</f>
        <v>0</v>
      </c>
    </row>
    <row r="442" spans="30:41" x14ac:dyDescent="0.25">
      <c r="AD442" s="1067" t="str">
        <f t="shared" si="30"/>
        <v/>
      </c>
      <c r="AE442" s="1063" t="str">
        <f>IF(ISNA(VLOOKUP(TB_prev[[#This Row],[Synt]],GL[[#Headers],[#Data],[subtotal label]],1,FALSE)),0,(VLOOKUP(TB_prev[[#This Row],[Synt]],GL[[#Headers],[#Data],[subtotal label]],1,FALSE)))</f>
        <v/>
      </c>
      <c r="AF442" s="1063" t="e">
        <f>IF((TB_prev[[#This Row],[Synt]]-TB_prev[[#This Row],[Subtotal Y/N]])=0,0,VLOOKUP(TB_prev[[#This Row],[Synt]],GL[[Account]:[Line]],3,FALSE))</f>
        <v>#VALUE!</v>
      </c>
      <c r="AG442" s="1063" t="e">
        <f>VLOOKUP(TB_prev[[#This Row],[Synt]],GL[[Account]:[B/P]],4,FALSE)</f>
        <v>#N/A</v>
      </c>
      <c r="AH442" s="1066" t="e">
        <v>#VALUE!</v>
      </c>
      <c r="AI442" s="1065" t="e">
        <f>TB_prev[[#This Row],[Synt]]&amp;TB_prev[[#This Row],[Line No. manual corr.]]</f>
        <v>#VALUE!</v>
      </c>
      <c r="AJ442" s="1064">
        <f t="shared" si="31"/>
        <v>0</v>
      </c>
      <c r="AK442" s="1064">
        <f t="shared" si="32"/>
        <v>0</v>
      </c>
      <c r="AL442" s="1064">
        <f t="shared" si="33"/>
        <v>0</v>
      </c>
      <c r="AM442" s="1064">
        <f t="shared" si="34"/>
        <v>0</v>
      </c>
      <c r="AN442" s="1064"/>
      <c r="AO442" s="1064">
        <f>TB_prev[[#This Row],[Closing balance]]+TB_prev[[#This Row],[Rounding]]</f>
        <v>0</v>
      </c>
    </row>
    <row r="443" spans="30:41" x14ac:dyDescent="0.25">
      <c r="AD443" s="1067" t="str">
        <f t="shared" si="30"/>
        <v/>
      </c>
      <c r="AE443" s="1063" t="str">
        <f>IF(ISNA(VLOOKUP(TB_prev[[#This Row],[Synt]],GL[[#Headers],[#Data],[subtotal label]],1,FALSE)),0,(VLOOKUP(TB_prev[[#This Row],[Synt]],GL[[#Headers],[#Data],[subtotal label]],1,FALSE)))</f>
        <v/>
      </c>
      <c r="AF443" s="1063" t="e">
        <f>IF((TB_prev[[#This Row],[Synt]]-TB_prev[[#This Row],[Subtotal Y/N]])=0,0,VLOOKUP(TB_prev[[#This Row],[Synt]],GL[[Account]:[Line]],3,FALSE))</f>
        <v>#VALUE!</v>
      </c>
      <c r="AG443" s="1063" t="e">
        <f>VLOOKUP(TB_prev[[#This Row],[Synt]],GL[[Account]:[B/P]],4,FALSE)</f>
        <v>#N/A</v>
      </c>
      <c r="AH443" s="1066" t="e">
        <v>#VALUE!</v>
      </c>
      <c r="AI443" s="1065" t="e">
        <f>TB_prev[[#This Row],[Synt]]&amp;TB_prev[[#This Row],[Line No. manual corr.]]</f>
        <v>#VALUE!</v>
      </c>
      <c r="AJ443" s="1064">
        <f t="shared" si="31"/>
        <v>0</v>
      </c>
      <c r="AK443" s="1064">
        <f t="shared" si="32"/>
        <v>0</v>
      </c>
      <c r="AL443" s="1064">
        <f t="shared" si="33"/>
        <v>0</v>
      </c>
      <c r="AM443" s="1064">
        <f t="shared" si="34"/>
        <v>0</v>
      </c>
      <c r="AN443" s="1064"/>
      <c r="AO443" s="1064">
        <f>TB_prev[[#This Row],[Closing balance]]+TB_prev[[#This Row],[Rounding]]</f>
        <v>0</v>
      </c>
    </row>
    <row r="444" spans="30:41" x14ac:dyDescent="0.25">
      <c r="AD444" s="1067" t="str">
        <f t="shared" si="30"/>
        <v/>
      </c>
      <c r="AE444" s="1063" t="str">
        <f>IF(ISNA(VLOOKUP(TB_prev[[#This Row],[Synt]],GL[[#Headers],[#Data],[subtotal label]],1,FALSE)),0,(VLOOKUP(TB_prev[[#This Row],[Synt]],GL[[#Headers],[#Data],[subtotal label]],1,FALSE)))</f>
        <v/>
      </c>
      <c r="AF444" s="1063" t="e">
        <f>IF((TB_prev[[#This Row],[Synt]]-TB_prev[[#This Row],[Subtotal Y/N]])=0,0,VLOOKUP(TB_prev[[#This Row],[Synt]],GL[[Account]:[Line]],3,FALSE))</f>
        <v>#VALUE!</v>
      </c>
      <c r="AG444" s="1063" t="e">
        <f>VLOOKUP(TB_prev[[#This Row],[Synt]],GL[[Account]:[B/P]],4,FALSE)</f>
        <v>#N/A</v>
      </c>
      <c r="AH444" s="1066" t="e">
        <v>#VALUE!</v>
      </c>
      <c r="AI444" s="1065" t="e">
        <f>TB_prev[[#This Row],[Synt]]&amp;TB_prev[[#This Row],[Line No. manual corr.]]</f>
        <v>#VALUE!</v>
      </c>
      <c r="AJ444" s="1064">
        <f t="shared" si="31"/>
        <v>0</v>
      </c>
      <c r="AK444" s="1064">
        <f t="shared" si="32"/>
        <v>0</v>
      </c>
      <c r="AL444" s="1064">
        <f t="shared" si="33"/>
        <v>0</v>
      </c>
      <c r="AM444" s="1064">
        <f t="shared" si="34"/>
        <v>0</v>
      </c>
      <c r="AN444" s="1064"/>
      <c r="AO444" s="1064">
        <f>TB_prev[[#This Row],[Closing balance]]+TB_prev[[#This Row],[Rounding]]</f>
        <v>0</v>
      </c>
    </row>
    <row r="445" spans="30:41" x14ac:dyDescent="0.25">
      <c r="AD445" s="1067" t="str">
        <f t="shared" si="30"/>
        <v/>
      </c>
      <c r="AE445" s="1063" t="str">
        <f>IF(ISNA(VLOOKUP(TB_prev[[#This Row],[Synt]],GL[[#Headers],[#Data],[subtotal label]],1,FALSE)),0,(VLOOKUP(TB_prev[[#This Row],[Synt]],GL[[#Headers],[#Data],[subtotal label]],1,FALSE)))</f>
        <v/>
      </c>
      <c r="AF445" s="1063" t="e">
        <f>IF((TB_prev[[#This Row],[Synt]]-TB_prev[[#This Row],[Subtotal Y/N]])=0,0,VLOOKUP(TB_prev[[#This Row],[Synt]],GL[[Account]:[Line]],3,FALSE))</f>
        <v>#VALUE!</v>
      </c>
      <c r="AG445" s="1063" t="e">
        <f>VLOOKUP(TB_prev[[#This Row],[Synt]],GL[[Account]:[B/P]],4,FALSE)</f>
        <v>#N/A</v>
      </c>
      <c r="AH445" s="1066" t="e">
        <v>#VALUE!</v>
      </c>
      <c r="AI445" s="1065" t="e">
        <f>TB_prev[[#This Row],[Synt]]&amp;TB_prev[[#This Row],[Line No. manual corr.]]</f>
        <v>#VALUE!</v>
      </c>
      <c r="AJ445" s="1064">
        <f t="shared" si="31"/>
        <v>0</v>
      </c>
      <c r="AK445" s="1064">
        <f t="shared" si="32"/>
        <v>0</v>
      </c>
      <c r="AL445" s="1064">
        <f t="shared" si="33"/>
        <v>0</v>
      </c>
      <c r="AM445" s="1064">
        <f t="shared" si="34"/>
        <v>0</v>
      </c>
      <c r="AN445" s="1064"/>
      <c r="AO445" s="1064">
        <f>TB_prev[[#This Row],[Closing balance]]+TB_prev[[#This Row],[Rounding]]</f>
        <v>0</v>
      </c>
    </row>
    <row r="446" spans="30:41" x14ac:dyDescent="0.25">
      <c r="AD446" s="1067" t="str">
        <f t="shared" si="30"/>
        <v/>
      </c>
      <c r="AE446" s="1063" t="str">
        <f>IF(ISNA(VLOOKUP(TB_prev[[#This Row],[Synt]],GL[[#Headers],[#Data],[subtotal label]],1,FALSE)),0,(VLOOKUP(TB_prev[[#This Row],[Synt]],GL[[#Headers],[#Data],[subtotal label]],1,FALSE)))</f>
        <v/>
      </c>
      <c r="AF446" s="1063" t="e">
        <f>IF((TB_prev[[#This Row],[Synt]]-TB_prev[[#This Row],[Subtotal Y/N]])=0,0,VLOOKUP(TB_prev[[#This Row],[Synt]],GL[[Account]:[Line]],3,FALSE))</f>
        <v>#VALUE!</v>
      </c>
      <c r="AG446" s="1063" t="e">
        <f>VLOOKUP(TB_prev[[#This Row],[Synt]],GL[[Account]:[B/P]],4,FALSE)</f>
        <v>#N/A</v>
      </c>
      <c r="AH446" s="1066" t="e">
        <v>#VALUE!</v>
      </c>
      <c r="AI446" s="1065" t="e">
        <f>TB_prev[[#This Row],[Synt]]&amp;TB_prev[[#This Row],[Line No. manual corr.]]</f>
        <v>#VALUE!</v>
      </c>
      <c r="AJ446" s="1064">
        <f t="shared" si="31"/>
        <v>0</v>
      </c>
      <c r="AK446" s="1064">
        <f t="shared" si="32"/>
        <v>0</v>
      </c>
      <c r="AL446" s="1064">
        <f t="shared" si="33"/>
        <v>0</v>
      </c>
      <c r="AM446" s="1064">
        <f t="shared" si="34"/>
        <v>0</v>
      </c>
      <c r="AN446" s="1064"/>
      <c r="AO446" s="1064">
        <f>TB_prev[[#This Row],[Closing balance]]+TB_prev[[#This Row],[Rounding]]</f>
        <v>0</v>
      </c>
    </row>
    <row r="447" spans="30:41" x14ac:dyDescent="0.25">
      <c r="AD447" s="1067" t="str">
        <f t="shared" si="30"/>
        <v/>
      </c>
      <c r="AE447" s="1063" t="str">
        <f>IF(ISNA(VLOOKUP(TB_prev[[#This Row],[Synt]],GL[[#Headers],[#Data],[subtotal label]],1,FALSE)),0,(VLOOKUP(TB_prev[[#This Row],[Synt]],GL[[#Headers],[#Data],[subtotal label]],1,FALSE)))</f>
        <v/>
      </c>
      <c r="AF447" s="1063" t="e">
        <f>IF((TB_prev[[#This Row],[Synt]]-TB_prev[[#This Row],[Subtotal Y/N]])=0,0,VLOOKUP(TB_prev[[#This Row],[Synt]],GL[[Account]:[Line]],3,FALSE))</f>
        <v>#VALUE!</v>
      </c>
      <c r="AG447" s="1063" t="e">
        <f>VLOOKUP(TB_prev[[#This Row],[Synt]],GL[[Account]:[B/P]],4,FALSE)</f>
        <v>#N/A</v>
      </c>
      <c r="AH447" s="1066" t="e">
        <v>#VALUE!</v>
      </c>
      <c r="AI447" s="1065" t="e">
        <f>TB_prev[[#This Row],[Synt]]&amp;TB_prev[[#This Row],[Line No. manual corr.]]</f>
        <v>#VALUE!</v>
      </c>
      <c r="AJ447" s="1064">
        <f t="shared" si="31"/>
        <v>0</v>
      </c>
      <c r="AK447" s="1064">
        <f t="shared" si="32"/>
        <v>0</v>
      </c>
      <c r="AL447" s="1064">
        <f t="shared" si="33"/>
        <v>0</v>
      </c>
      <c r="AM447" s="1064">
        <f t="shared" si="34"/>
        <v>0</v>
      </c>
      <c r="AN447" s="1064"/>
      <c r="AO447" s="1064">
        <f>TB_prev[[#This Row],[Closing balance]]+TB_prev[[#This Row],[Rounding]]</f>
        <v>0</v>
      </c>
    </row>
    <row r="448" spans="30:41" x14ac:dyDescent="0.25">
      <c r="AD448" s="1067" t="str">
        <f t="shared" si="30"/>
        <v/>
      </c>
      <c r="AE448" s="1063" t="str">
        <f>IF(ISNA(VLOOKUP(TB_prev[[#This Row],[Synt]],GL[[#Headers],[#Data],[subtotal label]],1,FALSE)),0,(VLOOKUP(TB_prev[[#This Row],[Synt]],GL[[#Headers],[#Data],[subtotal label]],1,FALSE)))</f>
        <v/>
      </c>
      <c r="AF448" s="1063" t="e">
        <f>IF((TB_prev[[#This Row],[Synt]]-TB_prev[[#This Row],[Subtotal Y/N]])=0,0,VLOOKUP(TB_prev[[#This Row],[Synt]],GL[[Account]:[Line]],3,FALSE))</f>
        <v>#VALUE!</v>
      </c>
      <c r="AG448" s="1063" t="e">
        <f>VLOOKUP(TB_prev[[#This Row],[Synt]],GL[[Account]:[B/P]],4,FALSE)</f>
        <v>#N/A</v>
      </c>
      <c r="AH448" s="1066" t="e">
        <v>#VALUE!</v>
      </c>
      <c r="AI448" s="1065" t="e">
        <f>TB_prev[[#This Row],[Synt]]&amp;TB_prev[[#This Row],[Line No. manual corr.]]</f>
        <v>#VALUE!</v>
      </c>
      <c r="AJ448" s="1064">
        <f t="shared" si="31"/>
        <v>0</v>
      </c>
      <c r="AK448" s="1064">
        <f t="shared" si="32"/>
        <v>0</v>
      </c>
      <c r="AL448" s="1064">
        <f t="shared" si="33"/>
        <v>0</v>
      </c>
      <c r="AM448" s="1064">
        <f t="shared" si="34"/>
        <v>0</v>
      </c>
      <c r="AN448" s="1064"/>
      <c r="AO448" s="1064">
        <f>TB_prev[[#This Row],[Closing balance]]+TB_prev[[#This Row],[Rounding]]</f>
        <v>0</v>
      </c>
    </row>
    <row r="449" spans="30:41" x14ac:dyDescent="0.25">
      <c r="AD449" s="1067" t="str">
        <f t="shared" si="30"/>
        <v/>
      </c>
      <c r="AE449" s="1063" t="str">
        <f>IF(ISNA(VLOOKUP(TB_prev[[#This Row],[Synt]],GL[[#Headers],[#Data],[subtotal label]],1,FALSE)),0,(VLOOKUP(TB_prev[[#This Row],[Synt]],GL[[#Headers],[#Data],[subtotal label]],1,FALSE)))</f>
        <v/>
      </c>
      <c r="AF449" s="1063" t="e">
        <f>IF((TB_prev[[#This Row],[Synt]]-TB_prev[[#This Row],[Subtotal Y/N]])=0,0,VLOOKUP(TB_prev[[#This Row],[Synt]],GL[[Account]:[Line]],3,FALSE))</f>
        <v>#VALUE!</v>
      </c>
      <c r="AG449" s="1063" t="e">
        <f>VLOOKUP(TB_prev[[#This Row],[Synt]],GL[[Account]:[B/P]],4,FALSE)</f>
        <v>#N/A</v>
      </c>
      <c r="AH449" s="1066" t="e">
        <v>#VALUE!</v>
      </c>
      <c r="AI449" s="1065" t="e">
        <f>TB_prev[[#This Row],[Synt]]&amp;TB_prev[[#This Row],[Line No. manual corr.]]</f>
        <v>#VALUE!</v>
      </c>
      <c r="AJ449" s="1064">
        <f t="shared" si="31"/>
        <v>0</v>
      </c>
      <c r="AK449" s="1064">
        <f t="shared" si="32"/>
        <v>0</v>
      </c>
      <c r="AL449" s="1064">
        <f t="shared" si="33"/>
        <v>0</v>
      </c>
      <c r="AM449" s="1064">
        <f t="shared" si="34"/>
        <v>0</v>
      </c>
      <c r="AN449" s="1064"/>
      <c r="AO449" s="1064">
        <f>TB_prev[[#This Row],[Closing balance]]+TB_prev[[#This Row],[Rounding]]</f>
        <v>0</v>
      </c>
    </row>
    <row r="450" spans="30:41" x14ac:dyDescent="0.25">
      <c r="AD450" s="1067" t="str">
        <f t="shared" si="30"/>
        <v/>
      </c>
      <c r="AE450" s="1063" t="str">
        <f>IF(ISNA(VLOOKUP(TB_prev[[#This Row],[Synt]],GL[[#Headers],[#Data],[subtotal label]],1,FALSE)),0,(VLOOKUP(TB_prev[[#This Row],[Synt]],GL[[#Headers],[#Data],[subtotal label]],1,FALSE)))</f>
        <v/>
      </c>
      <c r="AF450" s="1063" t="e">
        <f>IF((TB_prev[[#This Row],[Synt]]-TB_prev[[#This Row],[Subtotal Y/N]])=0,0,VLOOKUP(TB_prev[[#This Row],[Synt]],GL[[Account]:[Line]],3,FALSE))</f>
        <v>#VALUE!</v>
      </c>
      <c r="AG450" s="1063" t="e">
        <f>VLOOKUP(TB_prev[[#This Row],[Synt]],GL[[Account]:[B/P]],4,FALSE)</f>
        <v>#N/A</v>
      </c>
      <c r="AH450" s="1066" t="e">
        <v>#VALUE!</v>
      </c>
      <c r="AI450" s="1065" t="e">
        <f>TB_prev[[#This Row],[Synt]]&amp;TB_prev[[#This Row],[Line No. manual corr.]]</f>
        <v>#VALUE!</v>
      </c>
      <c r="AJ450" s="1064">
        <f t="shared" si="31"/>
        <v>0</v>
      </c>
      <c r="AK450" s="1064">
        <f t="shared" si="32"/>
        <v>0</v>
      </c>
      <c r="AL450" s="1064">
        <f t="shared" si="33"/>
        <v>0</v>
      </c>
      <c r="AM450" s="1064">
        <f t="shared" si="34"/>
        <v>0</v>
      </c>
      <c r="AN450" s="1064"/>
      <c r="AO450" s="1064">
        <f>TB_prev[[#This Row],[Closing balance]]+TB_prev[[#This Row],[Rounding]]</f>
        <v>0</v>
      </c>
    </row>
    <row r="451" spans="30:41" x14ac:dyDescent="0.25">
      <c r="AD451" s="1067" t="str">
        <f t="shared" si="30"/>
        <v/>
      </c>
      <c r="AE451" s="1063" t="str">
        <f>IF(ISNA(VLOOKUP(TB_prev[[#This Row],[Synt]],GL[[#Headers],[#Data],[subtotal label]],1,FALSE)),0,(VLOOKUP(TB_prev[[#This Row],[Synt]],GL[[#Headers],[#Data],[subtotal label]],1,FALSE)))</f>
        <v/>
      </c>
      <c r="AF451" s="1063" t="e">
        <f>IF((TB_prev[[#This Row],[Synt]]-TB_prev[[#This Row],[Subtotal Y/N]])=0,0,VLOOKUP(TB_prev[[#This Row],[Synt]],GL[[Account]:[Line]],3,FALSE))</f>
        <v>#VALUE!</v>
      </c>
      <c r="AG451" s="1063" t="e">
        <f>VLOOKUP(TB_prev[[#This Row],[Synt]],GL[[Account]:[B/P]],4,FALSE)</f>
        <v>#N/A</v>
      </c>
      <c r="AH451" s="1066" t="e">
        <v>#VALUE!</v>
      </c>
      <c r="AI451" s="1065" t="e">
        <f>TB_prev[[#This Row],[Synt]]&amp;TB_prev[[#This Row],[Line No. manual corr.]]</f>
        <v>#VALUE!</v>
      </c>
      <c r="AJ451" s="1064">
        <f t="shared" si="31"/>
        <v>0</v>
      </c>
      <c r="AK451" s="1064">
        <f t="shared" si="32"/>
        <v>0</v>
      </c>
      <c r="AL451" s="1064">
        <f t="shared" si="33"/>
        <v>0</v>
      </c>
      <c r="AM451" s="1064">
        <f t="shared" si="34"/>
        <v>0</v>
      </c>
      <c r="AN451" s="1064"/>
      <c r="AO451" s="1064">
        <f>TB_prev[[#This Row],[Closing balance]]+TB_prev[[#This Row],[Rounding]]</f>
        <v>0</v>
      </c>
    </row>
    <row r="452" spans="30:41" x14ac:dyDescent="0.25">
      <c r="AD452" s="1067" t="str">
        <f t="shared" si="30"/>
        <v/>
      </c>
      <c r="AE452" s="1063" t="str">
        <f>IF(ISNA(VLOOKUP(TB_prev[[#This Row],[Synt]],GL[[#Headers],[#Data],[subtotal label]],1,FALSE)),0,(VLOOKUP(TB_prev[[#This Row],[Synt]],GL[[#Headers],[#Data],[subtotal label]],1,FALSE)))</f>
        <v/>
      </c>
      <c r="AF452" s="1063" t="e">
        <f>IF((TB_prev[[#This Row],[Synt]]-TB_prev[[#This Row],[Subtotal Y/N]])=0,0,VLOOKUP(TB_prev[[#This Row],[Synt]],GL[[Account]:[Line]],3,FALSE))</f>
        <v>#VALUE!</v>
      </c>
      <c r="AG452" s="1063" t="e">
        <f>VLOOKUP(TB_prev[[#This Row],[Synt]],GL[[Account]:[B/P]],4,FALSE)</f>
        <v>#N/A</v>
      </c>
      <c r="AH452" s="1066" t="e">
        <v>#VALUE!</v>
      </c>
      <c r="AI452" s="1065" t="e">
        <f>TB_prev[[#This Row],[Synt]]&amp;TB_prev[[#This Row],[Line No. manual corr.]]</f>
        <v>#VALUE!</v>
      </c>
      <c r="AJ452" s="1064">
        <f t="shared" si="31"/>
        <v>0</v>
      </c>
      <c r="AK452" s="1064">
        <f t="shared" si="32"/>
        <v>0</v>
      </c>
      <c r="AL452" s="1064">
        <f t="shared" si="33"/>
        <v>0</v>
      </c>
      <c r="AM452" s="1064">
        <f t="shared" si="34"/>
        <v>0</v>
      </c>
      <c r="AN452" s="1064"/>
      <c r="AO452" s="1064">
        <f>TB_prev[[#This Row],[Closing balance]]+TB_prev[[#This Row],[Rounding]]</f>
        <v>0</v>
      </c>
    </row>
    <row r="453" spans="30:41" x14ac:dyDescent="0.25">
      <c r="AD453" s="1067" t="str">
        <f t="shared" si="30"/>
        <v/>
      </c>
      <c r="AE453" s="1063" t="str">
        <f>IF(ISNA(VLOOKUP(TB_prev[[#This Row],[Synt]],GL[[#Headers],[#Data],[subtotal label]],1,FALSE)),0,(VLOOKUP(TB_prev[[#This Row],[Synt]],GL[[#Headers],[#Data],[subtotal label]],1,FALSE)))</f>
        <v/>
      </c>
      <c r="AF453" s="1063" t="e">
        <f>IF((TB_prev[[#This Row],[Synt]]-TB_prev[[#This Row],[Subtotal Y/N]])=0,0,VLOOKUP(TB_prev[[#This Row],[Synt]],GL[[Account]:[Line]],3,FALSE))</f>
        <v>#VALUE!</v>
      </c>
      <c r="AG453" s="1063" t="e">
        <f>VLOOKUP(TB_prev[[#This Row],[Synt]],GL[[Account]:[B/P]],4,FALSE)</f>
        <v>#N/A</v>
      </c>
      <c r="AH453" s="1066" t="e">
        <v>#VALUE!</v>
      </c>
      <c r="AI453" s="1065" t="e">
        <f>TB_prev[[#This Row],[Synt]]&amp;TB_prev[[#This Row],[Line No. manual corr.]]</f>
        <v>#VALUE!</v>
      </c>
      <c r="AJ453" s="1064">
        <f t="shared" si="31"/>
        <v>0</v>
      </c>
      <c r="AK453" s="1064">
        <f t="shared" si="32"/>
        <v>0</v>
      </c>
      <c r="AL453" s="1064">
        <f t="shared" si="33"/>
        <v>0</v>
      </c>
      <c r="AM453" s="1064">
        <f t="shared" si="34"/>
        <v>0</v>
      </c>
      <c r="AN453" s="1064"/>
      <c r="AO453" s="1064">
        <f>TB_prev[[#This Row],[Closing balance]]+TB_prev[[#This Row],[Rounding]]</f>
        <v>0</v>
      </c>
    </row>
    <row r="454" spans="30:41" x14ac:dyDescent="0.25">
      <c r="AD454" s="1067" t="str">
        <f t="shared" si="30"/>
        <v/>
      </c>
      <c r="AE454" s="1063" t="str">
        <f>IF(ISNA(VLOOKUP(TB_prev[[#This Row],[Synt]],GL[[#Headers],[#Data],[subtotal label]],1,FALSE)),0,(VLOOKUP(TB_prev[[#This Row],[Synt]],GL[[#Headers],[#Data],[subtotal label]],1,FALSE)))</f>
        <v/>
      </c>
      <c r="AF454" s="1063" t="e">
        <f>IF((TB_prev[[#This Row],[Synt]]-TB_prev[[#This Row],[Subtotal Y/N]])=0,0,VLOOKUP(TB_prev[[#This Row],[Synt]],GL[[Account]:[Line]],3,FALSE))</f>
        <v>#VALUE!</v>
      </c>
      <c r="AG454" s="1063" t="e">
        <f>VLOOKUP(TB_prev[[#This Row],[Synt]],GL[[Account]:[B/P]],4,FALSE)</f>
        <v>#N/A</v>
      </c>
      <c r="AH454" s="1066" t="e">
        <v>#VALUE!</v>
      </c>
      <c r="AI454" s="1065" t="e">
        <f>TB_prev[[#This Row],[Synt]]&amp;TB_prev[[#This Row],[Line No. manual corr.]]</f>
        <v>#VALUE!</v>
      </c>
      <c r="AJ454" s="1064">
        <f t="shared" si="31"/>
        <v>0</v>
      </c>
      <c r="AK454" s="1064">
        <f t="shared" si="32"/>
        <v>0</v>
      </c>
      <c r="AL454" s="1064">
        <f t="shared" si="33"/>
        <v>0</v>
      </c>
      <c r="AM454" s="1064">
        <f t="shared" si="34"/>
        <v>0</v>
      </c>
      <c r="AN454" s="1064"/>
      <c r="AO454" s="1064">
        <f>TB_prev[[#This Row],[Closing balance]]+TB_prev[[#This Row],[Rounding]]</f>
        <v>0</v>
      </c>
    </row>
    <row r="455" spans="30:41" x14ac:dyDescent="0.25">
      <c r="AD455" s="1067" t="str">
        <f t="shared" si="30"/>
        <v/>
      </c>
      <c r="AE455" s="1063" t="str">
        <f>IF(ISNA(VLOOKUP(TB_prev[[#This Row],[Synt]],GL[[#Headers],[#Data],[subtotal label]],1,FALSE)),0,(VLOOKUP(TB_prev[[#This Row],[Synt]],GL[[#Headers],[#Data],[subtotal label]],1,FALSE)))</f>
        <v/>
      </c>
      <c r="AF455" s="1063" t="e">
        <f>IF((TB_prev[[#This Row],[Synt]]-TB_prev[[#This Row],[Subtotal Y/N]])=0,0,VLOOKUP(TB_prev[[#This Row],[Synt]],GL[[Account]:[Line]],3,FALSE))</f>
        <v>#VALUE!</v>
      </c>
      <c r="AG455" s="1063" t="e">
        <f>VLOOKUP(TB_prev[[#This Row],[Synt]],GL[[Account]:[B/P]],4,FALSE)</f>
        <v>#N/A</v>
      </c>
      <c r="AH455" s="1066" t="e">
        <v>#VALUE!</v>
      </c>
      <c r="AI455" s="1065" t="e">
        <f>TB_prev[[#This Row],[Synt]]&amp;TB_prev[[#This Row],[Line No. manual corr.]]</f>
        <v>#VALUE!</v>
      </c>
      <c r="AJ455" s="1064">
        <f t="shared" si="31"/>
        <v>0</v>
      </c>
      <c r="AK455" s="1064">
        <f t="shared" si="32"/>
        <v>0</v>
      </c>
      <c r="AL455" s="1064">
        <f t="shared" si="33"/>
        <v>0</v>
      </c>
      <c r="AM455" s="1064">
        <f t="shared" si="34"/>
        <v>0</v>
      </c>
      <c r="AN455" s="1064"/>
      <c r="AO455" s="1064">
        <f>TB_prev[[#This Row],[Closing balance]]+TB_prev[[#This Row],[Rounding]]</f>
        <v>0</v>
      </c>
    </row>
    <row r="456" spans="30:41" x14ac:dyDescent="0.25">
      <c r="AD456" s="1067" t="str">
        <f t="shared" ref="AD456:AD519" si="35">LEFT(B456,3)</f>
        <v/>
      </c>
      <c r="AE456" s="1063" t="str">
        <f>IF(ISNA(VLOOKUP(TB_prev[[#This Row],[Synt]],GL[[#Headers],[#Data],[subtotal label]],1,FALSE)),0,(VLOOKUP(TB_prev[[#This Row],[Synt]],GL[[#Headers],[#Data],[subtotal label]],1,FALSE)))</f>
        <v/>
      </c>
      <c r="AF456" s="1063" t="e">
        <f>IF((TB_prev[[#This Row],[Synt]]-TB_prev[[#This Row],[Subtotal Y/N]])=0,0,VLOOKUP(TB_prev[[#This Row],[Synt]],GL[[Account]:[Line]],3,FALSE))</f>
        <v>#VALUE!</v>
      </c>
      <c r="AG456" s="1063" t="e">
        <f>VLOOKUP(TB_prev[[#This Row],[Synt]],GL[[Account]:[B/P]],4,FALSE)</f>
        <v>#N/A</v>
      </c>
      <c r="AH456" s="1066" t="e">
        <v>#VALUE!</v>
      </c>
      <c r="AI456" s="1065" t="e">
        <f>TB_prev[[#This Row],[Synt]]&amp;TB_prev[[#This Row],[Line No. manual corr.]]</f>
        <v>#VALUE!</v>
      </c>
      <c r="AJ456" s="1064">
        <f t="shared" ref="AJ456:AJ519" si="36">K456-N456</f>
        <v>0</v>
      </c>
      <c r="AK456" s="1064">
        <f t="shared" ref="AK456:AK519" si="37">Q456</f>
        <v>0</v>
      </c>
      <c r="AL456" s="1064">
        <f t="shared" ref="AL456:AL519" si="38">U456</f>
        <v>0</v>
      </c>
      <c r="AM456" s="1064">
        <f t="shared" ref="AM456:AM519" si="39">X456-AB456</f>
        <v>0</v>
      </c>
      <c r="AN456" s="1064"/>
      <c r="AO456" s="1064">
        <f>TB_prev[[#This Row],[Closing balance]]+TB_prev[[#This Row],[Rounding]]</f>
        <v>0</v>
      </c>
    </row>
    <row r="457" spans="30:41" x14ac:dyDescent="0.25">
      <c r="AD457" s="1067" t="str">
        <f t="shared" si="35"/>
        <v/>
      </c>
      <c r="AE457" s="1063" t="str">
        <f>IF(ISNA(VLOOKUP(TB_prev[[#This Row],[Synt]],GL[[#Headers],[#Data],[subtotal label]],1,FALSE)),0,(VLOOKUP(TB_prev[[#This Row],[Synt]],GL[[#Headers],[#Data],[subtotal label]],1,FALSE)))</f>
        <v/>
      </c>
      <c r="AF457" s="1063" t="e">
        <f>IF((TB_prev[[#This Row],[Synt]]-TB_prev[[#This Row],[Subtotal Y/N]])=0,0,VLOOKUP(TB_prev[[#This Row],[Synt]],GL[[Account]:[Line]],3,FALSE))</f>
        <v>#VALUE!</v>
      </c>
      <c r="AG457" s="1063" t="e">
        <f>VLOOKUP(TB_prev[[#This Row],[Synt]],GL[[Account]:[B/P]],4,FALSE)</f>
        <v>#N/A</v>
      </c>
      <c r="AH457" s="1066" t="e">
        <v>#VALUE!</v>
      </c>
      <c r="AI457" s="1065" t="e">
        <f>TB_prev[[#This Row],[Synt]]&amp;TB_prev[[#This Row],[Line No. manual corr.]]</f>
        <v>#VALUE!</v>
      </c>
      <c r="AJ457" s="1064">
        <f t="shared" si="36"/>
        <v>0</v>
      </c>
      <c r="AK457" s="1064">
        <f t="shared" si="37"/>
        <v>0</v>
      </c>
      <c r="AL457" s="1064">
        <f t="shared" si="38"/>
        <v>0</v>
      </c>
      <c r="AM457" s="1064">
        <f t="shared" si="39"/>
        <v>0</v>
      </c>
      <c r="AN457" s="1064"/>
      <c r="AO457" s="1064">
        <f>TB_prev[[#This Row],[Closing balance]]+TB_prev[[#This Row],[Rounding]]</f>
        <v>0</v>
      </c>
    </row>
    <row r="458" spans="30:41" x14ac:dyDescent="0.25">
      <c r="AD458" s="1067" t="str">
        <f t="shared" si="35"/>
        <v/>
      </c>
      <c r="AE458" s="1063" t="str">
        <f>IF(ISNA(VLOOKUP(TB_prev[[#This Row],[Synt]],GL[[#Headers],[#Data],[subtotal label]],1,FALSE)),0,(VLOOKUP(TB_prev[[#This Row],[Synt]],GL[[#Headers],[#Data],[subtotal label]],1,FALSE)))</f>
        <v/>
      </c>
      <c r="AF458" s="1063" t="e">
        <f>IF((TB_prev[[#This Row],[Synt]]-TB_prev[[#This Row],[Subtotal Y/N]])=0,0,VLOOKUP(TB_prev[[#This Row],[Synt]],GL[[Account]:[Line]],3,FALSE))</f>
        <v>#VALUE!</v>
      </c>
      <c r="AG458" s="1063" t="e">
        <f>VLOOKUP(TB_prev[[#This Row],[Synt]],GL[[Account]:[B/P]],4,FALSE)</f>
        <v>#N/A</v>
      </c>
      <c r="AH458" s="1066" t="e">
        <v>#VALUE!</v>
      </c>
      <c r="AI458" s="1065" t="e">
        <f>TB_prev[[#This Row],[Synt]]&amp;TB_prev[[#This Row],[Line No. manual corr.]]</f>
        <v>#VALUE!</v>
      </c>
      <c r="AJ458" s="1064">
        <f t="shared" si="36"/>
        <v>0</v>
      </c>
      <c r="AK458" s="1064">
        <f t="shared" si="37"/>
        <v>0</v>
      </c>
      <c r="AL458" s="1064">
        <f t="shared" si="38"/>
        <v>0</v>
      </c>
      <c r="AM458" s="1064">
        <f t="shared" si="39"/>
        <v>0</v>
      </c>
      <c r="AN458" s="1064"/>
      <c r="AO458" s="1064">
        <f>TB_prev[[#This Row],[Closing balance]]+TB_prev[[#This Row],[Rounding]]</f>
        <v>0</v>
      </c>
    </row>
    <row r="459" spans="30:41" x14ac:dyDescent="0.25">
      <c r="AD459" s="1067" t="str">
        <f t="shared" si="35"/>
        <v/>
      </c>
      <c r="AE459" s="1063" t="str">
        <f>IF(ISNA(VLOOKUP(TB_prev[[#This Row],[Synt]],GL[[#Headers],[#Data],[subtotal label]],1,FALSE)),0,(VLOOKUP(TB_prev[[#This Row],[Synt]],GL[[#Headers],[#Data],[subtotal label]],1,FALSE)))</f>
        <v/>
      </c>
      <c r="AF459" s="1063" t="e">
        <f>IF((TB_prev[[#This Row],[Synt]]-TB_prev[[#This Row],[Subtotal Y/N]])=0,0,VLOOKUP(TB_prev[[#This Row],[Synt]],GL[[Account]:[Line]],3,FALSE))</f>
        <v>#VALUE!</v>
      </c>
      <c r="AG459" s="1063" t="e">
        <f>VLOOKUP(TB_prev[[#This Row],[Synt]],GL[[Account]:[B/P]],4,FALSE)</f>
        <v>#N/A</v>
      </c>
      <c r="AH459" s="1066" t="e">
        <v>#VALUE!</v>
      </c>
      <c r="AI459" s="1065" t="e">
        <f>TB_prev[[#This Row],[Synt]]&amp;TB_prev[[#This Row],[Line No. manual corr.]]</f>
        <v>#VALUE!</v>
      </c>
      <c r="AJ459" s="1064">
        <f t="shared" si="36"/>
        <v>0</v>
      </c>
      <c r="AK459" s="1064">
        <f t="shared" si="37"/>
        <v>0</v>
      </c>
      <c r="AL459" s="1064">
        <f t="shared" si="38"/>
        <v>0</v>
      </c>
      <c r="AM459" s="1064">
        <f t="shared" si="39"/>
        <v>0</v>
      </c>
      <c r="AN459" s="1064"/>
      <c r="AO459" s="1064">
        <f>TB_prev[[#This Row],[Closing balance]]+TB_prev[[#This Row],[Rounding]]</f>
        <v>0</v>
      </c>
    </row>
    <row r="460" spans="30:41" x14ac:dyDescent="0.25">
      <c r="AD460" s="1067" t="str">
        <f t="shared" si="35"/>
        <v/>
      </c>
      <c r="AE460" s="1063" t="str">
        <f>IF(ISNA(VLOOKUP(TB_prev[[#This Row],[Synt]],GL[[#Headers],[#Data],[subtotal label]],1,FALSE)),0,(VLOOKUP(TB_prev[[#This Row],[Synt]],GL[[#Headers],[#Data],[subtotal label]],1,FALSE)))</f>
        <v/>
      </c>
      <c r="AF460" s="1063" t="e">
        <f>IF((TB_prev[[#This Row],[Synt]]-TB_prev[[#This Row],[Subtotal Y/N]])=0,0,VLOOKUP(TB_prev[[#This Row],[Synt]],GL[[Account]:[Line]],3,FALSE))</f>
        <v>#VALUE!</v>
      </c>
      <c r="AG460" s="1063" t="e">
        <f>VLOOKUP(TB_prev[[#This Row],[Synt]],GL[[Account]:[B/P]],4,FALSE)</f>
        <v>#N/A</v>
      </c>
      <c r="AH460" s="1066" t="e">
        <v>#VALUE!</v>
      </c>
      <c r="AI460" s="1065" t="e">
        <f>TB_prev[[#This Row],[Synt]]&amp;TB_prev[[#This Row],[Line No. manual corr.]]</f>
        <v>#VALUE!</v>
      </c>
      <c r="AJ460" s="1064">
        <f t="shared" si="36"/>
        <v>0</v>
      </c>
      <c r="AK460" s="1064">
        <f t="shared" si="37"/>
        <v>0</v>
      </c>
      <c r="AL460" s="1064">
        <f t="shared" si="38"/>
        <v>0</v>
      </c>
      <c r="AM460" s="1064">
        <f t="shared" si="39"/>
        <v>0</v>
      </c>
      <c r="AN460" s="1064"/>
      <c r="AO460" s="1064">
        <f>TB_prev[[#This Row],[Closing balance]]+TB_prev[[#This Row],[Rounding]]</f>
        <v>0</v>
      </c>
    </row>
    <row r="461" spans="30:41" x14ac:dyDescent="0.25">
      <c r="AD461" s="1067" t="str">
        <f t="shared" si="35"/>
        <v/>
      </c>
      <c r="AE461" s="1063" t="str">
        <f>IF(ISNA(VLOOKUP(TB_prev[[#This Row],[Synt]],GL[[#Headers],[#Data],[subtotal label]],1,FALSE)),0,(VLOOKUP(TB_prev[[#This Row],[Synt]],GL[[#Headers],[#Data],[subtotal label]],1,FALSE)))</f>
        <v/>
      </c>
      <c r="AF461" s="1063" t="e">
        <f>IF((TB_prev[[#This Row],[Synt]]-TB_prev[[#This Row],[Subtotal Y/N]])=0,0,VLOOKUP(TB_prev[[#This Row],[Synt]],GL[[Account]:[Line]],3,FALSE))</f>
        <v>#VALUE!</v>
      </c>
      <c r="AG461" s="1063" t="e">
        <f>VLOOKUP(TB_prev[[#This Row],[Synt]],GL[[Account]:[B/P]],4,FALSE)</f>
        <v>#N/A</v>
      </c>
      <c r="AH461" s="1066" t="e">
        <v>#VALUE!</v>
      </c>
      <c r="AI461" s="1065" t="e">
        <f>TB_prev[[#This Row],[Synt]]&amp;TB_prev[[#This Row],[Line No. manual corr.]]</f>
        <v>#VALUE!</v>
      </c>
      <c r="AJ461" s="1064">
        <f t="shared" si="36"/>
        <v>0</v>
      </c>
      <c r="AK461" s="1064">
        <f t="shared" si="37"/>
        <v>0</v>
      </c>
      <c r="AL461" s="1064">
        <f t="shared" si="38"/>
        <v>0</v>
      </c>
      <c r="AM461" s="1064">
        <f t="shared" si="39"/>
        <v>0</v>
      </c>
      <c r="AN461" s="1064"/>
      <c r="AO461" s="1064">
        <f>TB_prev[[#This Row],[Closing balance]]+TB_prev[[#This Row],[Rounding]]</f>
        <v>0</v>
      </c>
    </row>
    <row r="462" spans="30:41" x14ac:dyDescent="0.25">
      <c r="AD462" s="1067" t="str">
        <f t="shared" si="35"/>
        <v/>
      </c>
      <c r="AE462" s="1063" t="str">
        <f>IF(ISNA(VLOOKUP(TB_prev[[#This Row],[Synt]],GL[[#Headers],[#Data],[subtotal label]],1,FALSE)),0,(VLOOKUP(TB_prev[[#This Row],[Synt]],GL[[#Headers],[#Data],[subtotal label]],1,FALSE)))</f>
        <v/>
      </c>
      <c r="AF462" s="1063" t="e">
        <f>IF((TB_prev[[#This Row],[Synt]]-TB_prev[[#This Row],[Subtotal Y/N]])=0,0,VLOOKUP(TB_prev[[#This Row],[Synt]],GL[[Account]:[Line]],3,FALSE))</f>
        <v>#VALUE!</v>
      </c>
      <c r="AG462" s="1063" t="e">
        <f>VLOOKUP(TB_prev[[#This Row],[Synt]],GL[[Account]:[B/P]],4,FALSE)</f>
        <v>#N/A</v>
      </c>
      <c r="AH462" s="1066" t="e">
        <v>#VALUE!</v>
      </c>
      <c r="AI462" s="1065" t="e">
        <f>TB_prev[[#This Row],[Synt]]&amp;TB_prev[[#This Row],[Line No. manual corr.]]</f>
        <v>#VALUE!</v>
      </c>
      <c r="AJ462" s="1064">
        <f t="shared" si="36"/>
        <v>0</v>
      </c>
      <c r="AK462" s="1064">
        <f t="shared" si="37"/>
        <v>0</v>
      </c>
      <c r="AL462" s="1064">
        <f t="shared" si="38"/>
        <v>0</v>
      </c>
      <c r="AM462" s="1064">
        <f t="shared" si="39"/>
        <v>0</v>
      </c>
      <c r="AN462" s="1064"/>
      <c r="AO462" s="1064">
        <f>TB_prev[[#This Row],[Closing balance]]+TB_prev[[#This Row],[Rounding]]</f>
        <v>0</v>
      </c>
    </row>
    <row r="463" spans="30:41" x14ac:dyDescent="0.25">
      <c r="AD463" s="1067" t="str">
        <f t="shared" si="35"/>
        <v/>
      </c>
      <c r="AE463" s="1063" t="str">
        <f>IF(ISNA(VLOOKUP(TB_prev[[#This Row],[Synt]],GL[[#Headers],[#Data],[subtotal label]],1,FALSE)),0,(VLOOKUP(TB_prev[[#This Row],[Synt]],GL[[#Headers],[#Data],[subtotal label]],1,FALSE)))</f>
        <v/>
      </c>
      <c r="AF463" s="1063" t="e">
        <f>IF((TB_prev[[#This Row],[Synt]]-TB_prev[[#This Row],[Subtotal Y/N]])=0,0,VLOOKUP(TB_prev[[#This Row],[Synt]],GL[[Account]:[Line]],3,FALSE))</f>
        <v>#VALUE!</v>
      </c>
      <c r="AG463" s="1063" t="e">
        <f>VLOOKUP(TB_prev[[#This Row],[Synt]],GL[[Account]:[B/P]],4,FALSE)</f>
        <v>#N/A</v>
      </c>
      <c r="AH463" s="1066" t="e">
        <v>#VALUE!</v>
      </c>
      <c r="AI463" s="1065" t="e">
        <f>TB_prev[[#This Row],[Synt]]&amp;TB_prev[[#This Row],[Line No. manual corr.]]</f>
        <v>#VALUE!</v>
      </c>
      <c r="AJ463" s="1064">
        <f t="shared" si="36"/>
        <v>0</v>
      </c>
      <c r="AK463" s="1064">
        <f t="shared" si="37"/>
        <v>0</v>
      </c>
      <c r="AL463" s="1064">
        <f t="shared" si="38"/>
        <v>0</v>
      </c>
      <c r="AM463" s="1064">
        <f t="shared" si="39"/>
        <v>0</v>
      </c>
      <c r="AN463" s="1064"/>
      <c r="AO463" s="1064">
        <f>TB_prev[[#This Row],[Closing balance]]+TB_prev[[#This Row],[Rounding]]</f>
        <v>0</v>
      </c>
    </row>
    <row r="464" spans="30:41" x14ac:dyDescent="0.25">
      <c r="AD464" s="1067" t="str">
        <f t="shared" si="35"/>
        <v/>
      </c>
      <c r="AE464" s="1063" t="str">
        <f>IF(ISNA(VLOOKUP(TB_prev[[#This Row],[Synt]],GL[[#Headers],[#Data],[subtotal label]],1,FALSE)),0,(VLOOKUP(TB_prev[[#This Row],[Synt]],GL[[#Headers],[#Data],[subtotal label]],1,FALSE)))</f>
        <v/>
      </c>
      <c r="AF464" s="1063" t="e">
        <f>IF((TB_prev[[#This Row],[Synt]]-TB_prev[[#This Row],[Subtotal Y/N]])=0,0,VLOOKUP(TB_prev[[#This Row],[Synt]],GL[[Account]:[Line]],3,FALSE))</f>
        <v>#VALUE!</v>
      </c>
      <c r="AG464" s="1063" t="e">
        <f>VLOOKUP(TB_prev[[#This Row],[Synt]],GL[[Account]:[B/P]],4,FALSE)</f>
        <v>#N/A</v>
      </c>
      <c r="AH464" s="1066" t="e">
        <v>#VALUE!</v>
      </c>
      <c r="AI464" s="1065" t="e">
        <f>TB_prev[[#This Row],[Synt]]&amp;TB_prev[[#This Row],[Line No. manual corr.]]</f>
        <v>#VALUE!</v>
      </c>
      <c r="AJ464" s="1064">
        <f t="shared" si="36"/>
        <v>0</v>
      </c>
      <c r="AK464" s="1064">
        <f t="shared" si="37"/>
        <v>0</v>
      </c>
      <c r="AL464" s="1064">
        <f t="shared" si="38"/>
        <v>0</v>
      </c>
      <c r="AM464" s="1064">
        <f t="shared" si="39"/>
        <v>0</v>
      </c>
      <c r="AN464" s="1064"/>
      <c r="AO464" s="1064">
        <f>TB_prev[[#This Row],[Closing balance]]+TB_prev[[#This Row],[Rounding]]</f>
        <v>0</v>
      </c>
    </row>
    <row r="465" spans="30:41" x14ac:dyDescent="0.25">
      <c r="AD465" s="1067" t="str">
        <f t="shared" si="35"/>
        <v/>
      </c>
      <c r="AE465" s="1063" t="str">
        <f>IF(ISNA(VLOOKUP(TB_prev[[#This Row],[Synt]],GL[[#Headers],[#Data],[subtotal label]],1,FALSE)),0,(VLOOKUP(TB_prev[[#This Row],[Synt]],GL[[#Headers],[#Data],[subtotal label]],1,FALSE)))</f>
        <v/>
      </c>
      <c r="AF465" s="1063" t="e">
        <f>IF((TB_prev[[#This Row],[Synt]]-TB_prev[[#This Row],[Subtotal Y/N]])=0,0,VLOOKUP(TB_prev[[#This Row],[Synt]],GL[[Account]:[Line]],3,FALSE))</f>
        <v>#VALUE!</v>
      </c>
      <c r="AG465" s="1063" t="e">
        <f>VLOOKUP(TB_prev[[#This Row],[Synt]],GL[[Account]:[B/P]],4,FALSE)</f>
        <v>#N/A</v>
      </c>
      <c r="AH465" s="1066" t="e">
        <v>#VALUE!</v>
      </c>
      <c r="AI465" s="1065" t="e">
        <f>TB_prev[[#This Row],[Synt]]&amp;TB_prev[[#This Row],[Line No. manual corr.]]</f>
        <v>#VALUE!</v>
      </c>
      <c r="AJ465" s="1064">
        <f t="shared" si="36"/>
        <v>0</v>
      </c>
      <c r="AK465" s="1064">
        <f t="shared" si="37"/>
        <v>0</v>
      </c>
      <c r="AL465" s="1064">
        <f t="shared" si="38"/>
        <v>0</v>
      </c>
      <c r="AM465" s="1064">
        <f t="shared" si="39"/>
        <v>0</v>
      </c>
      <c r="AN465" s="1064"/>
      <c r="AO465" s="1064">
        <f>TB_prev[[#This Row],[Closing balance]]+TB_prev[[#This Row],[Rounding]]</f>
        <v>0</v>
      </c>
    </row>
    <row r="466" spans="30:41" x14ac:dyDescent="0.25">
      <c r="AD466" s="1067" t="str">
        <f t="shared" si="35"/>
        <v/>
      </c>
      <c r="AE466" s="1063" t="str">
        <f>IF(ISNA(VLOOKUP(TB_prev[[#This Row],[Synt]],GL[[#Headers],[#Data],[subtotal label]],1,FALSE)),0,(VLOOKUP(TB_prev[[#This Row],[Synt]],GL[[#Headers],[#Data],[subtotal label]],1,FALSE)))</f>
        <v/>
      </c>
      <c r="AF466" s="1063" t="e">
        <f>IF((TB_prev[[#This Row],[Synt]]-TB_prev[[#This Row],[Subtotal Y/N]])=0,0,VLOOKUP(TB_prev[[#This Row],[Synt]],GL[[Account]:[Line]],3,FALSE))</f>
        <v>#VALUE!</v>
      </c>
      <c r="AG466" s="1063" t="e">
        <f>VLOOKUP(TB_prev[[#This Row],[Synt]],GL[[Account]:[B/P]],4,FALSE)</f>
        <v>#N/A</v>
      </c>
      <c r="AH466" s="1066" t="e">
        <v>#VALUE!</v>
      </c>
      <c r="AI466" s="1065" t="e">
        <f>TB_prev[[#This Row],[Synt]]&amp;TB_prev[[#This Row],[Line No. manual corr.]]</f>
        <v>#VALUE!</v>
      </c>
      <c r="AJ466" s="1064">
        <f t="shared" si="36"/>
        <v>0</v>
      </c>
      <c r="AK466" s="1064">
        <f t="shared" si="37"/>
        <v>0</v>
      </c>
      <c r="AL466" s="1064">
        <f t="shared" si="38"/>
        <v>0</v>
      </c>
      <c r="AM466" s="1064">
        <f t="shared" si="39"/>
        <v>0</v>
      </c>
      <c r="AN466" s="1064"/>
      <c r="AO466" s="1064">
        <f>TB_prev[[#This Row],[Closing balance]]+TB_prev[[#This Row],[Rounding]]</f>
        <v>0</v>
      </c>
    </row>
    <row r="467" spans="30:41" x14ac:dyDescent="0.25">
      <c r="AD467" s="1067" t="str">
        <f t="shared" si="35"/>
        <v/>
      </c>
      <c r="AE467" s="1063" t="str">
        <f>IF(ISNA(VLOOKUP(TB_prev[[#This Row],[Synt]],GL[[#Headers],[#Data],[subtotal label]],1,FALSE)),0,(VLOOKUP(TB_prev[[#This Row],[Synt]],GL[[#Headers],[#Data],[subtotal label]],1,FALSE)))</f>
        <v/>
      </c>
      <c r="AF467" s="1063" t="e">
        <f>IF((TB_prev[[#This Row],[Synt]]-TB_prev[[#This Row],[Subtotal Y/N]])=0,0,VLOOKUP(TB_prev[[#This Row],[Synt]],GL[[Account]:[Line]],3,FALSE))</f>
        <v>#VALUE!</v>
      </c>
      <c r="AG467" s="1063" t="e">
        <f>VLOOKUP(TB_prev[[#This Row],[Synt]],GL[[Account]:[B/P]],4,FALSE)</f>
        <v>#N/A</v>
      </c>
      <c r="AH467" s="1066" t="e">
        <v>#VALUE!</v>
      </c>
      <c r="AI467" s="1065" t="e">
        <f>TB_prev[[#This Row],[Synt]]&amp;TB_prev[[#This Row],[Line No. manual corr.]]</f>
        <v>#VALUE!</v>
      </c>
      <c r="AJ467" s="1064">
        <f t="shared" si="36"/>
        <v>0</v>
      </c>
      <c r="AK467" s="1064">
        <f t="shared" si="37"/>
        <v>0</v>
      </c>
      <c r="AL467" s="1064">
        <f t="shared" si="38"/>
        <v>0</v>
      </c>
      <c r="AM467" s="1064">
        <f t="shared" si="39"/>
        <v>0</v>
      </c>
      <c r="AN467" s="1064"/>
      <c r="AO467" s="1064">
        <f>TB_prev[[#This Row],[Closing balance]]+TB_prev[[#This Row],[Rounding]]</f>
        <v>0</v>
      </c>
    </row>
    <row r="468" spans="30:41" x14ac:dyDescent="0.25">
      <c r="AD468" s="1067" t="str">
        <f t="shared" si="35"/>
        <v/>
      </c>
      <c r="AE468" s="1063" t="str">
        <f>IF(ISNA(VLOOKUP(TB_prev[[#This Row],[Synt]],GL[[#Headers],[#Data],[subtotal label]],1,FALSE)),0,(VLOOKUP(TB_prev[[#This Row],[Synt]],GL[[#Headers],[#Data],[subtotal label]],1,FALSE)))</f>
        <v/>
      </c>
      <c r="AF468" s="1063" t="e">
        <f>IF((TB_prev[[#This Row],[Synt]]-TB_prev[[#This Row],[Subtotal Y/N]])=0,0,VLOOKUP(TB_prev[[#This Row],[Synt]],GL[[Account]:[Line]],3,FALSE))</f>
        <v>#VALUE!</v>
      </c>
      <c r="AG468" s="1063" t="e">
        <f>VLOOKUP(TB_prev[[#This Row],[Synt]],GL[[Account]:[B/P]],4,FALSE)</f>
        <v>#N/A</v>
      </c>
      <c r="AH468" s="1066" t="e">
        <v>#VALUE!</v>
      </c>
      <c r="AI468" s="1065" t="e">
        <f>TB_prev[[#This Row],[Synt]]&amp;TB_prev[[#This Row],[Line No. manual corr.]]</f>
        <v>#VALUE!</v>
      </c>
      <c r="AJ468" s="1064">
        <f t="shared" si="36"/>
        <v>0</v>
      </c>
      <c r="AK468" s="1064">
        <f t="shared" si="37"/>
        <v>0</v>
      </c>
      <c r="AL468" s="1064">
        <f t="shared" si="38"/>
        <v>0</v>
      </c>
      <c r="AM468" s="1064">
        <f t="shared" si="39"/>
        <v>0</v>
      </c>
      <c r="AN468" s="1064"/>
      <c r="AO468" s="1064">
        <f>TB_prev[[#This Row],[Closing balance]]+TB_prev[[#This Row],[Rounding]]</f>
        <v>0</v>
      </c>
    </row>
    <row r="469" spans="30:41" x14ac:dyDescent="0.25">
      <c r="AD469" s="1067" t="str">
        <f t="shared" si="35"/>
        <v/>
      </c>
      <c r="AE469" s="1063" t="str">
        <f>IF(ISNA(VLOOKUP(TB_prev[[#This Row],[Synt]],GL[[#Headers],[#Data],[subtotal label]],1,FALSE)),0,(VLOOKUP(TB_prev[[#This Row],[Synt]],GL[[#Headers],[#Data],[subtotal label]],1,FALSE)))</f>
        <v/>
      </c>
      <c r="AF469" s="1063" t="e">
        <f>IF((TB_prev[[#This Row],[Synt]]-TB_prev[[#This Row],[Subtotal Y/N]])=0,0,VLOOKUP(TB_prev[[#This Row],[Synt]],GL[[Account]:[Line]],3,FALSE))</f>
        <v>#VALUE!</v>
      </c>
      <c r="AG469" s="1063" t="e">
        <f>VLOOKUP(TB_prev[[#This Row],[Synt]],GL[[Account]:[B/P]],4,FALSE)</f>
        <v>#N/A</v>
      </c>
      <c r="AH469" s="1066" t="e">
        <v>#VALUE!</v>
      </c>
      <c r="AI469" s="1065" t="e">
        <f>TB_prev[[#This Row],[Synt]]&amp;TB_prev[[#This Row],[Line No. manual corr.]]</f>
        <v>#VALUE!</v>
      </c>
      <c r="AJ469" s="1064">
        <f t="shared" si="36"/>
        <v>0</v>
      </c>
      <c r="AK469" s="1064">
        <f t="shared" si="37"/>
        <v>0</v>
      </c>
      <c r="AL469" s="1064">
        <f t="shared" si="38"/>
        <v>0</v>
      </c>
      <c r="AM469" s="1064">
        <f t="shared" si="39"/>
        <v>0</v>
      </c>
      <c r="AN469" s="1064"/>
      <c r="AO469" s="1064">
        <f>TB_prev[[#This Row],[Closing balance]]+TB_prev[[#This Row],[Rounding]]</f>
        <v>0</v>
      </c>
    </row>
    <row r="470" spans="30:41" x14ac:dyDescent="0.25">
      <c r="AD470" s="1067" t="str">
        <f t="shared" si="35"/>
        <v/>
      </c>
      <c r="AE470" s="1063" t="str">
        <f>IF(ISNA(VLOOKUP(TB_prev[[#This Row],[Synt]],GL[[#Headers],[#Data],[subtotal label]],1,FALSE)),0,(VLOOKUP(TB_prev[[#This Row],[Synt]],GL[[#Headers],[#Data],[subtotal label]],1,FALSE)))</f>
        <v/>
      </c>
      <c r="AF470" s="1063" t="e">
        <f>IF((TB_prev[[#This Row],[Synt]]-TB_prev[[#This Row],[Subtotal Y/N]])=0,0,VLOOKUP(TB_prev[[#This Row],[Synt]],GL[[Account]:[Line]],3,FALSE))</f>
        <v>#VALUE!</v>
      </c>
      <c r="AG470" s="1063" t="e">
        <f>VLOOKUP(TB_prev[[#This Row],[Synt]],GL[[Account]:[B/P]],4,FALSE)</f>
        <v>#N/A</v>
      </c>
      <c r="AH470" s="1066" t="e">
        <v>#VALUE!</v>
      </c>
      <c r="AI470" s="1065" t="e">
        <f>TB_prev[[#This Row],[Synt]]&amp;TB_prev[[#This Row],[Line No. manual corr.]]</f>
        <v>#VALUE!</v>
      </c>
      <c r="AJ470" s="1064">
        <f t="shared" si="36"/>
        <v>0</v>
      </c>
      <c r="AK470" s="1064">
        <f t="shared" si="37"/>
        <v>0</v>
      </c>
      <c r="AL470" s="1064">
        <f t="shared" si="38"/>
        <v>0</v>
      </c>
      <c r="AM470" s="1064">
        <f t="shared" si="39"/>
        <v>0</v>
      </c>
      <c r="AN470" s="1064"/>
      <c r="AO470" s="1064">
        <f>TB_prev[[#This Row],[Closing balance]]+TB_prev[[#This Row],[Rounding]]</f>
        <v>0</v>
      </c>
    </row>
    <row r="471" spans="30:41" x14ac:dyDescent="0.25">
      <c r="AD471" s="1067" t="str">
        <f t="shared" si="35"/>
        <v/>
      </c>
      <c r="AE471" s="1063" t="str">
        <f>IF(ISNA(VLOOKUP(TB_prev[[#This Row],[Synt]],GL[[#Headers],[#Data],[subtotal label]],1,FALSE)),0,(VLOOKUP(TB_prev[[#This Row],[Synt]],GL[[#Headers],[#Data],[subtotal label]],1,FALSE)))</f>
        <v/>
      </c>
      <c r="AF471" s="1063" t="e">
        <f>IF((TB_prev[[#This Row],[Synt]]-TB_prev[[#This Row],[Subtotal Y/N]])=0,0,VLOOKUP(TB_prev[[#This Row],[Synt]],GL[[Account]:[Line]],3,FALSE))</f>
        <v>#VALUE!</v>
      </c>
      <c r="AG471" s="1063" t="e">
        <f>VLOOKUP(TB_prev[[#This Row],[Synt]],GL[[Account]:[B/P]],4,FALSE)</f>
        <v>#N/A</v>
      </c>
      <c r="AH471" s="1066" t="e">
        <v>#VALUE!</v>
      </c>
      <c r="AI471" s="1065" t="e">
        <f>TB_prev[[#This Row],[Synt]]&amp;TB_prev[[#This Row],[Line No. manual corr.]]</f>
        <v>#VALUE!</v>
      </c>
      <c r="AJ471" s="1064">
        <f t="shared" si="36"/>
        <v>0</v>
      </c>
      <c r="AK471" s="1064">
        <f t="shared" si="37"/>
        <v>0</v>
      </c>
      <c r="AL471" s="1064">
        <f t="shared" si="38"/>
        <v>0</v>
      </c>
      <c r="AM471" s="1064">
        <f t="shared" si="39"/>
        <v>0</v>
      </c>
      <c r="AN471" s="1064"/>
      <c r="AO471" s="1064">
        <f>TB_prev[[#This Row],[Closing balance]]+TB_prev[[#This Row],[Rounding]]</f>
        <v>0</v>
      </c>
    </row>
    <row r="472" spans="30:41" x14ac:dyDescent="0.25">
      <c r="AD472" s="1067" t="str">
        <f t="shared" si="35"/>
        <v/>
      </c>
      <c r="AE472" s="1063" t="str">
        <f>IF(ISNA(VLOOKUP(TB_prev[[#This Row],[Synt]],GL[[#Headers],[#Data],[subtotal label]],1,FALSE)),0,(VLOOKUP(TB_prev[[#This Row],[Synt]],GL[[#Headers],[#Data],[subtotal label]],1,FALSE)))</f>
        <v/>
      </c>
      <c r="AF472" s="1063" t="e">
        <f>IF((TB_prev[[#This Row],[Synt]]-TB_prev[[#This Row],[Subtotal Y/N]])=0,0,VLOOKUP(TB_prev[[#This Row],[Synt]],GL[[Account]:[Line]],3,FALSE))</f>
        <v>#VALUE!</v>
      </c>
      <c r="AG472" s="1063" t="e">
        <f>VLOOKUP(TB_prev[[#This Row],[Synt]],GL[[Account]:[B/P]],4,FALSE)</f>
        <v>#N/A</v>
      </c>
      <c r="AH472" s="1066" t="e">
        <v>#VALUE!</v>
      </c>
      <c r="AI472" s="1065" t="e">
        <f>TB_prev[[#This Row],[Synt]]&amp;TB_prev[[#This Row],[Line No. manual corr.]]</f>
        <v>#VALUE!</v>
      </c>
      <c r="AJ472" s="1064">
        <f t="shared" si="36"/>
        <v>0</v>
      </c>
      <c r="AK472" s="1064">
        <f t="shared" si="37"/>
        <v>0</v>
      </c>
      <c r="AL472" s="1064">
        <f t="shared" si="38"/>
        <v>0</v>
      </c>
      <c r="AM472" s="1064">
        <f t="shared" si="39"/>
        <v>0</v>
      </c>
      <c r="AN472" s="1064"/>
      <c r="AO472" s="1064">
        <f>TB_prev[[#This Row],[Closing balance]]+TB_prev[[#This Row],[Rounding]]</f>
        <v>0</v>
      </c>
    </row>
    <row r="473" spans="30:41" x14ac:dyDescent="0.25">
      <c r="AD473" s="1067" t="str">
        <f t="shared" si="35"/>
        <v/>
      </c>
      <c r="AE473" s="1063" t="str">
        <f>IF(ISNA(VLOOKUP(TB_prev[[#This Row],[Synt]],GL[[#Headers],[#Data],[subtotal label]],1,FALSE)),0,(VLOOKUP(TB_prev[[#This Row],[Synt]],GL[[#Headers],[#Data],[subtotal label]],1,FALSE)))</f>
        <v/>
      </c>
      <c r="AF473" s="1063" t="e">
        <f>IF((TB_prev[[#This Row],[Synt]]-TB_prev[[#This Row],[Subtotal Y/N]])=0,0,VLOOKUP(TB_prev[[#This Row],[Synt]],GL[[Account]:[Line]],3,FALSE))</f>
        <v>#VALUE!</v>
      </c>
      <c r="AG473" s="1063" t="e">
        <f>VLOOKUP(TB_prev[[#This Row],[Synt]],GL[[Account]:[B/P]],4,FALSE)</f>
        <v>#N/A</v>
      </c>
      <c r="AH473" s="1066" t="e">
        <v>#VALUE!</v>
      </c>
      <c r="AI473" s="1065" t="e">
        <f>TB_prev[[#This Row],[Synt]]&amp;TB_prev[[#This Row],[Line No. manual corr.]]</f>
        <v>#VALUE!</v>
      </c>
      <c r="AJ473" s="1064">
        <f t="shared" si="36"/>
        <v>0</v>
      </c>
      <c r="AK473" s="1064">
        <f t="shared" si="37"/>
        <v>0</v>
      </c>
      <c r="AL473" s="1064">
        <f t="shared" si="38"/>
        <v>0</v>
      </c>
      <c r="AM473" s="1064">
        <f t="shared" si="39"/>
        <v>0</v>
      </c>
      <c r="AN473" s="1064"/>
      <c r="AO473" s="1064">
        <f>TB_prev[[#This Row],[Closing balance]]+TB_prev[[#This Row],[Rounding]]</f>
        <v>0</v>
      </c>
    </row>
    <row r="474" spans="30:41" x14ac:dyDescent="0.25">
      <c r="AD474" s="1067" t="str">
        <f t="shared" si="35"/>
        <v/>
      </c>
      <c r="AE474" s="1063" t="str">
        <f>IF(ISNA(VLOOKUP(TB_prev[[#This Row],[Synt]],GL[[#Headers],[#Data],[subtotal label]],1,FALSE)),0,(VLOOKUP(TB_prev[[#This Row],[Synt]],GL[[#Headers],[#Data],[subtotal label]],1,FALSE)))</f>
        <v/>
      </c>
      <c r="AF474" s="1063" t="e">
        <f>IF((TB_prev[[#This Row],[Synt]]-TB_prev[[#This Row],[Subtotal Y/N]])=0,0,VLOOKUP(TB_prev[[#This Row],[Synt]],GL[[Account]:[Line]],3,FALSE))</f>
        <v>#VALUE!</v>
      </c>
      <c r="AG474" s="1063" t="e">
        <f>VLOOKUP(TB_prev[[#This Row],[Synt]],GL[[Account]:[B/P]],4,FALSE)</f>
        <v>#N/A</v>
      </c>
      <c r="AH474" s="1066" t="e">
        <v>#VALUE!</v>
      </c>
      <c r="AI474" s="1065" t="e">
        <f>TB_prev[[#This Row],[Synt]]&amp;TB_prev[[#This Row],[Line No. manual corr.]]</f>
        <v>#VALUE!</v>
      </c>
      <c r="AJ474" s="1064">
        <f t="shared" si="36"/>
        <v>0</v>
      </c>
      <c r="AK474" s="1064">
        <f t="shared" si="37"/>
        <v>0</v>
      </c>
      <c r="AL474" s="1064">
        <f t="shared" si="38"/>
        <v>0</v>
      </c>
      <c r="AM474" s="1064">
        <f t="shared" si="39"/>
        <v>0</v>
      </c>
      <c r="AN474" s="1064"/>
      <c r="AO474" s="1064">
        <f>TB_prev[[#This Row],[Closing balance]]+TB_prev[[#This Row],[Rounding]]</f>
        <v>0</v>
      </c>
    </row>
    <row r="475" spans="30:41" x14ac:dyDescent="0.25">
      <c r="AD475" s="1067" t="str">
        <f t="shared" si="35"/>
        <v/>
      </c>
      <c r="AE475" s="1063" t="str">
        <f>IF(ISNA(VLOOKUP(TB_prev[[#This Row],[Synt]],GL[[#Headers],[#Data],[subtotal label]],1,FALSE)),0,(VLOOKUP(TB_prev[[#This Row],[Synt]],GL[[#Headers],[#Data],[subtotal label]],1,FALSE)))</f>
        <v/>
      </c>
      <c r="AF475" s="1063" t="e">
        <f>IF((TB_prev[[#This Row],[Synt]]-TB_prev[[#This Row],[Subtotal Y/N]])=0,0,VLOOKUP(TB_prev[[#This Row],[Synt]],GL[[Account]:[Line]],3,FALSE))</f>
        <v>#VALUE!</v>
      </c>
      <c r="AG475" s="1063" t="e">
        <f>VLOOKUP(TB_prev[[#This Row],[Synt]],GL[[Account]:[B/P]],4,FALSE)</f>
        <v>#N/A</v>
      </c>
      <c r="AH475" s="1066" t="e">
        <v>#VALUE!</v>
      </c>
      <c r="AI475" s="1065" t="e">
        <f>TB_prev[[#This Row],[Synt]]&amp;TB_prev[[#This Row],[Line No. manual corr.]]</f>
        <v>#VALUE!</v>
      </c>
      <c r="AJ475" s="1064">
        <f t="shared" si="36"/>
        <v>0</v>
      </c>
      <c r="AK475" s="1064">
        <f t="shared" si="37"/>
        <v>0</v>
      </c>
      <c r="AL475" s="1064">
        <f t="shared" si="38"/>
        <v>0</v>
      </c>
      <c r="AM475" s="1064">
        <f t="shared" si="39"/>
        <v>0</v>
      </c>
      <c r="AN475" s="1064"/>
      <c r="AO475" s="1064">
        <f>TB_prev[[#This Row],[Closing balance]]+TB_prev[[#This Row],[Rounding]]</f>
        <v>0</v>
      </c>
    </row>
    <row r="476" spans="30:41" x14ac:dyDescent="0.25">
      <c r="AD476" s="1067" t="str">
        <f t="shared" si="35"/>
        <v/>
      </c>
      <c r="AE476" s="1063" t="str">
        <f>IF(ISNA(VLOOKUP(TB_prev[[#This Row],[Synt]],GL[[#Headers],[#Data],[subtotal label]],1,FALSE)),0,(VLOOKUP(TB_prev[[#This Row],[Synt]],GL[[#Headers],[#Data],[subtotal label]],1,FALSE)))</f>
        <v/>
      </c>
      <c r="AF476" s="1063" t="e">
        <f>IF((TB_prev[[#This Row],[Synt]]-TB_prev[[#This Row],[Subtotal Y/N]])=0,0,VLOOKUP(TB_prev[[#This Row],[Synt]],GL[[Account]:[Line]],3,FALSE))</f>
        <v>#VALUE!</v>
      </c>
      <c r="AG476" s="1063" t="e">
        <f>VLOOKUP(TB_prev[[#This Row],[Synt]],GL[[Account]:[B/P]],4,FALSE)</f>
        <v>#N/A</v>
      </c>
      <c r="AH476" s="1066" t="e">
        <v>#VALUE!</v>
      </c>
      <c r="AI476" s="1065" t="e">
        <f>TB_prev[[#This Row],[Synt]]&amp;TB_prev[[#This Row],[Line No. manual corr.]]</f>
        <v>#VALUE!</v>
      </c>
      <c r="AJ476" s="1064">
        <f t="shared" si="36"/>
        <v>0</v>
      </c>
      <c r="AK476" s="1064">
        <f t="shared" si="37"/>
        <v>0</v>
      </c>
      <c r="AL476" s="1064">
        <f t="shared" si="38"/>
        <v>0</v>
      </c>
      <c r="AM476" s="1064">
        <f t="shared" si="39"/>
        <v>0</v>
      </c>
      <c r="AN476" s="1064"/>
      <c r="AO476" s="1064">
        <f>TB_prev[[#This Row],[Closing balance]]+TB_prev[[#This Row],[Rounding]]</f>
        <v>0</v>
      </c>
    </row>
    <row r="477" spans="30:41" x14ac:dyDescent="0.25">
      <c r="AD477" s="1067" t="str">
        <f t="shared" si="35"/>
        <v/>
      </c>
      <c r="AE477" s="1063" t="str">
        <f>IF(ISNA(VLOOKUP(TB_prev[[#This Row],[Synt]],GL[[#Headers],[#Data],[subtotal label]],1,FALSE)),0,(VLOOKUP(TB_prev[[#This Row],[Synt]],GL[[#Headers],[#Data],[subtotal label]],1,FALSE)))</f>
        <v/>
      </c>
      <c r="AF477" s="1063" t="e">
        <f>IF((TB_prev[[#This Row],[Synt]]-TB_prev[[#This Row],[Subtotal Y/N]])=0,0,VLOOKUP(TB_prev[[#This Row],[Synt]],GL[[Account]:[Line]],3,FALSE))</f>
        <v>#VALUE!</v>
      </c>
      <c r="AG477" s="1063" t="e">
        <f>VLOOKUP(TB_prev[[#This Row],[Synt]],GL[[Account]:[B/P]],4,FALSE)</f>
        <v>#N/A</v>
      </c>
      <c r="AH477" s="1066" t="e">
        <v>#VALUE!</v>
      </c>
      <c r="AI477" s="1065" t="e">
        <f>TB_prev[[#This Row],[Synt]]&amp;TB_prev[[#This Row],[Line No. manual corr.]]</f>
        <v>#VALUE!</v>
      </c>
      <c r="AJ477" s="1064">
        <f t="shared" si="36"/>
        <v>0</v>
      </c>
      <c r="AK477" s="1064">
        <f t="shared" si="37"/>
        <v>0</v>
      </c>
      <c r="AL477" s="1064">
        <f t="shared" si="38"/>
        <v>0</v>
      </c>
      <c r="AM477" s="1064">
        <f t="shared" si="39"/>
        <v>0</v>
      </c>
      <c r="AN477" s="1064"/>
      <c r="AO477" s="1064">
        <f>TB_prev[[#This Row],[Closing balance]]+TB_prev[[#This Row],[Rounding]]</f>
        <v>0</v>
      </c>
    </row>
    <row r="478" spans="30:41" x14ac:dyDescent="0.25">
      <c r="AD478" s="1067" t="str">
        <f t="shared" si="35"/>
        <v/>
      </c>
      <c r="AE478" s="1063" t="str">
        <f>IF(ISNA(VLOOKUP(TB_prev[[#This Row],[Synt]],GL[[#Headers],[#Data],[subtotal label]],1,FALSE)),0,(VLOOKUP(TB_prev[[#This Row],[Synt]],GL[[#Headers],[#Data],[subtotal label]],1,FALSE)))</f>
        <v/>
      </c>
      <c r="AF478" s="1063" t="e">
        <f>IF((TB_prev[[#This Row],[Synt]]-TB_prev[[#This Row],[Subtotal Y/N]])=0,0,VLOOKUP(TB_prev[[#This Row],[Synt]],GL[[Account]:[Line]],3,FALSE))</f>
        <v>#VALUE!</v>
      </c>
      <c r="AG478" s="1063" t="e">
        <f>VLOOKUP(TB_prev[[#This Row],[Synt]],GL[[Account]:[B/P]],4,FALSE)</f>
        <v>#N/A</v>
      </c>
      <c r="AH478" s="1066" t="e">
        <v>#VALUE!</v>
      </c>
      <c r="AI478" s="1065" t="e">
        <f>TB_prev[[#This Row],[Synt]]&amp;TB_prev[[#This Row],[Line No. manual corr.]]</f>
        <v>#VALUE!</v>
      </c>
      <c r="AJ478" s="1064">
        <f t="shared" si="36"/>
        <v>0</v>
      </c>
      <c r="AK478" s="1064">
        <f t="shared" si="37"/>
        <v>0</v>
      </c>
      <c r="AL478" s="1064">
        <f t="shared" si="38"/>
        <v>0</v>
      </c>
      <c r="AM478" s="1064">
        <f t="shared" si="39"/>
        <v>0</v>
      </c>
      <c r="AN478" s="1064"/>
      <c r="AO478" s="1064">
        <f>TB_prev[[#This Row],[Closing balance]]+TB_prev[[#This Row],[Rounding]]</f>
        <v>0</v>
      </c>
    </row>
    <row r="479" spans="30:41" x14ac:dyDescent="0.25">
      <c r="AD479" s="1067" t="str">
        <f t="shared" si="35"/>
        <v/>
      </c>
      <c r="AE479" s="1063" t="str">
        <f>IF(ISNA(VLOOKUP(TB_prev[[#This Row],[Synt]],GL[[#Headers],[#Data],[subtotal label]],1,FALSE)),0,(VLOOKUP(TB_prev[[#This Row],[Synt]],GL[[#Headers],[#Data],[subtotal label]],1,FALSE)))</f>
        <v/>
      </c>
      <c r="AF479" s="1063" t="e">
        <f>IF((TB_prev[[#This Row],[Synt]]-TB_prev[[#This Row],[Subtotal Y/N]])=0,0,VLOOKUP(TB_prev[[#This Row],[Synt]],GL[[Account]:[Line]],3,FALSE))</f>
        <v>#VALUE!</v>
      </c>
      <c r="AG479" s="1063" t="e">
        <f>VLOOKUP(TB_prev[[#This Row],[Synt]],GL[[Account]:[B/P]],4,FALSE)</f>
        <v>#N/A</v>
      </c>
      <c r="AH479" s="1066" t="e">
        <v>#VALUE!</v>
      </c>
      <c r="AI479" s="1065" t="e">
        <f>TB_prev[[#This Row],[Synt]]&amp;TB_prev[[#This Row],[Line No. manual corr.]]</f>
        <v>#VALUE!</v>
      </c>
      <c r="AJ479" s="1064">
        <f t="shared" si="36"/>
        <v>0</v>
      </c>
      <c r="AK479" s="1064">
        <f t="shared" si="37"/>
        <v>0</v>
      </c>
      <c r="AL479" s="1064">
        <f t="shared" si="38"/>
        <v>0</v>
      </c>
      <c r="AM479" s="1064">
        <f t="shared" si="39"/>
        <v>0</v>
      </c>
      <c r="AN479" s="1064"/>
      <c r="AO479" s="1064">
        <f>TB_prev[[#This Row],[Closing balance]]+TB_prev[[#This Row],[Rounding]]</f>
        <v>0</v>
      </c>
    </row>
    <row r="480" spans="30:41" x14ac:dyDescent="0.25">
      <c r="AD480" s="1067" t="str">
        <f t="shared" si="35"/>
        <v/>
      </c>
      <c r="AE480" s="1063" t="str">
        <f>IF(ISNA(VLOOKUP(TB_prev[[#This Row],[Synt]],GL[[#Headers],[#Data],[subtotal label]],1,FALSE)),0,(VLOOKUP(TB_prev[[#This Row],[Synt]],GL[[#Headers],[#Data],[subtotal label]],1,FALSE)))</f>
        <v/>
      </c>
      <c r="AF480" s="1063" t="e">
        <f>IF((TB_prev[[#This Row],[Synt]]-TB_prev[[#This Row],[Subtotal Y/N]])=0,0,VLOOKUP(TB_prev[[#This Row],[Synt]],GL[[Account]:[Line]],3,FALSE))</f>
        <v>#VALUE!</v>
      </c>
      <c r="AG480" s="1063" t="e">
        <f>VLOOKUP(TB_prev[[#This Row],[Synt]],GL[[Account]:[B/P]],4,FALSE)</f>
        <v>#N/A</v>
      </c>
      <c r="AH480" s="1066" t="e">
        <v>#VALUE!</v>
      </c>
      <c r="AI480" s="1065" t="e">
        <f>TB_prev[[#This Row],[Synt]]&amp;TB_prev[[#This Row],[Line No. manual corr.]]</f>
        <v>#VALUE!</v>
      </c>
      <c r="AJ480" s="1064">
        <f t="shared" si="36"/>
        <v>0</v>
      </c>
      <c r="AK480" s="1064">
        <f t="shared" si="37"/>
        <v>0</v>
      </c>
      <c r="AL480" s="1064">
        <f t="shared" si="38"/>
        <v>0</v>
      </c>
      <c r="AM480" s="1064">
        <f t="shared" si="39"/>
        <v>0</v>
      </c>
      <c r="AN480" s="1064"/>
      <c r="AO480" s="1064">
        <f>TB_prev[[#This Row],[Closing balance]]+TB_prev[[#This Row],[Rounding]]</f>
        <v>0</v>
      </c>
    </row>
    <row r="481" spans="30:41" x14ac:dyDescent="0.25">
      <c r="AD481" s="1067" t="str">
        <f t="shared" si="35"/>
        <v/>
      </c>
      <c r="AE481" s="1063" t="str">
        <f>IF(ISNA(VLOOKUP(TB_prev[[#This Row],[Synt]],GL[[#Headers],[#Data],[subtotal label]],1,FALSE)),0,(VLOOKUP(TB_prev[[#This Row],[Synt]],GL[[#Headers],[#Data],[subtotal label]],1,FALSE)))</f>
        <v/>
      </c>
      <c r="AF481" s="1063" t="e">
        <f>IF((TB_prev[[#This Row],[Synt]]-TB_prev[[#This Row],[Subtotal Y/N]])=0,0,VLOOKUP(TB_prev[[#This Row],[Synt]],GL[[Account]:[Line]],3,FALSE))</f>
        <v>#VALUE!</v>
      </c>
      <c r="AG481" s="1063" t="e">
        <f>VLOOKUP(TB_prev[[#This Row],[Synt]],GL[[Account]:[B/P]],4,FALSE)</f>
        <v>#N/A</v>
      </c>
      <c r="AH481" s="1066" t="e">
        <v>#VALUE!</v>
      </c>
      <c r="AI481" s="1065" t="e">
        <f>TB_prev[[#This Row],[Synt]]&amp;TB_prev[[#This Row],[Line No. manual corr.]]</f>
        <v>#VALUE!</v>
      </c>
      <c r="AJ481" s="1064">
        <f t="shared" si="36"/>
        <v>0</v>
      </c>
      <c r="AK481" s="1064">
        <f t="shared" si="37"/>
        <v>0</v>
      </c>
      <c r="AL481" s="1064">
        <f t="shared" si="38"/>
        <v>0</v>
      </c>
      <c r="AM481" s="1064">
        <f t="shared" si="39"/>
        <v>0</v>
      </c>
      <c r="AN481" s="1064"/>
      <c r="AO481" s="1064">
        <f>TB_prev[[#This Row],[Closing balance]]+TB_prev[[#This Row],[Rounding]]</f>
        <v>0</v>
      </c>
    </row>
    <row r="482" spans="30:41" x14ac:dyDescent="0.25">
      <c r="AD482" s="1067" t="str">
        <f t="shared" si="35"/>
        <v/>
      </c>
      <c r="AE482" s="1063" t="str">
        <f>IF(ISNA(VLOOKUP(TB_prev[[#This Row],[Synt]],GL[[#Headers],[#Data],[subtotal label]],1,FALSE)),0,(VLOOKUP(TB_prev[[#This Row],[Synt]],GL[[#Headers],[#Data],[subtotal label]],1,FALSE)))</f>
        <v/>
      </c>
      <c r="AF482" s="1063" t="e">
        <f>IF((TB_prev[[#This Row],[Synt]]-TB_prev[[#This Row],[Subtotal Y/N]])=0,0,VLOOKUP(TB_prev[[#This Row],[Synt]],GL[[Account]:[Line]],3,FALSE))</f>
        <v>#VALUE!</v>
      </c>
      <c r="AG482" s="1063" t="e">
        <f>VLOOKUP(TB_prev[[#This Row],[Synt]],GL[[Account]:[B/P]],4,FALSE)</f>
        <v>#N/A</v>
      </c>
      <c r="AH482" s="1066" t="e">
        <v>#VALUE!</v>
      </c>
      <c r="AI482" s="1065" t="e">
        <f>TB_prev[[#This Row],[Synt]]&amp;TB_prev[[#This Row],[Line No. manual corr.]]</f>
        <v>#VALUE!</v>
      </c>
      <c r="AJ482" s="1064">
        <f t="shared" si="36"/>
        <v>0</v>
      </c>
      <c r="AK482" s="1064">
        <f t="shared" si="37"/>
        <v>0</v>
      </c>
      <c r="AL482" s="1064">
        <f t="shared" si="38"/>
        <v>0</v>
      </c>
      <c r="AM482" s="1064">
        <f t="shared" si="39"/>
        <v>0</v>
      </c>
      <c r="AN482" s="1064"/>
      <c r="AO482" s="1064">
        <f>TB_prev[[#This Row],[Closing balance]]+TB_prev[[#This Row],[Rounding]]</f>
        <v>0</v>
      </c>
    </row>
    <row r="483" spans="30:41" x14ac:dyDescent="0.25">
      <c r="AD483" s="1067" t="str">
        <f t="shared" si="35"/>
        <v/>
      </c>
      <c r="AE483" s="1063" t="str">
        <f>IF(ISNA(VLOOKUP(TB_prev[[#This Row],[Synt]],GL[[#Headers],[#Data],[subtotal label]],1,FALSE)),0,(VLOOKUP(TB_prev[[#This Row],[Synt]],GL[[#Headers],[#Data],[subtotal label]],1,FALSE)))</f>
        <v/>
      </c>
      <c r="AF483" s="1063" t="e">
        <f>IF((TB_prev[[#This Row],[Synt]]-TB_prev[[#This Row],[Subtotal Y/N]])=0,0,VLOOKUP(TB_prev[[#This Row],[Synt]],GL[[Account]:[Line]],3,FALSE))</f>
        <v>#VALUE!</v>
      </c>
      <c r="AG483" s="1063" t="e">
        <f>VLOOKUP(TB_prev[[#This Row],[Synt]],GL[[Account]:[B/P]],4,FALSE)</f>
        <v>#N/A</v>
      </c>
      <c r="AH483" s="1066" t="e">
        <v>#VALUE!</v>
      </c>
      <c r="AI483" s="1065" t="e">
        <f>TB_prev[[#This Row],[Synt]]&amp;TB_prev[[#This Row],[Line No. manual corr.]]</f>
        <v>#VALUE!</v>
      </c>
      <c r="AJ483" s="1064">
        <f t="shared" si="36"/>
        <v>0</v>
      </c>
      <c r="AK483" s="1064">
        <f t="shared" si="37"/>
        <v>0</v>
      </c>
      <c r="AL483" s="1064">
        <f t="shared" si="38"/>
        <v>0</v>
      </c>
      <c r="AM483" s="1064">
        <f t="shared" si="39"/>
        <v>0</v>
      </c>
      <c r="AN483" s="1064"/>
      <c r="AO483" s="1064">
        <f>TB_prev[[#This Row],[Closing balance]]+TB_prev[[#This Row],[Rounding]]</f>
        <v>0</v>
      </c>
    </row>
    <row r="484" spans="30:41" x14ac:dyDescent="0.25">
      <c r="AD484" s="1067" t="str">
        <f t="shared" si="35"/>
        <v/>
      </c>
      <c r="AE484" s="1063" t="str">
        <f>IF(ISNA(VLOOKUP(TB_prev[[#This Row],[Synt]],GL[[#Headers],[#Data],[subtotal label]],1,FALSE)),0,(VLOOKUP(TB_prev[[#This Row],[Synt]],GL[[#Headers],[#Data],[subtotal label]],1,FALSE)))</f>
        <v/>
      </c>
      <c r="AF484" s="1063" t="e">
        <f>IF((TB_prev[[#This Row],[Synt]]-TB_prev[[#This Row],[Subtotal Y/N]])=0,0,VLOOKUP(TB_prev[[#This Row],[Synt]],GL[[Account]:[Line]],3,FALSE))</f>
        <v>#VALUE!</v>
      </c>
      <c r="AG484" s="1063" t="e">
        <f>VLOOKUP(TB_prev[[#This Row],[Synt]],GL[[Account]:[B/P]],4,FALSE)</f>
        <v>#N/A</v>
      </c>
      <c r="AH484" s="1066" t="e">
        <v>#VALUE!</v>
      </c>
      <c r="AI484" s="1065" t="e">
        <f>TB_prev[[#This Row],[Synt]]&amp;TB_prev[[#This Row],[Line No. manual corr.]]</f>
        <v>#VALUE!</v>
      </c>
      <c r="AJ484" s="1064">
        <f t="shared" si="36"/>
        <v>0</v>
      </c>
      <c r="AK484" s="1064">
        <f t="shared" si="37"/>
        <v>0</v>
      </c>
      <c r="AL484" s="1064">
        <f t="shared" si="38"/>
        <v>0</v>
      </c>
      <c r="AM484" s="1064">
        <f t="shared" si="39"/>
        <v>0</v>
      </c>
      <c r="AN484" s="1064"/>
      <c r="AO484" s="1064">
        <f>TB_prev[[#This Row],[Closing balance]]+TB_prev[[#This Row],[Rounding]]</f>
        <v>0</v>
      </c>
    </row>
    <row r="485" spans="30:41" x14ac:dyDescent="0.25">
      <c r="AD485" s="1067" t="str">
        <f t="shared" si="35"/>
        <v/>
      </c>
      <c r="AE485" s="1063" t="str">
        <f>IF(ISNA(VLOOKUP(TB_prev[[#This Row],[Synt]],GL[[#Headers],[#Data],[subtotal label]],1,FALSE)),0,(VLOOKUP(TB_prev[[#This Row],[Synt]],GL[[#Headers],[#Data],[subtotal label]],1,FALSE)))</f>
        <v/>
      </c>
      <c r="AF485" s="1063" t="e">
        <f>IF((TB_prev[[#This Row],[Synt]]-TB_prev[[#This Row],[Subtotal Y/N]])=0,0,VLOOKUP(TB_prev[[#This Row],[Synt]],GL[[Account]:[Line]],3,FALSE))</f>
        <v>#VALUE!</v>
      </c>
      <c r="AG485" s="1063" t="e">
        <f>VLOOKUP(TB_prev[[#This Row],[Synt]],GL[[Account]:[B/P]],4,FALSE)</f>
        <v>#N/A</v>
      </c>
      <c r="AH485" s="1066" t="e">
        <v>#VALUE!</v>
      </c>
      <c r="AI485" s="1065" t="e">
        <f>TB_prev[[#This Row],[Synt]]&amp;TB_prev[[#This Row],[Line No. manual corr.]]</f>
        <v>#VALUE!</v>
      </c>
      <c r="AJ485" s="1064">
        <f t="shared" si="36"/>
        <v>0</v>
      </c>
      <c r="AK485" s="1064">
        <f t="shared" si="37"/>
        <v>0</v>
      </c>
      <c r="AL485" s="1064">
        <f t="shared" si="38"/>
        <v>0</v>
      </c>
      <c r="AM485" s="1064">
        <f t="shared" si="39"/>
        <v>0</v>
      </c>
      <c r="AN485" s="1064"/>
      <c r="AO485" s="1064">
        <f>TB_prev[[#This Row],[Closing balance]]+TB_prev[[#This Row],[Rounding]]</f>
        <v>0</v>
      </c>
    </row>
    <row r="486" spans="30:41" x14ac:dyDescent="0.25">
      <c r="AD486" s="1067" t="str">
        <f t="shared" si="35"/>
        <v/>
      </c>
      <c r="AE486" s="1063" t="str">
        <f>IF(ISNA(VLOOKUP(TB_prev[[#This Row],[Synt]],GL[[#Headers],[#Data],[subtotal label]],1,FALSE)),0,(VLOOKUP(TB_prev[[#This Row],[Synt]],GL[[#Headers],[#Data],[subtotal label]],1,FALSE)))</f>
        <v/>
      </c>
      <c r="AF486" s="1063" t="e">
        <f>IF((TB_prev[[#This Row],[Synt]]-TB_prev[[#This Row],[Subtotal Y/N]])=0,0,VLOOKUP(TB_prev[[#This Row],[Synt]],GL[[Account]:[Line]],3,FALSE))</f>
        <v>#VALUE!</v>
      </c>
      <c r="AG486" s="1063" t="e">
        <f>VLOOKUP(TB_prev[[#This Row],[Synt]],GL[[Account]:[B/P]],4,FALSE)</f>
        <v>#N/A</v>
      </c>
      <c r="AH486" s="1066" t="e">
        <v>#VALUE!</v>
      </c>
      <c r="AI486" s="1065" t="e">
        <f>TB_prev[[#This Row],[Synt]]&amp;TB_prev[[#This Row],[Line No. manual corr.]]</f>
        <v>#VALUE!</v>
      </c>
      <c r="AJ486" s="1064">
        <f t="shared" si="36"/>
        <v>0</v>
      </c>
      <c r="AK486" s="1064">
        <f t="shared" si="37"/>
        <v>0</v>
      </c>
      <c r="AL486" s="1064">
        <f t="shared" si="38"/>
        <v>0</v>
      </c>
      <c r="AM486" s="1064">
        <f t="shared" si="39"/>
        <v>0</v>
      </c>
      <c r="AN486" s="1064"/>
      <c r="AO486" s="1064">
        <f>TB_prev[[#This Row],[Closing balance]]+TB_prev[[#This Row],[Rounding]]</f>
        <v>0</v>
      </c>
    </row>
    <row r="487" spans="30:41" x14ac:dyDescent="0.25">
      <c r="AD487" s="1067" t="str">
        <f t="shared" si="35"/>
        <v/>
      </c>
      <c r="AE487" s="1063" t="str">
        <f>IF(ISNA(VLOOKUP(TB_prev[[#This Row],[Synt]],GL[[#Headers],[#Data],[subtotal label]],1,FALSE)),0,(VLOOKUP(TB_prev[[#This Row],[Synt]],GL[[#Headers],[#Data],[subtotal label]],1,FALSE)))</f>
        <v/>
      </c>
      <c r="AF487" s="1063" t="e">
        <f>IF((TB_prev[[#This Row],[Synt]]-TB_prev[[#This Row],[Subtotal Y/N]])=0,0,VLOOKUP(TB_prev[[#This Row],[Synt]],GL[[Account]:[Line]],3,FALSE))</f>
        <v>#VALUE!</v>
      </c>
      <c r="AG487" s="1063" t="e">
        <f>VLOOKUP(TB_prev[[#This Row],[Synt]],GL[[Account]:[B/P]],4,FALSE)</f>
        <v>#N/A</v>
      </c>
      <c r="AH487" s="1066" t="e">
        <v>#VALUE!</v>
      </c>
      <c r="AI487" s="1065" t="e">
        <f>TB_prev[[#This Row],[Synt]]&amp;TB_prev[[#This Row],[Line No. manual corr.]]</f>
        <v>#VALUE!</v>
      </c>
      <c r="AJ487" s="1064">
        <f t="shared" si="36"/>
        <v>0</v>
      </c>
      <c r="AK487" s="1064">
        <f t="shared" si="37"/>
        <v>0</v>
      </c>
      <c r="AL487" s="1064">
        <f t="shared" si="38"/>
        <v>0</v>
      </c>
      <c r="AM487" s="1064">
        <f t="shared" si="39"/>
        <v>0</v>
      </c>
      <c r="AN487" s="1064"/>
      <c r="AO487" s="1064">
        <f>TB_prev[[#This Row],[Closing balance]]+TB_prev[[#This Row],[Rounding]]</f>
        <v>0</v>
      </c>
    </row>
    <row r="488" spans="30:41" x14ac:dyDescent="0.25">
      <c r="AD488" s="1067" t="str">
        <f t="shared" si="35"/>
        <v/>
      </c>
      <c r="AE488" s="1063" t="str">
        <f>IF(ISNA(VLOOKUP(TB_prev[[#This Row],[Synt]],GL[[#Headers],[#Data],[subtotal label]],1,FALSE)),0,(VLOOKUP(TB_prev[[#This Row],[Synt]],GL[[#Headers],[#Data],[subtotal label]],1,FALSE)))</f>
        <v/>
      </c>
      <c r="AF488" s="1063" t="e">
        <f>IF((TB_prev[[#This Row],[Synt]]-TB_prev[[#This Row],[Subtotal Y/N]])=0,0,VLOOKUP(TB_prev[[#This Row],[Synt]],GL[[Account]:[Line]],3,FALSE))</f>
        <v>#VALUE!</v>
      </c>
      <c r="AG488" s="1063" t="e">
        <f>VLOOKUP(TB_prev[[#This Row],[Synt]],GL[[Account]:[B/P]],4,FALSE)</f>
        <v>#N/A</v>
      </c>
      <c r="AH488" s="1066" t="e">
        <v>#VALUE!</v>
      </c>
      <c r="AI488" s="1065" t="e">
        <f>TB_prev[[#This Row],[Synt]]&amp;TB_prev[[#This Row],[Line No. manual corr.]]</f>
        <v>#VALUE!</v>
      </c>
      <c r="AJ488" s="1064">
        <f t="shared" si="36"/>
        <v>0</v>
      </c>
      <c r="AK488" s="1064">
        <f t="shared" si="37"/>
        <v>0</v>
      </c>
      <c r="AL488" s="1064">
        <f t="shared" si="38"/>
        <v>0</v>
      </c>
      <c r="AM488" s="1064">
        <f t="shared" si="39"/>
        <v>0</v>
      </c>
      <c r="AN488" s="1064"/>
      <c r="AO488" s="1064">
        <f>TB_prev[[#This Row],[Closing balance]]+TB_prev[[#This Row],[Rounding]]</f>
        <v>0</v>
      </c>
    </row>
    <row r="489" spans="30:41" x14ac:dyDescent="0.25">
      <c r="AD489" s="1067" t="str">
        <f t="shared" si="35"/>
        <v/>
      </c>
      <c r="AE489" s="1063" t="str">
        <f>IF(ISNA(VLOOKUP(TB_prev[[#This Row],[Synt]],GL[[#Headers],[#Data],[subtotal label]],1,FALSE)),0,(VLOOKUP(TB_prev[[#This Row],[Synt]],GL[[#Headers],[#Data],[subtotal label]],1,FALSE)))</f>
        <v/>
      </c>
      <c r="AF489" s="1063" t="e">
        <f>IF((TB_prev[[#This Row],[Synt]]-TB_prev[[#This Row],[Subtotal Y/N]])=0,0,VLOOKUP(TB_prev[[#This Row],[Synt]],GL[[Account]:[Line]],3,FALSE))</f>
        <v>#VALUE!</v>
      </c>
      <c r="AG489" s="1063" t="e">
        <f>VLOOKUP(TB_prev[[#This Row],[Synt]],GL[[Account]:[B/P]],4,FALSE)</f>
        <v>#N/A</v>
      </c>
      <c r="AH489" s="1066" t="e">
        <v>#VALUE!</v>
      </c>
      <c r="AI489" s="1065" t="e">
        <f>TB_prev[[#This Row],[Synt]]&amp;TB_prev[[#This Row],[Line No. manual corr.]]</f>
        <v>#VALUE!</v>
      </c>
      <c r="AJ489" s="1064">
        <f t="shared" si="36"/>
        <v>0</v>
      </c>
      <c r="AK489" s="1064">
        <f t="shared" si="37"/>
        <v>0</v>
      </c>
      <c r="AL489" s="1064">
        <f t="shared" si="38"/>
        <v>0</v>
      </c>
      <c r="AM489" s="1064">
        <f t="shared" si="39"/>
        <v>0</v>
      </c>
      <c r="AN489" s="1064"/>
      <c r="AO489" s="1064">
        <f>TB_prev[[#This Row],[Closing balance]]+TB_prev[[#This Row],[Rounding]]</f>
        <v>0</v>
      </c>
    </row>
    <row r="490" spans="30:41" x14ac:dyDescent="0.25">
      <c r="AD490" s="1067" t="str">
        <f t="shared" si="35"/>
        <v/>
      </c>
      <c r="AE490" s="1063" t="str">
        <f>IF(ISNA(VLOOKUP(TB_prev[[#This Row],[Synt]],GL[[#Headers],[#Data],[subtotal label]],1,FALSE)),0,(VLOOKUP(TB_prev[[#This Row],[Synt]],GL[[#Headers],[#Data],[subtotal label]],1,FALSE)))</f>
        <v/>
      </c>
      <c r="AF490" s="1063" t="e">
        <f>IF((TB_prev[[#This Row],[Synt]]-TB_prev[[#This Row],[Subtotal Y/N]])=0,0,VLOOKUP(TB_prev[[#This Row],[Synt]],GL[[Account]:[Line]],3,FALSE))</f>
        <v>#VALUE!</v>
      </c>
      <c r="AG490" s="1063" t="e">
        <f>VLOOKUP(TB_prev[[#This Row],[Synt]],GL[[Account]:[B/P]],4,FALSE)</f>
        <v>#N/A</v>
      </c>
      <c r="AH490" s="1066" t="e">
        <v>#VALUE!</v>
      </c>
      <c r="AI490" s="1065" t="e">
        <f>TB_prev[[#This Row],[Synt]]&amp;TB_prev[[#This Row],[Line No. manual corr.]]</f>
        <v>#VALUE!</v>
      </c>
      <c r="AJ490" s="1064">
        <f t="shared" si="36"/>
        <v>0</v>
      </c>
      <c r="AK490" s="1064">
        <f t="shared" si="37"/>
        <v>0</v>
      </c>
      <c r="AL490" s="1064">
        <f t="shared" si="38"/>
        <v>0</v>
      </c>
      <c r="AM490" s="1064">
        <f t="shared" si="39"/>
        <v>0</v>
      </c>
      <c r="AN490" s="1064"/>
      <c r="AO490" s="1064">
        <f>TB_prev[[#This Row],[Closing balance]]+TB_prev[[#This Row],[Rounding]]</f>
        <v>0</v>
      </c>
    </row>
    <row r="491" spans="30:41" x14ac:dyDescent="0.25">
      <c r="AD491" s="1067" t="str">
        <f t="shared" si="35"/>
        <v/>
      </c>
      <c r="AE491" s="1063" t="str">
        <f>IF(ISNA(VLOOKUP(TB_prev[[#This Row],[Synt]],GL[[#Headers],[#Data],[subtotal label]],1,FALSE)),0,(VLOOKUP(TB_prev[[#This Row],[Synt]],GL[[#Headers],[#Data],[subtotal label]],1,FALSE)))</f>
        <v/>
      </c>
      <c r="AF491" s="1063" t="e">
        <f>IF((TB_prev[[#This Row],[Synt]]-TB_prev[[#This Row],[Subtotal Y/N]])=0,0,VLOOKUP(TB_prev[[#This Row],[Synt]],GL[[Account]:[Line]],3,FALSE))</f>
        <v>#VALUE!</v>
      </c>
      <c r="AG491" s="1063" t="e">
        <f>VLOOKUP(TB_prev[[#This Row],[Synt]],GL[[Account]:[B/P]],4,FALSE)</f>
        <v>#N/A</v>
      </c>
      <c r="AH491" s="1066" t="e">
        <v>#VALUE!</v>
      </c>
      <c r="AI491" s="1065" t="e">
        <f>TB_prev[[#This Row],[Synt]]&amp;TB_prev[[#This Row],[Line No. manual corr.]]</f>
        <v>#VALUE!</v>
      </c>
      <c r="AJ491" s="1064">
        <f t="shared" si="36"/>
        <v>0</v>
      </c>
      <c r="AK491" s="1064">
        <f t="shared" si="37"/>
        <v>0</v>
      </c>
      <c r="AL491" s="1064">
        <f t="shared" si="38"/>
        <v>0</v>
      </c>
      <c r="AM491" s="1064">
        <f t="shared" si="39"/>
        <v>0</v>
      </c>
      <c r="AN491" s="1064"/>
      <c r="AO491" s="1064">
        <f>TB_prev[[#This Row],[Closing balance]]+TB_prev[[#This Row],[Rounding]]</f>
        <v>0</v>
      </c>
    </row>
    <row r="492" spans="30:41" x14ac:dyDescent="0.25">
      <c r="AD492" s="1067" t="str">
        <f t="shared" si="35"/>
        <v/>
      </c>
      <c r="AE492" s="1063" t="str">
        <f>IF(ISNA(VLOOKUP(TB_prev[[#This Row],[Synt]],GL[[#Headers],[#Data],[subtotal label]],1,FALSE)),0,(VLOOKUP(TB_prev[[#This Row],[Synt]],GL[[#Headers],[#Data],[subtotal label]],1,FALSE)))</f>
        <v/>
      </c>
      <c r="AF492" s="1063" t="e">
        <f>IF((TB_prev[[#This Row],[Synt]]-TB_prev[[#This Row],[Subtotal Y/N]])=0,0,VLOOKUP(TB_prev[[#This Row],[Synt]],GL[[Account]:[Line]],3,FALSE))</f>
        <v>#VALUE!</v>
      </c>
      <c r="AG492" s="1063" t="e">
        <f>VLOOKUP(TB_prev[[#This Row],[Synt]],GL[[Account]:[B/P]],4,FALSE)</f>
        <v>#N/A</v>
      </c>
      <c r="AH492" s="1066" t="e">
        <v>#VALUE!</v>
      </c>
      <c r="AI492" s="1065" t="e">
        <f>TB_prev[[#This Row],[Synt]]&amp;TB_prev[[#This Row],[Line No. manual corr.]]</f>
        <v>#VALUE!</v>
      </c>
      <c r="AJ492" s="1064">
        <f t="shared" si="36"/>
        <v>0</v>
      </c>
      <c r="AK492" s="1064">
        <f t="shared" si="37"/>
        <v>0</v>
      </c>
      <c r="AL492" s="1064">
        <f t="shared" si="38"/>
        <v>0</v>
      </c>
      <c r="AM492" s="1064">
        <f t="shared" si="39"/>
        <v>0</v>
      </c>
      <c r="AN492" s="1064"/>
      <c r="AO492" s="1064">
        <f>TB_prev[[#This Row],[Closing balance]]+TB_prev[[#This Row],[Rounding]]</f>
        <v>0</v>
      </c>
    </row>
    <row r="493" spans="30:41" x14ac:dyDescent="0.25">
      <c r="AD493" s="1067" t="str">
        <f t="shared" si="35"/>
        <v/>
      </c>
      <c r="AE493" s="1063" t="str">
        <f>IF(ISNA(VLOOKUP(TB_prev[[#This Row],[Synt]],GL[[#Headers],[#Data],[subtotal label]],1,FALSE)),0,(VLOOKUP(TB_prev[[#This Row],[Synt]],GL[[#Headers],[#Data],[subtotal label]],1,FALSE)))</f>
        <v/>
      </c>
      <c r="AF493" s="1063" t="e">
        <f>IF((TB_prev[[#This Row],[Synt]]-TB_prev[[#This Row],[Subtotal Y/N]])=0,0,VLOOKUP(TB_prev[[#This Row],[Synt]],GL[[Account]:[Line]],3,FALSE))</f>
        <v>#VALUE!</v>
      </c>
      <c r="AG493" s="1063" t="e">
        <f>VLOOKUP(TB_prev[[#This Row],[Synt]],GL[[Account]:[B/P]],4,FALSE)</f>
        <v>#N/A</v>
      </c>
      <c r="AH493" s="1066" t="e">
        <v>#VALUE!</v>
      </c>
      <c r="AI493" s="1065" t="e">
        <f>TB_prev[[#This Row],[Synt]]&amp;TB_prev[[#This Row],[Line No. manual corr.]]</f>
        <v>#VALUE!</v>
      </c>
      <c r="AJ493" s="1064">
        <f t="shared" si="36"/>
        <v>0</v>
      </c>
      <c r="AK493" s="1064">
        <f t="shared" si="37"/>
        <v>0</v>
      </c>
      <c r="AL493" s="1064">
        <f t="shared" si="38"/>
        <v>0</v>
      </c>
      <c r="AM493" s="1064">
        <f t="shared" si="39"/>
        <v>0</v>
      </c>
      <c r="AN493" s="1064"/>
      <c r="AO493" s="1064">
        <f>TB_prev[[#This Row],[Closing balance]]+TB_prev[[#This Row],[Rounding]]</f>
        <v>0</v>
      </c>
    </row>
    <row r="494" spans="30:41" x14ac:dyDescent="0.25">
      <c r="AD494" s="1067" t="str">
        <f t="shared" si="35"/>
        <v/>
      </c>
      <c r="AE494" s="1063" t="str">
        <f>IF(ISNA(VLOOKUP(TB_prev[[#This Row],[Synt]],GL[[#Headers],[#Data],[subtotal label]],1,FALSE)),0,(VLOOKUP(TB_prev[[#This Row],[Synt]],GL[[#Headers],[#Data],[subtotal label]],1,FALSE)))</f>
        <v/>
      </c>
      <c r="AF494" s="1063" t="e">
        <f>IF((TB_prev[[#This Row],[Synt]]-TB_prev[[#This Row],[Subtotal Y/N]])=0,0,VLOOKUP(TB_prev[[#This Row],[Synt]],GL[[Account]:[Line]],3,FALSE))</f>
        <v>#VALUE!</v>
      </c>
      <c r="AG494" s="1063" t="e">
        <f>VLOOKUP(TB_prev[[#This Row],[Synt]],GL[[Account]:[B/P]],4,FALSE)</f>
        <v>#N/A</v>
      </c>
      <c r="AH494" s="1066" t="e">
        <v>#VALUE!</v>
      </c>
      <c r="AI494" s="1065" t="e">
        <f>TB_prev[[#This Row],[Synt]]&amp;TB_prev[[#This Row],[Line No. manual corr.]]</f>
        <v>#VALUE!</v>
      </c>
      <c r="AJ494" s="1064">
        <f t="shared" si="36"/>
        <v>0</v>
      </c>
      <c r="AK494" s="1064">
        <f t="shared" si="37"/>
        <v>0</v>
      </c>
      <c r="AL494" s="1064">
        <f t="shared" si="38"/>
        <v>0</v>
      </c>
      <c r="AM494" s="1064">
        <f t="shared" si="39"/>
        <v>0</v>
      </c>
      <c r="AN494" s="1064"/>
      <c r="AO494" s="1064">
        <f>TB_prev[[#This Row],[Closing balance]]+TB_prev[[#This Row],[Rounding]]</f>
        <v>0</v>
      </c>
    </row>
    <row r="495" spans="30:41" x14ac:dyDescent="0.25">
      <c r="AD495" s="1067" t="str">
        <f t="shared" si="35"/>
        <v/>
      </c>
      <c r="AE495" s="1063" t="str">
        <f>IF(ISNA(VLOOKUP(TB_prev[[#This Row],[Synt]],GL[[#Headers],[#Data],[subtotal label]],1,FALSE)),0,(VLOOKUP(TB_prev[[#This Row],[Synt]],GL[[#Headers],[#Data],[subtotal label]],1,FALSE)))</f>
        <v/>
      </c>
      <c r="AF495" s="1063" t="e">
        <f>IF((TB_prev[[#This Row],[Synt]]-TB_prev[[#This Row],[Subtotal Y/N]])=0,0,VLOOKUP(TB_prev[[#This Row],[Synt]],GL[[Account]:[Line]],3,FALSE))</f>
        <v>#VALUE!</v>
      </c>
      <c r="AG495" s="1063" t="e">
        <f>VLOOKUP(TB_prev[[#This Row],[Synt]],GL[[Account]:[B/P]],4,FALSE)</f>
        <v>#N/A</v>
      </c>
      <c r="AH495" s="1066" t="e">
        <v>#VALUE!</v>
      </c>
      <c r="AI495" s="1065" t="e">
        <f>TB_prev[[#This Row],[Synt]]&amp;TB_prev[[#This Row],[Line No. manual corr.]]</f>
        <v>#VALUE!</v>
      </c>
      <c r="AJ495" s="1064">
        <f t="shared" si="36"/>
        <v>0</v>
      </c>
      <c r="AK495" s="1064">
        <f t="shared" si="37"/>
        <v>0</v>
      </c>
      <c r="AL495" s="1064">
        <f t="shared" si="38"/>
        <v>0</v>
      </c>
      <c r="AM495" s="1064">
        <f t="shared" si="39"/>
        <v>0</v>
      </c>
      <c r="AN495" s="1064"/>
      <c r="AO495" s="1064">
        <f>TB_prev[[#This Row],[Closing balance]]+TB_prev[[#This Row],[Rounding]]</f>
        <v>0</v>
      </c>
    </row>
    <row r="496" spans="30:41" x14ac:dyDescent="0.25">
      <c r="AD496" s="1067" t="str">
        <f t="shared" si="35"/>
        <v/>
      </c>
      <c r="AE496" s="1063" t="str">
        <f>IF(ISNA(VLOOKUP(TB_prev[[#This Row],[Synt]],GL[[#Headers],[#Data],[subtotal label]],1,FALSE)),0,(VLOOKUP(TB_prev[[#This Row],[Synt]],GL[[#Headers],[#Data],[subtotal label]],1,FALSE)))</f>
        <v/>
      </c>
      <c r="AF496" s="1063" t="e">
        <f>IF((TB_prev[[#This Row],[Synt]]-TB_prev[[#This Row],[Subtotal Y/N]])=0,0,VLOOKUP(TB_prev[[#This Row],[Synt]],GL[[Account]:[Line]],3,FALSE))</f>
        <v>#VALUE!</v>
      </c>
      <c r="AG496" s="1063" t="e">
        <f>VLOOKUP(TB_prev[[#This Row],[Synt]],GL[[Account]:[B/P]],4,FALSE)</f>
        <v>#N/A</v>
      </c>
      <c r="AH496" s="1066" t="e">
        <v>#VALUE!</v>
      </c>
      <c r="AI496" s="1065" t="e">
        <f>TB_prev[[#This Row],[Synt]]&amp;TB_prev[[#This Row],[Line No. manual corr.]]</f>
        <v>#VALUE!</v>
      </c>
      <c r="AJ496" s="1064">
        <f t="shared" si="36"/>
        <v>0</v>
      </c>
      <c r="AK496" s="1064">
        <f t="shared" si="37"/>
        <v>0</v>
      </c>
      <c r="AL496" s="1064">
        <f t="shared" si="38"/>
        <v>0</v>
      </c>
      <c r="AM496" s="1064">
        <f t="shared" si="39"/>
        <v>0</v>
      </c>
      <c r="AN496" s="1064"/>
      <c r="AO496" s="1064">
        <f>TB_prev[[#This Row],[Closing balance]]+TB_prev[[#This Row],[Rounding]]</f>
        <v>0</v>
      </c>
    </row>
    <row r="497" spans="30:41" x14ac:dyDescent="0.25">
      <c r="AD497" s="1067" t="str">
        <f t="shared" si="35"/>
        <v/>
      </c>
      <c r="AE497" s="1063" t="str">
        <f>IF(ISNA(VLOOKUP(TB_prev[[#This Row],[Synt]],GL[[#Headers],[#Data],[subtotal label]],1,FALSE)),0,(VLOOKUP(TB_prev[[#This Row],[Synt]],GL[[#Headers],[#Data],[subtotal label]],1,FALSE)))</f>
        <v/>
      </c>
      <c r="AF497" s="1063" t="e">
        <f>IF((TB_prev[[#This Row],[Synt]]-TB_prev[[#This Row],[Subtotal Y/N]])=0,0,VLOOKUP(TB_prev[[#This Row],[Synt]],GL[[Account]:[Line]],3,FALSE))</f>
        <v>#VALUE!</v>
      </c>
      <c r="AG497" s="1063" t="e">
        <f>VLOOKUP(TB_prev[[#This Row],[Synt]],GL[[Account]:[B/P]],4,FALSE)</f>
        <v>#N/A</v>
      </c>
      <c r="AH497" s="1066" t="e">
        <v>#VALUE!</v>
      </c>
      <c r="AI497" s="1065" t="e">
        <f>TB_prev[[#This Row],[Synt]]&amp;TB_prev[[#This Row],[Line No. manual corr.]]</f>
        <v>#VALUE!</v>
      </c>
      <c r="AJ497" s="1064">
        <f t="shared" si="36"/>
        <v>0</v>
      </c>
      <c r="AK497" s="1064">
        <f t="shared" si="37"/>
        <v>0</v>
      </c>
      <c r="AL497" s="1064">
        <f t="shared" si="38"/>
        <v>0</v>
      </c>
      <c r="AM497" s="1064">
        <f t="shared" si="39"/>
        <v>0</v>
      </c>
      <c r="AN497" s="1064"/>
      <c r="AO497" s="1064">
        <f>TB_prev[[#This Row],[Closing balance]]+TB_prev[[#This Row],[Rounding]]</f>
        <v>0</v>
      </c>
    </row>
    <row r="498" spans="30:41" x14ac:dyDescent="0.25">
      <c r="AD498" s="1067" t="str">
        <f t="shared" si="35"/>
        <v/>
      </c>
      <c r="AE498" s="1063" t="str">
        <f>IF(ISNA(VLOOKUP(TB_prev[[#This Row],[Synt]],GL[[#Headers],[#Data],[subtotal label]],1,FALSE)),0,(VLOOKUP(TB_prev[[#This Row],[Synt]],GL[[#Headers],[#Data],[subtotal label]],1,FALSE)))</f>
        <v/>
      </c>
      <c r="AF498" s="1063" t="e">
        <f>IF((TB_prev[[#This Row],[Synt]]-TB_prev[[#This Row],[Subtotal Y/N]])=0,0,VLOOKUP(TB_prev[[#This Row],[Synt]],GL[[Account]:[Line]],3,FALSE))</f>
        <v>#VALUE!</v>
      </c>
      <c r="AG498" s="1063" t="e">
        <f>VLOOKUP(TB_prev[[#This Row],[Synt]],GL[[Account]:[B/P]],4,FALSE)</f>
        <v>#N/A</v>
      </c>
      <c r="AH498" s="1066" t="e">
        <v>#VALUE!</v>
      </c>
      <c r="AI498" s="1065" t="e">
        <f>TB_prev[[#This Row],[Synt]]&amp;TB_prev[[#This Row],[Line No. manual corr.]]</f>
        <v>#VALUE!</v>
      </c>
      <c r="AJ498" s="1064">
        <f t="shared" si="36"/>
        <v>0</v>
      </c>
      <c r="AK498" s="1064">
        <f t="shared" si="37"/>
        <v>0</v>
      </c>
      <c r="AL498" s="1064">
        <f t="shared" si="38"/>
        <v>0</v>
      </c>
      <c r="AM498" s="1064">
        <f t="shared" si="39"/>
        <v>0</v>
      </c>
      <c r="AN498" s="1064"/>
      <c r="AO498" s="1064">
        <f>TB_prev[[#This Row],[Closing balance]]+TB_prev[[#This Row],[Rounding]]</f>
        <v>0</v>
      </c>
    </row>
    <row r="499" spans="30:41" x14ac:dyDescent="0.25">
      <c r="AD499" s="1067" t="str">
        <f t="shared" si="35"/>
        <v/>
      </c>
      <c r="AE499" s="1063" t="str">
        <f>IF(ISNA(VLOOKUP(TB_prev[[#This Row],[Synt]],GL[[#Headers],[#Data],[subtotal label]],1,FALSE)),0,(VLOOKUP(TB_prev[[#This Row],[Synt]],GL[[#Headers],[#Data],[subtotal label]],1,FALSE)))</f>
        <v/>
      </c>
      <c r="AF499" s="1063" t="e">
        <f>IF((TB_prev[[#This Row],[Synt]]-TB_prev[[#This Row],[Subtotal Y/N]])=0,0,VLOOKUP(TB_prev[[#This Row],[Synt]],GL[[Account]:[Line]],3,FALSE))</f>
        <v>#VALUE!</v>
      </c>
      <c r="AG499" s="1063" t="e">
        <f>VLOOKUP(TB_prev[[#This Row],[Synt]],GL[[Account]:[B/P]],4,FALSE)</f>
        <v>#N/A</v>
      </c>
      <c r="AH499" s="1066" t="e">
        <v>#VALUE!</v>
      </c>
      <c r="AI499" s="1065" t="e">
        <f>TB_prev[[#This Row],[Synt]]&amp;TB_prev[[#This Row],[Line No. manual corr.]]</f>
        <v>#VALUE!</v>
      </c>
      <c r="AJ499" s="1064">
        <f t="shared" si="36"/>
        <v>0</v>
      </c>
      <c r="AK499" s="1064">
        <f t="shared" si="37"/>
        <v>0</v>
      </c>
      <c r="AL499" s="1064">
        <f t="shared" si="38"/>
        <v>0</v>
      </c>
      <c r="AM499" s="1064">
        <f t="shared" si="39"/>
        <v>0</v>
      </c>
      <c r="AN499" s="1064"/>
      <c r="AO499" s="1064">
        <f>TB_prev[[#This Row],[Closing balance]]+TB_prev[[#This Row],[Rounding]]</f>
        <v>0</v>
      </c>
    </row>
    <row r="500" spans="30:41" x14ac:dyDescent="0.25">
      <c r="AD500" s="1067" t="str">
        <f t="shared" si="35"/>
        <v/>
      </c>
      <c r="AE500" s="1063" t="str">
        <f>IF(ISNA(VLOOKUP(TB_prev[[#This Row],[Synt]],GL[[#Headers],[#Data],[subtotal label]],1,FALSE)),0,(VLOOKUP(TB_prev[[#This Row],[Synt]],GL[[#Headers],[#Data],[subtotal label]],1,FALSE)))</f>
        <v/>
      </c>
      <c r="AF500" s="1063" t="e">
        <f>IF((TB_prev[[#This Row],[Synt]]-TB_prev[[#This Row],[Subtotal Y/N]])=0,0,VLOOKUP(TB_prev[[#This Row],[Synt]],GL[[Account]:[Line]],3,FALSE))</f>
        <v>#VALUE!</v>
      </c>
      <c r="AG500" s="1063" t="e">
        <f>VLOOKUP(TB_prev[[#This Row],[Synt]],GL[[Account]:[B/P]],4,FALSE)</f>
        <v>#N/A</v>
      </c>
      <c r="AH500" s="1066" t="e">
        <v>#VALUE!</v>
      </c>
      <c r="AI500" s="1065" t="e">
        <f>TB_prev[[#This Row],[Synt]]&amp;TB_prev[[#This Row],[Line No. manual corr.]]</f>
        <v>#VALUE!</v>
      </c>
      <c r="AJ500" s="1064">
        <f t="shared" si="36"/>
        <v>0</v>
      </c>
      <c r="AK500" s="1064">
        <f t="shared" si="37"/>
        <v>0</v>
      </c>
      <c r="AL500" s="1064">
        <f t="shared" si="38"/>
        <v>0</v>
      </c>
      <c r="AM500" s="1064">
        <f t="shared" si="39"/>
        <v>0</v>
      </c>
      <c r="AN500" s="1064"/>
      <c r="AO500" s="1064">
        <f>TB_prev[[#This Row],[Closing balance]]+TB_prev[[#This Row],[Rounding]]</f>
        <v>0</v>
      </c>
    </row>
    <row r="501" spans="30:41" x14ac:dyDescent="0.25">
      <c r="AD501" s="1067" t="str">
        <f t="shared" si="35"/>
        <v/>
      </c>
      <c r="AE501" s="1063" t="str">
        <f>IF(ISNA(VLOOKUP(TB_prev[[#This Row],[Synt]],GL[[#Headers],[#Data],[subtotal label]],1,FALSE)),0,(VLOOKUP(TB_prev[[#This Row],[Synt]],GL[[#Headers],[#Data],[subtotal label]],1,FALSE)))</f>
        <v/>
      </c>
      <c r="AF501" s="1063" t="e">
        <f>IF((TB_prev[[#This Row],[Synt]]-TB_prev[[#This Row],[Subtotal Y/N]])=0,0,VLOOKUP(TB_prev[[#This Row],[Synt]],GL[[Account]:[Line]],3,FALSE))</f>
        <v>#VALUE!</v>
      </c>
      <c r="AG501" s="1063" t="e">
        <f>VLOOKUP(TB_prev[[#This Row],[Synt]],GL[[Account]:[B/P]],4,FALSE)</f>
        <v>#N/A</v>
      </c>
      <c r="AH501" s="1066" t="e">
        <v>#VALUE!</v>
      </c>
      <c r="AI501" s="1065" t="e">
        <f>TB_prev[[#This Row],[Synt]]&amp;TB_prev[[#This Row],[Line No. manual corr.]]</f>
        <v>#VALUE!</v>
      </c>
      <c r="AJ501" s="1064">
        <f t="shared" si="36"/>
        <v>0</v>
      </c>
      <c r="AK501" s="1064">
        <f t="shared" si="37"/>
        <v>0</v>
      </c>
      <c r="AL501" s="1064">
        <f t="shared" si="38"/>
        <v>0</v>
      </c>
      <c r="AM501" s="1064">
        <f t="shared" si="39"/>
        <v>0</v>
      </c>
      <c r="AN501" s="1064"/>
      <c r="AO501" s="1064">
        <f>TB_prev[[#This Row],[Closing balance]]+TB_prev[[#This Row],[Rounding]]</f>
        <v>0</v>
      </c>
    </row>
    <row r="502" spans="30:41" x14ac:dyDescent="0.25">
      <c r="AD502" s="1067" t="str">
        <f t="shared" si="35"/>
        <v/>
      </c>
      <c r="AE502" s="1063" t="str">
        <f>IF(ISNA(VLOOKUP(TB_prev[[#This Row],[Synt]],GL[[#Headers],[#Data],[subtotal label]],1,FALSE)),0,(VLOOKUP(TB_prev[[#This Row],[Synt]],GL[[#Headers],[#Data],[subtotal label]],1,FALSE)))</f>
        <v/>
      </c>
      <c r="AF502" s="1063" t="e">
        <f>IF((TB_prev[[#This Row],[Synt]]-TB_prev[[#This Row],[Subtotal Y/N]])=0,0,VLOOKUP(TB_prev[[#This Row],[Synt]],GL[[Account]:[Line]],3,FALSE))</f>
        <v>#VALUE!</v>
      </c>
      <c r="AG502" s="1063" t="e">
        <f>VLOOKUP(TB_prev[[#This Row],[Synt]],GL[[Account]:[B/P]],4,FALSE)</f>
        <v>#N/A</v>
      </c>
      <c r="AH502" s="1066" t="e">
        <v>#VALUE!</v>
      </c>
      <c r="AI502" s="1065" t="e">
        <f>TB_prev[[#This Row],[Synt]]&amp;TB_prev[[#This Row],[Line No. manual corr.]]</f>
        <v>#VALUE!</v>
      </c>
      <c r="AJ502" s="1064">
        <f t="shared" si="36"/>
        <v>0</v>
      </c>
      <c r="AK502" s="1064">
        <f t="shared" si="37"/>
        <v>0</v>
      </c>
      <c r="AL502" s="1064">
        <f t="shared" si="38"/>
        <v>0</v>
      </c>
      <c r="AM502" s="1064">
        <f t="shared" si="39"/>
        <v>0</v>
      </c>
      <c r="AN502" s="1064"/>
      <c r="AO502" s="1064">
        <f>TB_prev[[#This Row],[Closing balance]]+TB_prev[[#This Row],[Rounding]]</f>
        <v>0</v>
      </c>
    </row>
    <row r="503" spans="30:41" x14ac:dyDescent="0.25">
      <c r="AD503" s="1067" t="str">
        <f t="shared" si="35"/>
        <v/>
      </c>
      <c r="AE503" s="1063" t="str">
        <f>IF(ISNA(VLOOKUP(TB_prev[[#This Row],[Synt]],GL[[#Headers],[#Data],[subtotal label]],1,FALSE)),0,(VLOOKUP(TB_prev[[#This Row],[Synt]],GL[[#Headers],[#Data],[subtotal label]],1,FALSE)))</f>
        <v/>
      </c>
      <c r="AF503" s="1063" t="e">
        <f>IF((TB_prev[[#This Row],[Synt]]-TB_prev[[#This Row],[Subtotal Y/N]])=0,0,VLOOKUP(TB_prev[[#This Row],[Synt]],GL[[Account]:[Line]],3,FALSE))</f>
        <v>#VALUE!</v>
      </c>
      <c r="AG503" s="1063" t="e">
        <f>VLOOKUP(TB_prev[[#This Row],[Synt]],GL[[Account]:[B/P]],4,FALSE)</f>
        <v>#N/A</v>
      </c>
      <c r="AH503" s="1066" t="e">
        <v>#VALUE!</v>
      </c>
      <c r="AI503" s="1065" t="e">
        <f>TB_prev[[#This Row],[Synt]]&amp;TB_prev[[#This Row],[Line No. manual corr.]]</f>
        <v>#VALUE!</v>
      </c>
      <c r="AJ503" s="1064">
        <f t="shared" si="36"/>
        <v>0</v>
      </c>
      <c r="AK503" s="1064">
        <f t="shared" si="37"/>
        <v>0</v>
      </c>
      <c r="AL503" s="1064">
        <f t="shared" si="38"/>
        <v>0</v>
      </c>
      <c r="AM503" s="1064">
        <f t="shared" si="39"/>
        <v>0</v>
      </c>
      <c r="AN503" s="1064"/>
      <c r="AO503" s="1064">
        <f>TB_prev[[#This Row],[Closing balance]]+TB_prev[[#This Row],[Rounding]]</f>
        <v>0</v>
      </c>
    </row>
    <row r="504" spans="30:41" x14ac:dyDescent="0.25">
      <c r="AD504" s="1067" t="str">
        <f t="shared" si="35"/>
        <v/>
      </c>
      <c r="AE504" s="1063" t="str">
        <f>IF(ISNA(VLOOKUP(TB_prev[[#This Row],[Synt]],GL[[#Headers],[#Data],[subtotal label]],1,FALSE)),0,(VLOOKUP(TB_prev[[#This Row],[Synt]],GL[[#Headers],[#Data],[subtotal label]],1,FALSE)))</f>
        <v/>
      </c>
      <c r="AF504" s="1063" t="e">
        <f>IF((TB_prev[[#This Row],[Synt]]-TB_prev[[#This Row],[Subtotal Y/N]])=0,0,VLOOKUP(TB_prev[[#This Row],[Synt]],GL[[Account]:[Line]],3,FALSE))</f>
        <v>#VALUE!</v>
      </c>
      <c r="AG504" s="1063" t="e">
        <f>VLOOKUP(TB_prev[[#This Row],[Synt]],GL[[Account]:[B/P]],4,FALSE)</f>
        <v>#N/A</v>
      </c>
      <c r="AH504" s="1066" t="e">
        <v>#VALUE!</v>
      </c>
      <c r="AI504" s="1065" t="e">
        <f>TB_prev[[#This Row],[Synt]]&amp;TB_prev[[#This Row],[Line No. manual corr.]]</f>
        <v>#VALUE!</v>
      </c>
      <c r="AJ504" s="1064">
        <f t="shared" si="36"/>
        <v>0</v>
      </c>
      <c r="AK504" s="1064">
        <f t="shared" si="37"/>
        <v>0</v>
      </c>
      <c r="AL504" s="1064">
        <f t="shared" si="38"/>
        <v>0</v>
      </c>
      <c r="AM504" s="1064">
        <f t="shared" si="39"/>
        <v>0</v>
      </c>
      <c r="AN504" s="1064"/>
      <c r="AO504" s="1064">
        <f>TB_prev[[#This Row],[Closing balance]]+TB_prev[[#This Row],[Rounding]]</f>
        <v>0</v>
      </c>
    </row>
    <row r="505" spans="30:41" x14ac:dyDescent="0.25">
      <c r="AD505" s="1067" t="str">
        <f t="shared" si="35"/>
        <v/>
      </c>
      <c r="AE505" s="1063" t="str">
        <f>IF(ISNA(VLOOKUP(TB_prev[[#This Row],[Synt]],GL[[#Headers],[#Data],[subtotal label]],1,FALSE)),0,(VLOOKUP(TB_prev[[#This Row],[Synt]],GL[[#Headers],[#Data],[subtotal label]],1,FALSE)))</f>
        <v/>
      </c>
      <c r="AF505" s="1063" t="e">
        <f>IF((TB_prev[[#This Row],[Synt]]-TB_prev[[#This Row],[Subtotal Y/N]])=0,0,VLOOKUP(TB_prev[[#This Row],[Synt]],GL[[Account]:[Line]],3,FALSE))</f>
        <v>#VALUE!</v>
      </c>
      <c r="AG505" s="1063" t="e">
        <f>VLOOKUP(TB_prev[[#This Row],[Synt]],GL[[Account]:[B/P]],4,FALSE)</f>
        <v>#N/A</v>
      </c>
      <c r="AH505" s="1066" t="e">
        <v>#VALUE!</v>
      </c>
      <c r="AI505" s="1065" t="e">
        <f>TB_prev[[#This Row],[Synt]]&amp;TB_prev[[#This Row],[Line No. manual corr.]]</f>
        <v>#VALUE!</v>
      </c>
      <c r="AJ505" s="1064">
        <f t="shared" si="36"/>
        <v>0</v>
      </c>
      <c r="AK505" s="1064">
        <f t="shared" si="37"/>
        <v>0</v>
      </c>
      <c r="AL505" s="1064">
        <f t="shared" si="38"/>
        <v>0</v>
      </c>
      <c r="AM505" s="1064">
        <f t="shared" si="39"/>
        <v>0</v>
      </c>
      <c r="AN505" s="1064"/>
      <c r="AO505" s="1064">
        <f>TB_prev[[#This Row],[Closing balance]]+TB_prev[[#This Row],[Rounding]]</f>
        <v>0</v>
      </c>
    </row>
    <row r="506" spans="30:41" x14ac:dyDescent="0.25">
      <c r="AD506" s="1067" t="str">
        <f t="shared" si="35"/>
        <v/>
      </c>
      <c r="AE506" s="1063" t="str">
        <f>IF(ISNA(VLOOKUP(TB_prev[[#This Row],[Synt]],GL[[#Headers],[#Data],[subtotal label]],1,FALSE)),0,(VLOOKUP(TB_prev[[#This Row],[Synt]],GL[[#Headers],[#Data],[subtotal label]],1,FALSE)))</f>
        <v/>
      </c>
      <c r="AF506" s="1063" t="e">
        <f>IF((TB_prev[[#This Row],[Synt]]-TB_prev[[#This Row],[Subtotal Y/N]])=0,0,VLOOKUP(TB_prev[[#This Row],[Synt]],GL[[Account]:[Line]],3,FALSE))</f>
        <v>#VALUE!</v>
      </c>
      <c r="AG506" s="1063" t="e">
        <f>VLOOKUP(TB_prev[[#This Row],[Synt]],GL[[Account]:[B/P]],4,FALSE)</f>
        <v>#N/A</v>
      </c>
      <c r="AH506" s="1066" t="e">
        <v>#VALUE!</v>
      </c>
      <c r="AI506" s="1065" t="e">
        <f>TB_prev[[#This Row],[Synt]]&amp;TB_prev[[#This Row],[Line No. manual corr.]]</f>
        <v>#VALUE!</v>
      </c>
      <c r="AJ506" s="1064">
        <f t="shared" si="36"/>
        <v>0</v>
      </c>
      <c r="AK506" s="1064">
        <f t="shared" si="37"/>
        <v>0</v>
      </c>
      <c r="AL506" s="1064">
        <f t="shared" si="38"/>
        <v>0</v>
      </c>
      <c r="AM506" s="1064">
        <f t="shared" si="39"/>
        <v>0</v>
      </c>
      <c r="AN506" s="1064"/>
      <c r="AO506" s="1064">
        <f>TB_prev[[#This Row],[Closing balance]]+TB_prev[[#This Row],[Rounding]]</f>
        <v>0</v>
      </c>
    </row>
    <row r="507" spans="30:41" x14ac:dyDescent="0.25">
      <c r="AD507" s="1067" t="str">
        <f t="shared" si="35"/>
        <v/>
      </c>
      <c r="AE507" s="1063" t="str">
        <f>IF(ISNA(VLOOKUP(TB_prev[[#This Row],[Synt]],GL[[#Headers],[#Data],[subtotal label]],1,FALSE)),0,(VLOOKUP(TB_prev[[#This Row],[Synt]],GL[[#Headers],[#Data],[subtotal label]],1,FALSE)))</f>
        <v/>
      </c>
      <c r="AF507" s="1063" t="e">
        <f>IF((TB_prev[[#This Row],[Synt]]-TB_prev[[#This Row],[Subtotal Y/N]])=0,0,VLOOKUP(TB_prev[[#This Row],[Synt]],GL[[Account]:[Line]],3,FALSE))</f>
        <v>#VALUE!</v>
      </c>
      <c r="AG507" s="1063" t="e">
        <f>VLOOKUP(TB_prev[[#This Row],[Synt]],GL[[Account]:[B/P]],4,FALSE)</f>
        <v>#N/A</v>
      </c>
      <c r="AH507" s="1066" t="e">
        <v>#VALUE!</v>
      </c>
      <c r="AI507" s="1065" t="e">
        <f>TB_prev[[#This Row],[Synt]]&amp;TB_prev[[#This Row],[Line No. manual corr.]]</f>
        <v>#VALUE!</v>
      </c>
      <c r="AJ507" s="1064">
        <f t="shared" si="36"/>
        <v>0</v>
      </c>
      <c r="AK507" s="1064">
        <f t="shared" si="37"/>
        <v>0</v>
      </c>
      <c r="AL507" s="1064">
        <f t="shared" si="38"/>
        <v>0</v>
      </c>
      <c r="AM507" s="1064">
        <f t="shared" si="39"/>
        <v>0</v>
      </c>
      <c r="AN507" s="1064"/>
      <c r="AO507" s="1064">
        <f>TB_prev[[#This Row],[Closing balance]]+TB_prev[[#This Row],[Rounding]]</f>
        <v>0</v>
      </c>
    </row>
    <row r="508" spans="30:41" x14ac:dyDescent="0.25">
      <c r="AD508" s="1067" t="str">
        <f t="shared" si="35"/>
        <v/>
      </c>
      <c r="AE508" s="1063" t="str">
        <f>IF(ISNA(VLOOKUP(TB_prev[[#This Row],[Synt]],GL[[#Headers],[#Data],[subtotal label]],1,FALSE)),0,(VLOOKUP(TB_prev[[#This Row],[Synt]],GL[[#Headers],[#Data],[subtotal label]],1,FALSE)))</f>
        <v/>
      </c>
      <c r="AF508" s="1063" t="e">
        <f>IF((TB_prev[[#This Row],[Synt]]-TB_prev[[#This Row],[Subtotal Y/N]])=0,0,VLOOKUP(TB_prev[[#This Row],[Synt]],GL[[Account]:[Line]],3,FALSE))</f>
        <v>#VALUE!</v>
      </c>
      <c r="AG508" s="1063" t="e">
        <f>VLOOKUP(TB_prev[[#This Row],[Synt]],GL[[Account]:[B/P]],4,FALSE)</f>
        <v>#N/A</v>
      </c>
      <c r="AH508" s="1066" t="e">
        <v>#VALUE!</v>
      </c>
      <c r="AI508" s="1065" t="e">
        <f>TB_prev[[#This Row],[Synt]]&amp;TB_prev[[#This Row],[Line No. manual corr.]]</f>
        <v>#VALUE!</v>
      </c>
      <c r="AJ508" s="1064">
        <f t="shared" si="36"/>
        <v>0</v>
      </c>
      <c r="AK508" s="1064">
        <f t="shared" si="37"/>
        <v>0</v>
      </c>
      <c r="AL508" s="1064">
        <f t="shared" si="38"/>
        <v>0</v>
      </c>
      <c r="AM508" s="1064">
        <f t="shared" si="39"/>
        <v>0</v>
      </c>
      <c r="AN508" s="1064"/>
      <c r="AO508" s="1064">
        <f>TB_prev[[#This Row],[Closing balance]]+TB_prev[[#This Row],[Rounding]]</f>
        <v>0</v>
      </c>
    </row>
    <row r="509" spans="30:41" x14ac:dyDescent="0.25">
      <c r="AD509" s="1067" t="str">
        <f t="shared" si="35"/>
        <v/>
      </c>
      <c r="AE509" s="1063" t="str">
        <f>IF(ISNA(VLOOKUP(TB_prev[[#This Row],[Synt]],GL[[#Headers],[#Data],[subtotal label]],1,FALSE)),0,(VLOOKUP(TB_prev[[#This Row],[Synt]],GL[[#Headers],[#Data],[subtotal label]],1,FALSE)))</f>
        <v/>
      </c>
      <c r="AF509" s="1063" t="e">
        <f>IF((TB_prev[[#This Row],[Synt]]-TB_prev[[#This Row],[Subtotal Y/N]])=0,0,VLOOKUP(TB_prev[[#This Row],[Synt]],GL[[Account]:[Line]],3,FALSE))</f>
        <v>#VALUE!</v>
      </c>
      <c r="AG509" s="1063" t="e">
        <f>VLOOKUP(TB_prev[[#This Row],[Synt]],GL[[Account]:[B/P]],4,FALSE)</f>
        <v>#N/A</v>
      </c>
      <c r="AH509" s="1066" t="e">
        <v>#VALUE!</v>
      </c>
      <c r="AI509" s="1065" t="e">
        <f>TB_prev[[#This Row],[Synt]]&amp;TB_prev[[#This Row],[Line No. manual corr.]]</f>
        <v>#VALUE!</v>
      </c>
      <c r="AJ509" s="1064">
        <f t="shared" si="36"/>
        <v>0</v>
      </c>
      <c r="AK509" s="1064">
        <f t="shared" si="37"/>
        <v>0</v>
      </c>
      <c r="AL509" s="1064">
        <f t="shared" si="38"/>
        <v>0</v>
      </c>
      <c r="AM509" s="1064">
        <f t="shared" si="39"/>
        <v>0</v>
      </c>
      <c r="AN509" s="1064"/>
      <c r="AO509" s="1064">
        <f>TB_prev[[#This Row],[Closing balance]]+TB_prev[[#This Row],[Rounding]]</f>
        <v>0</v>
      </c>
    </row>
    <row r="510" spans="30:41" x14ac:dyDescent="0.25">
      <c r="AD510" s="1067" t="str">
        <f t="shared" si="35"/>
        <v/>
      </c>
      <c r="AE510" s="1063" t="str">
        <f>IF(ISNA(VLOOKUP(TB_prev[[#This Row],[Synt]],GL[[#Headers],[#Data],[subtotal label]],1,FALSE)),0,(VLOOKUP(TB_prev[[#This Row],[Synt]],GL[[#Headers],[#Data],[subtotal label]],1,FALSE)))</f>
        <v/>
      </c>
      <c r="AF510" s="1063" t="e">
        <f>IF((TB_prev[[#This Row],[Synt]]-TB_prev[[#This Row],[Subtotal Y/N]])=0,0,VLOOKUP(TB_prev[[#This Row],[Synt]],GL[[Account]:[Line]],3,FALSE))</f>
        <v>#VALUE!</v>
      </c>
      <c r="AG510" s="1063" t="e">
        <f>VLOOKUP(TB_prev[[#This Row],[Synt]],GL[[Account]:[B/P]],4,FALSE)</f>
        <v>#N/A</v>
      </c>
      <c r="AH510" s="1066" t="e">
        <v>#VALUE!</v>
      </c>
      <c r="AI510" s="1065" t="e">
        <f>TB_prev[[#This Row],[Synt]]&amp;TB_prev[[#This Row],[Line No. manual corr.]]</f>
        <v>#VALUE!</v>
      </c>
      <c r="AJ510" s="1064">
        <f t="shared" si="36"/>
        <v>0</v>
      </c>
      <c r="AK510" s="1064">
        <f t="shared" si="37"/>
        <v>0</v>
      </c>
      <c r="AL510" s="1064">
        <f t="shared" si="38"/>
        <v>0</v>
      </c>
      <c r="AM510" s="1064">
        <f t="shared" si="39"/>
        <v>0</v>
      </c>
      <c r="AN510" s="1064"/>
      <c r="AO510" s="1064">
        <f>TB_prev[[#This Row],[Closing balance]]+TB_prev[[#This Row],[Rounding]]</f>
        <v>0</v>
      </c>
    </row>
    <row r="511" spans="30:41" x14ac:dyDescent="0.25">
      <c r="AD511" s="1067" t="str">
        <f t="shared" si="35"/>
        <v/>
      </c>
      <c r="AE511" s="1063" t="str">
        <f>IF(ISNA(VLOOKUP(TB_prev[[#This Row],[Synt]],GL[[#Headers],[#Data],[subtotal label]],1,FALSE)),0,(VLOOKUP(TB_prev[[#This Row],[Synt]],GL[[#Headers],[#Data],[subtotal label]],1,FALSE)))</f>
        <v/>
      </c>
      <c r="AF511" s="1063" t="e">
        <f>IF((TB_prev[[#This Row],[Synt]]-TB_prev[[#This Row],[Subtotal Y/N]])=0,0,VLOOKUP(TB_prev[[#This Row],[Synt]],GL[[Account]:[Line]],3,FALSE))</f>
        <v>#VALUE!</v>
      </c>
      <c r="AG511" s="1063" t="e">
        <f>VLOOKUP(TB_prev[[#This Row],[Synt]],GL[[Account]:[B/P]],4,FALSE)</f>
        <v>#N/A</v>
      </c>
      <c r="AH511" s="1066" t="e">
        <v>#VALUE!</v>
      </c>
      <c r="AI511" s="1065" t="e">
        <f>TB_prev[[#This Row],[Synt]]&amp;TB_prev[[#This Row],[Line No. manual corr.]]</f>
        <v>#VALUE!</v>
      </c>
      <c r="AJ511" s="1064">
        <f t="shared" si="36"/>
        <v>0</v>
      </c>
      <c r="AK511" s="1064">
        <f t="shared" si="37"/>
        <v>0</v>
      </c>
      <c r="AL511" s="1064">
        <f t="shared" si="38"/>
        <v>0</v>
      </c>
      <c r="AM511" s="1064">
        <f t="shared" si="39"/>
        <v>0</v>
      </c>
      <c r="AN511" s="1064"/>
      <c r="AO511" s="1064">
        <f>TB_prev[[#This Row],[Closing balance]]+TB_prev[[#This Row],[Rounding]]</f>
        <v>0</v>
      </c>
    </row>
    <row r="512" spans="30:41" x14ac:dyDescent="0.25">
      <c r="AD512" s="1067" t="str">
        <f t="shared" si="35"/>
        <v/>
      </c>
      <c r="AE512" s="1063" t="str">
        <f>IF(ISNA(VLOOKUP(TB_prev[[#This Row],[Synt]],GL[[#Headers],[#Data],[subtotal label]],1,FALSE)),0,(VLOOKUP(TB_prev[[#This Row],[Synt]],GL[[#Headers],[#Data],[subtotal label]],1,FALSE)))</f>
        <v/>
      </c>
      <c r="AF512" s="1063" t="e">
        <f>IF((TB_prev[[#This Row],[Synt]]-TB_prev[[#This Row],[Subtotal Y/N]])=0,0,VLOOKUP(TB_prev[[#This Row],[Synt]],GL[[Account]:[Line]],3,FALSE))</f>
        <v>#VALUE!</v>
      </c>
      <c r="AG512" s="1063" t="e">
        <f>VLOOKUP(TB_prev[[#This Row],[Synt]],GL[[Account]:[B/P]],4,FALSE)</f>
        <v>#N/A</v>
      </c>
      <c r="AH512" s="1066" t="e">
        <v>#VALUE!</v>
      </c>
      <c r="AI512" s="1065" t="e">
        <f>TB_prev[[#This Row],[Synt]]&amp;TB_prev[[#This Row],[Line No. manual corr.]]</f>
        <v>#VALUE!</v>
      </c>
      <c r="AJ512" s="1064">
        <f t="shared" si="36"/>
        <v>0</v>
      </c>
      <c r="AK512" s="1064">
        <f t="shared" si="37"/>
        <v>0</v>
      </c>
      <c r="AL512" s="1064">
        <f t="shared" si="38"/>
        <v>0</v>
      </c>
      <c r="AM512" s="1064">
        <f t="shared" si="39"/>
        <v>0</v>
      </c>
      <c r="AN512" s="1064"/>
      <c r="AO512" s="1064">
        <f>TB_prev[[#This Row],[Closing balance]]+TB_prev[[#This Row],[Rounding]]</f>
        <v>0</v>
      </c>
    </row>
    <row r="513" spans="30:41" x14ac:dyDescent="0.25">
      <c r="AD513" s="1067" t="str">
        <f t="shared" si="35"/>
        <v/>
      </c>
      <c r="AE513" s="1063" t="str">
        <f>IF(ISNA(VLOOKUP(TB_prev[[#This Row],[Synt]],GL[[#Headers],[#Data],[subtotal label]],1,FALSE)),0,(VLOOKUP(TB_prev[[#This Row],[Synt]],GL[[#Headers],[#Data],[subtotal label]],1,FALSE)))</f>
        <v/>
      </c>
      <c r="AF513" s="1063" t="e">
        <f>IF((TB_prev[[#This Row],[Synt]]-TB_prev[[#This Row],[Subtotal Y/N]])=0,0,VLOOKUP(TB_prev[[#This Row],[Synt]],GL[[Account]:[Line]],3,FALSE))</f>
        <v>#VALUE!</v>
      </c>
      <c r="AG513" s="1063" t="e">
        <f>VLOOKUP(TB_prev[[#This Row],[Synt]],GL[[Account]:[B/P]],4,FALSE)</f>
        <v>#N/A</v>
      </c>
      <c r="AH513" s="1066" t="e">
        <v>#VALUE!</v>
      </c>
      <c r="AI513" s="1065" t="e">
        <f>TB_prev[[#This Row],[Synt]]&amp;TB_prev[[#This Row],[Line No. manual corr.]]</f>
        <v>#VALUE!</v>
      </c>
      <c r="AJ513" s="1064">
        <f t="shared" si="36"/>
        <v>0</v>
      </c>
      <c r="AK513" s="1064">
        <f t="shared" si="37"/>
        <v>0</v>
      </c>
      <c r="AL513" s="1064">
        <f t="shared" si="38"/>
        <v>0</v>
      </c>
      <c r="AM513" s="1064">
        <f t="shared" si="39"/>
        <v>0</v>
      </c>
      <c r="AN513" s="1064"/>
      <c r="AO513" s="1064">
        <f>TB_prev[[#This Row],[Closing balance]]+TB_prev[[#This Row],[Rounding]]</f>
        <v>0</v>
      </c>
    </row>
    <row r="514" spans="30:41" x14ac:dyDescent="0.25">
      <c r="AD514" s="1067" t="str">
        <f t="shared" si="35"/>
        <v/>
      </c>
      <c r="AE514" s="1063" t="str">
        <f>IF(ISNA(VLOOKUP(TB_prev[[#This Row],[Synt]],GL[[#Headers],[#Data],[subtotal label]],1,FALSE)),0,(VLOOKUP(TB_prev[[#This Row],[Synt]],GL[[#Headers],[#Data],[subtotal label]],1,FALSE)))</f>
        <v/>
      </c>
      <c r="AF514" s="1063" t="e">
        <f>IF((TB_prev[[#This Row],[Synt]]-TB_prev[[#This Row],[Subtotal Y/N]])=0,0,VLOOKUP(TB_prev[[#This Row],[Synt]],GL[[Account]:[Line]],3,FALSE))</f>
        <v>#VALUE!</v>
      </c>
      <c r="AG514" s="1063" t="e">
        <f>VLOOKUP(TB_prev[[#This Row],[Synt]],GL[[Account]:[B/P]],4,FALSE)</f>
        <v>#N/A</v>
      </c>
      <c r="AH514" s="1066" t="e">
        <v>#VALUE!</v>
      </c>
      <c r="AI514" s="1065" t="e">
        <f>TB_prev[[#This Row],[Synt]]&amp;TB_prev[[#This Row],[Line No. manual corr.]]</f>
        <v>#VALUE!</v>
      </c>
      <c r="AJ514" s="1064">
        <f t="shared" si="36"/>
        <v>0</v>
      </c>
      <c r="AK514" s="1064">
        <f t="shared" si="37"/>
        <v>0</v>
      </c>
      <c r="AL514" s="1064">
        <f t="shared" si="38"/>
        <v>0</v>
      </c>
      <c r="AM514" s="1064">
        <f t="shared" si="39"/>
        <v>0</v>
      </c>
      <c r="AN514" s="1064"/>
      <c r="AO514" s="1064">
        <f>TB_prev[[#This Row],[Closing balance]]+TB_prev[[#This Row],[Rounding]]</f>
        <v>0</v>
      </c>
    </row>
    <row r="515" spans="30:41" x14ac:dyDescent="0.25">
      <c r="AD515" s="1067" t="str">
        <f t="shared" si="35"/>
        <v/>
      </c>
      <c r="AE515" s="1063" t="str">
        <f>IF(ISNA(VLOOKUP(TB_prev[[#This Row],[Synt]],GL[[#Headers],[#Data],[subtotal label]],1,FALSE)),0,(VLOOKUP(TB_prev[[#This Row],[Synt]],GL[[#Headers],[#Data],[subtotal label]],1,FALSE)))</f>
        <v/>
      </c>
      <c r="AF515" s="1063" t="e">
        <f>IF((TB_prev[[#This Row],[Synt]]-TB_prev[[#This Row],[Subtotal Y/N]])=0,0,VLOOKUP(TB_prev[[#This Row],[Synt]],GL[[Account]:[Line]],3,FALSE))</f>
        <v>#VALUE!</v>
      </c>
      <c r="AG515" s="1063" t="e">
        <f>VLOOKUP(TB_prev[[#This Row],[Synt]],GL[[Account]:[B/P]],4,FALSE)</f>
        <v>#N/A</v>
      </c>
      <c r="AH515" s="1066" t="e">
        <v>#VALUE!</v>
      </c>
      <c r="AI515" s="1065" t="e">
        <f>TB_prev[[#This Row],[Synt]]&amp;TB_prev[[#This Row],[Line No. manual corr.]]</f>
        <v>#VALUE!</v>
      </c>
      <c r="AJ515" s="1064">
        <f t="shared" si="36"/>
        <v>0</v>
      </c>
      <c r="AK515" s="1064">
        <f t="shared" si="37"/>
        <v>0</v>
      </c>
      <c r="AL515" s="1064">
        <f t="shared" si="38"/>
        <v>0</v>
      </c>
      <c r="AM515" s="1064">
        <f t="shared" si="39"/>
        <v>0</v>
      </c>
      <c r="AN515" s="1064"/>
      <c r="AO515" s="1064">
        <f>TB_prev[[#This Row],[Closing balance]]+TB_prev[[#This Row],[Rounding]]</f>
        <v>0</v>
      </c>
    </row>
    <row r="516" spans="30:41" x14ac:dyDescent="0.25">
      <c r="AD516" s="1067" t="str">
        <f t="shared" si="35"/>
        <v/>
      </c>
      <c r="AE516" s="1063" t="str">
        <f>IF(ISNA(VLOOKUP(TB_prev[[#This Row],[Synt]],GL[[#Headers],[#Data],[subtotal label]],1,FALSE)),0,(VLOOKUP(TB_prev[[#This Row],[Synt]],GL[[#Headers],[#Data],[subtotal label]],1,FALSE)))</f>
        <v/>
      </c>
      <c r="AF516" s="1063" t="e">
        <f>IF((TB_prev[[#This Row],[Synt]]-TB_prev[[#This Row],[Subtotal Y/N]])=0,0,VLOOKUP(TB_prev[[#This Row],[Synt]],GL[[Account]:[Line]],3,FALSE))</f>
        <v>#VALUE!</v>
      </c>
      <c r="AG516" s="1063" t="e">
        <f>VLOOKUP(TB_prev[[#This Row],[Synt]],GL[[Account]:[B/P]],4,FALSE)</f>
        <v>#N/A</v>
      </c>
      <c r="AH516" s="1066" t="e">
        <v>#VALUE!</v>
      </c>
      <c r="AI516" s="1065" t="e">
        <f>TB_prev[[#This Row],[Synt]]&amp;TB_prev[[#This Row],[Line No. manual corr.]]</f>
        <v>#VALUE!</v>
      </c>
      <c r="AJ516" s="1064">
        <f t="shared" si="36"/>
        <v>0</v>
      </c>
      <c r="AK516" s="1064">
        <f t="shared" si="37"/>
        <v>0</v>
      </c>
      <c r="AL516" s="1064">
        <f t="shared" si="38"/>
        <v>0</v>
      </c>
      <c r="AM516" s="1064">
        <f t="shared" si="39"/>
        <v>0</v>
      </c>
      <c r="AN516" s="1064"/>
      <c r="AO516" s="1064">
        <f>TB_prev[[#This Row],[Closing balance]]+TB_prev[[#This Row],[Rounding]]</f>
        <v>0</v>
      </c>
    </row>
    <row r="517" spans="30:41" x14ac:dyDescent="0.25">
      <c r="AD517" s="1067" t="str">
        <f t="shared" si="35"/>
        <v/>
      </c>
      <c r="AE517" s="1063" t="str">
        <f>IF(ISNA(VLOOKUP(TB_prev[[#This Row],[Synt]],GL[[#Headers],[#Data],[subtotal label]],1,FALSE)),0,(VLOOKUP(TB_prev[[#This Row],[Synt]],GL[[#Headers],[#Data],[subtotal label]],1,FALSE)))</f>
        <v/>
      </c>
      <c r="AF517" s="1063" t="e">
        <f>IF((TB_prev[[#This Row],[Synt]]-TB_prev[[#This Row],[Subtotal Y/N]])=0,0,VLOOKUP(TB_prev[[#This Row],[Synt]],GL[[Account]:[Line]],3,FALSE))</f>
        <v>#VALUE!</v>
      </c>
      <c r="AG517" s="1063" t="e">
        <f>VLOOKUP(TB_prev[[#This Row],[Synt]],GL[[Account]:[B/P]],4,FALSE)</f>
        <v>#N/A</v>
      </c>
      <c r="AH517" s="1066" t="e">
        <v>#VALUE!</v>
      </c>
      <c r="AI517" s="1065" t="e">
        <f>TB_prev[[#This Row],[Synt]]&amp;TB_prev[[#This Row],[Line No. manual corr.]]</f>
        <v>#VALUE!</v>
      </c>
      <c r="AJ517" s="1064">
        <f t="shared" si="36"/>
        <v>0</v>
      </c>
      <c r="AK517" s="1064">
        <f t="shared" si="37"/>
        <v>0</v>
      </c>
      <c r="AL517" s="1064">
        <f t="shared" si="38"/>
        <v>0</v>
      </c>
      <c r="AM517" s="1064">
        <f t="shared" si="39"/>
        <v>0</v>
      </c>
      <c r="AN517" s="1064"/>
      <c r="AO517" s="1064">
        <f>TB_prev[[#This Row],[Closing balance]]+TB_prev[[#This Row],[Rounding]]</f>
        <v>0</v>
      </c>
    </row>
    <row r="518" spans="30:41" x14ac:dyDescent="0.25">
      <c r="AD518" s="1067" t="str">
        <f t="shared" si="35"/>
        <v/>
      </c>
      <c r="AE518" s="1063" t="str">
        <f>IF(ISNA(VLOOKUP(TB_prev[[#This Row],[Synt]],GL[[#Headers],[#Data],[subtotal label]],1,FALSE)),0,(VLOOKUP(TB_prev[[#This Row],[Synt]],GL[[#Headers],[#Data],[subtotal label]],1,FALSE)))</f>
        <v/>
      </c>
      <c r="AF518" s="1063" t="e">
        <f>IF((TB_prev[[#This Row],[Synt]]-TB_prev[[#This Row],[Subtotal Y/N]])=0,0,VLOOKUP(TB_prev[[#This Row],[Synt]],GL[[Account]:[Line]],3,FALSE))</f>
        <v>#VALUE!</v>
      </c>
      <c r="AG518" s="1063" t="e">
        <f>VLOOKUP(TB_prev[[#This Row],[Synt]],GL[[Account]:[B/P]],4,FALSE)</f>
        <v>#N/A</v>
      </c>
      <c r="AH518" s="1066" t="e">
        <v>#VALUE!</v>
      </c>
      <c r="AI518" s="1065" t="e">
        <f>TB_prev[[#This Row],[Synt]]&amp;TB_prev[[#This Row],[Line No. manual corr.]]</f>
        <v>#VALUE!</v>
      </c>
      <c r="AJ518" s="1064">
        <f t="shared" si="36"/>
        <v>0</v>
      </c>
      <c r="AK518" s="1064">
        <f t="shared" si="37"/>
        <v>0</v>
      </c>
      <c r="AL518" s="1064">
        <f t="shared" si="38"/>
        <v>0</v>
      </c>
      <c r="AM518" s="1064">
        <f t="shared" si="39"/>
        <v>0</v>
      </c>
      <c r="AN518" s="1064"/>
      <c r="AO518" s="1064">
        <f>TB_prev[[#This Row],[Closing balance]]+TB_prev[[#This Row],[Rounding]]</f>
        <v>0</v>
      </c>
    </row>
    <row r="519" spans="30:41" x14ac:dyDescent="0.25">
      <c r="AD519" s="1067" t="str">
        <f t="shared" si="35"/>
        <v/>
      </c>
      <c r="AE519" s="1063" t="str">
        <f>IF(ISNA(VLOOKUP(TB_prev[[#This Row],[Synt]],GL[[#Headers],[#Data],[subtotal label]],1,FALSE)),0,(VLOOKUP(TB_prev[[#This Row],[Synt]],GL[[#Headers],[#Data],[subtotal label]],1,FALSE)))</f>
        <v/>
      </c>
      <c r="AF519" s="1063" t="e">
        <f>IF((TB_prev[[#This Row],[Synt]]-TB_prev[[#This Row],[Subtotal Y/N]])=0,0,VLOOKUP(TB_prev[[#This Row],[Synt]],GL[[Account]:[Line]],3,FALSE))</f>
        <v>#VALUE!</v>
      </c>
      <c r="AG519" s="1063" t="e">
        <f>VLOOKUP(TB_prev[[#This Row],[Synt]],GL[[Account]:[B/P]],4,FALSE)</f>
        <v>#N/A</v>
      </c>
      <c r="AH519" s="1066" t="e">
        <v>#VALUE!</v>
      </c>
      <c r="AI519" s="1065" t="e">
        <f>TB_prev[[#This Row],[Synt]]&amp;TB_prev[[#This Row],[Line No. manual corr.]]</f>
        <v>#VALUE!</v>
      </c>
      <c r="AJ519" s="1064">
        <f t="shared" si="36"/>
        <v>0</v>
      </c>
      <c r="AK519" s="1064">
        <f t="shared" si="37"/>
        <v>0</v>
      </c>
      <c r="AL519" s="1064">
        <f t="shared" si="38"/>
        <v>0</v>
      </c>
      <c r="AM519" s="1064">
        <f t="shared" si="39"/>
        <v>0</v>
      </c>
      <c r="AN519" s="1064"/>
      <c r="AO519" s="1064">
        <f>TB_prev[[#This Row],[Closing balance]]+TB_prev[[#This Row],[Rounding]]</f>
        <v>0</v>
      </c>
    </row>
    <row r="520" spans="30:41" x14ac:dyDescent="0.25">
      <c r="AD520" s="1067" t="str">
        <f t="shared" ref="AD520:AD583" si="40">LEFT(B520,3)</f>
        <v/>
      </c>
      <c r="AE520" s="1063" t="str">
        <f>IF(ISNA(VLOOKUP(TB_prev[[#This Row],[Synt]],GL[[#Headers],[#Data],[subtotal label]],1,FALSE)),0,(VLOOKUP(TB_prev[[#This Row],[Synt]],GL[[#Headers],[#Data],[subtotal label]],1,FALSE)))</f>
        <v/>
      </c>
      <c r="AF520" s="1063" t="e">
        <f>IF((TB_prev[[#This Row],[Synt]]-TB_prev[[#This Row],[Subtotal Y/N]])=0,0,VLOOKUP(TB_prev[[#This Row],[Synt]],GL[[Account]:[Line]],3,FALSE))</f>
        <v>#VALUE!</v>
      </c>
      <c r="AG520" s="1063" t="e">
        <f>VLOOKUP(TB_prev[[#This Row],[Synt]],GL[[Account]:[B/P]],4,FALSE)</f>
        <v>#N/A</v>
      </c>
      <c r="AH520" s="1066" t="e">
        <v>#VALUE!</v>
      </c>
      <c r="AI520" s="1065" t="e">
        <f>TB_prev[[#This Row],[Synt]]&amp;TB_prev[[#This Row],[Line No. manual corr.]]</f>
        <v>#VALUE!</v>
      </c>
      <c r="AJ520" s="1064">
        <f t="shared" ref="AJ520:AJ583" si="41">K520-N520</f>
        <v>0</v>
      </c>
      <c r="AK520" s="1064">
        <f t="shared" ref="AK520:AK583" si="42">Q520</f>
        <v>0</v>
      </c>
      <c r="AL520" s="1064">
        <f t="shared" ref="AL520:AL583" si="43">U520</f>
        <v>0</v>
      </c>
      <c r="AM520" s="1064">
        <f t="shared" ref="AM520:AM583" si="44">X520-AB520</f>
        <v>0</v>
      </c>
      <c r="AN520" s="1064"/>
      <c r="AO520" s="1064">
        <f>TB_prev[[#This Row],[Closing balance]]+TB_prev[[#This Row],[Rounding]]</f>
        <v>0</v>
      </c>
    </row>
    <row r="521" spans="30:41" x14ac:dyDescent="0.25">
      <c r="AD521" s="1067" t="str">
        <f t="shared" si="40"/>
        <v/>
      </c>
      <c r="AE521" s="1063" t="str">
        <f>IF(ISNA(VLOOKUP(TB_prev[[#This Row],[Synt]],GL[[#Headers],[#Data],[subtotal label]],1,FALSE)),0,(VLOOKUP(TB_prev[[#This Row],[Synt]],GL[[#Headers],[#Data],[subtotal label]],1,FALSE)))</f>
        <v/>
      </c>
      <c r="AF521" s="1063" t="e">
        <f>IF((TB_prev[[#This Row],[Synt]]-TB_prev[[#This Row],[Subtotal Y/N]])=0,0,VLOOKUP(TB_prev[[#This Row],[Synt]],GL[[Account]:[Line]],3,FALSE))</f>
        <v>#VALUE!</v>
      </c>
      <c r="AG521" s="1063" t="e">
        <f>VLOOKUP(TB_prev[[#This Row],[Synt]],GL[[Account]:[B/P]],4,FALSE)</f>
        <v>#N/A</v>
      </c>
      <c r="AH521" s="1066" t="e">
        <v>#VALUE!</v>
      </c>
      <c r="AI521" s="1065" t="e">
        <f>TB_prev[[#This Row],[Synt]]&amp;TB_prev[[#This Row],[Line No. manual corr.]]</f>
        <v>#VALUE!</v>
      </c>
      <c r="AJ521" s="1064">
        <f t="shared" si="41"/>
        <v>0</v>
      </c>
      <c r="AK521" s="1064">
        <f t="shared" si="42"/>
        <v>0</v>
      </c>
      <c r="AL521" s="1064">
        <f t="shared" si="43"/>
        <v>0</v>
      </c>
      <c r="AM521" s="1064">
        <f t="shared" si="44"/>
        <v>0</v>
      </c>
      <c r="AN521" s="1064"/>
      <c r="AO521" s="1064">
        <f>TB_prev[[#This Row],[Closing balance]]+TB_prev[[#This Row],[Rounding]]</f>
        <v>0</v>
      </c>
    </row>
    <row r="522" spans="30:41" x14ac:dyDescent="0.25">
      <c r="AD522" s="1067" t="str">
        <f t="shared" si="40"/>
        <v/>
      </c>
      <c r="AE522" s="1063" t="str">
        <f>IF(ISNA(VLOOKUP(TB_prev[[#This Row],[Synt]],GL[[#Headers],[#Data],[subtotal label]],1,FALSE)),0,(VLOOKUP(TB_prev[[#This Row],[Synt]],GL[[#Headers],[#Data],[subtotal label]],1,FALSE)))</f>
        <v/>
      </c>
      <c r="AF522" s="1063" t="e">
        <f>IF((TB_prev[[#This Row],[Synt]]-TB_prev[[#This Row],[Subtotal Y/N]])=0,0,VLOOKUP(TB_prev[[#This Row],[Synt]],GL[[Account]:[Line]],3,FALSE))</f>
        <v>#VALUE!</v>
      </c>
      <c r="AG522" s="1063" t="e">
        <f>VLOOKUP(TB_prev[[#This Row],[Synt]],GL[[Account]:[B/P]],4,FALSE)</f>
        <v>#N/A</v>
      </c>
      <c r="AH522" s="1066" t="e">
        <v>#VALUE!</v>
      </c>
      <c r="AI522" s="1065" t="e">
        <f>TB_prev[[#This Row],[Synt]]&amp;TB_prev[[#This Row],[Line No. manual corr.]]</f>
        <v>#VALUE!</v>
      </c>
      <c r="AJ522" s="1064">
        <f t="shared" si="41"/>
        <v>0</v>
      </c>
      <c r="AK522" s="1064">
        <f t="shared" si="42"/>
        <v>0</v>
      </c>
      <c r="AL522" s="1064">
        <f t="shared" si="43"/>
        <v>0</v>
      </c>
      <c r="AM522" s="1064">
        <f t="shared" si="44"/>
        <v>0</v>
      </c>
      <c r="AN522" s="1064"/>
      <c r="AO522" s="1064">
        <f>TB_prev[[#This Row],[Closing balance]]+TB_prev[[#This Row],[Rounding]]</f>
        <v>0</v>
      </c>
    </row>
    <row r="523" spans="30:41" x14ac:dyDescent="0.25">
      <c r="AD523" s="1067" t="str">
        <f t="shared" si="40"/>
        <v/>
      </c>
      <c r="AE523" s="1063" t="str">
        <f>IF(ISNA(VLOOKUP(TB_prev[[#This Row],[Synt]],GL[[#Headers],[#Data],[subtotal label]],1,FALSE)),0,(VLOOKUP(TB_prev[[#This Row],[Synt]],GL[[#Headers],[#Data],[subtotal label]],1,FALSE)))</f>
        <v/>
      </c>
      <c r="AF523" s="1063" t="e">
        <f>IF((TB_prev[[#This Row],[Synt]]-TB_prev[[#This Row],[Subtotal Y/N]])=0,0,VLOOKUP(TB_prev[[#This Row],[Synt]],GL[[Account]:[Line]],3,FALSE))</f>
        <v>#VALUE!</v>
      </c>
      <c r="AG523" s="1063" t="e">
        <f>VLOOKUP(TB_prev[[#This Row],[Synt]],GL[[Account]:[B/P]],4,FALSE)</f>
        <v>#N/A</v>
      </c>
      <c r="AH523" s="1066" t="e">
        <v>#VALUE!</v>
      </c>
      <c r="AI523" s="1065" t="e">
        <f>TB_prev[[#This Row],[Synt]]&amp;TB_prev[[#This Row],[Line No. manual corr.]]</f>
        <v>#VALUE!</v>
      </c>
      <c r="AJ523" s="1064">
        <f t="shared" si="41"/>
        <v>0</v>
      </c>
      <c r="AK523" s="1064">
        <f t="shared" si="42"/>
        <v>0</v>
      </c>
      <c r="AL523" s="1064">
        <f t="shared" si="43"/>
        <v>0</v>
      </c>
      <c r="AM523" s="1064">
        <f t="shared" si="44"/>
        <v>0</v>
      </c>
      <c r="AN523" s="1064"/>
      <c r="AO523" s="1064">
        <f>TB_prev[[#This Row],[Closing balance]]+TB_prev[[#This Row],[Rounding]]</f>
        <v>0</v>
      </c>
    </row>
    <row r="524" spans="30:41" x14ac:dyDescent="0.25">
      <c r="AD524" s="1067" t="str">
        <f t="shared" si="40"/>
        <v/>
      </c>
      <c r="AE524" s="1063" t="str">
        <f>IF(ISNA(VLOOKUP(TB_prev[[#This Row],[Synt]],GL[[#Headers],[#Data],[subtotal label]],1,FALSE)),0,(VLOOKUP(TB_prev[[#This Row],[Synt]],GL[[#Headers],[#Data],[subtotal label]],1,FALSE)))</f>
        <v/>
      </c>
      <c r="AF524" s="1063" t="e">
        <f>IF((TB_prev[[#This Row],[Synt]]-TB_prev[[#This Row],[Subtotal Y/N]])=0,0,VLOOKUP(TB_prev[[#This Row],[Synt]],GL[[Account]:[Line]],3,FALSE))</f>
        <v>#VALUE!</v>
      </c>
      <c r="AG524" s="1063" t="e">
        <f>VLOOKUP(TB_prev[[#This Row],[Synt]],GL[[Account]:[B/P]],4,FALSE)</f>
        <v>#N/A</v>
      </c>
      <c r="AH524" s="1066" t="e">
        <v>#VALUE!</v>
      </c>
      <c r="AI524" s="1065" t="e">
        <f>TB_prev[[#This Row],[Synt]]&amp;TB_prev[[#This Row],[Line No. manual corr.]]</f>
        <v>#VALUE!</v>
      </c>
      <c r="AJ524" s="1064">
        <f t="shared" si="41"/>
        <v>0</v>
      </c>
      <c r="AK524" s="1064">
        <f t="shared" si="42"/>
        <v>0</v>
      </c>
      <c r="AL524" s="1064">
        <f t="shared" si="43"/>
        <v>0</v>
      </c>
      <c r="AM524" s="1064">
        <f t="shared" si="44"/>
        <v>0</v>
      </c>
      <c r="AN524" s="1064"/>
      <c r="AO524" s="1064">
        <f>TB_prev[[#This Row],[Closing balance]]+TB_prev[[#This Row],[Rounding]]</f>
        <v>0</v>
      </c>
    </row>
    <row r="525" spans="30:41" x14ac:dyDescent="0.25">
      <c r="AD525" s="1067" t="str">
        <f t="shared" si="40"/>
        <v/>
      </c>
      <c r="AE525" s="1063" t="str">
        <f>IF(ISNA(VLOOKUP(TB_prev[[#This Row],[Synt]],GL[[#Headers],[#Data],[subtotal label]],1,FALSE)),0,(VLOOKUP(TB_prev[[#This Row],[Synt]],GL[[#Headers],[#Data],[subtotal label]],1,FALSE)))</f>
        <v/>
      </c>
      <c r="AF525" s="1063" t="e">
        <f>IF((TB_prev[[#This Row],[Synt]]-TB_prev[[#This Row],[Subtotal Y/N]])=0,0,VLOOKUP(TB_prev[[#This Row],[Synt]],GL[[Account]:[Line]],3,FALSE))</f>
        <v>#VALUE!</v>
      </c>
      <c r="AG525" s="1063" t="e">
        <f>VLOOKUP(TB_prev[[#This Row],[Synt]],GL[[Account]:[B/P]],4,FALSE)</f>
        <v>#N/A</v>
      </c>
      <c r="AH525" s="1066" t="e">
        <v>#VALUE!</v>
      </c>
      <c r="AI525" s="1065" t="e">
        <f>TB_prev[[#This Row],[Synt]]&amp;TB_prev[[#This Row],[Line No. manual corr.]]</f>
        <v>#VALUE!</v>
      </c>
      <c r="AJ525" s="1064">
        <f t="shared" si="41"/>
        <v>0</v>
      </c>
      <c r="AK525" s="1064">
        <f t="shared" si="42"/>
        <v>0</v>
      </c>
      <c r="AL525" s="1064">
        <f t="shared" si="43"/>
        <v>0</v>
      </c>
      <c r="AM525" s="1064">
        <f t="shared" si="44"/>
        <v>0</v>
      </c>
      <c r="AN525" s="1064"/>
      <c r="AO525" s="1064">
        <f>TB_prev[[#This Row],[Closing balance]]+TB_prev[[#This Row],[Rounding]]</f>
        <v>0</v>
      </c>
    </row>
    <row r="526" spans="30:41" x14ac:dyDescent="0.25">
      <c r="AD526" s="1067" t="str">
        <f t="shared" si="40"/>
        <v/>
      </c>
      <c r="AE526" s="1063" t="str">
        <f>IF(ISNA(VLOOKUP(TB_prev[[#This Row],[Synt]],GL[[#Headers],[#Data],[subtotal label]],1,FALSE)),0,(VLOOKUP(TB_prev[[#This Row],[Synt]],GL[[#Headers],[#Data],[subtotal label]],1,FALSE)))</f>
        <v/>
      </c>
      <c r="AF526" s="1063" t="e">
        <f>IF((TB_prev[[#This Row],[Synt]]-TB_prev[[#This Row],[Subtotal Y/N]])=0,0,VLOOKUP(TB_prev[[#This Row],[Synt]],GL[[Account]:[Line]],3,FALSE))</f>
        <v>#VALUE!</v>
      </c>
      <c r="AG526" s="1063" t="e">
        <f>VLOOKUP(TB_prev[[#This Row],[Synt]],GL[[Account]:[B/P]],4,FALSE)</f>
        <v>#N/A</v>
      </c>
      <c r="AH526" s="1066" t="e">
        <v>#VALUE!</v>
      </c>
      <c r="AI526" s="1065" t="e">
        <f>TB_prev[[#This Row],[Synt]]&amp;TB_prev[[#This Row],[Line No. manual corr.]]</f>
        <v>#VALUE!</v>
      </c>
      <c r="AJ526" s="1064">
        <f t="shared" si="41"/>
        <v>0</v>
      </c>
      <c r="AK526" s="1064">
        <f t="shared" si="42"/>
        <v>0</v>
      </c>
      <c r="AL526" s="1064">
        <f t="shared" si="43"/>
        <v>0</v>
      </c>
      <c r="AM526" s="1064">
        <f t="shared" si="44"/>
        <v>0</v>
      </c>
      <c r="AN526" s="1064"/>
      <c r="AO526" s="1064">
        <f>TB_prev[[#This Row],[Closing balance]]+TB_prev[[#This Row],[Rounding]]</f>
        <v>0</v>
      </c>
    </row>
    <row r="527" spans="30:41" x14ac:dyDescent="0.25">
      <c r="AD527" s="1067" t="str">
        <f t="shared" si="40"/>
        <v/>
      </c>
      <c r="AE527" s="1063" t="str">
        <f>IF(ISNA(VLOOKUP(TB_prev[[#This Row],[Synt]],GL[[#Headers],[#Data],[subtotal label]],1,FALSE)),0,(VLOOKUP(TB_prev[[#This Row],[Synt]],GL[[#Headers],[#Data],[subtotal label]],1,FALSE)))</f>
        <v/>
      </c>
      <c r="AF527" s="1063" t="e">
        <f>IF((TB_prev[[#This Row],[Synt]]-TB_prev[[#This Row],[Subtotal Y/N]])=0,0,VLOOKUP(TB_prev[[#This Row],[Synt]],GL[[Account]:[Line]],3,FALSE))</f>
        <v>#VALUE!</v>
      </c>
      <c r="AG527" s="1063" t="e">
        <f>VLOOKUP(TB_prev[[#This Row],[Synt]],GL[[Account]:[B/P]],4,FALSE)</f>
        <v>#N/A</v>
      </c>
      <c r="AH527" s="1066" t="e">
        <v>#VALUE!</v>
      </c>
      <c r="AI527" s="1065" t="e">
        <f>TB_prev[[#This Row],[Synt]]&amp;TB_prev[[#This Row],[Line No. manual corr.]]</f>
        <v>#VALUE!</v>
      </c>
      <c r="AJ527" s="1064">
        <f t="shared" si="41"/>
        <v>0</v>
      </c>
      <c r="AK527" s="1064">
        <f t="shared" si="42"/>
        <v>0</v>
      </c>
      <c r="AL527" s="1064">
        <f t="shared" si="43"/>
        <v>0</v>
      </c>
      <c r="AM527" s="1064">
        <f t="shared" si="44"/>
        <v>0</v>
      </c>
      <c r="AN527" s="1064"/>
      <c r="AO527" s="1064">
        <f>TB_prev[[#This Row],[Closing balance]]+TB_prev[[#This Row],[Rounding]]</f>
        <v>0</v>
      </c>
    </row>
    <row r="528" spans="30:41" x14ac:dyDescent="0.25">
      <c r="AD528" s="1067" t="str">
        <f t="shared" si="40"/>
        <v/>
      </c>
      <c r="AE528" s="1063" t="str">
        <f>IF(ISNA(VLOOKUP(TB_prev[[#This Row],[Synt]],GL[[#Headers],[#Data],[subtotal label]],1,FALSE)),0,(VLOOKUP(TB_prev[[#This Row],[Synt]],GL[[#Headers],[#Data],[subtotal label]],1,FALSE)))</f>
        <v/>
      </c>
      <c r="AF528" s="1063" t="e">
        <f>IF((TB_prev[[#This Row],[Synt]]-TB_prev[[#This Row],[Subtotal Y/N]])=0,0,VLOOKUP(TB_prev[[#This Row],[Synt]],GL[[Account]:[Line]],3,FALSE))</f>
        <v>#VALUE!</v>
      </c>
      <c r="AG528" s="1063" t="e">
        <f>VLOOKUP(TB_prev[[#This Row],[Synt]],GL[[Account]:[B/P]],4,FALSE)</f>
        <v>#N/A</v>
      </c>
      <c r="AH528" s="1066" t="e">
        <v>#VALUE!</v>
      </c>
      <c r="AI528" s="1065" t="e">
        <f>TB_prev[[#This Row],[Synt]]&amp;TB_prev[[#This Row],[Line No. manual corr.]]</f>
        <v>#VALUE!</v>
      </c>
      <c r="AJ528" s="1064">
        <f t="shared" si="41"/>
        <v>0</v>
      </c>
      <c r="AK528" s="1064">
        <f t="shared" si="42"/>
        <v>0</v>
      </c>
      <c r="AL528" s="1064">
        <f t="shared" si="43"/>
        <v>0</v>
      </c>
      <c r="AM528" s="1064">
        <f t="shared" si="44"/>
        <v>0</v>
      </c>
      <c r="AN528" s="1064"/>
      <c r="AO528" s="1064">
        <f>TB_prev[[#This Row],[Closing balance]]+TB_prev[[#This Row],[Rounding]]</f>
        <v>0</v>
      </c>
    </row>
    <row r="529" spans="30:41" x14ac:dyDescent="0.25">
      <c r="AD529" s="1067" t="str">
        <f t="shared" si="40"/>
        <v/>
      </c>
      <c r="AE529" s="1063" t="str">
        <f>IF(ISNA(VLOOKUP(TB_prev[[#This Row],[Synt]],GL[[#Headers],[#Data],[subtotal label]],1,FALSE)),0,(VLOOKUP(TB_prev[[#This Row],[Synt]],GL[[#Headers],[#Data],[subtotal label]],1,FALSE)))</f>
        <v/>
      </c>
      <c r="AF529" s="1063" t="e">
        <f>IF((TB_prev[[#This Row],[Synt]]-TB_prev[[#This Row],[Subtotal Y/N]])=0,0,VLOOKUP(TB_prev[[#This Row],[Synt]],GL[[Account]:[Line]],3,FALSE))</f>
        <v>#VALUE!</v>
      </c>
      <c r="AG529" s="1063" t="e">
        <f>VLOOKUP(TB_prev[[#This Row],[Synt]],GL[[Account]:[B/P]],4,FALSE)</f>
        <v>#N/A</v>
      </c>
      <c r="AH529" s="1066" t="e">
        <v>#VALUE!</v>
      </c>
      <c r="AI529" s="1065" t="e">
        <f>TB_prev[[#This Row],[Synt]]&amp;TB_prev[[#This Row],[Line No. manual corr.]]</f>
        <v>#VALUE!</v>
      </c>
      <c r="AJ529" s="1064">
        <f t="shared" si="41"/>
        <v>0</v>
      </c>
      <c r="AK529" s="1064">
        <f t="shared" si="42"/>
        <v>0</v>
      </c>
      <c r="AL529" s="1064">
        <f t="shared" si="43"/>
        <v>0</v>
      </c>
      <c r="AM529" s="1064">
        <f t="shared" si="44"/>
        <v>0</v>
      </c>
      <c r="AN529" s="1064"/>
      <c r="AO529" s="1064">
        <f>TB_prev[[#This Row],[Closing balance]]+TB_prev[[#This Row],[Rounding]]</f>
        <v>0</v>
      </c>
    </row>
    <row r="530" spans="30:41" x14ac:dyDescent="0.25">
      <c r="AD530" s="1067" t="str">
        <f t="shared" si="40"/>
        <v/>
      </c>
      <c r="AE530" s="1063" t="str">
        <f>IF(ISNA(VLOOKUP(TB_prev[[#This Row],[Synt]],GL[[#Headers],[#Data],[subtotal label]],1,FALSE)),0,(VLOOKUP(TB_prev[[#This Row],[Synt]],GL[[#Headers],[#Data],[subtotal label]],1,FALSE)))</f>
        <v/>
      </c>
      <c r="AF530" s="1063" t="e">
        <f>IF((TB_prev[[#This Row],[Synt]]-TB_prev[[#This Row],[Subtotal Y/N]])=0,0,VLOOKUP(TB_prev[[#This Row],[Synt]],GL[[Account]:[Line]],3,FALSE))</f>
        <v>#VALUE!</v>
      </c>
      <c r="AG530" s="1063" t="e">
        <f>VLOOKUP(TB_prev[[#This Row],[Synt]],GL[[Account]:[B/P]],4,FALSE)</f>
        <v>#N/A</v>
      </c>
      <c r="AH530" s="1066" t="e">
        <v>#VALUE!</v>
      </c>
      <c r="AI530" s="1065" t="e">
        <f>TB_prev[[#This Row],[Synt]]&amp;TB_prev[[#This Row],[Line No. manual corr.]]</f>
        <v>#VALUE!</v>
      </c>
      <c r="AJ530" s="1064">
        <f t="shared" si="41"/>
        <v>0</v>
      </c>
      <c r="AK530" s="1064">
        <f t="shared" si="42"/>
        <v>0</v>
      </c>
      <c r="AL530" s="1064">
        <f t="shared" si="43"/>
        <v>0</v>
      </c>
      <c r="AM530" s="1064">
        <f t="shared" si="44"/>
        <v>0</v>
      </c>
      <c r="AN530" s="1064"/>
      <c r="AO530" s="1064">
        <f>TB_prev[[#This Row],[Closing balance]]+TB_prev[[#This Row],[Rounding]]</f>
        <v>0</v>
      </c>
    </row>
    <row r="531" spans="30:41" x14ac:dyDescent="0.25">
      <c r="AD531" s="1067" t="str">
        <f t="shared" si="40"/>
        <v/>
      </c>
      <c r="AE531" s="1063" t="str">
        <f>IF(ISNA(VLOOKUP(TB_prev[[#This Row],[Synt]],GL[[#Headers],[#Data],[subtotal label]],1,FALSE)),0,(VLOOKUP(TB_prev[[#This Row],[Synt]],GL[[#Headers],[#Data],[subtotal label]],1,FALSE)))</f>
        <v/>
      </c>
      <c r="AF531" s="1063" t="e">
        <f>IF((TB_prev[[#This Row],[Synt]]-TB_prev[[#This Row],[Subtotal Y/N]])=0,0,VLOOKUP(TB_prev[[#This Row],[Synt]],GL[[Account]:[Line]],3,FALSE))</f>
        <v>#VALUE!</v>
      </c>
      <c r="AG531" s="1063" t="e">
        <f>VLOOKUP(TB_prev[[#This Row],[Synt]],GL[[Account]:[B/P]],4,FALSE)</f>
        <v>#N/A</v>
      </c>
      <c r="AH531" s="1066" t="e">
        <v>#VALUE!</v>
      </c>
      <c r="AI531" s="1065" t="e">
        <f>TB_prev[[#This Row],[Synt]]&amp;TB_prev[[#This Row],[Line No. manual corr.]]</f>
        <v>#VALUE!</v>
      </c>
      <c r="AJ531" s="1064">
        <f t="shared" si="41"/>
        <v>0</v>
      </c>
      <c r="AK531" s="1064">
        <f t="shared" si="42"/>
        <v>0</v>
      </c>
      <c r="AL531" s="1064">
        <f t="shared" si="43"/>
        <v>0</v>
      </c>
      <c r="AM531" s="1064">
        <f t="shared" si="44"/>
        <v>0</v>
      </c>
      <c r="AN531" s="1064"/>
      <c r="AO531" s="1064">
        <f>TB_prev[[#This Row],[Closing balance]]+TB_prev[[#This Row],[Rounding]]</f>
        <v>0</v>
      </c>
    </row>
    <row r="532" spans="30:41" x14ac:dyDescent="0.25">
      <c r="AD532" s="1067" t="str">
        <f t="shared" si="40"/>
        <v/>
      </c>
      <c r="AE532" s="1063" t="str">
        <f>IF(ISNA(VLOOKUP(TB_prev[[#This Row],[Synt]],GL[[#Headers],[#Data],[subtotal label]],1,FALSE)),0,(VLOOKUP(TB_prev[[#This Row],[Synt]],GL[[#Headers],[#Data],[subtotal label]],1,FALSE)))</f>
        <v/>
      </c>
      <c r="AF532" s="1063" t="e">
        <f>IF((TB_prev[[#This Row],[Synt]]-TB_prev[[#This Row],[Subtotal Y/N]])=0,0,VLOOKUP(TB_prev[[#This Row],[Synt]],GL[[Account]:[Line]],3,FALSE))</f>
        <v>#VALUE!</v>
      </c>
      <c r="AG532" s="1063" t="e">
        <f>VLOOKUP(TB_prev[[#This Row],[Synt]],GL[[Account]:[B/P]],4,FALSE)</f>
        <v>#N/A</v>
      </c>
      <c r="AH532" s="1066" t="e">
        <v>#VALUE!</v>
      </c>
      <c r="AI532" s="1065" t="e">
        <f>TB_prev[[#This Row],[Synt]]&amp;TB_prev[[#This Row],[Line No. manual corr.]]</f>
        <v>#VALUE!</v>
      </c>
      <c r="AJ532" s="1064">
        <f t="shared" si="41"/>
        <v>0</v>
      </c>
      <c r="AK532" s="1064">
        <f t="shared" si="42"/>
        <v>0</v>
      </c>
      <c r="AL532" s="1064">
        <f t="shared" si="43"/>
        <v>0</v>
      </c>
      <c r="AM532" s="1064">
        <f t="shared" si="44"/>
        <v>0</v>
      </c>
      <c r="AN532" s="1064"/>
      <c r="AO532" s="1064">
        <f>TB_prev[[#This Row],[Closing balance]]+TB_prev[[#This Row],[Rounding]]</f>
        <v>0</v>
      </c>
    </row>
    <row r="533" spans="30:41" x14ac:dyDescent="0.25">
      <c r="AD533" s="1067" t="str">
        <f t="shared" si="40"/>
        <v/>
      </c>
      <c r="AE533" s="1063" t="str">
        <f>IF(ISNA(VLOOKUP(TB_prev[[#This Row],[Synt]],GL[[#Headers],[#Data],[subtotal label]],1,FALSE)),0,(VLOOKUP(TB_prev[[#This Row],[Synt]],GL[[#Headers],[#Data],[subtotal label]],1,FALSE)))</f>
        <v/>
      </c>
      <c r="AF533" s="1063" t="e">
        <f>IF((TB_prev[[#This Row],[Synt]]-TB_prev[[#This Row],[Subtotal Y/N]])=0,0,VLOOKUP(TB_prev[[#This Row],[Synt]],GL[[Account]:[Line]],3,FALSE))</f>
        <v>#VALUE!</v>
      </c>
      <c r="AG533" s="1063" t="e">
        <f>VLOOKUP(TB_prev[[#This Row],[Synt]],GL[[Account]:[B/P]],4,FALSE)</f>
        <v>#N/A</v>
      </c>
      <c r="AH533" s="1066" t="e">
        <v>#VALUE!</v>
      </c>
      <c r="AI533" s="1065" t="e">
        <f>TB_prev[[#This Row],[Synt]]&amp;TB_prev[[#This Row],[Line No. manual corr.]]</f>
        <v>#VALUE!</v>
      </c>
      <c r="AJ533" s="1064">
        <f t="shared" si="41"/>
        <v>0</v>
      </c>
      <c r="AK533" s="1064">
        <f t="shared" si="42"/>
        <v>0</v>
      </c>
      <c r="AL533" s="1064">
        <f t="shared" si="43"/>
        <v>0</v>
      </c>
      <c r="AM533" s="1064">
        <f t="shared" si="44"/>
        <v>0</v>
      </c>
      <c r="AN533" s="1064"/>
      <c r="AO533" s="1064">
        <f>TB_prev[[#This Row],[Closing balance]]+TB_prev[[#This Row],[Rounding]]</f>
        <v>0</v>
      </c>
    </row>
    <row r="534" spans="30:41" x14ac:dyDescent="0.25">
      <c r="AD534" s="1067" t="str">
        <f t="shared" si="40"/>
        <v/>
      </c>
      <c r="AE534" s="1063" t="str">
        <f>IF(ISNA(VLOOKUP(TB_prev[[#This Row],[Synt]],GL[[#Headers],[#Data],[subtotal label]],1,FALSE)),0,(VLOOKUP(TB_prev[[#This Row],[Synt]],GL[[#Headers],[#Data],[subtotal label]],1,FALSE)))</f>
        <v/>
      </c>
      <c r="AF534" s="1063" t="e">
        <f>IF((TB_prev[[#This Row],[Synt]]-TB_prev[[#This Row],[Subtotal Y/N]])=0,0,VLOOKUP(TB_prev[[#This Row],[Synt]],GL[[Account]:[Line]],3,FALSE))</f>
        <v>#VALUE!</v>
      </c>
      <c r="AG534" s="1063" t="e">
        <f>VLOOKUP(TB_prev[[#This Row],[Synt]],GL[[Account]:[B/P]],4,FALSE)</f>
        <v>#N/A</v>
      </c>
      <c r="AH534" s="1066" t="e">
        <v>#VALUE!</v>
      </c>
      <c r="AI534" s="1065" t="e">
        <f>TB_prev[[#This Row],[Synt]]&amp;TB_prev[[#This Row],[Line No. manual corr.]]</f>
        <v>#VALUE!</v>
      </c>
      <c r="AJ534" s="1064">
        <f t="shared" si="41"/>
        <v>0</v>
      </c>
      <c r="AK534" s="1064">
        <f t="shared" si="42"/>
        <v>0</v>
      </c>
      <c r="AL534" s="1064">
        <f t="shared" si="43"/>
        <v>0</v>
      </c>
      <c r="AM534" s="1064">
        <f t="shared" si="44"/>
        <v>0</v>
      </c>
      <c r="AN534" s="1064"/>
      <c r="AO534" s="1064">
        <f>TB_prev[[#This Row],[Closing balance]]+TB_prev[[#This Row],[Rounding]]</f>
        <v>0</v>
      </c>
    </row>
    <row r="535" spans="30:41" x14ac:dyDescent="0.25">
      <c r="AD535" s="1067" t="str">
        <f t="shared" si="40"/>
        <v/>
      </c>
      <c r="AE535" s="1063" t="str">
        <f>IF(ISNA(VLOOKUP(TB_prev[[#This Row],[Synt]],GL[[#Headers],[#Data],[subtotal label]],1,FALSE)),0,(VLOOKUP(TB_prev[[#This Row],[Synt]],GL[[#Headers],[#Data],[subtotal label]],1,FALSE)))</f>
        <v/>
      </c>
      <c r="AF535" s="1063" t="e">
        <f>IF((TB_prev[[#This Row],[Synt]]-TB_prev[[#This Row],[Subtotal Y/N]])=0,0,VLOOKUP(TB_prev[[#This Row],[Synt]],GL[[Account]:[Line]],3,FALSE))</f>
        <v>#VALUE!</v>
      </c>
      <c r="AG535" s="1063" t="e">
        <f>VLOOKUP(TB_prev[[#This Row],[Synt]],GL[[Account]:[B/P]],4,FALSE)</f>
        <v>#N/A</v>
      </c>
      <c r="AH535" s="1066" t="e">
        <v>#VALUE!</v>
      </c>
      <c r="AI535" s="1065" t="e">
        <f>TB_prev[[#This Row],[Synt]]&amp;TB_prev[[#This Row],[Line No. manual corr.]]</f>
        <v>#VALUE!</v>
      </c>
      <c r="AJ535" s="1064">
        <f t="shared" si="41"/>
        <v>0</v>
      </c>
      <c r="AK535" s="1064">
        <f t="shared" si="42"/>
        <v>0</v>
      </c>
      <c r="AL535" s="1064">
        <f t="shared" si="43"/>
        <v>0</v>
      </c>
      <c r="AM535" s="1064">
        <f t="shared" si="44"/>
        <v>0</v>
      </c>
      <c r="AN535" s="1064"/>
      <c r="AO535" s="1064">
        <f>TB_prev[[#This Row],[Closing balance]]+TB_prev[[#This Row],[Rounding]]</f>
        <v>0</v>
      </c>
    </row>
    <row r="536" spans="30:41" x14ac:dyDescent="0.25">
      <c r="AD536" s="1067" t="str">
        <f t="shared" si="40"/>
        <v/>
      </c>
      <c r="AE536" s="1063" t="str">
        <f>IF(ISNA(VLOOKUP(TB_prev[[#This Row],[Synt]],GL[[#Headers],[#Data],[subtotal label]],1,FALSE)),0,(VLOOKUP(TB_prev[[#This Row],[Synt]],GL[[#Headers],[#Data],[subtotal label]],1,FALSE)))</f>
        <v/>
      </c>
      <c r="AF536" s="1063" t="e">
        <f>IF((TB_prev[[#This Row],[Synt]]-TB_prev[[#This Row],[Subtotal Y/N]])=0,0,VLOOKUP(TB_prev[[#This Row],[Synt]],GL[[Account]:[Line]],3,FALSE))</f>
        <v>#VALUE!</v>
      </c>
      <c r="AG536" s="1063" t="e">
        <f>VLOOKUP(TB_prev[[#This Row],[Synt]],GL[[Account]:[B/P]],4,FALSE)</f>
        <v>#N/A</v>
      </c>
      <c r="AH536" s="1066" t="e">
        <v>#VALUE!</v>
      </c>
      <c r="AI536" s="1065" t="e">
        <f>TB_prev[[#This Row],[Synt]]&amp;TB_prev[[#This Row],[Line No. manual corr.]]</f>
        <v>#VALUE!</v>
      </c>
      <c r="AJ536" s="1064">
        <f t="shared" si="41"/>
        <v>0</v>
      </c>
      <c r="AK536" s="1064">
        <f t="shared" si="42"/>
        <v>0</v>
      </c>
      <c r="AL536" s="1064">
        <f t="shared" si="43"/>
        <v>0</v>
      </c>
      <c r="AM536" s="1064">
        <f t="shared" si="44"/>
        <v>0</v>
      </c>
      <c r="AN536" s="1064"/>
      <c r="AO536" s="1064">
        <f>TB_prev[[#This Row],[Closing balance]]+TB_prev[[#This Row],[Rounding]]</f>
        <v>0</v>
      </c>
    </row>
    <row r="537" spans="30:41" x14ac:dyDescent="0.25">
      <c r="AD537" s="1067" t="str">
        <f t="shared" si="40"/>
        <v/>
      </c>
      <c r="AE537" s="1063" t="str">
        <f>IF(ISNA(VLOOKUP(TB_prev[[#This Row],[Synt]],GL[[#Headers],[#Data],[subtotal label]],1,FALSE)),0,(VLOOKUP(TB_prev[[#This Row],[Synt]],GL[[#Headers],[#Data],[subtotal label]],1,FALSE)))</f>
        <v/>
      </c>
      <c r="AF537" s="1063" t="e">
        <f>IF((TB_prev[[#This Row],[Synt]]-TB_prev[[#This Row],[Subtotal Y/N]])=0,0,VLOOKUP(TB_prev[[#This Row],[Synt]],GL[[Account]:[Line]],3,FALSE))</f>
        <v>#VALUE!</v>
      </c>
      <c r="AG537" s="1063" t="e">
        <f>VLOOKUP(TB_prev[[#This Row],[Synt]],GL[[Account]:[B/P]],4,FALSE)</f>
        <v>#N/A</v>
      </c>
      <c r="AH537" s="1066" t="e">
        <v>#VALUE!</v>
      </c>
      <c r="AI537" s="1065" t="e">
        <f>TB_prev[[#This Row],[Synt]]&amp;TB_prev[[#This Row],[Line No. manual corr.]]</f>
        <v>#VALUE!</v>
      </c>
      <c r="AJ537" s="1064">
        <f t="shared" si="41"/>
        <v>0</v>
      </c>
      <c r="AK537" s="1064">
        <f t="shared" si="42"/>
        <v>0</v>
      </c>
      <c r="AL537" s="1064">
        <f t="shared" si="43"/>
        <v>0</v>
      </c>
      <c r="AM537" s="1064">
        <f t="shared" si="44"/>
        <v>0</v>
      </c>
      <c r="AN537" s="1064"/>
      <c r="AO537" s="1064">
        <f>TB_prev[[#This Row],[Closing balance]]+TB_prev[[#This Row],[Rounding]]</f>
        <v>0</v>
      </c>
    </row>
    <row r="538" spans="30:41" x14ac:dyDescent="0.25">
      <c r="AD538" s="1067" t="str">
        <f t="shared" si="40"/>
        <v/>
      </c>
      <c r="AE538" s="1063" t="str">
        <f>IF(ISNA(VLOOKUP(TB_prev[[#This Row],[Synt]],GL[[#Headers],[#Data],[subtotal label]],1,FALSE)),0,(VLOOKUP(TB_prev[[#This Row],[Synt]],GL[[#Headers],[#Data],[subtotal label]],1,FALSE)))</f>
        <v/>
      </c>
      <c r="AF538" s="1063" t="e">
        <f>IF((TB_prev[[#This Row],[Synt]]-TB_prev[[#This Row],[Subtotal Y/N]])=0,0,VLOOKUP(TB_prev[[#This Row],[Synt]],GL[[Account]:[Line]],3,FALSE))</f>
        <v>#VALUE!</v>
      </c>
      <c r="AG538" s="1063" t="e">
        <f>VLOOKUP(TB_prev[[#This Row],[Synt]],GL[[Account]:[B/P]],4,FALSE)</f>
        <v>#N/A</v>
      </c>
      <c r="AH538" s="1066" t="e">
        <v>#VALUE!</v>
      </c>
      <c r="AI538" s="1065" t="e">
        <f>TB_prev[[#This Row],[Synt]]&amp;TB_prev[[#This Row],[Line No. manual corr.]]</f>
        <v>#VALUE!</v>
      </c>
      <c r="AJ538" s="1064">
        <f t="shared" si="41"/>
        <v>0</v>
      </c>
      <c r="AK538" s="1064">
        <f t="shared" si="42"/>
        <v>0</v>
      </c>
      <c r="AL538" s="1064">
        <f t="shared" si="43"/>
        <v>0</v>
      </c>
      <c r="AM538" s="1064">
        <f t="shared" si="44"/>
        <v>0</v>
      </c>
      <c r="AN538" s="1064"/>
      <c r="AO538" s="1064">
        <f>TB_prev[[#This Row],[Closing balance]]+TB_prev[[#This Row],[Rounding]]</f>
        <v>0</v>
      </c>
    </row>
    <row r="539" spans="30:41" x14ac:dyDescent="0.25">
      <c r="AD539" s="1067" t="str">
        <f t="shared" si="40"/>
        <v/>
      </c>
      <c r="AE539" s="1063" t="str">
        <f>IF(ISNA(VLOOKUP(TB_prev[[#This Row],[Synt]],GL[[#Headers],[#Data],[subtotal label]],1,FALSE)),0,(VLOOKUP(TB_prev[[#This Row],[Synt]],GL[[#Headers],[#Data],[subtotal label]],1,FALSE)))</f>
        <v/>
      </c>
      <c r="AF539" s="1063" t="e">
        <f>IF((TB_prev[[#This Row],[Synt]]-TB_prev[[#This Row],[Subtotal Y/N]])=0,0,VLOOKUP(TB_prev[[#This Row],[Synt]],GL[[Account]:[Line]],3,FALSE))</f>
        <v>#VALUE!</v>
      </c>
      <c r="AG539" s="1063" t="e">
        <f>VLOOKUP(TB_prev[[#This Row],[Synt]],GL[[Account]:[B/P]],4,FALSE)</f>
        <v>#N/A</v>
      </c>
      <c r="AH539" s="1066" t="e">
        <v>#VALUE!</v>
      </c>
      <c r="AI539" s="1065" t="e">
        <f>TB_prev[[#This Row],[Synt]]&amp;TB_prev[[#This Row],[Line No. manual corr.]]</f>
        <v>#VALUE!</v>
      </c>
      <c r="AJ539" s="1064">
        <f t="shared" si="41"/>
        <v>0</v>
      </c>
      <c r="AK539" s="1064">
        <f t="shared" si="42"/>
        <v>0</v>
      </c>
      <c r="AL539" s="1064">
        <f t="shared" si="43"/>
        <v>0</v>
      </c>
      <c r="AM539" s="1064">
        <f t="shared" si="44"/>
        <v>0</v>
      </c>
      <c r="AN539" s="1064"/>
      <c r="AO539" s="1064">
        <f>TB_prev[[#This Row],[Closing balance]]+TB_prev[[#This Row],[Rounding]]</f>
        <v>0</v>
      </c>
    </row>
    <row r="540" spans="30:41" x14ac:dyDescent="0.25">
      <c r="AD540" s="1067" t="str">
        <f t="shared" si="40"/>
        <v/>
      </c>
      <c r="AE540" s="1063" t="str">
        <f>IF(ISNA(VLOOKUP(TB_prev[[#This Row],[Synt]],GL[[#Headers],[#Data],[subtotal label]],1,FALSE)),0,(VLOOKUP(TB_prev[[#This Row],[Synt]],GL[[#Headers],[#Data],[subtotal label]],1,FALSE)))</f>
        <v/>
      </c>
      <c r="AF540" s="1063" t="e">
        <f>IF((TB_prev[[#This Row],[Synt]]-TB_prev[[#This Row],[Subtotal Y/N]])=0,0,VLOOKUP(TB_prev[[#This Row],[Synt]],GL[[Account]:[Line]],3,FALSE))</f>
        <v>#VALUE!</v>
      </c>
      <c r="AG540" s="1063" t="e">
        <f>VLOOKUP(TB_prev[[#This Row],[Synt]],GL[[Account]:[B/P]],4,FALSE)</f>
        <v>#N/A</v>
      </c>
      <c r="AH540" s="1066" t="e">
        <v>#VALUE!</v>
      </c>
      <c r="AI540" s="1065" t="e">
        <f>TB_prev[[#This Row],[Synt]]&amp;TB_prev[[#This Row],[Line No. manual corr.]]</f>
        <v>#VALUE!</v>
      </c>
      <c r="AJ540" s="1064">
        <f t="shared" si="41"/>
        <v>0</v>
      </c>
      <c r="AK540" s="1064">
        <f t="shared" si="42"/>
        <v>0</v>
      </c>
      <c r="AL540" s="1064">
        <f t="shared" si="43"/>
        <v>0</v>
      </c>
      <c r="AM540" s="1064">
        <f t="shared" si="44"/>
        <v>0</v>
      </c>
      <c r="AN540" s="1064"/>
      <c r="AO540" s="1064">
        <f>TB_prev[[#This Row],[Closing balance]]+TB_prev[[#This Row],[Rounding]]</f>
        <v>0</v>
      </c>
    </row>
    <row r="541" spans="30:41" x14ac:dyDescent="0.25">
      <c r="AD541" s="1067" t="str">
        <f t="shared" si="40"/>
        <v/>
      </c>
      <c r="AE541" s="1063" t="str">
        <f>IF(ISNA(VLOOKUP(TB_prev[[#This Row],[Synt]],GL[[#Headers],[#Data],[subtotal label]],1,FALSE)),0,(VLOOKUP(TB_prev[[#This Row],[Synt]],GL[[#Headers],[#Data],[subtotal label]],1,FALSE)))</f>
        <v/>
      </c>
      <c r="AF541" s="1063" t="e">
        <f>IF((TB_prev[[#This Row],[Synt]]-TB_prev[[#This Row],[Subtotal Y/N]])=0,0,VLOOKUP(TB_prev[[#This Row],[Synt]],GL[[Account]:[Line]],3,FALSE))</f>
        <v>#VALUE!</v>
      </c>
      <c r="AG541" s="1063" t="e">
        <f>VLOOKUP(TB_prev[[#This Row],[Synt]],GL[[Account]:[B/P]],4,FALSE)</f>
        <v>#N/A</v>
      </c>
      <c r="AH541" s="1066" t="e">
        <v>#VALUE!</v>
      </c>
      <c r="AI541" s="1065" t="e">
        <f>TB_prev[[#This Row],[Synt]]&amp;TB_prev[[#This Row],[Line No. manual corr.]]</f>
        <v>#VALUE!</v>
      </c>
      <c r="AJ541" s="1064">
        <f t="shared" si="41"/>
        <v>0</v>
      </c>
      <c r="AK541" s="1064">
        <f t="shared" si="42"/>
        <v>0</v>
      </c>
      <c r="AL541" s="1064">
        <f t="shared" si="43"/>
        <v>0</v>
      </c>
      <c r="AM541" s="1064">
        <f t="shared" si="44"/>
        <v>0</v>
      </c>
      <c r="AN541" s="1064"/>
      <c r="AO541" s="1064">
        <f>TB_prev[[#This Row],[Closing balance]]+TB_prev[[#This Row],[Rounding]]</f>
        <v>0</v>
      </c>
    </row>
    <row r="542" spans="30:41" x14ac:dyDescent="0.25">
      <c r="AD542" s="1067" t="str">
        <f t="shared" si="40"/>
        <v/>
      </c>
      <c r="AE542" s="1063" t="str">
        <f>IF(ISNA(VLOOKUP(TB_prev[[#This Row],[Synt]],GL[[#Headers],[#Data],[subtotal label]],1,FALSE)),0,(VLOOKUP(TB_prev[[#This Row],[Synt]],GL[[#Headers],[#Data],[subtotal label]],1,FALSE)))</f>
        <v/>
      </c>
      <c r="AF542" s="1063" t="e">
        <f>IF((TB_prev[[#This Row],[Synt]]-TB_prev[[#This Row],[Subtotal Y/N]])=0,0,VLOOKUP(TB_prev[[#This Row],[Synt]],GL[[Account]:[Line]],3,FALSE))</f>
        <v>#VALUE!</v>
      </c>
      <c r="AG542" s="1063" t="e">
        <f>VLOOKUP(TB_prev[[#This Row],[Synt]],GL[[Account]:[B/P]],4,FALSE)</f>
        <v>#N/A</v>
      </c>
      <c r="AH542" s="1066" t="e">
        <v>#VALUE!</v>
      </c>
      <c r="AI542" s="1065" t="e">
        <f>TB_prev[[#This Row],[Synt]]&amp;TB_prev[[#This Row],[Line No. manual corr.]]</f>
        <v>#VALUE!</v>
      </c>
      <c r="AJ542" s="1064">
        <f t="shared" si="41"/>
        <v>0</v>
      </c>
      <c r="AK542" s="1064">
        <f t="shared" si="42"/>
        <v>0</v>
      </c>
      <c r="AL542" s="1064">
        <f t="shared" si="43"/>
        <v>0</v>
      </c>
      <c r="AM542" s="1064">
        <f t="shared" si="44"/>
        <v>0</v>
      </c>
      <c r="AN542" s="1064"/>
      <c r="AO542" s="1064">
        <f>TB_prev[[#This Row],[Closing balance]]+TB_prev[[#This Row],[Rounding]]</f>
        <v>0</v>
      </c>
    </row>
    <row r="543" spans="30:41" x14ac:dyDescent="0.25">
      <c r="AD543" s="1067" t="str">
        <f t="shared" si="40"/>
        <v/>
      </c>
      <c r="AE543" s="1063" t="str">
        <f>IF(ISNA(VLOOKUP(TB_prev[[#This Row],[Synt]],GL[[#Headers],[#Data],[subtotal label]],1,FALSE)),0,(VLOOKUP(TB_prev[[#This Row],[Synt]],GL[[#Headers],[#Data],[subtotal label]],1,FALSE)))</f>
        <v/>
      </c>
      <c r="AF543" s="1063" t="e">
        <f>IF((TB_prev[[#This Row],[Synt]]-TB_prev[[#This Row],[Subtotal Y/N]])=0,0,VLOOKUP(TB_prev[[#This Row],[Synt]],GL[[Account]:[Line]],3,FALSE))</f>
        <v>#VALUE!</v>
      </c>
      <c r="AG543" s="1063" t="e">
        <f>VLOOKUP(TB_prev[[#This Row],[Synt]],GL[[Account]:[B/P]],4,FALSE)</f>
        <v>#N/A</v>
      </c>
      <c r="AH543" s="1066" t="e">
        <v>#VALUE!</v>
      </c>
      <c r="AI543" s="1065" t="e">
        <f>TB_prev[[#This Row],[Synt]]&amp;TB_prev[[#This Row],[Line No. manual corr.]]</f>
        <v>#VALUE!</v>
      </c>
      <c r="AJ543" s="1064">
        <f t="shared" si="41"/>
        <v>0</v>
      </c>
      <c r="AK543" s="1064">
        <f t="shared" si="42"/>
        <v>0</v>
      </c>
      <c r="AL543" s="1064">
        <f t="shared" si="43"/>
        <v>0</v>
      </c>
      <c r="AM543" s="1064">
        <f t="shared" si="44"/>
        <v>0</v>
      </c>
      <c r="AN543" s="1064"/>
      <c r="AO543" s="1064">
        <f>TB_prev[[#This Row],[Closing balance]]+TB_prev[[#This Row],[Rounding]]</f>
        <v>0</v>
      </c>
    </row>
    <row r="544" spans="30:41" x14ac:dyDescent="0.25">
      <c r="AD544" s="1067" t="str">
        <f t="shared" si="40"/>
        <v/>
      </c>
      <c r="AE544" s="1063" t="str">
        <f>IF(ISNA(VLOOKUP(TB_prev[[#This Row],[Synt]],GL[[#Headers],[#Data],[subtotal label]],1,FALSE)),0,(VLOOKUP(TB_prev[[#This Row],[Synt]],GL[[#Headers],[#Data],[subtotal label]],1,FALSE)))</f>
        <v/>
      </c>
      <c r="AF544" s="1063" t="e">
        <f>IF((TB_prev[[#This Row],[Synt]]-TB_prev[[#This Row],[Subtotal Y/N]])=0,0,VLOOKUP(TB_prev[[#This Row],[Synt]],GL[[Account]:[Line]],3,FALSE))</f>
        <v>#VALUE!</v>
      </c>
      <c r="AG544" s="1063" t="e">
        <f>VLOOKUP(TB_prev[[#This Row],[Synt]],GL[[Account]:[B/P]],4,FALSE)</f>
        <v>#N/A</v>
      </c>
      <c r="AH544" s="1066" t="e">
        <v>#VALUE!</v>
      </c>
      <c r="AI544" s="1065" t="e">
        <f>TB_prev[[#This Row],[Synt]]&amp;TB_prev[[#This Row],[Line No. manual corr.]]</f>
        <v>#VALUE!</v>
      </c>
      <c r="AJ544" s="1064">
        <f t="shared" si="41"/>
        <v>0</v>
      </c>
      <c r="AK544" s="1064">
        <f t="shared" si="42"/>
        <v>0</v>
      </c>
      <c r="AL544" s="1064">
        <f t="shared" si="43"/>
        <v>0</v>
      </c>
      <c r="AM544" s="1064">
        <f t="shared" si="44"/>
        <v>0</v>
      </c>
      <c r="AN544" s="1064"/>
      <c r="AO544" s="1064">
        <f>TB_prev[[#This Row],[Closing balance]]+TB_prev[[#This Row],[Rounding]]</f>
        <v>0</v>
      </c>
    </row>
    <row r="545" spans="30:41" x14ac:dyDescent="0.25">
      <c r="AD545" s="1067" t="str">
        <f t="shared" si="40"/>
        <v/>
      </c>
      <c r="AE545" s="1063" t="str">
        <f>IF(ISNA(VLOOKUP(TB_prev[[#This Row],[Synt]],GL[[#Headers],[#Data],[subtotal label]],1,FALSE)),0,(VLOOKUP(TB_prev[[#This Row],[Synt]],GL[[#Headers],[#Data],[subtotal label]],1,FALSE)))</f>
        <v/>
      </c>
      <c r="AF545" s="1063" t="e">
        <f>IF((TB_prev[[#This Row],[Synt]]-TB_prev[[#This Row],[Subtotal Y/N]])=0,0,VLOOKUP(TB_prev[[#This Row],[Synt]],GL[[Account]:[Line]],3,FALSE))</f>
        <v>#VALUE!</v>
      </c>
      <c r="AG545" s="1063" t="e">
        <f>VLOOKUP(TB_prev[[#This Row],[Synt]],GL[[Account]:[B/P]],4,FALSE)</f>
        <v>#N/A</v>
      </c>
      <c r="AH545" s="1066" t="e">
        <v>#VALUE!</v>
      </c>
      <c r="AI545" s="1065" t="e">
        <f>TB_prev[[#This Row],[Synt]]&amp;TB_prev[[#This Row],[Line No. manual corr.]]</f>
        <v>#VALUE!</v>
      </c>
      <c r="AJ545" s="1064">
        <f t="shared" si="41"/>
        <v>0</v>
      </c>
      <c r="AK545" s="1064">
        <f t="shared" si="42"/>
        <v>0</v>
      </c>
      <c r="AL545" s="1064">
        <f t="shared" si="43"/>
        <v>0</v>
      </c>
      <c r="AM545" s="1064">
        <f t="shared" si="44"/>
        <v>0</v>
      </c>
      <c r="AN545" s="1064"/>
      <c r="AO545" s="1064">
        <f>TB_prev[[#This Row],[Closing balance]]+TB_prev[[#This Row],[Rounding]]</f>
        <v>0</v>
      </c>
    </row>
    <row r="546" spans="30:41" x14ac:dyDescent="0.25">
      <c r="AD546" s="1067" t="str">
        <f t="shared" si="40"/>
        <v/>
      </c>
      <c r="AE546" s="1063" t="str">
        <f>IF(ISNA(VLOOKUP(TB_prev[[#This Row],[Synt]],GL[[#Headers],[#Data],[subtotal label]],1,FALSE)),0,(VLOOKUP(TB_prev[[#This Row],[Synt]],GL[[#Headers],[#Data],[subtotal label]],1,FALSE)))</f>
        <v/>
      </c>
      <c r="AF546" s="1063" t="e">
        <f>IF((TB_prev[[#This Row],[Synt]]-TB_prev[[#This Row],[Subtotal Y/N]])=0,0,VLOOKUP(TB_prev[[#This Row],[Synt]],GL[[Account]:[Line]],3,FALSE))</f>
        <v>#VALUE!</v>
      </c>
      <c r="AG546" s="1063" t="e">
        <f>VLOOKUP(TB_prev[[#This Row],[Synt]],GL[[Account]:[B/P]],4,FALSE)</f>
        <v>#N/A</v>
      </c>
      <c r="AH546" s="1066" t="e">
        <v>#VALUE!</v>
      </c>
      <c r="AI546" s="1065" t="e">
        <f>TB_prev[[#This Row],[Synt]]&amp;TB_prev[[#This Row],[Line No. manual corr.]]</f>
        <v>#VALUE!</v>
      </c>
      <c r="AJ546" s="1064">
        <f t="shared" si="41"/>
        <v>0</v>
      </c>
      <c r="AK546" s="1064">
        <f t="shared" si="42"/>
        <v>0</v>
      </c>
      <c r="AL546" s="1064">
        <f t="shared" si="43"/>
        <v>0</v>
      </c>
      <c r="AM546" s="1064">
        <f t="shared" si="44"/>
        <v>0</v>
      </c>
      <c r="AN546" s="1064"/>
      <c r="AO546" s="1064">
        <f>TB_prev[[#This Row],[Closing balance]]+TB_prev[[#This Row],[Rounding]]</f>
        <v>0</v>
      </c>
    </row>
    <row r="547" spans="30:41" x14ac:dyDescent="0.25">
      <c r="AD547" s="1067" t="str">
        <f t="shared" si="40"/>
        <v/>
      </c>
      <c r="AE547" s="1063" t="str">
        <f>IF(ISNA(VLOOKUP(TB_prev[[#This Row],[Synt]],GL[[#Headers],[#Data],[subtotal label]],1,FALSE)),0,(VLOOKUP(TB_prev[[#This Row],[Synt]],GL[[#Headers],[#Data],[subtotal label]],1,FALSE)))</f>
        <v/>
      </c>
      <c r="AF547" s="1063" t="e">
        <f>IF((TB_prev[[#This Row],[Synt]]-TB_prev[[#This Row],[Subtotal Y/N]])=0,0,VLOOKUP(TB_prev[[#This Row],[Synt]],GL[[Account]:[Line]],3,FALSE))</f>
        <v>#VALUE!</v>
      </c>
      <c r="AG547" s="1063" t="e">
        <f>VLOOKUP(TB_prev[[#This Row],[Synt]],GL[[Account]:[B/P]],4,FALSE)</f>
        <v>#N/A</v>
      </c>
      <c r="AH547" s="1066" t="e">
        <v>#VALUE!</v>
      </c>
      <c r="AI547" s="1065" t="e">
        <f>TB_prev[[#This Row],[Synt]]&amp;TB_prev[[#This Row],[Line No. manual corr.]]</f>
        <v>#VALUE!</v>
      </c>
      <c r="AJ547" s="1064">
        <f t="shared" si="41"/>
        <v>0</v>
      </c>
      <c r="AK547" s="1064">
        <f t="shared" si="42"/>
        <v>0</v>
      </c>
      <c r="AL547" s="1064">
        <f t="shared" si="43"/>
        <v>0</v>
      </c>
      <c r="AM547" s="1064">
        <f t="shared" si="44"/>
        <v>0</v>
      </c>
      <c r="AN547" s="1064"/>
      <c r="AO547" s="1064">
        <f>TB_prev[[#This Row],[Closing balance]]+TB_prev[[#This Row],[Rounding]]</f>
        <v>0</v>
      </c>
    </row>
    <row r="548" spans="30:41" x14ac:dyDescent="0.25">
      <c r="AD548" s="1067" t="str">
        <f t="shared" si="40"/>
        <v/>
      </c>
      <c r="AE548" s="1063" t="str">
        <f>IF(ISNA(VLOOKUP(TB_prev[[#This Row],[Synt]],GL[[#Headers],[#Data],[subtotal label]],1,FALSE)),0,(VLOOKUP(TB_prev[[#This Row],[Synt]],GL[[#Headers],[#Data],[subtotal label]],1,FALSE)))</f>
        <v/>
      </c>
      <c r="AF548" s="1063" t="e">
        <f>IF((TB_prev[[#This Row],[Synt]]-TB_prev[[#This Row],[Subtotal Y/N]])=0,0,VLOOKUP(TB_prev[[#This Row],[Synt]],GL[[Account]:[Line]],3,FALSE))</f>
        <v>#VALUE!</v>
      </c>
      <c r="AG548" s="1063" t="e">
        <f>VLOOKUP(TB_prev[[#This Row],[Synt]],GL[[Account]:[B/P]],4,FALSE)</f>
        <v>#N/A</v>
      </c>
      <c r="AH548" s="1066" t="e">
        <v>#VALUE!</v>
      </c>
      <c r="AI548" s="1065" t="e">
        <f>TB_prev[[#This Row],[Synt]]&amp;TB_prev[[#This Row],[Line No. manual corr.]]</f>
        <v>#VALUE!</v>
      </c>
      <c r="AJ548" s="1064">
        <f t="shared" si="41"/>
        <v>0</v>
      </c>
      <c r="AK548" s="1064">
        <f t="shared" si="42"/>
        <v>0</v>
      </c>
      <c r="AL548" s="1064">
        <f t="shared" si="43"/>
        <v>0</v>
      </c>
      <c r="AM548" s="1064">
        <f t="shared" si="44"/>
        <v>0</v>
      </c>
      <c r="AN548" s="1064"/>
      <c r="AO548" s="1064">
        <f>TB_prev[[#This Row],[Closing balance]]+TB_prev[[#This Row],[Rounding]]</f>
        <v>0</v>
      </c>
    </row>
    <row r="549" spans="30:41" x14ac:dyDescent="0.25">
      <c r="AD549" s="1067" t="str">
        <f t="shared" si="40"/>
        <v/>
      </c>
      <c r="AE549" s="1063" t="str">
        <f>IF(ISNA(VLOOKUP(TB_prev[[#This Row],[Synt]],GL[[#Headers],[#Data],[subtotal label]],1,FALSE)),0,(VLOOKUP(TB_prev[[#This Row],[Synt]],GL[[#Headers],[#Data],[subtotal label]],1,FALSE)))</f>
        <v/>
      </c>
      <c r="AF549" s="1063" t="e">
        <f>IF((TB_prev[[#This Row],[Synt]]-TB_prev[[#This Row],[Subtotal Y/N]])=0,0,VLOOKUP(TB_prev[[#This Row],[Synt]],GL[[Account]:[Line]],3,FALSE))</f>
        <v>#VALUE!</v>
      </c>
      <c r="AG549" s="1063" t="e">
        <f>VLOOKUP(TB_prev[[#This Row],[Synt]],GL[[Account]:[B/P]],4,FALSE)</f>
        <v>#N/A</v>
      </c>
      <c r="AH549" s="1066" t="e">
        <v>#VALUE!</v>
      </c>
      <c r="AI549" s="1065" t="e">
        <f>TB_prev[[#This Row],[Synt]]&amp;TB_prev[[#This Row],[Line No. manual corr.]]</f>
        <v>#VALUE!</v>
      </c>
      <c r="AJ549" s="1064">
        <f t="shared" si="41"/>
        <v>0</v>
      </c>
      <c r="AK549" s="1064">
        <f t="shared" si="42"/>
        <v>0</v>
      </c>
      <c r="AL549" s="1064">
        <f t="shared" si="43"/>
        <v>0</v>
      </c>
      <c r="AM549" s="1064">
        <f t="shared" si="44"/>
        <v>0</v>
      </c>
      <c r="AN549" s="1064"/>
      <c r="AO549" s="1064">
        <f>TB_prev[[#This Row],[Closing balance]]+TB_prev[[#This Row],[Rounding]]</f>
        <v>0</v>
      </c>
    </row>
    <row r="550" spans="30:41" x14ac:dyDescent="0.25">
      <c r="AD550" s="1067" t="str">
        <f t="shared" si="40"/>
        <v/>
      </c>
      <c r="AE550" s="1063" t="str">
        <f>IF(ISNA(VLOOKUP(TB_prev[[#This Row],[Synt]],GL[[#Headers],[#Data],[subtotal label]],1,FALSE)),0,(VLOOKUP(TB_prev[[#This Row],[Synt]],GL[[#Headers],[#Data],[subtotal label]],1,FALSE)))</f>
        <v/>
      </c>
      <c r="AF550" s="1063" t="e">
        <f>IF((TB_prev[[#This Row],[Synt]]-TB_prev[[#This Row],[Subtotal Y/N]])=0,0,VLOOKUP(TB_prev[[#This Row],[Synt]],GL[[Account]:[Line]],3,FALSE))</f>
        <v>#VALUE!</v>
      </c>
      <c r="AG550" s="1063" t="e">
        <f>VLOOKUP(TB_prev[[#This Row],[Synt]],GL[[Account]:[B/P]],4,FALSE)</f>
        <v>#N/A</v>
      </c>
      <c r="AH550" s="1066" t="e">
        <v>#VALUE!</v>
      </c>
      <c r="AI550" s="1065" t="e">
        <f>TB_prev[[#This Row],[Synt]]&amp;TB_prev[[#This Row],[Line No. manual corr.]]</f>
        <v>#VALUE!</v>
      </c>
      <c r="AJ550" s="1064">
        <f t="shared" si="41"/>
        <v>0</v>
      </c>
      <c r="AK550" s="1064">
        <f t="shared" si="42"/>
        <v>0</v>
      </c>
      <c r="AL550" s="1064">
        <f t="shared" si="43"/>
        <v>0</v>
      </c>
      <c r="AM550" s="1064">
        <f t="shared" si="44"/>
        <v>0</v>
      </c>
      <c r="AN550" s="1064"/>
      <c r="AO550" s="1064">
        <f>TB_prev[[#This Row],[Closing balance]]+TB_prev[[#This Row],[Rounding]]</f>
        <v>0</v>
      </c>
    </row>
    <row r="551" spans="30:41" x14ac:dyDescent="0.25">
      <c r="AD551" s="1067" t="str">
        <f t="shared" si="40"/>
        <v/>
      </c>
      <c r="AE551" s="1063" t="str">
        <f>IF(ISNA(VLOOKUP(TB_prev[[#This Row],[Synt]],GL[[#Headers],[#Data],[subtotal label]],1,FALSE)),0,(VLOOKUP(TB_prev[[#This Row],[Synt]],GL[[#Headers],[#Data],[subtotal label]],1,FALSE)))</f>
        <v/>
      </c>
      <c r="AF551" s="1063" t="e">
        <f>IF((TB_prev[[#This Row],[Synt]]-TB_prev[[#This Row],[Subtotal Y/N]])=0,0,VLOOKUP(TB_prev[[#This Row],[Synt]],GL[[Account]:[Line]],3,FALSE))</f>
        <v>#VALUE!</v>
      </c>
      <c r="AG551" s="1063" t="e">
        <f>VLOOKUP(TB_prev[[#This Row],[Synt]],GL[[Account]:[B/P]],4,FALSE)</f>
        <v>#N/A</v>
      </c>
      <c r="AH551" s="1066" t="e">
        <v>#VALUE!</v>
      </c>
      <c r="AI551" s="1065" t="e">
        <f>TB_prev[[#This Row],[Synt]]&amp;TB_prev[[#This Row],[Line No. manual corr.]]</f>
        <v>#VALUE!</v>
      </c>
      <c r="AJ551" s="1064">
        <f t="shared" si="41"/>
        <v>0</v>
      </c>
      <c r="AK551" s="1064">
        <f t="shared" si="42"/>
        <v>0</v>
      </c>
      <c r="AL551" s="1064">
        <f t="shared" si="43"/>
        <v>0</v>
      </c>
      <c r="AM551" s="1064">
        <f t="shared" si="44"/>
        <v>0</v>
      </c>
      <c r="AN551" s="1064"/>
      <c r="AO551" s="1064">
        <f>TB_prev[[#This Row],[Closing balance]]+TB_prev[[#This Row],[Rounding]]</f>
        <v>0</v>
      </c>
    </row>
    <row r="552" spans="30:41" x14ac:dyDescent="0.25">
      <c r="AD552" s="1067" t="str">
        <f t="shared" si="40"/>
        <v/>
      </c>
      <c r="AE552" s="1063" t="str">
        <f>IF(ISNA(VLOOKUP(TB_prev[[#This Row],[Synt]],GL[[#Headers],[#Data],[subtotal label]],1,FALSE)),0,(VLOOKUP(TB_prev[[#This Row],[Synt]],GL[[#Headers],[#Data],[subtotal label]],1,FALSE)))</f>
        <v/>
      </c>
      <c r="AF552" s="1063" t="e">
        <f>IF((TB_prev[[#This Row],[Synt]]-TB_prev[[#This Row],[Subtotal Y/N]])=0,0,VLOOKUP(TB_prev[[#This Row],[Synt]],GL[[Account]:[Line]],3,FALSE))</f>
        <v>#VALUE!</v>
      </c>
      <c r="AG552" s="1063" t="e">
        <f>VLOOKUP(TB_prev[[#This Row],[Synt]],GL[[Account]:[B/P]],4,FALSE)</f>
        <v>#N/A</v>
      </c>
      <c r="AH552" s="1066" t="e">
        <v>#VALUE!</v>
      </c>
      <c r="AI552" s="1065" t="e">
        <f>TB_prev[[#This Row],[Synt]]&amp;TB_prev[[#This Row],[Line No. manual corr.]]</f>
        <v>#VALUE!</v>
      </c>
      <c r="AJ552" s="1064">
        <f t="shared" si="41"/>
        <v>0</v>
      </c>
      <c r="AK552" s="1064">
        <f t="shared" si="42"/>
        <v>0</v>
      </c>
      <c r="AL552" s="1064">
        <f t="shared" si="43"/>
        <v>0</v>
      </c>
      <c r="AM552" s="1064">
        <f t="shared" si="44"/>
        <v>0</v>
      </c>
      <c r="AN552" s="1064"/>
      <c r="AO552" s="1064">
        <f>TB_prev[[#This Row],[Closing balance]]+TB_prev[[#This Row],[Rounding]]</f>
        <v>0</v>
      </c>
    </row>
    <row r="553" spans="30:41" x14ac:dyDescent="0.25">
      <c r="AD553" s="1067" t="str">
        <f t="shared" si="40"/>
        <v/>
      </c>
      <c r="AE553" s="1063" t="str">
        <f>IF(ISNA(VLOOKUP(TB_prev[[#This Row],[Synt]],GL[[#Headers],[#Data],[subtotal label]],1,FALSE)),0,(VLOOKUP(TB_prev[[#This Row],[Synt]],GL[[#Headers],[#Data],[subtotal label]],1,FALSE)))</f>
        <v/>
      </c>
      <c r="AF553" s="1063" t="e">
        <f>IF((TB_prev[[#This Row],[Synt]]-TB_prev[[#This Row],[Subtotal Y/N]])=0,0,VLOOKUP(TB_prev[[#This Row],[Synt]],GL[[Account]:[Line]],3,FALSE))</f>
        <v>#VALUE!</v>
      </c>
      <c r="AG553" s="1063" t="e">
        <f>VLOOKUP(TB_prev[[#This Row],[Synt]],GL[[Account]:[B/P]],4,FALSE)</f>
        <v>#N/A</v>
      </c>
      <c r="AH553" s="1066" t="e">
        <v>#VALUE!</v>
      </c>
      <c r="AI553" s="1065" t="e">
        <f>TB_prev[[#This Row],[Synt]]&amp;TB_prev[[#This Row],[Line No. manual corr.]]</f>
        <v>#VALUE!</v>
      </c>
      <c r="AJ553" s="1064">
        <f t="shared" si="41"/>
        <v>0</v>
      </c>
      <c r="AK553" s="1064">
        <f t="shared" si="42"/>
        <v>0</v>
      </c>
      <c r="AL553" s="1064">
        <f t="shared" si="43"/>
        <v>0</v>
      </c>
      <c r="AM553" s="1064">
        <f t="shared" si="44"/>
        <v>0</v>
      </c>
      <c r="AN553" s="1064"/>
      <c r="AO553" s="1064">
        <f>TB_prev[[#This Row],[Closing balance]]+TB_prev[[#This Row],[Rounding]]</f>
        <v>0</v>
      </c>
    </row>
    <row r="554" spans="30:41" x14ac:dyDescent="0.25">
      <c r="AD554" s="1067" t="str">
        <f t="shared" si="40"/>
        <v/>
      </c>
      <c r="AE554" s="1063" t="str">
        <f>IF(ISNA(VLOOKUP(TB_prev[[#This Row],[Synt]],GL[[#Headers],[#Data],[subtotal label]],1,FALSE)),0,(VLOOKUP(TB_prev[[#This Row],[Synt]],GL[[#Headers],[#Data],[subtotal label]],1,FALSE)))</f>
        <v/>
      </c>
      <c r="AF554" s="1063" t="e">
        <f>IF((TB_prev[[#This Row],[Synt]]-TB_prev[[#This Row],[Subtotal Y/N]])=0,0,VLOOKUP(TB_prev[[#This Row],[Synt]],GL[[Account]:[Line]],3,FALSE))</f>
        <v>#VALUE!</v>
      </c>
      <c r="AG554" s="1063" t="e">
        <f>VLOOKUP(TB_prev[[#This Row],[Synt]],GL[[Account]:[B/P]],4,FALSE)</f>
        <v>#N/A</v>
      </c>
      <c r="AH554" s="1066" t="e">
        <v>#VALUE!</v>
      </c>
      <c r="AI554" s="1065" t="e">
        <f>TB_prev[[#This Row],[Synt]]&amp;TB_prev[[#This Row],[Line No. manual corr.]]</f>
        <v>#VALUE!</v>
      </c>
      <c r="AJ554" s="1064">
        <f t="shared" si="41"/>
        <v>0</v>
      </c>
      <c r="AK554" s="1064">
        <f t="shared" si="42"/>
        <v>0</v>
      </c>
      <c r="AL554" s="1064">
        <f t="shared" si="43"/>
        <v>0</v>
      </c>
      <c r="AM554" s="1064">
        <f t="shared" si="44"/>
        <v>0</v>
      </c>
      <c r="AN554" s="1064"/>
      <c r="AO554" s="1064">
        <f>TB_prev[[#This Row],[Closing balance]]+TB_prev[[#This Row],[Rounding]]</f>
        <v>0</v>
      </c>
    </row>
    <row r="555" spans="30:41" x14ac:dyDescent="0.25">
      <c r="AD555" s="1067" t="str">
        <f t="shared" si="40"/>
        <v/>
      </c>
      <c r="AE555" s="1063" t="str">
        <f>IF(ISNA(VLOOKUP(TB_prev[[#This Row],[Synt]],GL[[#Headers],[#Data],[subtotal label]],1,FALSE)),0,(VLOOKUP(TB_prev[[#This Row],[Synt]],GL[[#Headers],[#Data],[subtotal label]],1,FALSE)))</f>
        <v/>
      </c>
      <c r="AF555" s="1063" t="e">
        <f>IF((TB_prev[[#This Row],[Synt]]-TB_prev[[#This Row],[Subtotal Y/N]])=0,0,VLOOKUP(TB_prev[[#This Row],[Synt]],GL[[Account]:[Line]],3,FALSE))</f>
        <v>#VALUE!</v>
      </c>
      <c r="AG555" s="1063" t="e">
        <f>VLOOKUP(TB_prev[[#This Row],[Synt]],GL[[Account]:[B/P]],4,FALSE)</f>
        <v>#N/A</v>
      </c>
      <c r="AH555" s="1066" t="e">
        <v>#VALUE!</v>
      </c>
      <c r="AI555" s="1065" t="e">
        <f>TB_prev[[#This Row],[Synt]]&amp;TB_prev[[#This Row],[Line No. manual corr.]]</f>
        <v>#VALUE!</v>
      </c>
      <c r="AJ555" s="1064">
        <f t="shared" si="41"/>
        <v>0</v>
      </c>
      <c r="AK555" s="1064">
        <f t="shared" si="42"/>
        <v>0</v>
      </c>
      <c r="AL555" s="1064">
        <f t="shared" si="43"/>
        <v>0</v>
      </c>
      <c r="AM555" s="1064">
        <f t="shared" si="44"/>
        <v>0</v>
      </c>
      <c r="AN555" s="1064"/>
      <c r="AO555" s="1064">
        <f>TB_prev[[#This Row],[Closing balance]]+TB_prev[[#This Row],[Rounding]]</f>
        <v>0</v>
      </c>
    </row>
    <row r="556" spans="30:41" x14ac:dyDescent="0.25">
      <c r="AD556" s="1067" t="str">
        <f t="shared" si="40"/>
        <v/>
      </c>
      <c r="AE556" s="1063" t="str">
        <f>IF(ISNA(VLOOKUP(TB_prev[[#This Row],[Synt]],GL[[#Headers],[#Data],[subtotal label]],1,FALSE)),0,(VLOOKUP(TB_prev[[#This Row],[Synt]],GL[[#Headers],[#Data],[subtotal label]],1,FALSE)))</f>
        <v/>
      </c>
      <c r="AF556" s="1063" t="e">
        <f>IF((TB_prev[[#This Row],[Synt]]-TB_prev[[#This Row],[Subtotal Y/N]])=0,0,VLOOKUP(TB_prev[[#This Row],[Synt]],GL[[Account]:[Line]],3,FALSE))</f>
        <v>#VALUE!</v>
      </c>
      <c r="AG556" s="1063" t="e">
        <f>VLOOKUP(TB_prev[[#This Row],[Synt]],GL[[Account]:[B/P]],4,FALSE)</f>
        <v>#N/A</v>
      </c>
      <c r="AH556" s="1066" t="e">
        <v>#VALUE!</v>
      </c>
      <c r="AI556" s="1065" t="e">
        <f>TB_prev[[#This Row],[Synt]]&amp;TB_prev[[#This Row],[Line No. manual corr.]]</f>
        <v>#VALUE!</v>
      </c>
      <c r="AJ556" s="1064">
        <f t="shared" si="41"/>
        <v>0</v>
      </c>
      <c r="AK556" s="1064">
        <f t="shared" si="42"/>
        <v>0</v>
      </c>
      <c r="AL556" s="1064">
        <f t="shared" si="43"/>
        <v>0</v>
      </c>
      <c r="AM556" s="1064">
        <f t="shared" si="44"/>
        <v>0</v>
      </c>
      <c r="AN556" s="1064"/>
      <c r="AO556" s="1064">
        <f>TB_prev[[#This Row],[Closing balance]]+TB_prev[[#This Row],[Rounding]]</f>
        <v>0</v>
      </c>
    </row>
    <row r="557" spans="30:41" x14ac:dyDescent="0.25">
      <c r="AD557" s="1067" t="str">
        <f t="shared" si="40"/>
        <v/>
      </c>
      <c r="AE557" s="1063" t="str">
        <f>IF(ISNA(VLOOKUP(TB_prev[[#This Row],[Synt]],GL[[#Headers],[#Data],[subtotal label]],1,FALSE)),0,(VLOOKUP(TB_prev[[#This Row],[Synt]],GL[[#Headers],[#Data],[subtotal label]],1,FALSE)))</f>
        <v/>
      </c>
      <c r="AF557" s="1063" t="e">
        <f>IF((TB_prev[[#This Row],[Synt]]-TB_prev[[#This Row],[Subtotal Y/N]])=0,0,VLOOKUP(TB_prev[[#This Row],[Synt]],GL[[Account]:[Line]],3,FALSE))</f>
        <v>#VALUE!</v>
      </c>
      <c r="AG557" s="1063" t="e">
        <f>VLOOKUP(TB_prev[[#This Row],[Synt]],GL[[Account]:[B/P]],4,FALSE)</f>
        <v>#N/A</v>
      </c>
      <c r="AH557" s="1066" t="e">
        <v>#VALUE!</v>
      </c>
      <c r="AI557" s="1065" t="e">
        <f>TB_prev[[#This Row],[Synt]]&amp;TB_prev[[#This Row],[Line No. manual corr.]]</f>
        <v>#VALUE!</v>
      </c>
      <c r="AJ557" s="1064">
        <f t="shared" si="41"/>
        <v>0</v>
      </c>
      <c r="AK557" s="1064">
        <f t="shared" si="42"/>
        <v>0</v>
      </c>
      <c r="AL557" s="1064">
        <f t="shared" si="43"/>
        <v>0</v>
      </c>
      <c r="AM557" s="1064">
        <f t="shared" si="44"/>
        <v>0</v>
      </c>
      <c r="AN557" s="1064"/>
      <c r="AO557" s="1064">
        <f>TB_prev[[#This Row],[Closing balance]]+TB_prev[[#This Row],[Rounding]]</f>
        <v>0</v>
      </c>
    </row>
    <row r="558" spans="30:41" x14ac:dyDescent="0.25">
      <c r="AD558" s="1067" t="str">
        <f t="shared" si="40"/>
        <v/>
      </c>
      <c r="AE558" s="1063" t="str">
        <f>IF(ISNA(VLOOKUP(TB_prev[[#This Row],[Synt]],GL[[#Headers],[#Data],[subtotal label]],1,FALSE)),0,(VLOOKUP(TB_prev[[#This Row],[Synt]],GL[[#Headers],[#Data],[subtotal label]],1,FALSE)))</f>
        <v/>
      </c>
      <c r="AF558" s="1063" t="e">
        <f>IF((TB_prev[[#This Row],[Synt]]-TB_prev[[#This Row],[Subtotal Y/N]])=0,0,VLOOKUP(TB_prev[[#This Row],[Synt]],GL[[Account]:[Line]],3,FALSE))</f>
        <v>#VALUE!</v>
      </c>
      <c r="AG558" s="1063" t="e">
        <f>VLOOKUP(TB_prev[[#This Row],[Synt]],GL[[Account]:[B/P]],4,FALSE)</f>
        <v>#N/A</v>
      </c>
      <c r="AH558" s="1066" t="e">
        <v>#VALUE!</v>
      </c>
      <c r="AI558" s="1065" t="e">
        <f>TB_prev[[#This Row],[Synt]]&amp;TB_prev[[#This Row],[Line No. manual corr.]]</f>
        <v>#VALUE!</v>
      </c>
      <c r="AJ558" s="1064">
        <f t="shared" si="41"/>
        <v>0</v>
      </c>
      <c r="AK558" s="1064">
        <f t="shared" si="42"/>
        <v>0</v>
      </c>
      <c r="AL558" s="1064">
        <f t="shared" si="43"/>
        <v>0</v>
      </c>
      <c r="AM558" s="1064">
        <f t="shared" si="44"/>
        <v>0</v>
      </c>
      <c r="AN558" s="1064"/>
      <c r="AO558" s="1064">
        <f>TB_prev[[#This Row],[Closing balance]]+TB_prev[[#This Row],[Rounding]]</f>
        <v>0</v>
      </c>
    </row>
    <row r="559" spans="30:41" x14ac:dyDescent="0.25">
      <c r="AD559" s="1067" t="str">
        <f t="shared" si="40"/>
        <v/>
      </c>
      <c r="AE559" s="1063" t="str">
        <f>IF(ISNA(VLOOKUP(TB_prev[[#This Row],[Synt]],GL[[#Headers],[#Data],[subtotal label]],1,FALSE)),0,(VLOOKUP(TB_prev[[#This Row],[Synt]],GL[[#Headers],[#Data],[subtotal label]],1,FALSE)))</f>
        <v/>
      </c>
      <c r="AF559" s="1063" t="e">
        <f>IF((TB_prev[[#This Row],[Synt]]-TB_prev[[#This Row],[Subtotal Y/N]])=0,0,VLOOKUP(TB_prev[[#This Row],[Synt]],GL[[Account]:[Line]],3,FALSE))</f>
        <v>#VALUE!</v>
      </c>
      <c r="AG559" s="1063" t="e">
        <f>VLOOKUP(TB_prev[[#This Row],[Synt]],GL[[Account]:[B/P]],4,FALSE)</f>
        <v>#N/A</v>
      </c>
      <c r="AH559" s="1066" t="e">
        <v>#VALUE!</v>
      </c>
      <c r="AI559" s="1065" t="e">
        <f>TB_prev[[#This Row],[Synt]]&amp;TB_prev[[#This Row],[Line No. manual corr.]]</f>
        <v>#VALUE!</v>
      </c>
      <c r="AJ559" s="1064">
        <f t="shared" si="41"/>
        <v>0</v>
      </c>
      <c r="AK559" s="1064">
        <f t="shared" si="42"/>
        <v>0</v>
      </c>
      <c r="AL559" s="1064">
        <f t="shared" si="43"/>
        <v>0</v>
      </c>
      <c r="AM559" s="1064">
        <f t="shared" si="44"/>
        <v>0</v>
      </c>
      <c r="AN559" s="1064"/>
      <c r="AO559" s="1064">
        <f>TB_prev[[#This Row],[Closing balance]]+TB_prev[[#This Row],[Rounding]]</f>
        <v>0</v>
      </c>
    </row>
    <row r="560" spans="30:41" x14ac:dyDescent="0.25">
      <c r="AD560" s="1067" t="str">
        <f t="shared" si="40"/>
        <v/>
      </c>
      <c r="AE560" s="1063" t="str">
        <f>IF(ISNA(VLOOKUP(TB_prev[[#This Row],[Synt]],GL[[#Headers],[#Data],[subtotal label]],1,FALSE)),0,(VLOOKUP(TB_prev[[#This Row],[Synt]],GL[[#Headers],[#Data],[subtotal label]],1,FALSE)))</f>
        <v/>
      </c>
      <c r="AF560" s="1063" t="e">
        <f>IF((TB_prev[[#This Row],[Synt]]-TB_prev[[#This Row],[Subtotal Y/N]])=0,0,VLOOKUP(TB_prev[[#This Row],[Synt]],GL[[Account]:[Line]],3,FALSE))</f>
        <v>#VALUE!</v>
      </c>
      <c r="AG560" s="1063" t="e">
        <f>VLOOKUP(TB_prev[[#This Row],[Synt]],GL[[Account]:[B/P]],4,FALSE)</f>
        <v>#N/A</v>
      </c>
      <c r="AH560" s="1066" t="e">
        <v>#VALUE!</v>
      </c>
      <c r="AI560" s="1065" t="e">
        <f>TB_prev[[#This Row],[Synt]]&amp;TB_prev[[#This Row],[Line No. manual corr.]]</f>
        <v>#VALUE!</v>
      </c>
      <c r="AJ560" s="1064">
        <f t="shared" si="41"/>
        <v>0</v>
      </c>
      <c r="AK560" s="1064">
        <f t="shared" si="42"/>
        <v>0</v>
      </c>
      <c r="AL560" s="1064">
        <f t="shared" si="43"/>
        <v>0</v>
      </c>
      <c r="AM560" s="1064">
        <f t="shared" si="44"/>
        <v>0</v>
      </c>
      <c r="AN560" s="1064"/>
      <c r="AO560" s="1064">
        <f>TB_prev[[#This Row],[Closing balance]]+TB_prev[[#This Row],[Rounding]]</f>
        <v>0</v>
      </c>
    </row>
    <row r="561" spans="30:41" x14ac:dyDescent="0.25">
      <c r="AD561" s="1067" t="str">
        <f t="shared" si="40"/>
        <v/>
      </c>
      <c r="AE561" s="1063" t="str">
        <f>IF(ISNA(VLOOKUP(TB_prev[[#This Row],[Synt]],GL[[#Headers],[#Data],[subtotal label]],1,FALSE)),0,(VLOOKUP(TB_prev[[#This Row],[Synt]],GL[[#Headers],[#Data],[subtotal label]],1,FALSE)))</f>
        <v/>
      </c>
      <c r="AF561" s="1063" t="e">
        <f>IF((TB_prev[[#This Row],[Synt]]-TB_prev[[#This Row],[Subtotal Y/N]])=0,0,VLOOKUP(TB_prev[[#This Row],[Synt]],GL[[Account]:[Line]],3,FALSE))</f>
        <v>#VALUE!</v>
      </c>
      <c r="AG561" s="1063" t="e">
        <f>VLOOKUP(TB_prev[[#This Row],[Synt]],GL[[Account]:[B/P]],4,FALSE)</f>
        <v>#N/A</v>
      </c>
      <c r="AH561" s="1066" t="e">
        <v>#VALUE!</v>
      </c>
      <c r="AI561" s="1065" t="e">
        <f>TB_prev[[#This Row],[Synt]]&amp;TB_prev[[#This Row],[Line No. manual corr.]]</f>
        <v>#VALUE!</v>
      </c>
      <c r="AJ561" s="1064">
        <f t="shared" si="41"/>
        <v>0</v>
      </c>
      <c r="AK561" s="1064">
        <f t="shared" si="42"/>
        <v>0</v>
      </c>
      <c r="AL561" s="1064">
        <f t="shared" si="43"/>
        <v>0</v>
      </c>
      <c r="AM561" s="1064">
        <f t="shared" si="44"/>
        <v>0</v>
      </c>
      <c r="AN561" s="1064"/>
      <c r="AO561" s="1064">
        <f>TB_prev[[#This Row],[Closing balance]]+TB_prev[[#This Row],[Rounding]]</f>
        <v>0</v>
      </c>
    </row>
    <row r="562" spans="30:41" x14ac:dyDescent="0.25">
      <c r="AD562" s="1067" t="str">
        <f t="shared" si="40"/>
        <v/>
      </c>
      <c r="AE562" s="1063" t="str">
        <f>IF(ISNA(VLOOKUP(TB_prev[[#This Row],[Synt]],GL[[#Headers],[#Data],[subtotal label]],1,FALSE)),0,(VLOOKUP(TB_prev[[#This Row],[Synt]],GL[[#Headers],[#Data],[subtotal label]],1,FALSE)))</f>
        <v/>
      </c>
      <c r="AF562" s="1063" t="e">
        <f>IF((TB_prev[[#This Row],[Synt]]-TB_prev[[#This Row],[Subtotal Y/N]])=0,0,VLOOKUP(TB_prev[[#This Row],[Synt]],GL[[Account]:[Line]],3,FALSE))</f>
        <v>#VALUE!</v>
      </c>
      <c r="AG562" s="1063" t="e">
        <f>VLOOKUP(TB_prev[[#This Row],[Synt]],GL[[Account]:[B/P]],4,FALSE)</f>
        <v>#N/A</v>
      </c>
      <c r="AH562" s="1066" t="e">
        <v>#VALUE!</v>
      </c>
      <c r="AI562" s="1065" t="e">
        <f>TB_prev[[#This Row],[Synt]]&amp;TB_prev[[#This Row],[Line No. manual corr.]]</f>
        <v>#VALUE!</v>
      </c>
      <c r="AJ562" s="1064">
        <f t="shared" si="41"/>
        <v>0</v>
      </c>
      <c r="AK562" s="1064">
        <f t="shared" si="42"/>
        <v>0</v>
      </c>
      <c r="AL562" s="1064">
        <f t="shared" si="43"/>
        <v>0</v>
      </c>
      <c r="AM562" s="1064">
        <f t="shared" si="44"/>
        <v>0</v>
      </c>
      <c r="AN562" s="1064"/>
      <c r="AO562" s="1064">
        <f>TB_prev[[#This Row],[Closing balance]]+TB_prev[[#This Row],[Rounding]]</f>
        <v>0</v>
      </c>
    </row>
    <row r="563" spans="30:41" x14ac:dyDescent="0.25">
      <c r="AD563" s="1067" t="str">
        <f t="shared" si="40"/>
        <v/>
      </c>
      <c r="AE563" s="1063" t="str">
        <f>IF(ISNA(VLOOKUP(TB_prev[[#This Row],[Synt]],GL[[#Headers],[#Data],[subtotal label]],1,FALSE)),0,(VLOOKUP(TB_prev[[#This Row],[Synt]],GL[[#Headers],[#Data],[subtotal label]],1,FALSE)))</f>
        <v/>
      </c>
      <c r="AF563" s="1063" t="e">
        <f>IF((TB_prev[[#This Row],[Synt]]-TB_prev[[#This Row],[Subtotal Y/N]])=0,0,VLOOKUP(TB_prev[[#This Row],[Synt]],GL[[Account]:[Line]],3,FALSE))</f>
        <v>#VALUE!</v>
      </c>
      <c r="AG563" s="1063" t="e">
        <f>VLOOKUP(TB_prev[[#This Row],[Synt]],GL[[Account]:[B/P]],4,FALSE)</f>
        <v>#N/A</v>
      </c>
      <c r="AH563" s="1066" t="e">
        <v>#VALUE!</v>
      </c>
      <c r="AI563" s="1065" t="e">
        <f>TB_prev[[#This Row],[Synt]]&amp;TB_prev[[#This Row],[Line No. manual corr.]]</f>
        <v>#VALUE!</v>
      </c>
      <c r="AJ563" s="1064">
        <f t="shared" si="41"/>
        <v>0</v>
      </c>
      <c r="AK563" s="1064">
        <f t="shared" si="42"/>
        <v>0</v>
      </c>
      <c r="AL563" s="1064">
        <f t="shared" si="43"/>
        <v>0</v>
      </c>
      <c r="AM563" s="1064">
        <f t="shared" si="44"/>
        <v>0</v>
      </c>
      <c r="AN563" s="1064"/>
      <c r="AO563" s="1064">
        <f>TB_prev[[#This Row],[Closing balance]]+TB_prev[[#This Row],[Rounding]]</f>
        <v>0</v>
      </c>
    </row>
    <row r="564" spans="30:41" x14ac:dyDescent="0.25">
      <c r="AD564" s="1067" t="str">
        <f t="shared" si="40"/>
        <v/>
      </c>
      <c r="AE564" s="1063" t="str">
        <f>IF(ISNA(VLOOKUP(TB_prev[[#This Row],[Synt]],GL[[#Headers],[#Data],[subtotal label]],1,FALSE)),0,(VLOOKUP(TB_prev[[#This Row],[Synt]],GL[[#Headers],[#Data],[subtotal label]],1,FALSE)))</f>
        <v/>
      </c>
      <c r="AF564" s="1063" t="e">
        <f>IF((TB_prev[[#This Row],[Synt]]-TB_prev[[#This Row],[Subtotal Y/N]])=0,0,VLOOKUP(TB_prev[[#This Row],[Synt]],GL[[Account]:[Line]],3,FALSE))</f>
        <v>#VALUE!</v>
      </c>
      <c r="AG564" s="1063" t="e">
        <f>VLOOKUP(TB_prev[[#This Row],[Synt]],GL[[Account]:[B/P]],4,FALSE)</f>
        <v>#N/A</v>
      </c>
      <c r="AH564" s="1066" t="e">
        <v>#VALUE!</v>
      </c>
      <c r="AI564" s="1065" t="e">
        <f>TB_prev[[#This Row],[Synt]]&amp;TB_prev[[#This Row],[Line No. manual corr.]]</f>
        <v>#VALUE!</v>
      </c>
      <c r="AJ564" s="1064">
        <f t="shared" si="41"/>
        <v>0</v>
      </c>
      <c r="AK564" s="1064">
        <f t="shared" si="42"/>
        <v>0</v>
      </c>
      <c r="AL564" s="1064">
        <f t="shared" si="43"/>
        <v>0</v>
      </c>
      <c r="AM564" s="1064">
        <f t="shared" si="44"/>
        <v>0</v>
      </c>
      <c r="AN564" s="1064"/>
      <c r="AO564" s="1064">
        <f>TB_prev[[#This Row],[Closing balance]]+TB_prev[[#This Row],[Rounding]]</f>
        <v>0</v>
      </c>
    </row>
    <row r="565" spans="30:41" x14ac:dyDescent="0.25">
      <c r="AD565" s="1067" t="str">
        <f t="shared" si="40"/>
        <v/>
      </c>
      <c r="AE565" s="1063" t="str">
        <f>IF(ISNA(VLOOKUP(TB_prev[[#This Row],[Synt]],GL[[#Headers],[#Data],[subtotal label]],1,FALSE)),0,(VLOOKUP(TB_prev[[#This Row],[Synt]],GL[[#Headers],[#Data],[subtotal label]],1,FALSE)))</f>
        <v/>
      </c>
      <c r="AF565" s="1063" t="e">
        <f>IF((TB_prev[[#This Row],[Synt]]-TB_prev[[#This Row],[Subtotal Y/N]])=0,0,VLOOKUP(TB_prev[[#This Row],[Synt]],GL[[Account]:[Line]],3,FALSE))</f>
        <v>#VALUE!</v>
      </c>
      <c r="AG565" s="1063" t="e">
        <f>VLOOKUP(TB_prev[[#This Row],[Synt]],GL[[Account]:[B/P]],4,FALSE)</f>
        <v>#N/A</v>
      </c>
      <c r="AH565" s="1066" t="e">
        <v>#VALUE!</v>
      </c>
      <c r="AI565" s="1065" t="e">
        <f>TB_prev[[#This Row],[Synt]]&amp;TB_prev[[#This Row],[Line No. manual corr.]]</f>
        <v>#VALUE!</v>
      </c>
      <c r="AJ565" s="1064">
        <f t="shared" si="41"/>
        <v>0</v>
      </c>
      <c r="AK565" s="1064">
        <f t="shared" si="42"/>
        <v>0</v>
      </c>
      <c r="AL565" s="1064">
        <f t="shared" si="43"/>
        <v>0</v>
      </c>
      <c r="AM565" s="1064">
        <f t="shared" si="44"/>
        <v>0</v>
      </c>
      <c r="AN565" s="1064"/>
      <c r="AO565" s="1064">
        <f>TB_prev[[#This Row],[Closing balance]]+TB_prev[[#This Row],[Rounding]]</f>
        <v>0</v>
      </c>
    </row>
    <row r="566" spans="30:41" x14ac:dyDescent="0.25">
      <c r="AD566" s="1067" t="str">
        <f t="shared" si="40"/>
        <v/>
      </c>
      <c r="AE566" s="1063" t="str">
        <f>IF(ISNA(VLOOKUP(TB_prev[[#This Row],[Synt]],GL[[#Headers],[#Data],[subtotal label]],1,FALSE)),0,(VLOOKUP(TB_prev[[#This Row],[Synt]],GL[[#Headers],[#Data],[subtotal label]],1,FALSE)))</f>
        <v/>
      </c>
      <c r="AF566" s="1063" t="e">
        <f>IF((TB_prev[[#This Row],[Synt]]-TB_prev[[#This Row],[Subtotal Y/N]])=0,0,VLOOKUP(TB_prev[[#This Row],[Synt]],GL[[Account]:[Line]],3,FALSE))</f>
        <v>#VALUE!</v>
      </c>
      <c r="AG566" s="1063" t="e">
        <f>VLOOKUP(TB_prev[[#This Row],[Synt]],GL[[Account]:[B/P]],4,FALSE)</f>
        <v>#N/A</v>
      </c>
      <c r="AH566" s="1066" t="e">
        <v>#VALUE!</v>
      </c>
      <c r="AI566" s="1065" t="e">
        <f>TB_prev[[#This Row],[Synt]]&amp;TB_prev[[#This Row],[Line No. manual corr.]]</f>
        <v>#VALUE!</v>
      </c>
      <c r="AJ566" s="1064">
        <f t="shared" si="41"/>
        <v>0</v>
      </c>
      <c r="AK566" s="1064">
        <f t="shared" si="42"/>
        <v>0</v>
      </c>
      <c r="AL566" s="1064">
        <f t="shared" si="43"/>
        <v>0</v>
      </c>
      <c r="AM566" s="1064">
        <f t="shared" si="44"/>
        <v>0</v>
      </c>
      <c r="AN566" s="1064"/>
      <c r="AO566" s="1064">
        <f>TB_prev[[#This Row],[Closing balance]]+TB_prev[[#This Row],[Rounding]]</f>
        <v>0</v>
      </c>
    </row>
    <row r="567" spans="30:41" x14ac:dyDescent="0.25">
      <c r="AD567" s="1067" t="str">
        <f t="shared" si="40"/>
        <v/>
      </c>
      <c r="AE567" s="1063" t="str">
        <f>IF(ISNA(VLOOKUP(TB_prev[[#This Row],[Synt]],GL[[#Headers],[#Data],[subtotal label]],1,FALSE)),0,(VLOOKUP(TB_prev[[#This Row],[Synt]],GL[[#Headers],[#Data],[subtotal label]],1,FALSE)))</f>
        <v/>
      </c>
      <c r="AF567" s="1063" t="e">
        <f>IF((TB_prev[[#This Row],[Synt]]-TB_prev[[#This Row],[Subtotal Y/N]])=0,0,VLOOKUP(TB_prev[[#This Row],[Synt]],GL[[Account]:[Line]],3,FALSE))</f>
        <v>#VALUE!</v>
      </c>
      <c r="AG567" s="1063" t="e">
        <f>VLOOKUP(TB_prev[[#This Row],[Synt]],GL[[Account]:[B/P]],4,FALSE)</f>
        <v>#N/A</v>
      </c>
      <c r="AH567" s="1066" t="e">
        <v>#VALUE!</v>
      </c>
      <c r="AI567" s="1065" t="e">
        <f>TB_prev[[#This Row],[Synt]]&amp;TB_prev[[#This Row],[Line No. manual corr.]]</f>
        <v>#VALUE!</v>
      </c>
      <c r="AJ567" s="1064">
        <f t="shared" si="41"/>
        <v>0</v>
      </c>
      <c r="AK567" s="1064">
        <f t="shared" si="42"/>
        <v>0</v>
      </c>
      <c r="AL567" s="1064">
        <f t="shared" si="43"/>
        <v>0</v>
      </c>
      <c r="AM567" s="1064">
        <f t="shared" si="44"/>
        <v>0</v>
      </c>
      <c r="AN567" s="1064"/>
      <c r="AO567" s="1064">
        <f>TB_prev[[#This Row],[Closing balance]]+TB_prev[[#This Row],[Rounding]]</f>
        <v>0</v>
      </c>
    </row>
    <row r="568" spans="30:41" x14ac:dyDescent="0.25">
      <c r="AD568" s="1067" t="str">
        <f t="shared" si="40"/>
        <v/>
      </c>
      <c r="AE568" s="1063" t="str">
        <f>IF(ISNA(VLOOKUP(TB_prev[[#This Row],[Synt]],GL[[#Headers],[#Data],[subtotal label]],1,FALSE)),0,(VLOOKUP(TB_prev[[#This Row],[Synt]],GL[[#Headers],[#Data],[subtotal label]],1,FALSE)))</f>
        <v/>
      </c>
      <c r="AF568" s="1063" t="e">
        <f>IF((TB_prev[[#This Row],[Synt]]-TB_prev[[#This Row],[Subtotal Y/N]])=0,0,VLOOKUP(TB_prev[[#This Row],[Synt]],GL[[Account]:[Line]],3,FALSE))</f>
        <v>#VALUE!</v>
      </c>
      <c r="AG568" s="1063" t="e">
        <f>VLOOKUP(TB_prev[[#This Row],[Synt]],GL[[Account]:[B/P]],4,FALSE)</f>
        <v>#N/A</v>
      </c>
      <c r="AH568" s="1066" t="e">
        <v>#VALUE!</v>
      </c>
      <c r="AI568" s="1065" t="e">
        <f>TB_prev[[#This Row],[Synt]]&amp;TB_prev[[#This Row],[Line No. manual corr.]]</f>
        <v>#VALUE!</v>
      </c>
      <c r="AJ568" s="1064">
        <f t="shared" si="41"/>
        <v>0</v>
      </c>
      <c r="AK568" s="1064">
        <f t="shared" si="42"/>
        <v>0</v>
      </c>
      <c r="AL568" s="1064">
        <f t="shared" si="43"/>
        <v>0</v>
      </c>
      <c r="AM568" s="1064">
        <f t="shared" si="44"/>
        <v>0</v>
      </c>
      <c r="AN568" s="1064"/>
      <c r="AO568" s="1064">
        <f>TB_prev[[#This Row],[Closing balance]]+TB_prev[[#This Row],[Rounding]]</f>
        <v>0</v>
      </c>
    </row>
    <row r="569" spans="30:41" x14ac:dyDescent="0.25">
      <c r="AD569" s="1067" t="str">
        <f t="shared" si="40"/>
        <v/>
      </c>
      <c r="AE569" s="1063" t="str">
        <f>IF(ISNA(VLOOKUP(TB_prev[[#This Row],[Synt]],GL[[#Headers],[#Data],[subtotal label]],1,FALSE)),0,(VLOOKUP(TB_prev[[#This Row],[Synt]],GL[[#Headers],[#Data],[subtotal label]],1,FALSE)))</f>
        <v/>
      </c>
      <c r="AF569" s="1063" t="e">
        <f>IF((TB_prev[[#This Row],[Synt]]-TB_prev[[#This Row],[Subtotal Y/N]])=0,0,VLOOKUP(TB_prev[[#This Row],[Synt]],GL[[Account]:[Line]],3,FALSE))</f>
        <v>#VALUE!</v>
      </c>
      <c r="AG569" s="1063" t="e">
        <f>VLOOKUP(TB_prev[[#This Row],[Synt]],GL[[Account]:[B/P]],4,FALSE)</f>
        <v>#N/A</v>
      </c>
      <c r="AH569" s="1066" t="e">
        <v>#VALUE!</v>
      </c>
      <c r="AI569" s="1065" t="e">
        <f>TB_prev[[#This Row],[Synt]]&amp;TB_prev[[#This Row],[Line No. manual corr.]]</f>
        <v>#VALUE!</v>
      </c>
      <c r="AJ569" s="1064">
        <f t="shared" si="41"/>
        <v>0</v>
      </c>
      <c r="AK569" s="1064">
        <f t="shared" si="42"/>
        <v>0</v>
      </c>
      <c r="AL569" s="1064">
        <f t="shared" si="43"/>
        <v>0</v>
      </c>
      <c r="AM569" s="1064">
        <f t="shared" si="44"/>
        <v>0</v>
      </c>
      <c r="AN569" s="1064"/>
      <c r="AO569" s="1064">
        <f>TB_prev[[#This Row],[Closing balance]]+TB_prev[[#This Row],[Rounding]]</f>
        <v>0</v>
      </c>
    </row>
    <row r="570" spans="30:41" x14ac:dyDescent="0.25">
      <c r="AD570" s="1067" t="str">
        <f t="shared" si="40"/>
        <v/>
      </c>
      <c r="AE570" s="1063" t="str">
        <f>IF(ISNA(VLOOKUP(TB_prev[[#This Row],[Synt]],GL[[#Headers],[#Data],[subtotal label]],1,FALSE)),0,(VLOOKUP(TB_prev[[#This Row],[Synt]],GL[[#Headers],[#Data],[subtotal label]],1,FALSE)))</f>
        <v/>
      </c>
      <c r="AF570" s="1063" t="e">
        <f>IF((TB_prev[[#This Row],[Synt]]-TB_prev[[#This Row],[Subtotal Y/N]])=0,0,VLOOKUP(TB_prev[[#This Row],[Synt]],GL[[Account]:[Line]],3,FALSE))</f>
        <v>#VALUE!</v>
      </c>
      <c r="AG570" s="1063" t="e">
        <f>VLOOKUP(TB_prev[[#This Row],[Synt]],GL[[Account]:[B/P]],4,FALSE)</f>
        <v>#N/A</v>
      </c>
      <c r="AH570" s="1066" t="e">
        <v>#VALUE!</v>
      </c>
      <c r="AI570" s="1065" t="e">
        <f>TB_prev[[#This Row],[Synt]]&amp;TB_prev[[#This Row],[Line No. manual corr.]]</f>
        <v>#VALUE!</v>
      </c>
      <c r="AJ570" s="1064">
        <f t="shared" si="41"/>
        <v>0</v>
      </c>
      <c r="AK570" s="1064">
        <f t="shared" si="42"/>
        <v>0</v>
      </c>
      <c r="AL570" s="1064">
        <f t="shared" si="43"/>
        <v>0</v>
      </c>
      <c r="AM570" s="1064">
        <f t="shared" si="44"/>
        <v>0</v>
      </c>
      <c r="AN570" s="1064"/>
      <c r="AO570" s="1064">
        <f>TB_prev[[#This Row],[Closing balance]]+TB_prev[[#This Row],[Rounding]]</f>
        <v>0</v>
      </c>
    </row>
    <row r="571" spans="30:41" x14ac:dyDescent="0.25">
      <c r="AD571" s="1067" t="str">
        <f t="shared" si="40"/>
        <v/>
      </c>
      <c r="AE571" s="1063" t="str">
        <f>IF(ISNA(VLOOKUP(TB_prev[[#This Row],[Synt]],GL[[#Headers],[#Data],[subtotal label]],1,FALSE)),0,(VLOOKUP(TB_prev[[#This Row],[Synt]],GL[[#Headers],[#Data],[subtotal label]],1,FALSE)))</f>
        <v/>
      </c>
      <c r="AF571" s="1063" t="e">
        <f>IF((TB_prev[[#This Row],[Synt]]-TB_prev[[#This Row],[Subtotal Y/N]])=0,0,VLOOKUP(TB_prev[[#This Row],[Synt]],GL[[Account]:[Line]],3,FALSE))</f>
        <v>#VALUE!</v>
      </c>
      <c r="AG571" s="1063" t="e">
        <f>VLOOKUP(TB_prev[[#This Row],[Synt]],GL[[Account]:[B/P]],4,FALSE)</f>
        <v>#N/A</v>
      </c>
      <c r="AH571" s="1066" t="e">
        <v>#VALUE!</v>
      </c>
      <c r="AI571" s="1065" t="e">
        <f>TB_prev[[#This Row],[Synt]]&amp;TB_prev[[#This Row],[Line No. manual corr.]]</f>
        <v>#VALUE!</v>
      </c>
      <c r="AJ571" s="1064">
        <f t="shared" si="41"/>
        <v>0</v>
      </c>
      <c r="AK571" s="1064">
        <f t="shared" si="42"/>
        <v>0</v>
      </c>
      <c r="AL571" s="1064">
        <f t="shared" si="43"/>
        <v>0</v>
      </c>
      <c r="AM571" s="1064">
        <f t="shared" si="44"/>
        <v>0</v>
      </c>
      <c r="AN571" s="1064"/>
      <c r="AO571" s="1064">
        <f>TB_prev[[#This Row],[Closing balance]]+TB_prev[[#This Row],[Rounding]]</f>
        <v>0</v>
      </c>
    </row>
    <row r="572" spans="30:41" x14ac:dyDescent="0.25">
      <c r="AD572" s="1067" t="str">
        <f t="shared" si="40"/>
        <v/>
      </c>
      <c r="AE572" s="1063" t="str">
        <f>IF(ISNA(VLOOKUP(TB_prev[[#This Row],[Synt]],GL[[#Headers],[#Data],[subtotal label]],1,FALSE)),0,(VLOOKUP(TB_prev[[#This Row],[Synt]],GL[[#Headers],[#Data],[subtotal label]],1,FALSE)))</f>
        <v/>
      </c>
      <c r="AF572" s="1063" t="e">
        <f>IF((TB_prev[[#This Row],[Synt]]-TB_prev[[#This Row],[Subtotal Y/N]])=0,0,VLOOKUP(TB_prev[[#This Row],[Synt]],GL[[Account]:[Line]],3,FALSE))</f>
        <v>#VALUE!</v>
      </c>
      <c r="AG572" s="1063" t="e">
        <f>VLOOKUP(TB_prev[[#This Row],[Synt]],GL[[Account]:[B/P]],4,FALSE)</f>
        <v>#N/A</v>
      </c>
      <c r="AH572" s="1066" t="e">
        <v>#VALUE!</v>
      </c>
      <c r="AI572" s="1065" t="e">
        <f>TB_prev[[#This Row],[Synt]]&amp;TB_prev[[#This Row],[Line No. manual corr.]]</f>
        <v>#VALUE!</v>
      </c>
      <c r="AJ572" s="1064">
        <f t="shared" si="41"/>
        <v>0</v>
      </c>
      <c r="AK572" s="1064">
        <f t="shared" si="42"/>
        <v>0</v>
      </c>
      <c r="AL572" s="1064">
        <f t="shared" si="43"/>
        <v>0</v>
      </c>
      <c r="AM572" s="1064">
        <f t="shared" si="44"/>
        <v>0</v>
      </c>
      <c r="AN572" s="1064"/>
      <c r="AO572" s="1064">
        <f>TB_prev[[#This Row],[Closing balance]]+TB_prev[[#This Row],[Rounding]]</f>
        <v>0</v>
      </c>
    </row>
    <row r="573" spans="30:41" x14ac:dyDescent="0.25">
      <c r="AD573" s="1067" t="str">
        <f t="shared" si="40"/>
        <v/>
      </c>
      <c r="AE573" s="1063" t="str">
        <f>IF(ISNA(VLOOKUP(TB_prev[[#This Row],[Synt]],GL[[#Headers],[#Data],[subtotal label]],1,FALSE)),0,(VLOOKUP(TB_prev[[#This Row],[Synt]],GL[[#Headers],[#Data],[subtotal label]],1,FALSE)))</f>
        <v/>
      </c>
      <c r="AF573" s="1063" t="e">
        <f>IF((TB_prev[[#This Row],[Synt]]-TB_prev[[#This Row],[Subtotal Y/N]])=0,0,VLOOKUP(TB_prev[[#This Row],[Synt]],GL[[Account]:[Line]],3,FALSE))</f>
        <v>#VALUE!</v>
      </c>
      <c r="AG573" s="1063" t="e">
        <f>VLOOKUP(TB_prev[[#This Row],[Synt]],GL[[Account]:[B/P]],4,FALSE)</f>
        <v>#N/A</v>
      </c>
      <c r="AH573" s="1066" t="e">
        <v>#VALUE!</v>
      </c>
      <c r="AI573" s="1065" t="e">
        <f>TB_prev[[#This Row],[Synt]]&amp;TB_prev[[#This Row],[Line No. manual corr.]]</f>
        <v>#VALUE!</v>
      </c>
      <c r="AJ573" s="1064">
        <f t="shared" si="41"/>
        <v>0</v>
      </c>
      <c r="AK573" s="1064">
        <f t="shared" si="42"/>
        <v>0</v>
      </c>
      <c r="AL573" s="1064">
        <f t="shared" si="43"/>
        <v>0</v>
      </c>
      <c r="AM573" s="1064">
        <f t="shared" si="44"/>
        <v>0</v>
      </c>
      <c r="AN573" s="1064"/>
      <c r="AO573" s="1064">
        <f>TB_prev[[#This Row],[Closing balance]]+TB_prev[[#This Row],[Rounding]]</f>
        <v>0</v>
      </c>
    </row>
    <row r="574" spans="30:41" x14ac:dyDescent="0.25">
      <c r="AD574" s="1067" t="str">
        <f t="shared" si="40"/>
        <v/>
      </c>
      <c r="AE574" s="1063" t="str">
        <f>IF(ISNA(VLOOKUP(TB_prev[[#This Row],[Synt]],GL[[#Headers],[#Data],[subtotal label]],1,FALSE)),0,(VLOOKUP(TB_prev[[#This Row],[Synt]],GL[[#Headers],[#Data],[subtotal label]],1,FALSE)))</f>
        <v/>
      </c>
      <c r="AF574" s="1063" t="e">
        <f>IF((TB_prev[[#This Row],[Synt]]-TB_prev[[#This Row],[Subtotal Y/N]])=0,0,VLOOKUP(TB_prev[[#This Row],[Synt]],GL[[Account]:[Line]],3,FALSE))</f>
        <v>#VALUE!</v>
      </c>
      <c r="AG574" s="1063" t="e">
        <f>VLOOKUP(TB_prev[[#This Row],[Synt]],GL[[Account]:[B/P]],4,FALSE)</f>
        <v>#N/A</v>
      </c>
      <c r="AH574" s="1066" t="e">
        <v>#VALUE!</v>
      </c>
      <c r="AI574" s="1065" t="e">
        <f>TB_prev[[#This Row],[Synt]]&amp;TB_prev[[#This Row],[Line No. manual corr.]]</f>
        <v>#VALUE!</v>
      </c>
      <c r="AJ574" s="1064">
        <f t="shared" si="41"/>
        <v>0</v>
      </c>
      <c r="AK574" s="1064">
        <f t="shared" si="42"/>
        <v>0</v>
      </c>
      <c r="AL574" s="1064">
        <f t="shared" si="43"/>
        <v>0</v>
      </c>
      <c r="AM574" s="1064">
        <f t="shared" si="44"/>
        <v>0</v>
      </c>
      <c r="AN574" s="1064"/>
      <c r="AO574" s="1064">
        <f>TB_prev[[#This Row],[Closing balance]]+TB_prev[[#This Row],[Rounding]]</f>
        <v>0</v>
      </c>
    </row>
    <row r="575" spans="30:41" x14ac:dyDescent="0.25">
      <c r="AD575" s="1067" t="str">
        <f t="shared" si="40"/>
        <v/>
      </c>
      <c r="AE575" s="1063" t="str">
        <f>IF(ISNA(VLOOKUP(TB_prev[[#This Row],[Synt]],GL[[#Headers],[#Data],[subtotal label]],1,FALSE)),0,(VLOOKUP(TB_prev[[#This Row],[Synt]],GL[[#Headers],[#Data],[subtotal label]],1,FALSE)))</f>
        <v/>
      </c>
      <c r="AF575" s="1063" t="e">
        <f>IF((TB_prev[[#This Row],[Synt]]-TB_prev[[#This Row],[Subtotal Y/N]])=0,0,VLOOKUP(TB_prev[[#This Row],[Synt]],GL[[Account]:[Line]],3,FALSE))</f>
        <v>#VALUE!</v>
      </c>
      <c r="AG575" s="1063" t="e">
        <f>VLOOKUP(TB_prev[[#This Row],[Synt]],GL[[Account]:[B/P]],4,FALSE)</f>
        <v>#N/A</v>
      </c>
      <c r="AH575" s="1066" t="e">
        <v>#VALUE!</v>
      </c>
      <c r="AI575" s="1065" t="e">
        <f>TB_prev[[#This Row],[Synt]]&amp;TB_prev[[#This Row],[Line No. manual corr.]]</f>
        <v>#VALUE!</v>
      </c>
      <c r="AJ575" s="1064">
        <f t="shared" si="41"/>
        <v>0</v>
      </c>
      <c r="AK575" s="1064">
        <f t="shared" si="42"/>
        <v>0</v>
      </c>
      <c r="AL575" s="1064">
        <f t="shared" si="43"/>
        <v>0</v>
      </c>
      <c r="AM575" s="1064">
        <f t="shared" si="44"/>
        <v>0</v>
      </c>
      <c r="AN575" s="1064"/>
      <c r="AO575" s="1064">
        <f>TB_prev[[#This Row],[Closing balance]]+TB_prev[[#This Row],[Rounding]]</f>
        <v>0</v>
      </c>
    </row>
    <row r="576" spans="30:41" x14ac:dyDescent="0.25">
      <c r="AD576" s="1067" t="str">
        <f t="shared" si="40"/>
        <v/>
      </c>
      <c r="AE576" s="1063" t="str">
        <f>IF(ISNA(VLOOKUP(TB_prev[[#This Row],[Synt]],GL[[#Headers],[#Data],[subtotal label]],1,FALSE)),0,(VLOOKUP(TB_prev[[#This Row],[Synt]],GL[[#Headers],[#Data],[subtotal label]],1,FALSE)))</f>
        <v/>
      </c>
      <c r="AF576" s="1063" t="e">
        <f>IF((TB_prev[[#This Row],[Synt]]-TB_prev[[#This Row],[Subtotal Y/N]])=0,0,VLOOKUP(TB_prev[[#This Row],[Synt]],GL[[Account]:[Line]],3,FALSE))</f>
        <v>#VALUE!</v>
      </c>
      <c r="AG576" s="1063" t="e">
        <f>VLOOKUP(TB_prev[[#This Row],[Synt]],GL[[Account]:[B/P]],4,FALSE)</f>
        <v>#N/A</v>
      </c>
      <c r="AH576" s="1066" t="e">
        <v>#VALUE!</v>
      </c>
      <c r="AI576" s="1065" t="e">
        <f>TB_prev[[#This Row],[Synt]]&amp;TB_prev[[#This Row],[Line No. manual corr.]]</f>
        <v>#VALUE!</v>
      </c>
      <c r="AJ576" s="1064">
        <f t="shared" si="41"/>
        <v>0</v>
      </c>
      <c r="AK576" s="1064">
        <f t="shared" si="42"/>
        <v>0</v>
      </c>
      <c r="AL576" s="1064">
        <f t="shared" si="43"/>
        <v>0</v>
      </c>
      <c r="AM576" s="1064">
        <f t="shared" si="44"/>
        <v>0</v>
      </c>
      <c r="AN576" s="1064"/>
      <c r="AO576" s="1064">
        <f>TB_prev[[#This Row],[Closing balance]]+TB_prev[[#This Row],[Rounding]]</f>
        <v>0</v>
      </c>
    </row>
    <row r="577" spans="30:41" x14ac:dyDescent="0.25">
      <c r="AD577" s="1067" t="str">
        <f t="shared" si="40"/>
        <v/>
      </c>
      <c r="AE577" s="1063" t="str">
        <f>IF(ISNA(VLOOKUP(TB_prev[[#This Row],[Synt]],GL[[#Headers],[#Data],[subtotal label]],1,FALSE)),0,(VLOOKUP(TB_prev[[#This Row],[Synt]],GL[[#Headers],[#Data],[subtotal label]],1,FALSE)))</f>
        <v/>
      </c>
      <c r="AF577" s="1063" t="e">
        <f>IF((TB_prev[[#This Row],[Synt]]-TB_prev[[#This Row],[Subtotal Y/N]])=0,0,VLOOKUP(TB_prev[[#This Row],[Synt]],GL[[Account]:[Line]],3,FALSE))</f>
        <v>#VALUE!</v>
      </c>
      <c r="AG577" s="1063" t="e">
        <f>VLOOKUP(TB_prev[[#This Row],[Synt]],GL[[Account]:[B/P]],4,FALSE)</f>
        <v>#N/A</v>
      </c>
      <c r="AH577" s="1066" t="e">
        <v>#VALUE!</v>
      </c>
      <c r="AI577" s="1065" t="e">
        <f>TB_prev[[#This Row],[Synt]]&amp;TB_prev[[#This Row],[Line No. manual corr.]]</f>
        <v>#VALUE!</v>
      </c>
      <c r="AJ577" s="1064">
        <f t="shared" si="41"/>
        <v>0</v>
      </c>
      <c r="AK577" s="1064">
        <f t="shared" si="42"/>
        <v>0</v>
      </c>
      <c r="AL577" s="1064">
        <f t="shared" si="43"/>
        <v>0</v>
      </c>
      <c r="AM577" s="1064">
        <f t="shared" si="44"/>
        <v>0</v>
      </c>
      <c r="AN577" s="1064"/>
      <c r="AO577" s="1064">
        <f>TB_prev[[#This Row],[Closing balance]]+TB_prev[[#This Row],[Rounding]]</f>
        <v>0</v>
      </c>
    </row>
    <row r="578" spans="30:41" x14ac:dyDescent="0.25">
      <c r="AD578" s="1067" t="str">
        <f t="shared" si="40"/>
        <v/>
      </c>
      <c r="AE578" s="1063" t="str">
        <f>IF(ISNA(VLOOKUP(TB_prev[[#This Row],[Synt]],GL[[#Headers],[#Data],[subtotal label]],1,FALSE)),0,(VLOOKUP(TB_prev[[#This Row],[Synt]],GL[[#Headers],[#Data],[subtotal label]],1,FALSE)))</f>
        <v/>
      </c>
      <c r="AF578" s="1063" t="e">
        <f>IF((TB_prev[[#This Row],[Synt]]-TB_prev[[#This Row],[Subtotal Y/N]])=0,0,VLOOKUP(TB_prev[[#This Row],[Synt]],GL[[Account]:[Line]],3,FALSE))</f>
        <v>#VALUE!</v>
      </c>
      <c r="AG578" s="1063" t="e">
        <f>VLOOKUP(TB_prev[[#This Row],[Synt]],GL[[Account]:[B/P]],4,FALSE)</f>
        <v>#N/A</v>
      </c>
      <c r="AH578" s="1066" t="e">
        <v>#VALUE!</v>
      </c>
      <c r="AI578" s="1065" t="e">
        <f>TB_prev[[#This Row],[Synt]]&amp;TB_prev[[#This Row],[Line No. manual corr.]]</f>
        <v>#VALUE!</v>
      </c>
      <c r="AJ578" s="1064">
        <f t="shared" si="41"/>
        <v>0</v>
      </c>
      <c r="AK578" s="1064">
        <f t="shared" si="42"/>
        <v>0</v>
      </c>
      <c r="AL578" s="1064">
        <f t="shared" si="43"/>
        <v>0</v>
      </c>
      <c r="AM578" s="1064">
        <f t="shared" si="44"/>
        <v>0</v>
      </c>
      <c r="AN578" s="1064"/>
      <c r="AO578" s="1064">
        <f>TB_prev[[#This Row],[Closing balance]]+TB_prev[[#This Row],[Rounding]]</f>
        <v>0</v>
      </c>
    </row>
    <row r="579" spans="30:41" x14ac:dyDescent="0.25">
      <c r="AD579" s="1067" t="str">
        <f t="shared" si="40"/>
        <v/>
      </c>
      <c r="AE579" s="1063" t="str">
        <f>IF(ISNA(VLOOKUP(TB_prev[[#This Row],[Synt]],GL[[#Headers],[#Data],[subtotal label]],1,FALSE)),0,(VLOOKUP(TB_prev[[#This Row],[Synt]],GL[[#Headers],[#Data],[subtotal label]],1,FALSE)))</f>
        <v/>
      </c>
      <c r="AF579" s="1063" t="e">
        <f>IF((TB_prev[[#This Row],[Synt]]-TB_prev[[#This Row],[Subtotal Y/N]])=0,0,VLOOKUP(TB_prev[[#This Row],[Synt]],GL[[Account]:[Line]],3,FALSE))</f>
        <v>#VALUE!</v>
      </c>
      <c r="AG579" s="1063" t="e">
        <f>VLOOKUP(TB_prev[[#This Row],[Synt]],GL[[Account]:[B/P]],4,FALSE)</f>
        <v>#N/A</v>
      </c>
      <c r="AH579" s="1066" t="e">
        <v>#VALUE!</v>
      </c>
      <c r="AI579" s="1065" t="e">
        <f>TB_prev[[#This Row],[Synt]]&amp;TB_prev[[#This Row],[Line No. manual corr.]]</f>
        <v>#VALUE!</v>
      </c>
      <c r="AJ579" s="1064">
        <f t="shared" si="41"/>
        <v>0</v>
      </c>
      <c r="AK579" s="1064">
        <f t="shared" si="42"/>
        <v>0</v>
      </c>
      <c r="AL579" s="1064">
        <f t="shared" si="43"/>
        <v>0</v>
      </c>
      <c r="AM579" s="1064">
        <f t="shared" si="44"/>
        <v>0</v>
      </c>
      <c r="AN579" s="1064"/>
      <c r="AO579" s="1064">
        <f>TB_prev[[#This Row],[Closing balance]]+TB_prev[[#This Row],[Rounding]]</f>
        <v>0</v>
      </c>
    </row>
    <row r="580" spans="30:41" x14ac:dyDescent="0.25">
      <c r="AD580" s="1067" t="str">
        <f t="shared" si="40"/>
        <v/>
      </c>
      <c r="AE580" s="1063" t="str">
        <f>IF(ISNA(VLOOKUP(TB_prev[[#This Row],[Synt]],GL[[#Headers],[#Data],[subtotal label]],1,FALSE)),0,(VLOOKUP(TB_prev[[#This Row],[Synt]],GL[[#Headers],[#Data],[subtotal label]],1,FALSE)))</f>
        <v/>
      </c>
      <c r="AF580" s="1063" t="e">
        <f>IF((TB_prev[[#This Row],[Synt]]-TB_prev[[#This Row],[Subtotal Y/N]])=0,0,VLOOKUP(TB_prev[[#This Row],[Synt]],GL[[Account]:[Line]],3,FALSE))</f>
        <v>#VALUE!</v>
      </c>
      <c r="AG580" s="1063" t="e">
        <f>VLOOKUP(TB_prev[[#This Row],[Synt]],GL[[Account]:[B/P]],4,FALSE)</f>
        <v>#N/A</v>
      </c>
      <c r="AH580" s="1066" t="e">
        <v>#VALUE!</v>
      </c>
      <c r="AI580" s="1065" t="e">
        <f>TB_prev[[#This Row],[Synt]]&amp;TB_prev[[#This Row],[Line No. manual corr.]]</f>
        <v>#VALUE!</v>
      </c>
      <c r="AJ580" s="1064">
        <f t="shared" si="41"/>
        <v>0</v>
      </c>
      <c r="AK580" s="1064">
        <f t="shared" si="42"/>
        <v>0</v>
      </c>
      <c r="AL580" s="1064">
        <f t="shared" si="43"/>
        <v>0</v>
      </c>
      <c r="AM580" s="1064">
        <f t="shared" si="44"/>
        <v>0</v>
      </c>
      <c r="AN580" s="1064"/>
      <c r="AO580" s="1064">
        <f>TB_prev[[#This Row],[Closing balance]]+TB_prev[[#This Row],[Rounding]]</f>
        <v>0</v>
      </c>
    </row>
    <row r="581" spans="30:41" x14ac:dyDescent="0.25">
      <c r="AD581" s="1067" t="str">
        <f t="shared" si="40"/>
        <v/>
      </c>
      <c r="AE581" s="1063" t="str">
        <f>IF(ISNA(VLOOKUP(TB_prev[[#This Row],[Synt]],GL[[#Headers],[#Data],[subtotal label]],1,FALSE)),0,(VLOOKUP(TB_prev[[#This Row],[Synt]],GL[[#Headers],[#Data],[subtotal label]],1,FALSE)))</f>
        <v/>
      </c>
      <c r="AF581" s="1063" t="e">
        <f>IF((TB_prev[[#This Row],[Synt]]-TB_prev[[#This Row],[Subtotal Y/N]])=0,0,VLOOKUP(TB_prev[[#This Row],[Synt]],GL[[Account]:[Line]],3,FALSE))</f>
        <v>#VALUE!</v>
      </c>
      <c r="AG581" s="1063" t="e">
        <f>VLOOKUP(TB_prev[[#This Row],[Synt]],GL[[Account]:[B/P]],4,FALSE)</f>
        <v>#N/A</v>
      </c>
      <c r="AH581" s="1066" t="e">
        <v>#VALUE!</v>
      </c>
      <c r="AI581" s="1065" t="e">
        <f>TB_prev[[#This Row],[Synt]]&amp;TB_prev[[#This Row],[Line No. manual corr.]]</f>
        <v>#VALUE!</v>
      </c>
      <c r="AJ581" s="1064">
        <f t="shared" si="41"/>
        <v>0</v>
      </c>
      <c r="AK581" s="1064">
        <f t="shared" si="42"/>
        <v>0</v>
      </c>
      <c r="AL581" s="1064">
        <f t="shared" si="43"/>
        <v>0</v>
      </c>
      <c r="AM581" s="1064">
        <f t="shared" si="44"/>
        <v>0</v>
      </c>
      <c r="AN581" s="1064"/>
      <c r="AO581" s="1064">
        <f>TB_prev[[#This Row],[Closing balance]]+TB_prev[[#This Row],[Rounding]]</f>
        <v>0</v>
      </c>
    </row>
    <row r="582" spans="30:41" x14ac:dyDescent="0.25">
      <c r="AD582" s="1067" t="str">
        <f t="shared" si="40"/>
        <v/>
      </c>
      <c r="AE582" s="1063" t="str">
        <f>IF(ISNA(VLOOKUP(TB_prev[[#This Row],[Synt]],GL[[#Headers],[#Data],[subtotal label]],1,FALSE)),0,(VLOOKUP(TB_prev[[#This Row],[Synt]],GL[[#Headers],[#Data],[subtotal label]],1,FALSE)))</f>
        <v/>
      </c>
      <c r="AF582" s="1063" t="e">
        <f>IF((TB_prev[[#This Row],[Synt]]-TB_prev[[#This Row],[Subtotal Y/N]])=0,0,VLOOKUP(TB_prev[[#This Row],[Synt]],GL[[Account]:[Line]],3,FALSE))</f>
        <v>#VALUE!</v>
      </c>
      <c r="AG582" s="1063" t="e">
        <f>VLOOKUP(TB_prev[[#This Row],[Synt]],GL[[Account]:[B/P]],4,FALSE)</f>
        <v>#N/A</v>
      </c>
      <c r="AH582" s="1066" t="e">
        <v>#VALUE!</v>
      </c>
      <c r="AI582" s="1065" t="e">
        <f>TB_prev[[#This Row],[Synt]]&amp;TB_prev[[#This Row],[Line No. manual corr.]]</f>
        <v>#VALUE!</v>
      </c>
      <c r="AJ582" s="1064">
        <f t="shared" si="41"/>
        <v>0</v>
      </c>
      <c r="AK582" s="1064">
        <f t="shared" si="42"/>
        <v>0</v>
      </c>
      <c r="AL582" s="1064">
        <f t="shared" si="43"/>
        <v>0</v>
      </c>
      <c r="AM582" s="1064">
        <f t="shared" si="44"/>
        <v>0</v>
      </c>
      <c r="AN582" s="1064"/>
      <c r="AO582" s="1064">
        <f>TB_prev[[#This Row],[Closing balance]]+TB_prev[[#This Row],[Rounding]]</f>
        <v>0</v>
      </c>
    </row>
    <row r="583" spans="30:41" x14ac:dyDescent="0.25">
      <c r="AD583" s="1067" t="str">
        <f t="shared" si="40"/>
        <v/>
      </c>
      <c r="AE583" s="1063" t="str">
        <f>IF(ISNA(VLOOKUP(TB_prev[[#This Row],[Synt]],GL[[#Headers],[#Data],[subtotal label]],1,FALSE)),0,(VLOOKUP(TB_prev[[#This Row],[Synt]],GL[[#Headers],[#Data],[subtotal label]],1,FALSE)))</f>
        <v/>
      </c>
      <c r="AF583" s="1063" t="e">
        <f>IF((TB_prev[[#This Row],[Synt]]-TB_prev[[#This Row],[Subtotal Y/N]])=0,0,VLOOKUP(TB_prev[[#This Row],[Synt]],GL[[Account]:[Line]],3,FALSE))</f>
        <v>#VALUE!</v>
      </c>
      <c r="AG583" s="1063" t="e">
        <f>VLOOKUP(TB_prev[[#This Row],[Synt]],GL[[Account]:[B/P]],4,FALSE)</f>
        <v>#N/A</v>
      </c>
      <c r="AH583" s="1066" t="e">
        <v>#VALUE!</v>
      </c>
      <c r="AI583" s="1065" t="e">
        <f>TB_prev[[#This Row],[Synt]]&amp;TB_prev[[#This Row],[Line No. manual corr.]]</f>
        <v>#VALUE!</v>
      </c>
      <c r="AJ583" s="1064">
        <f t="shared" si="41"/>
        <v>0</v>
      </c>
      <c r="AK583" s="1064">
        <f t="shared" si="42"/>
        <v>0</v>
      </c>
      <c r="AL583" s="1064">
        <f t="shared" si="43"/>
        <v>0</v>
      </c>
      <c r="AM583" s="1064">
        <f t="shared" si="44"/>
        <v>0</v>
      </c>
      <c r="AN583" s="1064"/>
      <c r="AO583" s="1064">
        <f>TB_prev[[#This Row],[Closing balance]]+TB_prev[[#This Row],[Rounding]]</f>
        <v>0</v>
      </c>
    </row>
    <row r="584" spans="30:41" x14ac:dyDescent="0.25">
      <c r="AD584" s="1067" t="str">
        <f t="shared" ref="AD584:AD647" si="45">LEFT(B584,3)</f>
        <v/>
      </c>
      <c r="AE584" s="1063" t="str">
        <f>IF(ISNA(VLOOKUP(TB_prev[[#This Row],[Synt]],GL[[#Headers],[#Data],[subtotal label]],1,FALSE)),0,(VLOOKUP(TB_prev[[#This Row],[Synt]],GL[[#Headers],[#Data],[subtotal label]],1,FALSE)))</f>
        <v/>
      </c>
      <c r="AF584" s="1063" t="e">
        <f>IF((TB_prev[[#This Row],[Synt]]-TB_prev[[#This Row],[Subtotal Y/N]])=0,0,VLOOKUP(TB_prev[[#This Row],[Synt]],GL[[Account]:[Line]],3,FALSE))</f>
        <v>#VALUE!</v>
      </c>
      <c r="AG584" s="1063" t="e">
        <f>VLOOKUP(TB_prev[[#This Row],[Synt]],GL[[Account]:[B/P]],4,FALSE)</f>
        <v>#N/A</v>
      </c>
      <c r="AH584" s="1066" t="e">
        <v>#VALUE!</v>
      </c>
      <c r="AI584" s="1065" t="e">
        <f>TB_prev[[#This Row],[Synt]]&amp;TB_prev[[#This Row],[Line No. manual corr.]]</f>
        <v>#VALUE!</v>
      </c>
      <c r="AJ584" s="1064">
        <f t="shared" ref="AJ584:AJ647" si="46">K584-N584</f>
        <v>0</v>
      </c>
      <c r="AK584" s="1064">
        <f t="shared" ref="AK584:AK647" si="47">Q584</f>
        <v>0</v>
      </c>
      <c r="AL584" s="1064">
        <f t="shared" ref="AL584:AL647" si="48">U584</f>
        <v>0</v>
      </c>
      <c r="AM584" s="1064">
        <f t="shared" ref="AM584:AM647" si="49">X584-AB584</f>
        <v>0</v>
      </c>
      <c r="AN584" s="1064"/>
      <c r="AO584" s="1064">
        <f>TB_prev[[#This Row],[Closing balance]]+TB_prev[[#This Row],[Rounding]]</f>
        <v>0</v>
      </c>
    </row>
    <row r="585" spans="30:41" x14ac:dyDescent="0.25">
      <c r="AD585" s="1067" t="str">
        <f t="shared" si="45"/>
        <v/>
      </c>
      <c r="AE585" s="1063" t="str">
        <f>IF(ISNA(VLOOKUP(TB_prev[[#This Row],[Synt]],GL[[#Headers],[#Data],[subtotal label]],1,FALSE)),0,(VLOOKUP(TB_prev[[#This Row],[Synt]],GL[[#Headers],[#Data],[subtotal label]],1,FALSE)))</f>
        <v/>
      </c>
      <c r="AF585" s="1063" t="e">
        <f>IF((TB_prev[[#This Row],[Synt]]-TB_prev[[#This Row],[Subtotal Y/N]])=0,0,VLOOKUP(TB_prev[[#This Row],[Synt]],GL[[Account]:[Line]],3,FALSE))</f>
        <v>#VALUE!</v>
      </c>
      <c r="AG585" s="1063" t="e">
        <f>VLOOKUP(TB_prev[[#This Row],[Synt]],GL[[Account]:[B/P]],4,FALSE)</f>
        <v>#N/A</v>
      </c>
      <c r="AH585" s="1066" t="e">
        <v>#VALUE!</v>
      </c>
      <c r="AI585" s="1065" t="e">
        <f>TB_prev[[#This Row],[Synt]]&amp;TB_prev[[#This Row],[Line No. manual corr.]]</f>
        <v>#VALUE!</v>
      </c>
      <c r="AJ585" s="1064">
        <f t="shared" si="46"/>
        <v>0</v>
      </c>
      <c r="AK585" s="1064">
        <f t="shared" si="47"/>
        <v>0</v>
      </c>
      <c r="AL585" s="1064">
        <f t="shared" si="48"/>
        <v>0</v>
      </c>
      <c r="AM585" s="1064">
        <f t="shared" si="49"/>
        <v>0</v>
      </c>
      <c r="AN585" s="1064"/>
      <c r="AO585" s="1064">
        <f>TB_prev[[#This Row],[Closing balance]]+TB_prev[[#This Row],[Rounding]]</f>
        <v>0</v>
      </c>
    </row>
    <row r="586" spans="30:41" x14ac:dyDescent="0.25">
      <c r="AD586" s="1067" t="str">
        <f t="shared" si="45"/>
        <v/>
      </c>
      <c r="AE586" s="1063" t="str">
        <f>IF(ISNA(VLOOKUP(TB_prev[[#This Row],[Synt]],GL[[#Headers],[#Data],[subtotal label]],1,FALSE)),0,(VLOOKUP(TB_prev[[#This Row],[Synt]],GL[[#Headers],[#Data],[subtotal label]],1,FALSE)))</f>
        <v/>
      </c>
      <c r="AF586" s="1063" t="e">
        <f>IF((TB_prev[[#This Row],[Synt]]-TB_prev[[#This Row],[Subtotal Y/N]])=0,0,VLOOKUP(TB_prev[[#This Row],[Synt]],GL[[Account]:[Line]],3,FALSE))</f>
        <v>#VALUE!</v>
      </c>
      <c r="AG586" s="1063" t="e">
        <f>VLOOKUP(TB_prev[[#This Row],[Synt]],GL[[Account]:[B/P]],4,FALSE)</f>
        <v>#N/A</v>
      </c>
      <c r="AH586" s="1066" t="e">
        <v>#VALUE!</v>
      </c>
      <c r="AI586" s="1065" t="e">
        <f>TB_prev[[#This Row],[Synt]]&amp;TB_prev[[#This Row],[Line No. manual corr.]]</f>
        <v>#VALUE!</v>
      </c>
      <c r="AJ586" s="1064">
        <f t="shared" si="46"/>
        <v>0</v>
      </c>
      <c r="AK586" s="1064">
        <f t="shared" si="47"/>
        <v>0</v>
      </c>
      <c r="AL586" s="1064">
        <f t="shared" si="48"/>
        <v>0</v>
      </c>
      <c r="AM586" s="1064">
        <f t="shared" si="49"/>
        <v>0</v>
      </c>
      <c r="AN586" s="1064"/>
      <c r="AO586" s="1064">
        <f>TB_prev[[#This Row],[Closing balance]]+TB_prev[[#This Row],[Rounding]]</f>
        <v>0</v>
      </c>
    </row>
    <row r="587" spans="30:41" x14ac:dyDescent="0.25">
      <c r="AD587" s="1067" t="str">
        <f t="shared" si="45"/>
        <v/>
      </c>
      <c r="AE587" s="1063" t="str">
        <f>IF(ISNA(VLOOKUP(TB_prev[[#This Row],[Synt]],GL[[#Headers],[#Data],[subtotal label]],1,FALSE)),0,(VLOOKUP(TB_prev[[#This Row],[Synt]],GL[[#Headers],[#Data],[subtotal label]],1,FALSE)))</f>
        <v/>
      </c>
      <c r="AF587" s="1063" t="e">
        <f>IF((TB_prev[[#This Row],[Synt]]-TB_prev[[#This Row],[Subtotal Y/N]])=0,0,VLOOKUP(TB_prev[[#This Row],[Synt]],GL[[Account]:[Line]],3,FALSE))</f>
        <v>#VALUE!</v>
      </c>
      <c r="AG587" s="1063" t="e">
        <f>VLOOKUP(TB_prev[[#This Row],[Synt]],GL[[Account]:[B/P]],4,FALSE)</f>
        <v>#N/A</v>
      </c>
      <c r="AH587" s="1066" t="e">
        <v>#VALUE!</v>
      </c>
      <c r="AI587" s="1065" t="e">
        <f>TB_prev[[#This Row],[Synt]]&amp;TB_prev[[#This Row],[Line No. manual corr.]]</f>
        <v>#VALUE!</v>
      </c>
      <c r="AJ587" s="1064">
        <f t="shared" si="46"/>
        <v>0</v>
      </c>
      <c r="AK587" s="1064">
        <f t="shared" si="47"/>
        <v>0</v>
      </c>
      <c r="AL587" s="1064">
        <f t="shared" si="48"/>
        <v>0</v>
      </c>
      <c r="AM587" s="1064">
        <f t="shared" si="49"/>
        <v>0</v>
      </c>
      <c r="AN587" s="1064"/>
      <c r="AO587" s="1064">
        <f>TB_prev[[#This Row],[Closing balance]]+TB_prev[[#This Row],[Rounding]]</f>
        <v>0</v>
      </c>
    </row>
    <row r="588" spans="30:41" x14ac:dyDescent="0.25">
      <c r="AD588" s="1067" t="str">
        <f t="shared" si="45"/>
        <v/>
      </c>
      <c r="AE588" s="1063" t="str">
        <f>IF(ISNA(VLOOKUP(TB_prev[[#This Row],[Synt]],GL[[#Headers],[#Data],[subtotal label]],1,FALSE)),0,(VLOOKUP(TB_prev[[#This Row],[Synt]],GL[[#Headers],[#Data],[subtotal label]],1,FALSE)))</f>
        <v/>
      </c>
      <c r="AF588" s="1063" t="e">
        <f>IF((TB_prev[[#This Row],[Synt]]-TB_prev[[#This Row],[Subtotal Y/N]])=0,0,VLOOKUP(TB_prev[[#This Row],[Synt]],GL[[Account]:[Line]],3,FALSE))</f>
        <v>#VALUE!</v>
      </c>
      <c r="AG588" s="1063" t="e">
        <f>VLOOKUP(TB_prev[[#This Row],[Synt]],GL[[Account]:[B/P]],4,FALSE)</f>
        <v>#N/A</v>
      </c>
      <c r="AH588" s="1066" t="e">
        <v>#VALUE!</v>
      </c>
      <c r="AI588" s="1065" t="e">
        <f>TB_prev[[#This Row],[Synt]]&amp;TB_prev[[#This Row],[Line No. manual corr.]]</f>
        <v>#VALUE!</v>
      </c>
      <c r="AJ588" s="1064">
        <f t="shared" si="46"/>
        <v>0</v>
      </c>
      <c r="AK588" s="1064">
        <f t="shared" si="47"/>
        <v>0</v>
      </c>
      <c r="AL588" s="1064">
        <f t="shared" si="48"/>
        <v>0</v>
      </c>
      <c r="AM588" s="1064">
        <f t="shared" si="49"/>
        <v>0</v>
      </c>
      <c r="AN588" s="1064"/>
      <c r="AO588" s="1064">
        <f>TB_prev[[#This Row],[Closing balance]]+TB_prev[[#This Row],[Rounding]]</f>
        <v>0</v>
      </c>
    </row>
    <row r="589" spans="30:41" x14ac:dyDescent="0.25">
      <c r="AD589" s="1067" t="str">
        <f t="shared" si="45"/>
        <v/>
      </c>
      <c r="AE589" s="1063" t="str">
        <f>IF(ISNA(VLOOKUP(TB_prev[[#This Row],[Synt]],GL[[#Headers],[#Data],[subtotal label]],1,FALSE)),0,(VLOOKUP(TB_prev[[#This Row],[Synt]],GL[[#Headers],[#Data],[subtotal label]],1,FALSE)))</f>
        <v/>
      </c>
      <c r="AF589" s="1063" t="e">
        <f>IF((TB_prev[[#This Row],[Synt]]-TB_prev[[#This Row],[Subtotal Y/N]])=0,0,VLOOKUP(TB_prev[[#This Row],[Synt]],GL[[Account]:[Line]],3,FALSE))</f>
        <v>#VALUE!</v>
      </c>
      <c r="AG589" s="1063" t="e">
        <f>VLOOKUP(TB_prev[[#This Row],[Synt]],GL[[Account]:[B/P]],4,FALSE)</f>
        <v>#N/A</v>
      </c>
      <c r="AH589" s="1066" t="e">
        <v>#VALUE!</v>
      </c>
      <c r="AI589" s="1065" t="e">
        <f>TB_prev[[#This Row],[Synt]]&amp;TB_prev[[#This Row],[Line No. manual corr.]]</f>
        <v>#VALUE!</v>
      </c>
      <c r="AJ589" s="1064">
        <f t="shared" si="46"/>
        <v>0</v>
      </c>
      <c r="AK589" s="1064">
        <f t="shared" si="47"/>
        <v>0</v>
      </c>
      <c r="AL589" s="1064">
        <f t="shared" si="48"/>
        <v>0</v>
      </c>
      <c r="AM589" s="1064">
        <f t="shared" si="49"/>
        <v>0</v>
      </c>
      <c r="AN589" s="1064"/>
      <c r="AO589" s="1064">
        <f>TB_prev[[#This Row],[Closing balance]]+TB_prev[[#This Row],[Rounding]]</f>
        <v>0</v>
      </c>
    </row>
    <row r="590" spans="30:41" x14ac:dyDescent="0.25">
      <c r="AD590" s="1067" t="str">
        <f t="shared" si="45"/>
        <v/>
      </c>
      <c r="AE590" s="1063" t="str">
        <f>IF(ISNA(VLOOKUP(TB_prev[[#This Row],[Synt]],GL[[#Headers],[#Data],[subtotal label]],1,FALSE)),0,(VLOOKUP(TB_prev[[#This Row],[Synt]],GL[[#Headers],[#Data],[subtotal label]],1,FALSE)))</f>
        <v/>
      </c>
      <c r="AF590" s="1063" t="e">
        <f>IF((TB_prev[[#This Row],[Synt]]-TB_prev[[#This Row],[Subtotal Y/N]])=0,0,VLOOKUP(TB_prev[[#This Row],[Synt]],GL[[Account]:[Line]],3,FALSE))</f>
        <v>#VALUE!</v>
      </c>
      <c r="AG590" s="1063" t="e">
        <f>VLOOKUP(TB_prev[[#This Row],[Synt]],GL[[Account]:[B/P]],4,FALSE)</f>
        <v>#N/A</v>
      </c>
      <c r="AH590" s="1066" t="e">
        <v>#VALUE!</v>
      </c>
      <c r="AI590" s="1065" t="e">
        <f>TB_prev[[#This Row],[Synt]]&amp;TB_prev[[#This Row],[Line No. manual corr.]]</f>
        <v>#VALUE!</v>
      </c>
      <c r="AJ590" s="1064">
        <f t="shared" si="46"/>
        <v>0</v>
      </c>
      <c r="AK590" s="1064">
        <f t="shared" si="47"/>
        <v>0</v>
      </c>
      <c r="AL590" s="1064">
        <f t="shared" si="48"/>
        <v>0</v>
      </c>
      <c r="AM590" s="1064">
        <f t="shared" si="49"/>
        <v>0</v>
      </c>
      <c r="AN590" s="1064"/>
      <c r="AO590" s="1064">
        <f>TB_prev[[#This Row],[Closing balance]]+TB_prev[[#This Row],[Rounding]]</f>
        <v>0</v>
      </c>
    </row>
    <row r="591" spans="30:41" x14ac:dyDescent="0.25">
      <c r="AD591" s="1067" t="str">
        <f t="shared" si="45"/>
        <v/>
      </c>
      <c r="AE591" s="1063" t="str">
        <f>IF(ISNA(VLOOKUP(TB_prev[[#This Row],[Synt]],GL[[#Headers],[#Data],[subtotal label]],1,FALSE)),0,(VLOOKUP(TB_prev[[#This Row],[Synt]],GL[[#Headers],[#Data],[subtotal label]],1,FALSE)))</f>
        <v/>
      </c>
      <c r="AF591" s="1063" t="e">
        <f>IF((TB_prev[[#This Row],[Synt]]-TB_prev[[#This Row],[Subtotal Y/N]])=0,0,VLOOKUP(TB_prev[[#This Row],[Synt]],GL[[Account]:[Line]],3,FALSE))</f>
        <v>#VALUE!</v>
      </c>
      <c r="AG591" s="1063" t="e">
        <f>VLOOKUP(TB_prev[[#This Row],[Synt]],GL[[Account]:[B/P]],4,FALSE)</f>
        <v>#N/A</v>
      </c>
      <c r="AH591" s="1066" t="e">
        <v>#VALUE!</v>
      </c>
      <c r="AI591" s="1065" t="e">
        <f>TB_prev[[#This Row],[Synt]]&amp;TB_prev[[#This Row],[Line No. manual corr.]]</f>
        <v>#VALUE!</v>
      </c>
      <c r="AJ591" s="1064">
        <f t="shared" si="46"/>
        <v>0</v>
      </c>
      <c r="AK591" s="1064">
        <f t="shared" si="47"/>
        <v>0</v>
      </c>
      <c r="AL591" s="1064">
        <f t="shared" si="48"/>
        <v>0</v>
      </c>
      <c r="AM591" s="1064">
        <f t="shared" si="49"/>
        <v>0</v>
      </c>
      <c r="AN591" s="1064"/>
      <c r="AO591" s="1064">
        <f>TB_prev[[#This Row],[Closing balance]]+TB_prev[[#This Row],[Rounding]]</f>
        <v>0</v>
      </c>
    </row>
    <row r="592" spans="30:41" x14ac:dyDescent="0.25">
      <c r="AD592" s="1067" t="str">
        <f t="shared" si="45"/>
        <v/>
      </c>
      <c r="AE592" s="1063" t="str">
        <f>IF(ISNA(VLOOKUP(TB_prev[[#This Row],[Synt]],GL[[#Headers],[#Data],[subtotal label]],1,FALSE)),0,(VLOOKUP(TB_prev[[#This Row],[Synt]],GL[[#Headers],[#Data],[subtotal label]],1,FALSE)))</f>
        <v/>
      </c>
      <c r="AF592" s="1063" t="e">
        <f>IF((TB_prev[[#This Row],[Synt]]-TB_prev[[#This Row],[Subtotal Y/N]])=0,0,VLOOKUP(TB_prev[[#This Row],[Synt]],GL[[Account]:[Line]],3,FALSE))</f>
        <v>#VALUE!</v>
      </c>
      <c r="AG592" s="1063" t="e">
        <f>VLOOKUP(TB_prev[[#This Row],[Synt]],GL[[Account]:[B/P]],4,FALSE)</f>
        <v>#N/A</v>
      </c>
      <c r="AH592" s="1066" t="e">
        <v>#VALUE!</v>
      </c>
      <c r="AI592" s="1065" t="e">
        <f>TB_prev[[#This Row],[Synt]]&amp;TB_prev[[#This Row],[Line No. manual corr.]]</f>
        <v>#VALUE!</v>
      </c>
      <c r="AJ592" s="1064">
        <f t="shared" si="46"/>
        <v>0</v>
      </c>
      <c r="AK592" s="1064">
        <f t="shared" si="47"/>
        <v>0</v>
      </c>
      <c r="AL592" s="1064">
        <f t="shared" si="48"/>
        <v>0</v>
      </c>
      <c r="AM592" s="1064">
        <f t="shared" si="49"/>
        <v>0</v>
      </c>
      <c r="AN592" s="1064"/>
      <c r="AO592" s="1064">
        <f>TB_prev[[#This Row],[Closing balance]]+TB_prev[[#This Row],[Rounding]]</f>
        <v>0</v>
      </c>
    </row>
    <row r="593" spans="30:41" x14ac:dyDescent="0.25">
      <c r="AD593" s="1067" t="str">
        <f t="shared" si="45"/>
        <v/>
      </c>
      <c r="AE593" s="1063" t="str">
        <f>IF(ISNA(VLOOKUP(TB_prev[[#This Row],[Synt]],GL[[#Headers],[#Data],[subtotal label]],1,FALSE)),0,(VLOOKUP(TB_prev[[#This Row],[Synt]],GL[[#Headers],[#Data],[subtotal label]],1,FALSE)))</f>
        <v/>
      </c>
      <c r="AF593" s="1063" t="e">
        <f>IF((TB_prev[[#This Row],[Synt]]-TB_prev[[#This Row],[Subtotal Y/N]])=0,0,VLOOKUP(TB_prev[[#This Row],[Synt]],GL[[Account]:[Line]],3,FALSE))</f>
        <v>#VALUE!</v>
      </c>
      <c r="AG593" s="1063" t="e">
        <f>VLOOKUP(TB_prev[[#This Row],[Synt]],GL[[Account]:[B/P]],4,FALSE)</f>
        <v>#N/A</v>
      </c>
      <c r="AH593" s="1066" t="e">
        <v>#VALUE!</v>
      </c>
      <c r="AI593" s="1065" t="e">
        <f>TB_prev[[#This Row],[Synt]]&amp;TB_prev[[#This Row],[Line No. manual corr.]]</f>
        <v>#VALUE!</v>
      </c>
      <c r="AJ593" s="1064">
        <f t="shared" si="46"/>
        <v>0</v>
      </c>
      <c r="AK593" s="1064">
        <f t="shared" si="47"/>
        <v>0</v>
      </c>
      <c r="AL593" s="1064">
        <f t="shared" si="48"/>
        <v>0</v>
      </c>
      <c r="AM593" s="1064">
        <f t="shared" si="49"/>
        <v>0</v>
      </c>
      <c r="AN593" s="1064"/>
      <c r="AO593" s="1064">
        <f>TB_prev[[#This Row],[Closing balance]]+TB_prev[[#This Row],[Rounding]]</f>
        <v>0</v>
      </c>
    </row>
    <row r="594" spans="30:41" x14ac:dyDescent="0.25">
      <c r="AD594" s="1067" t="str">
        <f t="shared" si="45"/>
        <v/>
      </c>
      <c r="AE594" s="1063" t="str">
        <f>IF(ISNA(VLOOKUP(TB_prev[[#This Row],[Synt]],GL[[#Headers],[#Data],[subtotal label]],1,FALSE)),0,(VLOOKUP(TB_prev[[#This Row],[Synt]],GL[[#Headers],[#Data],[subtotal label]],1,FALSE)))</f>
        <v/>
      </c>
      <c r="AF594" s="1063" t="e">
        <f>IF((TB_prev[[#This Row],[Synt]]-TB_prev[[#This Row],[Subtotal Y/N]])=0,0,VLOOKUP(TB_prev[[#This Row],[Synt]],GL[[Account]:[Line]],3,FALSE))</f>
        <v>#VALUE!</v>
      </c>
      <c r="AG594" s="1063" t="e">
        <f>VLOOKUP(TB_prev[[#This Row],[Synt]],GL[[Account]:[B/P]],4,FALSE)</f>
        <v>#N/A</v>
      </c>
      <c r="AH594" s="1066" t="e">
        <v>#VALUE!</v>
      </c>
      <c r="AI594" s="1065" t="e">
        <f>TB_prev[[#This Row],[Synt]]&amp;TB_prev[[#This Row],[Line No. manual corr.]]</f>
        <v>#VALUE!</v>
      </c>
      <c r="AJ594" s="1064">
        <f t="shared" si="46"/>
        <v>0</v>
      </c>
      <c r="AK594" s="1064">
        <f t="shared" si="47"/>
        <v>0</v>
      </c>
      <c r="AL594" s="1064">
        <f t="shared" si="48"/>
        <v>0</v>
      </c>
      <c r="AM594" s="1064">
        <f t="shared" si="49"/>
        <v>0</v>
      </c>
      <c r="AN594" s="1064"/>
      <c r="AO594" s="1064">
        <f>TB_prev[[#This Row],[Closing balance]]+TB_prev[[#This Row],[Rounding]]</f>
        <v>0</v>
      </c>
    </row>
    <row r="595" spans="30:41" x14ac:dyDescent="0.25">
      <c r="AD595" s="1067" t="str">
        <f t="shared" si="45"/>
        <v/>
      </c>
      <c r="AE595" s="1063" t="str">
        <f>IF(ISNA(VLOOKUP(TB_prev[[#This Row],[Synt]],GL[[#Headers],[#Data],[subtotal label]],1,FALSE)),0,(VLOOKUP(TB_prev[[#This Row],[Synt]],GL[[#Headers],[#Data],[subtotal label]],1,FALSE)))</f>
        <v/>
      </c>
      <c r="AF595" s="1063" t="e">
        <f>IF((TB_prev[[#This Row],[Synt]]-TB_prev[[#This Row],[Subtotal Y/N]])=0,0,VLOOKUP(TB_prev[[#This Row],[Synt]],GL[[Account]:[Line]],3,FALSE))</f>
        <v>#VALUE!</v>
      </c>
      <c r="AG595" s="1063" t="e">
        <f>VLOOKUP(TB_prev[[#This Row],[Synt]],GL[[Account]:[B/P]],4,FALSE)</f>
        <v>#N/A</v>
      </c>
      <c r="AH595" s="1066" t="e">
        <v>#VALUE!</v>
      </c>
      <c r="AI595" s="1065" t="e">
        <f>TB_prev[[#This Row],[Synt]]&amp;TB_prev[[#This Row],[Line No. manual corr.]]</f>
        <v>#VALUE!</v>
      </c>
      <c r="AJ595" s="1064">
        <f t="shared" si="46"/>
        <v>0</v>
      </c>
      <c r="AK595" s="1064">
        <f t="shared" si="47"/>
        <v>0</v>
      </c>
      <c r="AL595" s="1064">
        <f t="shared" si="48"/>
        <v>0</v>
      </c>
      <c r="AM595" s="1064">
        <f t="shared" si="49"/>
        <v>0</v>
      </c>
      <c r="AN595" s="1064"/>
      <c r="AO595" s="1064">
        <f>TB_prev[[#This Row],[Closing balance]]+TB_prev[[#This Row],[Rounding]]</f>
        <v>0</v>
      </c>
    </row>
    <row r="596" spans="30:41" x14ac:dyDescent="0.25">
      <c r="AD596" s="1067" t="str">
        <f t="shared" si="45"/>
        <v/>
      </c>
      <c r="AE596" s="1063" t="str">
        <f>IF(ISNA(VLOOKUP(TB_prev[[#This Row],[Synt]],GL[[#Headers],[#Data],[subtotal label]],1,FALSE)),0,(VLOOKUP(TB_prev[[#This Row],[Synt]],GL[[#Headers],[#Data],[subtotal label]],1,FALSE)))</f>
        <v/>
      </c>
      <c r="AF596" s="1063" t="e">
        <f>IF((TB_prev[[#This Row],[Synt]]-TB_prev[[#This Row],[Subtotal Y/N]])=0,0,VLOOKUP(TB_prev[[#This Row],[Synt]],GL[[Account]:[Line]],3,FALSE))</f>
        <v>#VALUE!</v>
      </c>
      <c r="AG596" s="1063" t="e">
        <f>VLOOKUP(TB_prev[[#This Row],[Synt]],GL[[Account]:[B/P]],4,FALSE)</f>
        <v>#N/A</v>
      </c>
      <c r="AH596" s="1066" t="e">
        <v>#VALUE!</v>
      </c>
      <c r="AI596" s="1065" t="e">
        <f>TB_prev[[#This Row],[Synt]]&amp;TB_prev[[#This Row],[Line No. manual corr.]]</f>
        <v>#VALUE!</v>
      </c>
      <c r="AJ596" s="1064">
        <f t="shared" si="46"/>
        <v>0</v>
      </c>
      <c r="AK596" s="1064">
        <f t="shared" si="47"/>
        <v>0</v>
      </c>
      <c r="AL596" s="1064">
        <f t="shared" si="48"/>
        <v>0</v>
      </c>
      <c r="AM596" s="1064">
        <f t="shared" si="49"/>
        <v>0</v>
      </c>
      <c r="AN596" s="1064"/>
      <c r="AO596" s="1064">
        <f>TB_prev[[#This Row],[Closing balance]]+TB_prev[[#This Row],[Rounding]]</f>
        <v>0</v>
      </c>
    </row>
    <row r="597" spans="30:41" x14ac:dyDescent="0.25">
      <c r="AD597" s="1067" t="str">
        <f t="shared" si="45"/>
        <v/>
      </c>
      <c r="AE597" s="1063" t="str">
        <f>IF(ISNA(VLOOKUP(TB_prev[[#This Row],[Synt]],GL[[#Headers],[#Data],[subtotal label]],1,FALSE)),0,(VLOOKUP(TB_prev[[#This Row],[Synt]],GL[[#Headers],[#Data],[subtotal label]],1,FALSE)))</f>
        <v/>
      </c>
      <c r="AF597" s="1063" t="e">
        <f>IF((TB_prev[[#This Row],[Synt]]-TB_prev[[#This Row],[Subtotal Y/N]])=0,0,VLOOKUP(TB_prev[[#This Row],[Synt]],GL[[Account]:[Line]],3,FALSE))</f>
        <v>#VALUE!</v>
      </c>
      <c r="AG597" s="1063" t="e">
        <f>VLOOKUP(TB_prev[[#This Row],[Synt]],GL[[Account]:[B/P]],4,FALSE)</f>
        <v>#N/A</v>
      </c>
      <c r="AH597" s="1066" t="e">
        <v>#VALUE!</v>
      </c>
      <c r="AI597" s="1065" t="e">
        <f>TB_prev[[#This Row],[Synt]]&amp;TB_prev[[#This Row],[Line No. manual corr.]]</f>
        <v>#VALUE!</v>
      </c>
      <c r="AJ597" s="1064">
        <f t="shared" si="46"/>
        <v>0</v>
      </c>
      <c r="AK597" s="1064">
        <f t="shared" si="47"/>
        <v>0</v>
      </c>
      <c r="AL597" s="1064">
        <f t="shared" si="48"/>
        <v>0</v>
      </c>
      <c r="AM597" s="1064">
        <f t="shared" si="49"/>
        <v>0</v>
      </c>
      <c r="AN597" s="1064"/>
      <c r="AO597" s="1064">
        <f>TB_prev[[#This Row],[Closing balance]]+TB_prev[[#This Row],[Rounding]]</f>
        <v>0</v>
      </c>
    </row>
    <row r="598" spans="30:41" x14ac:dyDescent="0.25">
      <c r="AD598" s="1067" t="str">
        <f t="shared" si="45"/>
        <v/>
      </c>
      <c r="AE598" s="1063" t="str">
        <f>IF(ISNA(VLOOKUP(TB_prev[[#This Row],[Synt]],GL[[#Headers],[#Data],[subtotal label]],1,FALSE)),0,(VLOOKUP(TB_prev[[#This Row],[Synt]],GL[[#Headers],[#Data],[subtotal label]],1,FALSE)))</f>
        <v/>
      </c>
      <c r="AF598" s="1063" t="e">
        <f>IF((TB_prev[[#This Row],[Synt]]-TB_prev[[#This Row],[Subtotal Y/N]])=0,0,VLOOKUP(TB_prev[[#This Row],[Synt]],GL[[Account]:[Line]],3,FALSE))</f>
        <v>#VALUE!</v>
      </c>
      <c r="AG598" s="1063" t="e">
        <f>VLOOKUP(TB_prev[[#This Row],[Synt]],GL[[Account]:[B/P]],4,FALSE)</f>
        <v>#N/A</v>
      </c>
      <c r="AH598" s="1066" t="e">
        <v>#VALUE!</v>
      </c>
      <c r="AI598" s="1065" t="e">
        <f>TB_prev[[#This Row],[Synt]]&amp;TB_prev[[#This Row],[Line No. manual corr.]]</f>
        <v>#VALUE!</v>
      </c>
      <c r="AJ598" s="1064">
        <f t="shared" si="46"/>
        <v>0</v>
      </c>
      <c r="AK598" s="1064">
        <f t="shared" si="47"/>
        <v>0</v>
      </c>
      <c r="AL598" s="1064">
        <f t="shared" si="48"/>
        <v>0</v>
      </c>
      <c r="AM598" s="1064">
        <f t="shared" si="49"/>
        <v>0</v>
      </c>
      <c r="AN598" s="1064"/>
      <c r="AO598" s="1064">
        <f>TB_prev[[#This Row],[Closing balance]]+TB_prev[[#This Row],[Rounding]]</f>
        <v>0</v>
      </c>
    </row>
    <row r="599" spans="30:41" x14ac:dyDescent="0.25">
      <c r="AD599" s="1067" t="str">
        <f t="shared" si="45"/>
        <v/>
      </c>
      <c r="AE599" s="1063" t="str">
        <f>IF(ISNA(VLOOKUP(TB_prev[[#This Row],[Synt]],GL[[#Headers],[#Data],[subtotal label]],1,FALSE)),0,(VLOOKUP(TB_prev[[#This Row],[Synt]],GL[[#Headers],[#Data],[subtotal label]],1,FALSE)))</f>
        <v/>
      </c>
      <c r="AF599" s="1063" t="e">
        <f>IF((TB_prev[[#This Row],[Synt]]-TB_prev[[#This Row],[Subtotal Y/N]])=0,0,VLOOKUP(TB_prev[[#This Row],[Synt]],GL[[Account]:[Line]],3,FALSE))</f>
        <v>#VALUE!</v>
      </c>
      <c r="AG599" s="1063" t="e">
        <f>VLOOKUP(TB_prev[[#This Row],[Synt]],GL[[Account]:[B/P]],4,FALSE)</f>
        <v>#N/A</v>
      </c>
      <c r="AH599" s="1066" t="e">
        <v>#VALUE!</v>
      </c>
      <c r="AI599" s="1065" t="e">
        <f>TB_prev[[#This Row],[Synt]]&amp;TB_prev[[#This Row],[Line No. manual corr.]]</f>
        <v>#VALUE!</v>
      </c>
      <c r="AJ599" s="1064">
        <f t="shared" si="46"/>
        <v>0</v>
      </c>
      <c r="AK599" s="1064">
        <f t="shared" si="47"/>
        <v>0</v>
      </c>
      <c r="AL599" s="1064">
        <f t="shared" si="48"/>
        <v>0</v>
      </c>
      <c r="AM599" s="1064">
        <f t="shared" si="49"/>
        <v>0</v>
      </c>
      <c r="AN599" s="1064"/>
      <c r="AO599" s="1064">
        <f>TB_prev[[#This Row],[Closing balance]]+TB_prev[[#This Row],[Rounding]]</f>
        <v>0</v>
      </c>
    </row>
    <row r="600" spans="30:41" x14ac:dyDescent="0.25">
      <c r="AD600" s="1067" t="str">
        <f t="shared" si="45"/>
        <v/>
      </c>
      <c r="AE600" s="1063" t="str">
        <f>IF(ISNA(VLOOKUP(TB_prev[[#This Row],[Synt]],GL[[#Headers],[#Data],[subtotal label]],1,FALSE)),0,(VLOOKUP(TB_prev[[#This Row],[Synt]],GL[[#Headers],[#Data],[subtotal label]],1,FALSE)))</f>
        <v/>
      </c>
      <c r="AF600" s="1063" t="e">
        <f>IF((TB_prev[[#This Row],[Synt]]-TB_prev[[#This Row],[Subtotal Y/N]])=0,0,VLOOKUP(TB_prev[[#This Row],[Synt]],GL[[Account]:[Line]],3,FALSE))</f>
        <v>#VALUE!</v>
      </c>
      <c r="AG600" s="1063" t="e">
        <f>VLOOKUP(TB_prev[[#This Row],[Synt]],GL[[Account]:[B/P]],4,FALSE)</f>
        <v>#N/A</v>
      </c>
      <c r="AH600" s="1066" t="e">
        <v>#VALUE!</v>
      </c>
      <c r="AI600" s="1065" t="e">
        <f>TB_prev[[#This Row],[Synt]]&amp;TB_prev[[#This Row],[Line No. manual corr.]]</f>
        <v>#VALUE!</v>
      </c>
      <c r="AJ600" s="1064">
        <f t="shared" si="46"/>
        <v>0</v>
      </c>
      <c r="AK600" s="1064">
        <f t="shared" si="47"/>
        <v>0</v>
      </c>
      <c r="AL600" s="1064">
        <f t="shared" si="48"/>
        <v>0</v>
      </c>
      <c r="AM600" s="1064">
        <f t="shared" si="49"/>
        <v>0</v>
      </c>
      <c r="AN600" s="1064"/>
      <c r="AO600" s="1064">
        <f>TB_prev[[#This Row],[Closing balance]]+TB_prev[[#This Row],[Rounding]]</f>
        <v>0</v>
      </c>
    </row>
    <row r="601" spans="30:41" x14ac:dyDescent="0.25">
      <c r="AD601" s="1067" t="str">
        <f t="shared" si="45"/>
        <v/>
      </c>
      <c r="AE601" s="1063" t="str">
        <f>IF(ISNA(VLOOKUP(TB_prev[[#This Row],[Synt]],GL[[#Headers],[#Data],[subtotal label]],1,FALSE)),0,(VLOOKUP(TB_prev[[#This Row],[Synt]],GL[[#Headers],[#Data],[subtotal label]],1,FALSE)))</f>
        <v/>
      </c>
      <c r="AF601" s="1063" t="e">
        <f>IF((TB_prev[[#This Row],[Synt]]-TB_prev[[#This Row],[Subtotal Y/N]])=0,0,VLOOKUP(TB_prev[[#This Row],[Synt]],GL[[Account]:[Line]],3,FALSE))</f>
        <v>#VALUE!</v>
      </c>
      <c r="AG601" s="1063" t="e">
        <f>VLOOKUP(TB_prev[[#This Row],[Synt]],GL[[Account]:[B/P]],4,FALSE)</f>
        <v>#N/A</v>
      </c>
      <c r="AH601" s="1066" t="e">
        <v>#VALUE!</v>
      </c>
      <c r="AI601" s="1065" t="e">
        <f>TB_prev[[#This Row],[Synt]]&amp;TB_prev[[#This Row],[Line No. manual corr.]]</f>
        <v>#VALUE!</v>
      </c>
      <c r="AJ601" s="1064">
        <f t="shared" si="46"/>
        <v>0</v>
      </c>
      <c r="AK601" s="1064">
        <f t="shared" si="47"/>
        <v>0</v>
      </c>
      <c r="AL601" s="1064">
        <f t="shared" si="48"/>
        <v>0</v>
      </c>
      <c r="AM601" s="1064">
        <f t="shared" si="49"/>
        <v>0</v>
      </c>
      <c r="AN601" s="1064"/>
      <c r="AO601" s="1064">
        <f>TB_prev[[#This Row],[Closing balance]]+TB_prev[[#This Row],[Rounding]]</f>
        <v>0</v>
      </c>
    </row>
    <row r="602" spans="30:41" x14ac:dyDescent="0.25">
      <c r="AD602" s="1067" t="str">
        <f t="shared" si="45"/>
        <v/>
      </c>
      <c r="AE602" s="1063" t="str">
        <f>IF(ISNA(VLOOKUP(TB_prev[[#This Row],[Synt]],GL[[#Headers],[#Data],[subtotal label]],1,FALSE)),0,(VLOOKUP(TB_prev[[#This Row],[Synt]],GL[[#Headers],[#Data],[subtotal label]],1,FALSE)))</f>
        <v/>
      </c>
      <c r="AF602" s="1063" t="e">
        <f>IF((TB_prev[[#This Row],[Synt]]-TB_prev[[#This Row],[Subtotal Y/N]])=0,0,VLOOKUP(TB_prev[[#This Row],[Synt]],GL[[Account]:[Line]],3,FALSE))</f>
        <v>#VALUE!</v>
      </c>
      <c r="AG602" s="1063" t="e">
        <f>VLOOKUP(TB_prev[[#This Row],[Synt]],GL[[Account]:[B/P]],4,FALSE)</f>
        <v>#N/A</v>
      </c>
      <c r="AH602" s="1066" t="e">
        <v>#VALUE!</v>
      </c>
      <c r="AI602" s="1065" t="e">
        <f>TB_prev[[#This Row],[Synt]]&amp;TB_prev[[#This Row],[Line No. manual corr.]]</f>
        <v>#VALUE!</v>
      </c>
      <c r="AJ602" s="1064">
        <f t="shared" si="46"/>
        <v>0</v>
      </c>
      <c r="AK602" s="1064">
        <f t="shared" si="47"/>
        <v>0</v>
      </c>
      <c r="AL602" s="1064">
        <f t="shared" si="48"/>
        <v>0</v>
      </c>
      <c r="AM602" s="1064">
        <f t="shared" si="49"/>
        <v>0</v>
      </c>
      <c r="AN602" s="1064"/>
      <c r="AO602" s="1064">
        <f>TB_prev[[#This Row],[Closing balance]]+TB_prev[[#This Row],[Rounding]]</f>
        <v>0</v>
      </c>
    </row>
    <row r="603" spans="30:41" x14ac:dyDescent="0.25">
      <c r="AD603" s="1067" t="str">
        <f t="shared" si="45"/>
        <v/>
      </c>
      <c r="AE603" s="1063" t="str">
        <f>IF(ISNA(VLOOKUP(TB_prev[[#This Row],[Synt]],GL[[#Headers],[#Data],[subtotal label]],1,FALSE)),0,(VLOOKUP(TB_prev[[#This Row],[Synt]],GL[[#Headers],[#Data],[subtotal label]],1,FALSE)))</f>
        <v/>
      </c>
      <c r="AF603" s="1063" t="e">
        <f>IF((TB_prev[[#This Row],[Synt]]-TB_prev[[#This Row],[Subtotal Y/N]])=0,0,VLOOKUP(TB_prev[[#This Row],[Synt]],GL[[Account]:[Line]],3,FALSE))</f>
        <v>#VALUE!</v>
      </c>
      <c r="AG603" s="1063" t="e">
        <f>VLOOKUP(TB_prev[[#This Row],[Synt]],GL[[Account]:[B/P]],4,FALSE)</f>
        <v>#N/A</v>
      </c>
      <c r="AH603" s="1066" t="e">
        <v>#VALUE!</v>
      </c>
      <c r="AI603" s="1065" t="e">
        <f>TB_prev[[#This Row],[Synt]]&amp;TB_prev[[#This Row],[Line No. manual corr.]]</f>
        <v>#VALUE!</v>
      </c>
      <c r="AJ603" s="1064">
        <f t="shared" si="46"/>
        <v>0</v>
      </c>
      <c r="AK603" s="1064">
        <f t="shared" si="47"/>
        <v>0</v>
      </c>
      <c r="AL603" s="1064">
        <f t="shared" si="48"/>
        <v>0</v>
      </c>
      <c r="AM603" s="1064">
        <f t="shared" si="49"/>
        <v>0</v>
      </c>
      <c r="AN603" s="1064"/>
      <c r="AO603" s="1064">
        <f>TB_prev[[#This Row],[Closing balance]]+TB_prev[[#This Row],[Rounding]]</f>
        <v>0</v>
      </c>
    </row>
    <row r="604" spans="30:41" x14ac:dyDescent="0.25">
      <c r="AD604" s="1067" t="str">
        <f t="shared" si="45"/>
        <v/>
      </c>
      <c r="AE604" s="1063" t="str">
        <f>IF(ISNA(VLOOKUP(TB_prev[[#This Row],[Synt]],GL[[#Headers],[#Data],[subtotal label]],1,FALSE)),0,(VLOOKUP(TB_prev[[#This Row],[Synt]],GL[[#Headers],[#Data],[subtotal label]],1,FALSE)))</f>
        <v/>
      </c>
      <c r="AF604" s="1063" t="e">
        <f>IF((TB_prev[[#This Row],[Synt]]-TB_prev[[#This Row],[Subtotal Y/N]])=0,0,VLOOKUP(TB_prev[[#This Row],[Synt]],GL[[Account]:[Line]],3,FALSE))</f>
        <v>#VALUE!</v>
      </c>
      <c r="AG604" s="1063" t="e">
        <f>VLOOKUP(TB_prev[[#This Row],[Synt]],GL[[Account]:[B/P]],4,FALSE)</f>
        <v>#N/A</v>
      </c>
      <c r="AH604" s="1066" t="e">
        <v>#VALUE!</v>
      </c>
      <c r="AI604" s="1065" t="e">
        <f>TB_prev[[#This Row],[Synt]]&amp;TB_prev[[#This Row],[Line No. manual corr.]]</f>
        <v>#VALUE!</v>
      </c>
      <c r="AJ604" s="1064">
        <f t="shared" si="46"/>
        <v>0</v>
      </c>
      <c r="AK604" s="1064">
        <f t="shared" si="47"/>
        <v>0</v>
      </c>
      <c r="AL604" s="1064">
        <f t="shared" si="48"/>
        <v>0</v>
      </c>
      <c r="AM604" s="1064">
        <f t="shared" si="49"/>
        <v>0</v>
      </c>
      <c r="AN604" s="1064"/>
      <c r="AO604" s="1064">
        <f>TB_prev[[#This Row],[Closing balance]]+TB_prev[[#This Row],[Rounding]]</f>
        <v>0</v>
      </c>
    </row>
    <row r="605" spans="30:41" x14ac:dyDescent="0.25">
      <c r="AD605" s="1067" t="str">
        <f t="shared" si="45"/>
        <v/>
      </c>
      <c r="AE605" s="1063" t="str">
        <f>IF(ISNA(VLOOKUP(TB_prev[[#This Row],[Synt]],GL[[#Headers],[#Data],[subtotal label]],1,FALSE)),0,(VLOOKUP(TB_prev[[#This Row],[Synt]],GL[[#Headers],[#Data],[subtotal label]],1,FALSE)))</f>
        <v/>
      </c>
      <c r="AF605" s="1063" t="e">
        <f>IF((TB_prev[[#This Row],[Synt]]-TB_prev[[#This Row],[Subtotal Y/N]])=0,0,VLOOKUP(TB_prev[[#This Row],[Synt]],GL[[Account]:[Line]],3,FALSE))</f>
        <v>#VALUE!</v>
      </c>
      <c r="AG605" s="1063" t="e">
        <f>VLOOKUP(TB_prev[[#This Row],[Synt]],GL[[Account]:[B/P]],4,FALSE)</f>
        <v>#N/A</v>
      </c>
      <c r="AH605" s="1066" t="e">
        <v>#VALUE!</v>
      </c>
      <c r="AI605" s="1065" t="e">
        <f>TB_prev[[#This Row],[Synt]]&amp;TB_prev[[#This Row],[Line No. manual corr.]]</f>
        <v>#VALUE!</v>
      </c>
      <c r="AJ605" s="1064">
        <f t="shared" si="46"/>
        <v>0</v>
      </c>
      <c r="AK605" s="1064">
        <f t="shared" si="47"/>
        <v>0</v>
      </c>
      <c r="AL605" s="1064">
        <f t="shared" si="48"/>
        <v>0</v>
      </c>
      <c r="AM605" s="1064">
        <f t="shared" si="49"/>
        <v>0</v>
      </c>
      <c r="AN605" s="1064"/>
      <c r="AO605" s="1064">
        <f>TB_prev[[#This Row],[Closing balance]]+TB_prev[[#This Row],[Rounding]]</f>
        <v>0</v>
      </c>
    </row>
    <row r="606" spans="30:41" x14ac:dyDescent="0.25">
      <c r="AD606" s="1067" t="str">
        <f t="shared" si="45"/>
        <v/>
      </c>
      <c r="AE606" s="1063" t="str">
        <f>IF(ISNA(VLOOKUP(TB_prev[[#This Row],[Synt]],GL[[#Headers],[#Data],[subtotal label]],1,FALSE)),0,(VLOOKUP(TB_prev[[#This Row],[Synt]],GL[[#Headers],[#Data],[subtotal label]],1,FALSE)))</f>
        <v/>
      </c>
      <c r="AF606" s="1063" t="e">
        <f>IF((TB_prev[[#This Row],[Synt]]-TB_prev[[#This Row],[Subtotal Y/N]])=0,0,VLOOKUP(TB_prev[[#This Row],[Synt]],GL[[Account]:[Line]],3,FALSE))</f>
        <v>#VALUE!</v>
      </c>
      <c r="AG606" s="1063" t="e">
        <f>VLOOKUP(TB_prev[[#This Row],[Synt]],GL[[Account]:[B/P]],4,FALSE)</f>
        <v>#N/A</v>
      </c>
      <c r="AH606" s="1066" t="e">
        <v>#VALUE!</v>
      </c>
      <c r="AI606" s="1065" t="e">
        <f>TB_prev[[#This Row],[Synt]]&amp;TB_prev[[#This Row],[Line No. manual corr.]]</f>
        <v>#VALUE!</v>
      </c>
      <c r="AJ606" s="1064">
        <f t="shared" si="46"/>
        <v>0</v>
      </c>
      <c r="AK606" s="1064">
        <f t="shared" si="47"/>
        <v>0</v>
      </c>
      <c r="AL606" s="1064">
        <f t="shared" si="48"/>
        <v>0</v>
      </c>
      <c r="AM606" s="1064">
        <f t="shared" si="49"/>
        <v>0</v>
      </c>
      <c r="AN606" s="1064"/>
      <c r="AO606" s="1064">
        <f>TB_prev[[#This Row],[Closing balance]]+TB_prev[[#This Row],[Rounding]]</f>
        <v>0</v>
      </c>
    </row>
    <row r="607" spans="30:41" x14ac:dyDescent="0.25">
      <c r="AD607" s="1067" t="str">
        <f t="shared" si="45"/>
        <v/>
      </c>
      <c r="AE607" s="1063" t="str">
        <f>IF(ISNA(VLOOKUP(TB_prev[[#This Row],[Synt]],GL[[#Headers],[#Data],[subtotal label]],1,FALSE)),0,(VLOOKUP(TB_prev[[#This Row],[Synt]],GL[[#Headers],[#Data],[subtotal label]],1,FALSE)))</f>
        <v/>
      </c>
      <c r="AF607" s="1063" t="e">
        <f>IF((TB_prev[[#This Row],[Synt]]-TB_prev[[#This Row],[Subtotal Y/N]])=0,0,VLOOKUP(TB_prev[[#This Row],[Synt]],GL[[Account]:[Line]],3,FALSE))</f>
        <v>#VALUE!</v>
      </c>
      <c r="AG607" s="1063" t="e">
        <f>VLOOKUP(TB_prev[[#This Row],[Synt]],GL[[Account]:[B/P]],4,FALSE)</f>
        <v>#N/A</v>
      </c>
      <c r="AH607" s="1066" t="e">
        <v>#VALUE!</v>
      </c>
      <c r="AI607" s="1065" t="e">
        <f>TB_prev[[#This Row],[Synt]]&amp;TB_prev[[#This Row],[Line No. manual corr.]]</f>
        <v>#VALUE!</v>
      </c>
      <c r="AJ607" s="1064">
        <f t="shared" si="46"/>
        <v>0</v>
      </c>
      <c r="AK607" s="1064">
        <f t="shared" si="47"/>
        <v>0</v>
      </c>
      <c r="AL607" s="1064">
        <f t="shared" si="48"/>
        <v>0</v>
      </c>
      <c r="AM607" s="1064">
        <f t="shared" si="49"/>
        <v>0</v>
      </c>
      <c r="AN607" s="1064"/>
      <c r="AO607" s="1064">
        <f>TB_prev[[#This Row],[Closing balance]]+TB_prev[[#This Row],[Rounding]]</f>
        <v>0</v>
      </c>
    </row>
    <row r="608" spans="30:41" x14ac:dyDescent="0.25">
      <c r="AD608" s="1067" t="str">
        <f t="shared" si="45"/>
        <v/>
      </c>
      <c r="AE608" s="1063" t="str">
        <f>IF(ISNA(VLOOKUP(TB_prev[[#This Row],[Synt]],GL[[#Headers],[#Data],[subtotal label]],1,FALSE)),0,(VLOOKUP(TB_prev[[#This Row],[Synt]],GL[[#Headers],[#Data],[subtotal label]],1,FALSE)))</f>
        <v/>
      </c>
      <c r="AF608" s="1063" t="e">
        <f>IF((TB_prev[[#This Row],[Synt]]-TB_prev[[#This Row],[Subtotal Y/N]])=0,0,VLOOKUP(TB_prev[[#This Row],[Synt]],GL[[Account]:[Line]],3,FALSE))</f>
        <v>#VALUE!</v>
      </c>
      <c r="AG608" s="1063" t="e">
        <f>VLOOKUP(TB_prev[[#This Row],[Synt]],GL[[Account]:[B/P]],4,FALSE)</f>
        <v>#N/A</v>
      </c>
      <c r="AH608" s="1066" t="e">
        <v>#VALUE!</v>
      </c>
      <c r="AI608" s="1065" t="e">
        <f>TB_prev[[#This Row],[Synt]]&amp;TB_prev[[#This Row],[Line No. manual corr.]]</f>
        <v>#VALUE!</v>
      </c>
      <c r="AJ608" s="1064">
        <f t="shared" si="46"/>
        <v>0</v>
      </c>
      <c r="AK608" s="1064">
        <f t="shared" si="47"/>
        <v>0</v>
      </c>
      <c r="AL608" s="1064">
        <f t="shared" si="48"/>
        <v>0</v>
      </c>
      <c r="AM608" s="1064">
        <f t="shared" si="49"/>
        <v>0</v>
      </c>
      <c r="AN608" s="1064"/>
      <c r="AO608" s="1064">
        <f>TB_prev[[#This Row],[Closing balance]]+TB_prev[[#This Row],[Rounding]]</f>
        <v>0</v>
      </c>
    </row>
    <row r="609" spans="30:41" x14ac:dyDescent="0.25">
      <c r="AD609" s="1067" t="str">
        <f t="shared" si="45"/>
        <v/>
      </c>
      <c r="AE609" s="1063" t="str">
        <f>IF(ISNA(VLOOKUP(TB_prev[[#This Row],[Synt]],GL[[#Headers],[#Data],[subtotal label]],1,FALSE)),0,(VLOOKUP(TB_prev[[#This Row],[Synt]],GL[[#Headers],[#Data],[subtotal label]],1,FALSE)))</f>
        <v/>
      </c>
      <c r="AF609" s="1063" t="e">
        <f>IF((TB_prev[[#This Row],[Synt]]-TB_prev[[#This Row],[Subtotal Y/N]])=0,0,VLOOKUP(TB_prev[[#This Row],[Synt]],GL[[Account]:[Line]],3,FALSE))</f>
        <v>#VALUE!</v>
      </c>
      <c r="AG609" s="1063" t="e">
        <f>VLOOKUP(TB_prev[[#This Row],[Synt]],GL[[Account]:[B/P]],4,FALSE)</f>
        <v>#N/A</v>
      </c>
      <c r="AH609" s="1066" t="e">
        <v>#VALUE!</v>
      </c>
      <c r="AI609" s="1065" t="e">
        <f>TB_prev[[#This Row],[Synt]]&amp;TB_prev[[#This Row],[Line No. manual corr.]]</f>
        <v>#VALUE!</v>
      </c>
      <c r="AJ609" s="1064">
        <f t="shared" si="46"/>
        <v>0</v>
      </c>
      <c r="AK609" s="1064">
        <f t="shared" si="47"/>
        <v>0</v>
      </c>
      <c r="AL609" s="1064">
        <f t="shared" si="48"/>
        <v>0</v>
      </c>
      <c r="AM609" s="1064">
        <f t="shared" si="49"/>
        <v>0</v>
      </c>
      <c r="AN609" s="1064"/>
      <c r="AO609" s="1064">
        <f>TB_prev[[#This Row],[Closing balance]]+TB_prev[[#This Row],[Rounding]]</f>
        <v>0</v>
      </c>
    </row>
    <row r="610" spans="30:41" x14ac:dyDescent="0.25">
      <c r="AD610" s="1067" t="str">
        <f t="shared" si="45"/>
        <v/>
      </c>
      <c r="AE610" s="1063" t="str">
        <f>IF(ISNA(VLOOKUP(TB_prev[[#This Row],[Synt]],GL[[#Headers],[#Data],[subtotal label]],1,FALSE)),0,(VLOOKUP(TB_prev[[#This Row],[Synt]],GL[[#Headers],[#Data],[subtotal label]],1,FALSE)))</f>
        <v/>
      </c>
      <c r="AF610" s="1063" t="e">
        <f>IF((TB_prev[[#This Row],[Synt]]-TB_prev[[#This Row],[Subtotal Y/N]])=0,0,VLOOKUP(TB_prev[[#This Row],[Synt]],GL[[Account]:[Line]],3,FALSE))</f>
        <v>#VALUE!</v>
      </c>
      <c r="AG610" s="1063" t="e">
        <f>VLOOKUP(TB_prev[[#This Row],[Synt]],GL[[Account]:[B/P]],4,FALSE)</f>
        <v>#N/A</v>
      </c>
      <c r="AH610" s="1066" t="e">
        <v>#VALUE!</v>
      </c>
      <c r="AI610" s="1065" t="e">
        <f>TB_prev[[#This Row],[Synt]]&amp;TB_prev[[#This Row],[Line No. manual corr.]]</f>
        <v>#VALUE!</v>
      </c>
      <c r="AJ610" s="1064">
        <f t="shared" si="46"/>
        <v>0</v>
      </c>
      <c r="AK610" s="1064">
        <f t="shared" si="47"/>
        <v>0</v>
      </c>
      <c r="AL610" s="1064">
        <f t="shared" si="48"/>
        <v>0</v>
      </c>
      <c r="AM610" s="1064">
        <f t="shared" si="49"/>
        <v>0</v>
      </c>
      <c r="AN610" s="1064"/>
      <c r="AO610" s="1064">
        <f>TB_prev[[#This Row],[Closing balance]]+TB_prev[[#This Row],[Rounding]]</f>
        <v>0</v>
      </c>
    </row>
    <row r="611" spans="30:41" x14ac:dyDescent="0.25">
      <c r="AD611" s="1067" t="str">
        <f t="shared" si="45"/>
        <v/>
      </c>
      <c r="AE611" s="1063" t="str">
        <f>IF(ISNA(VLOOKUP(TB_prev[[#This Row],[Synt]],GL[[#Headers],[#Data],[subtotal label]],1,FALSE)),0,(VLOOKUP(TB_prev[[#This Row],[Synt]],GL[[#Headers],[#Data],[subtotal label]],1,FALSE)))</f>
        <v/>
      </c>
      <c r="AF611" s="1063" t="e">
        <f>IF((TB_prev[[#This Row],[Synt]]-TB_prev[[#This Row],[Subtotal Y/N]])=0,0,VLOOKUP(TB_prev[[#This Row],[Synt]],GL[[Account]:[Line]],3,FALSE))</f>
        <v>#VALUE!</v>
      </c>
      <c r="AG611" s="1063" t="e">
        <f>VLOOKUP(TB_prev[[#This Row],[Synt]],GL[[Account]:[B/P]],4,FALSE)</f>
        <v>#N/A</v>
      </c>
      <c r="AH611" s="1066" t="e">
        <v>#VALUE!</v>
      </c>
      <c r="AI611" s="1065" t="e">
        <f>TB_prev[[#This Row],[Synt]]&amp;TB_prev[[#This Row],[Line No. manual corr.]]</f>
        <v>#VALUE!</v>
      </c>
      <c r="AJ611" s="1064">
        <f t="shared" si="46"/>
        <v>0</v>
      </c>
      <c r="AK611" s="1064">
        <f t="shared" si="47"/>
        <v>0</v>
      </c>
      <c r="AL611" s="1064">
        <f t="shared" si="48"/>
        <v>0</v>
      </c>
      <c r="AM611" s="1064">
        <f t="shared" si="49"/>
        <v>0</v>
      </c>
      <c r="AN611" s="1064"/>
      <c r="AO611" s="1064">
        <f>TB_prev[[#This Row],[Closing balance]]+TB_prev[[#This Row],[Rounding]]</f>
        <v>0</v>
      </c>
    </row>
    <row r="612" spans="30:41" x14ac:dyDescent="0.25">
      <c r="AD612" s="1067" t="str">
        <f t="shared" si="45"/>
        <v/>
      </c>
      <c r="AE612" s="1063" t="str">
        <f>IF(ISNA(VLOOKUP(TB_prev[[#This Row],[Synt]],GL[[#Headers],[#Data],[subtotal label]],1,FALSE)),0,(VLOOKUP(TB_prev[[#This Row],[Synt]],GL[[#Headers],[#Data],[subtotal label]],1,FALSE)))</f>
        <v/>
      </c>
      <c r="AF612" s="1063" t="e">
        <f>IF((TB_prev[[#This Row],[Synt]]-TB_prev[[#This Row],[Subtotal Y/N]])=0,0,VLOOKUP(TB_prev[[#This Row],[Synt]],GL[[Account]:[Line]],3,FALSE))</f>
        <v>#VALUE!</v>
      </c>
      <c r="AG612" s="1063" t="e">
        <f>VLOOKUP(TB_prev[[#This Row],[Synt]],GL[[Account]:[B/P]],4,FALSE)</f>
        <v>#N/A</v>
      </c>
      <c r="AH612" s="1066" t="e">
        <v>#VALUE!</v>
      </c>
      <c r="AI612" s="1065" t="e">
        <f>TB_prev[[#This Row],[Synt]]&amp;TB_prev[[#This Row],[Line No. manual corr.]]</f>
        <v>#VALUE!</v>
      </c>
      <c r="AJ612" s="1064">
        <f t="shared" si="46"/>
        <v>0</v>
      </c>
      <c r="AK612" s="1064">
        <f t="shared" si="47"/>
        <v>0</v>
      </c>
      <c r="AL612" s="1064">
        <f t="shared" si="48"/>
        <v>0</v>
      </c>
      <c r="AM612" s="1064">
        <f t="shared" si="49"/>
        <v>0</v>
      </c>
      <c r="AN612" s="1064"/>
      <c r="AO612" s="1064">
        <f>TB_prev[[#This Row],[Closing balance]]+TB_prev[[#This Row],[Rounding]]</f>
        <v>0</v>
      </c>
    </row>
    <row r="613" spans="30:41" x14ac:dyDescent="0.25">
      <c r="AD613" s="1067" t="str">
        <f t="shared" si="45"/>
        <v/>
      </c>
      <c r="AE613" s="1063" t="str">
        <f>IF(ISNA(VLOOKUP(TB_prev[[#This Row],[Synt]],GL[[#Headers],[#Data],[subtotal label]],1,FALSE)),0,(VLOOKUP(TB_prev[[#This Row],[Synt]],GL[[#Headers],[#Data],[subtotal label]],1,FALSE)))</f>
        <v/>
      </c>
      <c r="AF613" s="1063" t="e">
        <f>IF((TB_prev[[#This Row],[Synt]]-TB_prev[[#This Row],[Subtotal Y/N]])=0,0,VLOOKUP(TB_prev[[#This Row],[Synt]],GL[[Account]:[Line]],3,FALSE))</f>
        <v>#VALUE!</v>
      </c>
      <c r="AG613" s="1063" t="e">
        <f>VLOOKUP(TB_prev[[#This Row],[Synt]],GL[[Account]:[B/P]],4,FALSE)</f>
        <v>#N/A</v>
      </c>
      <c r="AH613" s="1066" t="e">
        <v>#VALUE!</v>
      </c>
      <c r="AI613" s="1065" t="e">
        <f>TB_prev[[#This Row],[Synt]]&amp;TB_prev[[#This Row],[Line No. manual corr.]]</f>
        <v>#VALUE!</v>
      </c>
      <c r="AJ613" s="1064">
        <f t="shared" si="46"/>
        <v>0</v>
      </c>
      <c r="AK613" s="1064">
        <f t="shared" si="47"/>
        <v>0</v>
      </c>
      <c r="AL613" s="1064">
        <f t="shared" si="48"/>
        <v>0</v>
      </c>
      <c r="AM613" s="1064">
        <f t="shared" si="49"/>
        <v>0</v>
      </c>
      <c r="AN613" s="1064"/>
      <c r="AO613" s="1064">
        <f>TB_prev[[#This Row],[Closing balance]]+TB_prev[[#This Row],[Rounding]]</f>
        <v>0</v>
      </c>
    </row>
    <row r="614" spans="30:41" x14ac:dyDescent="0.25">
      <c r="AD614" s="1067" t="str">
        <f t="shared" si="45"/>
        <v/>
      </c>
      <c r="AE614" s="1063" t="str">
        <f>IF(ISNA(VLOOKUP(TB_prev[[#This Row],[Synt]],GL[[#Headers],[#Data],[subtotal label]],1,FALSE)),0,(VLOOKUP(TB_prev[[#This Row],[Synt]],GL[[#Headers],[#Data],[subtotal label]],1,FALSE)))</f>
        <v/>
      </c>
      <c r="AF614" s="1063" t="e">
        <f>IF((TB_prev[[#This Row],[Synt]]-TB_prev[[#This Row],[Subtotal Y/N]])=0,0,VLOOKUP(TB_prev[[#This Row],[Synt]],GL[[Account]:[Line]],3,FALSE))</f>
        <v>#VALUE!</v>
      </c>
      <c r="AG614" s="1063" t="e">
        <f>VLOOKUP(TB_prev[[#This Row],[Synt]],GL[[Account]:[B/P]],4,FALSE)</f>
        <v>#N/A</v>
      </c>
      <c r="AH614" s="1066" t="e">
        <v>#VALUE!</v>
      </c>
      <c r="AI614" s="1065" t="e">
        <f>TB_prev[[#This Row],[Synt]]&amp;TB_prev[[#This Row],[Line No. manual corr.]]</f>
        <v>#VALUE!</v>
      </c>
      <c r="AJ614" s="1064">
        <f t="shared" si="46"/>
        <v>0</v>
      </c>
      <c r="AK614" s="1064">
        <f t="shared" si="47"/>
        <v>0</v>
      </c>
      <c r="AL614" s="1064">
        <f t="shared" si="48"/>
        <v>0</v>
      </c>
      <c r="AM614" s="1064">
        <f t="shared" si="49"/>
        <v>0</v>
      </c>
      <c r="AN614" s="1064"/>
      <c r="AO614" s="1064">
        <f>TB_prev[[#This Row],[Closing balance]]+TB_prev[[#This Row],[Rounding]]</f>
        <v>0</v>
      </c>
    </row>
    <row r="615" spans="30:41" x14ac:dyDescent="0.25">
      <c r="AD615" s="1067" t="str">
        <f t="shared" si="45"/>
        <v/>
      </c>
      <c r="AE615" s="1063" t="str">
        <f>IF(ISNA(VLOOKUP(TB_prev[[#This Row],[Synt]],GL[[#Headers],[#Data],[subtotal label]],1,FALSE)),0,(VLOOKUP(TB_prev[[#This Row],[Synt]],GL[[#Headers],[#Data],[subtotal label]],1,FALSE)))</f>
        <v/>
      </c>
      <c r="AF615" s="1063" t="e">
        <f>IF((TB_prev[[#This Row],[Synt]]-TB_prev[[#This Row],[Subtotal Y/N]])=0,0,VLOOKUP(TB_prev[[#This Row],[Synt]],GL[[Account]:[Line]],3,FALSE))</f>
        <v>#VALUE!</v>
      </c>
      <c r="AG615" s="1063" t="e">
        <f>VLOOKUP(TB_prev[[#This Row],[Synt]],GL[[Account]:[B/P]],4,FALSE)</f>
        <v>#N/A</v>
      </c>
      <c r="AH615" s="1066" t="e">
        <v>#VALUE!</v>
      </c>
      <c r="AI615" s="1065" t="e">
        <f>TB_prev[[#This Row],[Synt]]&amp;TB_prev[[#This Row],[Line No. manual corr.]]</f>
        <v>#VALUE!</v>
      </c>
      <c r="AJ615" s="1064">
        <f t="shared" si="46"/>
        <v>0</v>
      </c>
      <c r="AK615" s="1064">
        <f t="shared" si="47"/>
        <v>0</v>
      </c>
      <c r="AL615" s="1064">
        <f t="shared" si="48"/>
        <v>0</v>
      </c>
      <c r="AM615" s="1064">
        <f t="shared" si="49"/>
        <v>0</v>
      </c>
      <c r="AN615" s="1064"/>
      <c r="AO615" s="1064">
        <f>TB_prev[[#This Row],[Closing balance]]+TB_prev[[#This Row],[Rounding]]</f>
        <v>0</v>
      </c>
    </row>
    <row r="616" spans="30:41" x14ac:dyDescent="0.25">
      <c r="AD616" s="1067" t="str">
        <f t="shared" si="45"/>
        <v/>
      </c>
      <c r="AE616" s="1063" t="str">
        <f>IF(ISNA(VLOOKUP(TB_prev[[#This Row],[Synt]],GL[[#Headers],[#Data],[subtotal label]],1,FALSE)),0,(VLOOKUP(TB_prev[[#This Row],[Synt]],GL[[#Headers],[#Data],[subtotal label]],1,FALSE)))</f>
        <v/>
      </c>
      <c r="AF616" s="1063" t="e">
        <f>IF((TB_prev[[#This Row],[Synt]]-TB_prev[[#This Row],[Subtotal Y/N]])=0,0,VLOOKUP(TB_prev[[#This Row],[Synt]],GL[[Account]:[Line]],3,FALSE))</f>
        <v>#VALUE!</v>
      </c>
      <c r="AG616" s="1063" t="e">
        <f>VLOOKUP(TB_prev[[#This Row],[Synt]],GL[[Account]:[B/P]],4,FALSE)</f>
        <v>#N/A</v>
      </c>
      <c r="AH616" s="1066" t="e">
        <v>#VALUE!</v>
      </c>
      <c r="AI616" s="1065" t="e">
        <f>TB_prev[[#This Row],[Synt]]&amp;TB_prev[[#This Row],[Line No. manual corr.]]</f>
        <v>#VALUE!</v>
      </c>
      <c r="AJ616" s="1064">
        <f t="shared" si="46"/>
        <v>0</v>
      </c>
      <c r="AK616" s="1064">
        <f t="shared" si="47"/>
        <v>0</v>
      </c>
      <c r="AL616" s="1064">
        <f t="shared" si="48"/>
        <v>0</v>
      </c>
      <c r="AM616" s="1064">
        <f t="shared" si="49"/>
        <v>0</v>
      </c>
      <c r="AN616" s="1064"/>
      <c r="AO616" s="1064">
        <f>TB_prev[[#This Row],[Closing balance]]+TB_prev[[#This Row],[Rounding]]</f>
        <v>0</v>
      </c>
    </row>
    <row r="617" spans="30:41" x14ac:dyDescent="0.25">
      <c r="AD617" s="1067" t="str">
        <f t="shared" si="45"/>
        <v/>
      </c>
      <c r="AE617" s="1063" t="str">
        <f>IF(ISNA(VLOOKUP(TB_prev[[#This Row],[Synt]],GL[[#Headers],[#Data],[subtotal label]],1,FALSE)),0,(VLOOKUP(TB_prev[[#This Row],[Synt]],GL[[#Headers],[#Data],[subtotal label]],1,FALSE)))</f>
        <v/>
      </c>
      <c r="AF617" s="1063" t="e">
        <f>IF((TB_prev[[#This Row],[Synt]]-TB_prev[[#This Row],[Subtotal Y/N]])=0,0,VLOOKUP(TB_prev[[#This Row],[Synt]],GL[[Account]:[Line]],3,FALSE))</f>
        <v>#VALUE!</v>
      </c>
      <c r="AG617" s="1063" t="e">
        <f>VLOOKUP(TB_prev[[#This Row],[Synt]],GL[[Account]:[B/P]],4,FALSE)</f>
        <v>#N/A</v>
      </c>
      <c r="AH617" s="1066" t="e">
        <v>#VALUE!</v>
      </c>
      <c r="AI617" s="1065" t="e">
        <f>TB_prev[[#This Row],[Synt]]&amp;TB_prev[[#This Row],[Line No. manual corr.]]</f>
        <v>#VALUE!</v>
      </c>
      <c r="AJ617" s="1064">
        <f t="shared" si="46"/>
        <v>0</v>
      </c>
      <c r="AK617" s="1064">
        <f t="shared" si="47"/>
        <v>0</v>
      </c>
      <c r="AL617" s="1064">
        <f t="shared" si="48"/>
        <v>0</v>
      </c>
      <c r="AM617" s="1064">
        <f t="shared" si="49"/>
        <v>0</v>
      </c>
      <c r="AN617" s="1064"/>
      <c r="AO617" s="1064">
        <f>TB_prev[[#This Row],[Closing balance]]+TB_prev[[#This Row],[Rounding]]</f>
        <v>0</v>
      </c>
    </row>
    <row r="618" spans="30:41" x14ac:dyDescent="0.25">
      <c r="AD618" s="1067" t="str">
        <f t="shared" si="45"/>
        <v/>
      </c>
      <c r="AE618" s="1063" t="str">
        <f>IF(ISNA(VLOOKUP(TB_prev[[#This Row],[Synt]],GL[[#Headers],[#Data],[subtotal label]],1,FALSE)),0,(VLOOKUP(TB_prev[[#This Row],[Synt]],GL[[#Headers],[#Data],[subtotal label]],1,FALSE)))</f>
        <v/>
      </c>
      <c r="AF618" s="1063" t="e">
        <f>IF((TB_prev[[#This Row],[Synt]]-TB_prev[[#This Row],[Subtotal Y/N]])=0,0,VLOOKUP(TB_prev[[#This Row],[Synt]],GL[[Account]:[Line]],3,FALSE))</f>
        <v>#VALUE!</v>
      </c>
      <c r="AG618" s="1063" t="e">
        <f>VLOOKUP(TB_prev[[#This Row],[Synt]],GL[[Account]:[B/P]],4,FALSE)</f>
        <v>#N/A</v>
      </c>
      <c r="AH618" s="1066" t="e">
        <v>#VALUE!</v>
      </c>
      <c r="AI618" s="1065" t="e">
        <f>TB_prev[[#This Row],[Synt]]&amp;TB_prev[[#This Row],[Line No. manual corr.]]</f>
        <v>#VALUE!</v>
      </c>
      <c r="AJ618" s="1064">
        <f t="shared" si="46"/>
        <v>0</v>
      </c>
      <c r="AK618" s="1064">
        <f t="shared" si="47"/>
        <v>0</v>
      </c>
      <c r="AL618" s="1064">
        <f t="shared" si="48"/>
        <v>0</v>
      </c>
      <c r="AM618" s="1064">
        <f t="shared" si="49"/>
        <v>0</v>
      </c>
      <c r="AN618" s="1064"/>
      <c r="AO618" s="1064">
        <f>TB_prev[[#This Row],[Closing balance]]+TB_prev[[#This Row],[Rounding]]</f>
        <v>0</v>
      </c>
    </row>
    <row r="619" spans="30:41" x14ac:dyDescent="0.25">
      <c r="AD619" s="1067" t="str">
        <f t="shared" si="45"/>
        <v/>
      </c>
      <c r="AE619" s="1063" t="str">
        <f>IF(ISNA(VLOOKUP(TB_prev[[#This Row],[Synt]],GL[[#Headers],[#Data],[subtotal label]],1,FALSE)),0,(VLOOKUP(TB_prev[[#This Row],[Synt]],GL[[#Headers],[#Data],[subtotal label]],1,FALSE)))</f>
        <v/>
      </c>
      <c r="AF619" s="1063" t="e">
        <f>IF((TB_prev[[#This Row],[Synt]]-TB_prev[[#This Row],[Subtotal Y/N]])=0,0,VLOOKUP(TB_prev[[#This Row],[Synt]],GL[[Account]:[Line]],3,FALSE))</f>
        <v>#VALUE!</v>
      </c>
      <c r="AG619" s="1063" t="e">
        <f>VLOOKUP(TB_prev[[#This Row],[Synt]],GL[[Account]:[B/P]],4,FALSE)</f>
        <v>#N/A</v>
      </c>
      <c r="AH619" s="1066" t="e">
        <v>#VALUE!</v>
      </c>
      <c r="AI619" s="1065" t="e">
        <f>TB_prev[[#This Row],[Synt]]&amp;TB_prev[[#This Row],[Line No. manual corr.]]</f>
        <v>#VALUE!</v>
      </c>
      <c r="AJ619" s="1064">
        <f t="shared" si="46"/>
        <v>0</v>
      </c>
      <c r="AK619" s="1064">
        <f t="shared" si="47"/>
        <v>0</v>
      </c>
      <c r="AL619" s="1064">
        <f t="shared" si="48"/>
        <v>0</v>
      </c>
      <c r="AM619" s="1064">
        <f t="shared" si="49"/>
        <v>0</v>
      </c>
      <c r="AN619" s="1064"/>
      <c r="AO619" s="1064">
        <f>TB_prev[[#This Row],[Closing balance]]+TB_prev[[#This Row],[Rounding]]</f>
        <v>0</v>
      </c>
    </row>
    <row r="620" spans="30:41" x14ac:dyDescent="0.25">
      <c r="AD620" s="1067" t="str">
        <f t="shared" si="45"/>
        <v/>
      </c>
      <c r="AE620" s="1063" t="str">
        <f>IF(ISNA(VLOOKUP(TB_prev[[#This Row],[Synt]],GL[[#Headers],[#Data],[subtotal label]],1,FALSE)),0,(VLOOKUP(TB_prev[[#This Row],[Synt]],GL[[#Headers],[#Data],[subtotal label]],1,FALSE)))</f>
        <v/>
      </c>
      <c r="AF620" s="1063" t="e">
        <f>IF((TB_prev[[#This Row],[Synt]]-TB_prev[[#This Row],[Subtotal Y/N]])=0,0,VLOOKUP(TB_prev[[#This Row],[Synt]],GL[[Account]:[Line]],3,FALSE))</f>
        <v>#VALUE!</v>
      </c>
      <c r="AG620" s="1063" t="e">
        <f>VLOOKUP(TB_prev[[#This Row],[Synt]],GL[[Account]:[B/P]],4,FALSE)</f>
        <v>#N/A</v>
      </c>
      <c r="AH620" s="1066" t="e">
        <v>#VALUE!</v>
      </c>
      <c r="AI620" s="1065" t="e">
        <f>TB_prev[[#This Row],[Synt]]&amp;TB_prev[[#This Row],[Line No. manual corr.]]</f>
        <v>#VALUE!</v>
      </c>
      <c r="AJ620" s="1064">
        <f t="shared" si="46"/>
        <v>0</v>
      </c>
      <c r="AK620" s="1064">
        <f t="shared" si="47"/>
        <v>0</v>
      </c>
      <c r="AL620" s="1064">
        <f t="shared" si="48"/>
        <v>0</v>
      </c>
      <c r="AM620" s="1064">
        <f t="shared" si="49"/>
        <v>0</v>
      </c>
      <c r="AN620" s="1064"/>
      <c r="AO620" s="1064">
        <f>TB_prev[[#This Row],[Closing balance]]+TB_prev[[#This Row],[Rounding]]</f>
        <v>0</v>
      </c>
    </row>
    <row r="621" spans="30:41" x14ac:dyDescent="0.25">
      <c r="AD621" s="1067" t="str">
        <f t="shared" si="45"/>
        <v/>
      </c>
      <c r="AE621" s="1063" t="str">
        <f>IF(ISNA(VLOOKUP(TB_prev[[#This Row],[Synt]],GL[[#Headers],[#Data],[subtotal label]],1,FALSE)),0,(VLOOKUP(TB_prev[[#This Row],[Synt]],GL[[#Headers],[#Data],[subtotal label]],1,FALSE)))</f>
        <v/>
      </c>
      <c r="AF621" s="1063" t="e">
        <f>IF((TB_prev[[#This Row],[Synt]]-TB_prev[[#This Row],[Subtotal Y/N]])=0,0,VLOOKUP(TB_prev[[#This Row],[Synt]],GL[[Account]:[Line]],3,FALSE))</f>
        <v>#VALUE!</v>
      </c>
      <c r="AG621" s="1063" t="e">
        <f>VLOOKUP(TB_prev[[#This Row],[Synt]],GL[[Account]:[B/P]],4,FALSE)</f>
        <v>#N/A</v>
      </c>
      <c r="AH621" s="1066" t="e">
        <v>#VALUE!</v>
      </c>
      <c r="AI621" s="1065" t="e">
        <f>TB_prev[[#This Row],[Synt]]&amp;TB_prev[[#This Row],[Line No. manual corr.]]</f>
        <v>#VALUE!</v>
      </c>
      <c r="AJ621" s="1064">
        <f t="shared" si="46"/>
        <v>0</v>
      </c>
      <c r="AK621" s="1064">
        <f t="shared" si="47"/>
        <v>0</v>
      </c>
      <c r="AL621" s="1064">
        <f t="shared" si="48"/>
        <v>0</v>
      </c>
      <c r="AM621" s="1064">
        <f t="shared" si="49"/>
        <v>0</v>
      </c>
      <c r="AN621" s="1064"/>
      <c r="AO621" s="1064">
        <f>TB_prev[[#This Row],[Closing balance]]+TB_prev[[#This Row],[Rounding]]</f>
        <v>0</v>
      </c>
    </row>
    <row r="622" spans="30:41" x14ac:dyDescent="0.25">
      <c r="AD622" s="1067" t="str">
        <f t="shared" si="45"/>
        <v/>
      </c>
      <c r="AE622" s="1063" t="str">
        <f>IF(ISNA(VLOOKUP(TB_prev[[#This Row],[Synt]],GL[[#Headers],[#Data],[subtotal label]],1,FALSE)),0,(VLOOKUP(TB_prev[[#This Row],[Synt]],GL[[#Headers],[#Data],[subtotal label]],1,FALSE)))</f>
        <v/>
      </c>
      <c r="AF622" s="1063" t="e">
        <f>IF((TB_prev[[#This Row],[Synt]]-TB_prev[[#This Row],[Subtotal Y/N]])=0,0,VLOOKUP(TB_prev[[#This Row],[Synt]],GL[[Account]:[Line]],3,FALSE))</f>
        <v>#VALUE!</v>
      </c>
      <c r="AG622" s="1063" t="e">
        <f>VLOOKUP(TB_prev[[#This Row],[Synt]],GL[[Account]:[B/P]],4,FALSE)</f>
        <v>#N/A</v>
      </c>
      <c r="AH622" s="1066" t="e">
        <v>#VALUE!</v>
      </c>
      <c r="AI622" s="1065" t="e">
        <f>TB_prev[[#This Row],[Synt]]&amp;TB_prev[[#This Row],[Line No. manual corr.]]</f>
        <v>#VALUE!</v>
      </c>
      <c r="AJ622" s="1064">
        <f t="shared" si="46"/>
        <v>0</v>
      </c>
      <c r="AK622" s="1064">
        <f t="shared" si="47"/>
        <v>0</v>
      </c>
      <c r="AL622" s="1064">
        <f t="shared" si="48"/>
        <v>0</v>
      </c>
      <c r="AM622" s="1064">
        <f t="shared" si="49"/>
        <v>0</v>
      </c>
      <c r="AN622" s="1064"/>
      <c r="AO622" s="1064">
        <f>TB_prev[[#This Row],[Closing balance]]+TB_prev[[#This Row],[Rounding]]</f>
        <v>0</v>
      </c>
    </row>
    <row r="623" spans="30:41" x14ac:dyDescent="0.25">
      <c r="AD623" s="1067" t="str">
        <f t="shared" si="45"/>
        <v/>
      </c>
      <c r="AE623" s="1063" t="str">
        <f>IF(ISNA(VLOOKUP(TB_prev[[#This Row],[Synt]],GL[[#Headers],[#Data],[subtotal label]],1,FALSE)),0,(VLOOKUP(TB_prev[[#This Row],[Synt]],GL[[#Headers],[#Data],[subtotal label]],1,FALSE)))</f>
        <v/>
      </c>
      <c r="AF623" s="1063" t="e">
        <f>IF((TB_prev[[#This Row],[Synt]]-TB_prev[[#This Row],[Subtotal Y/N]])=0,0,VLOOKUP(TB_prev[[#This Row],[Synt]],GL[[Account]:[Line]],3,FALSE))</f>
        <v>#VALUE!</v>
      </c>
      <c r="AG623" s="1063" t="e">
        <f>VLOOKUP(TB_prev[[#This Row],[Synt]],GL[[Account]:[B/P]],4,FALSE)</f>
        <v>#N/A</v>
      </c>
      <c r="AH623" s="1066" t="e">
        <v>#VALUE!</v>
      </c>
      <c r="AI623" s="1065" t="e">
        <f>TB_prev[[#This Row],[Synt]]&amp;TB_prev[[#This Row],[Line No. manual corr.]]</f>
        <v>#VALUE!</v>
      </c>
      <c r="AJ623" s="1064">
        <f t="shared" si="46"/>
        <v>0</v>
      </c>
      <c r="AK623" s="1064">
        <f t="shared" si="47"/>
        <v>0</v>
      </c>
      <c r="AL623" s="1064">
        <f t="shared" si="48"/>
        <v>0</v>
      </c>
      <c r="AM623" s="1064">
        <f t="shared" si="49"/>
        <v>0</v>
      </c>
      <c r="AN623" s="1064"/>
      <c r="AO623" s="1064">
        <f>TB_prev[[#This Row],[Closing balance]]+TB_prev[[#This Row],[Rounding]]</f>
        <v>0</v>
      </c>
    </row>
    <row r="624" spans="30:41" x14ac:dyDescent="0.25">
      <c r="AD624" s="1067" t="str">
        <f t="shared" si="45"/>
        <v/>
      </c>
      <c r="AE624" s="1063" t="str">
        <f>IF(ISNA(VLOOKUP(TB_prev[[#This Row],[Synt]],GL[[#Headers],[#Data],[subtotal label]],1,FALSE)),0,(VLOOKUP(TB_prev[[#This Row],[Synt]],GL[[#Headers],[#Data],[subtotal label]],1,FALSE)))</f>
        <v/>
      </c>
      <c r="AF624" s="1063" t="e">
        <f>IF((TB_prev[[#This Row],[Synt]]-TB_prev[[#This Row],[Subtotal Y/N]])=0,0,VLOOKUP(TB_prev[[#This Row],[Synt]],GL[[Account]:[Line]],3,FALSE))</f>
        <v>#VALUE!</v>
      </c>
      <c r="AG624" s="1063" t="e">
        <f>VLOOKUP(TB_prev[[#This Row],[Synt]],GL[[Account]:[B/P]],4,FALSE)</f>
        <v>#N/A</v>
      </c>
      <c r="AH624" s="1066" t="e">
        <v>#VALUE!</v>
      </c>
      <c r="AI624" s="1065" t="e">
        <f>TB_prev[[#This Row],[Synt]]&amp;TB_prev[[#This Row],[Line No. manual corr.]]</f>
        <v>#VALUE!</v>
      </c>
      <c r="AJ624" s="1064">
        <f t="shared" si="46"/>
        <v>0</v>
      </c>
      <c r="AK624" s="1064">
        <f t="shared" si="47"/>
        <v>0</v>
      </c>
      <c r="AL624" s="1064">
        <f t="shared" si="48"/>
        <v>0</v>
      </c>
      <c r="AM624" s="1064">
        <f t="shared" si="49"/>
        <v>0</v>
      </c>
      <c r="AN624" s="1064"/>
      <c r="AO624" s="1064">
        <f>TB_prev[[#This Row],[Closing balance]]+TB_prev[[#This Row],[Rounding]]</f>
        <v>0</v>
      </c>
    </row>
    <row r="625" spans="30:41" x14ac:dyDescent="0.25">
      <c r="AD625" s="1067" t="str">
        <f t="shared" si="45"/>
        <v/>
      </c>
      <c r="AE625" s="1063" t="str">
        <f>IF(ISNA(VLOOKUP(TB_prev[[#This Row],[Synt]],GL[[#Headers],[#Data],[subtotal label]],1,FALSE)),0,(VLOOKUP(TB_prev[[#This Row],[Synt]],GL[[#Headers],[#Data],[subtotal label]],1,FALSE)))</f>
        <v/>
      </c>
      <c r="AF625" s="1063" t="e">
        <f>IF((TB_prev[[#This Row],[Synt]]-TB_prev[[#This Row],[Subtotal Y/N]])=0,0,VLOOKUP(TB_prev[[#This Row],[Synt]],GL[[Account]:[Line]],3,FALSE))</f>
        <v>#VALUE!</v>
      </c>
      <c r="AG625" s="1063" t="e">
        <f>VLOOKUP(TB_prev[[#This Row],[Synt]],GL[[Account]:[B/P]],4,FALSE)</f>
        <v>#N/A</v>
      </c>
      <c r="AH625" s="1066" t="e">
        <v>#VALUE!</v>
      </c>
      <c r="AI625" s="1065" t="e">
        <f>TB_prev[[#This Row],[Synt]]&amp;TB_prev[[#This Row],[Line No. manual corr.]]</f>
        <v>#VALUE!</v>
      </c>
      <c r="AJ625" s="1064">
        <f t="shared" si="46"/>
        <v>0</v>
      </c>
      <c r="AK625" s="1064">
        <f t="shared" si="47"/>
        <v>0</v>
      </c>
      <c r="AL625" s="1064">
        <f t="shared" si="48"/>
        <v>0</v>
      </c>
      <c r="AM625" s="1064">
        <f t="shared" si="49"/>
        <v>0</v>
      </c>
      <c r="AN625" s="1064"/>
      <c r="AO625" s="1064">
        <f>TB_prev[[#This Row],[Closing balance]]+TB_prev[[#This Row],[Rounding]]</f>
        <v>0</v>
      </c>
    </row>
    <row r="626" spans="30:41" x14ac:dyDescent="0.25">
      <c r="AD626" s="1067" t="str">
        <f t="shared" si="45"/>
        <v/>
      </c>
      <c r="AE626" s="1063" t="str">
        <f>IF(ISNA(VLOOKUP(TB_prev[[#This Row],[Synt]],GL[[#Headers],[#Data],[subtotal label]],1,FALSE)),0,(VLOOKUP(TB_prev[[#This Row],[Synt]],GL[[#Headers],[#Data],[subtotal label]],1,FALSE)))</f>
        <v/>
      </c>
      <c r="AF626" s="1063" t="e">
        <f>IF((TB_prev[[#This Row],[Synt]]-TB_prev[[#This Row],[Subtotal Y/N]])=0,0,VLOOKUP(TB_prev[[#This Row],[Synt]],GL[[Account]:[Line]],3,FALSE))</f>
        <v>#VALUE!</v>
      </c>
      <c r="AG626" s="1063" t="e">
        <f>VLOOKUP(TB_prev[[#This Row],[Synt]],GL[[Account]:[B/P]],4,FALSE)</f>
        <v>#N/A</v>
      </c>
      <c r="AH626" s="1066" t="e">
        <v>#VALUE!</v>
      </c>
      <c r="AI626" s="1065" t="e">
        <f>TB_prev[[#This Row],[Synt]]&amp;TB_prev[[#This Row],[Line No. manual corr.]]</f>
        <v>#VALUE!</v>
      </c>
      <c r="AJ626" s="1064">
        <f t="shared" si="46"/>
        <v>0</v>
      </c>
      <c r="AK626" s="1064">
        <f t="shared" si="47"/>
        <v>0</v>
      </c>
      <c r="AL626" s="1064">
        <f t="shared" si="48"/>
        <v>0</v>
      </c>
      <c r="AM626" s="1064">
        <f t="shared" si="49"/>
        <v>0</v>
      </c>
      <c r="AN626" s="1064"/>
      <c r="AO626" s="1064">
        <f>TB_prev[[#This Row],[Closing balance]]+TB_prev[[#This Row],[Rounding]]</f>
        <v>0</v>
      </c>
    </row>
    <row r="627" spans="30:41" x14ac:dyDescent="0.25">
      <c r="AD627" s="1067" t="str">
        <f t="shared" si="45"/>
        <v/>
      </c>
      <c r="AE627" s="1063" t="str">
        <f>IF(ISNA(VLOOKUP(TB_prev[[#This Row],[Synt]],GL[[#Headers],[#Data],[subtotal label]],1,FALSE)),0,(VLOOKUP(TB_prev[[#This Row],[Synt]],GL[[#Headers],[#Data],[subtotal label]],1,FALSE)))</f>
        <v/>
      </c>
      <c r="AF627" s="1063" t="e">
        <f>IF((TB_prev[[#This Row],[Synt]]-TB_prev[[#This Row],[Subtotal Y/N]])=0,0,VLOOKUP(TB_prev[[#This Row],[Synt]],GL[[Account]:[Line]],3,FALSE))</f>
        <v>#VALUE!</v>
      </c>
      <c r="AG627" s="1063" t="e">
        <f>VLOOKUP(TB_prev[[#This Row],[Synt]],GL[[Account]:[B/P]],4,FALSE)</f>
        <v>#N/A</v>
      </c>
      <c r="AH627" s="1066" t="e">
        <v>#VALUE!</v>
      </c>
      <c r="AI627" s="1065" t="e">
        <f>TB_prev[[#This Row],[Synt]]&amp;TB_prev[[#This Row],[Line No. manual corr.]]</f>
        <v>#VALUE!</v>
      </c>
      <c r="AJ627" s="1064">
        <f t="shared" si="46"/>
        <v>0</v>
      </c>
      <c r="AK627" s="1064">
        <f t="shared" si="47"/>
        <v>0</v>
      </c>
      <c r="AL627" s="1064">
        <f t="shared" si="48"/>
        <v>0</v>
      </c>
      <c r="AM627" s="1064">
        <f t="shared" si="49"/>
        <v>0</v>
      </c>
      <c r="AN627" s="1064"/>
      <c r="AO627" s="1064">
        <f>TB_prev[[#This Row],[Closing balance]]+TB_prev[[#This Row],[Rounding]]</f>
        <v>0</v>
      </c>
    </row>
    <row r="628" spans="30:41" x14ac:dyDescent="0.25">
      <c r="AD628" s="1067" t="str">
        <f t="shared" si="45"/>
        <v/>
      </c>
      <c r="AE628" s="1063" t="str">
        <f>IF(ISNA(VLOOKUP(TB_prev[[#This Row],[Synt]],GL[[#Headers],[#Data],[subtotal label]],1,FALSE)),0,(VLOOKUP(TB_prev[[#This Row],[Synt]],GL[[#Headers],[#Data],[subtotal label]],1,FALSE)))</f>
        <v/>
      </c>
      <c r="AF628" s="1063" t="e">
        <f>IF((TB_prev[[#This Row],[Synt]]-TB_prev[[#This Row],[Subtotal Y/N]])=0,0,VLOOKUP(TB_prev[[#This Row],[Synt]],GL[[Account]:[Line]],3,FALSE))</f>
        <v>#VALUE!</v>
      </c>
      <c r="AG628" s="1063" t="e">
        <f>VLOOKUP(TB_prev[[#This Row],[Synt]],GL[[Account]:[B/P]],4,FALSE)</f>
        <v>#N/A</v>
      </c>
      <c r="AH628" s="1066" t="e">
        <v>#VALUE!</v>
      </c>
      <c r="AI628" s="1065" t="e">
        <f>TB_prev[[#This Row],[Synt]]&amp;TB_prev[[#This Row],[Line No. manual corr.]]</f>
        <v>#VALUE!</v>
      </c>
      <c r="AJ628" s="1064">
        <f t="shared" si="46"/>
        <v>0</v>
      </c>
      <c r="AK628" s="1064">
        <f t="shared" si="47"/>
        <v>0</v>
      </c>
      <c r="AL628" s="1064">
        <f t="shared" si="48"/>
        <v>0</v>
      </c>
      <c r="AM628" s="1064">
        <f t="shared" si="49"/>
        <v>0</v>
      </c>
      <c r="AN628" s="1064"/>
      <c r="AO628" s="1064">
        <f>TB_prev[[#This Row],[Closing balance]]+TB_prev[[#This Row],[Rounding]]</f>
        <v>0</v>
      </c>
    </row>
    <row r="629" spans="30:41" x14ac:dyDescent="0.25">
      <c r="AD629" s="1067" t="str">
        <f t="shared" si="45"/>
        <v/>
      </c>
      <c r="AE629" s="1063" t="str">
        <f>IF(ISNA(VLOOKUP(TB_prev[[#This Row],[Synt]],GL[[#Headers],[#Data],[subtotal label]],1,FALSE)),0,(VLOOKUP(TB_prev[[#This Row],[Synt]],GL[[#Headers],[#Data],[subtotal label]],1,FALSE)))</f>
        <v/>
      </c>
      <c r="AF629" s="1063" t="e">
        <f>IF((TB_prev[[#This Row],[Synt]]-TB_prev[[#This Row],[Subtotal Y/N]])=0,0,VLOOKUP(TB_prev[[#This Row],[Synt]],GL[[Account]:[Line]],3,FALSE))</f>
        <v>#VALUE!</v>
      </c>
      <c r="AG629" s="1063" t="e">
        <f>VLOOKUP(TB_prev[[#This Row],[Synt]],GL[[Account]:[B/P]],4,FALSE)</f>
        <v>#N/A</v>
      </c>
      <c r="AH629" s="1066" t="e">
        <v>#VALUE!</v>
      </c>
      <c r="AI629" s="1065" t="e">
        <f>TB_prev[[#This Row],[Synt]]&amp;TB_prev[[#This Row],[Line No. manual corr.]]</f>
        <v>#VALUE!</v>
      </c>
      <c r="AJ629" s="1064">
        <f t="shared" si="46"/>
        <v>0</v>
      </c>
      <c r="AK629" s="1064">
        <f t="shared" si="47"/>
        <v>0</v>
      </c>
      <c r="AL629" s="1064">
        <f t="shared" si="48"/>
        <v>0</v>
      </c>
      <c r="AM629" s="1064">
        <f t="shared" si="49"/>
        <v>0</v>
      </c>
      <c r="AN629" s="1064"/>
      <c r="AO629" s="1064">
        <f>TB_prev[[#This Row],[Closing balance]]+TB_prev[[#This Row],[Rounding]]</f>
        <v>0</v>
      </c>
    </row>
    <row r="630" spans="30:41" x14ac:dyDescent="0.25">
      <c r="AD630" s="1067" t="str">
        <f t="shared" si="45"/>
        <v/>
      </c>
      <c r="AE630" s="1063" t="str">
        <f>IF(ISNA(VLOOKUP(TB_prev[[#This Row],[Synt]],GL[[#Headers],[#Data],[subtotal label]],1,FALSE)),0,(VLOOKUP(TB_prev[[#This Row],[Synt]],GL[[#Headers],[#Data],[subtotal label]],1,FALSE)))</f>
        <v/>
      </c>
      <c r="AF630" s="1063" t="e">
        <f>IF((TB_prev[[#This Row],[Synt]]-TB_prev[[#This Row],[Subtotal Y/N]])=0,0,VLOOKUP(TB_prev[[#This Row],[Synt]],GL[[Account]:[Line]],3,FALSE))</f>
        <v>#VALUE!</v>
      </c>
      <c r="AG630" s="1063" t="e">
        <f>VLOOKUP(TB_prev[[#This Row],[Synt]],GL[[Account]:[B/P]],4,FALSE)</f>
        <v>#N/A</v>
      </c>
      <c r="AH630" s="1066" t="e">
        <v>#VALUE!</v>
      </c>
      <c r="AI630" s="1065" t="e">
        <f>TB_prev[[#This Row],[Synt]]&amp;TB_prev[[#This Row],[Line No. manual corr.]]</f>
        <v>#VALUE!</v>
      </c>
      <c r="AJ630" s="1064">
        <f t="shared" si="46"/>
        <v>0</v>
      </c>
      <c r="AK630" s="1064">
        <f t="shared" si="47"/>
        <v>0</v>
      </c>
      <c r="AL630" s="1064">
        <f t="shared" si="48"/>
        <v>0</v>
      </c>
      <c r="AM630" s="1064">
        <f t="shared" si="49"/>
        <v>0</v>
      </c>
      <c r="AN630" s="1064"/>
      <c r="AO630" s="1064">
        <f>TB_prev[[#This Row],[Closing balance]]+TB_prev[[#This Row],[Rounding]]</f>
        <v>0</v>
      </c>
    </row>
    <row r="631" spans="30:41" x14ac:dyDescent="0.25">
      <c r="AD631" s="1067" t="str">
        <f t="shared" si="45"/>
        <v/>
      </c>
      <c r="AE631" s="1063" t="str">
        <f>IF(ISNA(VLOOKUP(TB_prev[[#This Row],[Synt]],GL[[#Headers],[#Data],[subtotal label]],1,FALSE)),0,(VLOOKUP(TB_prev[[#This Row],[Synt]],GL[[#Headers],[#Data],[subtotal label]],1,FALSE)))</f>
        <v/>
      </c>
      <c r="AF631" s="1063" t="e">
        <f>IF((TB_prev[[#This Row],[Synt]]-TB_prev[[#This Row],[Subtotal Y/N]])=0,0,VLOOKUP(TB_prev[[#This Row],[Synt]],GL[[Account]:[Line]],3,FALSE))</f>
        <v>#VALUE!</v>
      </c>
      <c r="AG631" s="1063" t="e">
        <f>VLOOKUP(TB_prev[[#This Row],[Synt]],GL[[Account]:[B/P]],4,FALSE)</f>
        <v>#N/A</v>
      </c>
      <c r="AH631" s="1066" t="e">
        <v>#VALUE!</v>
      </c>
      <c r="AI631" s="1065" t="e">
        <f>TB_prev[[#This Row],[Synt]]&amp;TB_prev[[#This Row],[Line No. manual corr.]]</f>
        <v>#VALUE!</v>
      </c>
      <c r="AJ631" s="1064">
        <f t="shared" si="46"/>
        <v>0</v>
      </c>
      <c r="AK631" s="1064">
        <f t="shared" si="47"/>
        <v>0</v>
      </c>
      <c r="AL631" s="1064">
        <f t="shared" si="48"/>
        <v>0</v>
      </c>
      <c r="AM631" s="1064">
        <f t="shared" si="49"/>
        <v>0</v>
      </c>
      <c r="AN631" s="1064"/>
      <c r="AO631" s="1064">
        <f>TB_prev[[#This Row],[Closing balance]]+TB_prev[[#This Row],[Rounding]]</f>
        <v>0</v>
      </c>
    </row>
    <row r="632" spans="30:41" x14ac:dyDescent="0.25">
      <c r="AD632" s="1067" t="str">
        <f t="shared" si="45"/>
        <v/>
      </c>
      <c r="AE632" s="1063" t="str">
        <f>IF(ISNA(VLOOKUP(TB_prev[[#This Row],[Synt]],GL[[#Headers],[#Data],[subtotal label]],1,FALSE)),0,(VLOOKUP(TB_prev[[#This Row],[Synt]],GL[[#Headers],[#Data],[subtotal label]],1,FALSE)))</f>
        <v/>
      </c>
      <c r="AF632" s="1063" t="e">
        <f>IF((TB_prev[[#This Row],[Synt]]-TB_prev[[#This Row],[Subtotal Y/N]])=0,0,VLOOKUP(TB_prev[[#This Row],[Synt]],GL[[Account]:[Line]],3,FALSE))</f>
        <v>#VALUE!</v>
      </c>
      <c r="AG632" s="1063" t="e">
        <f>VLOOKUP(TB_prev[[#This Row],[Synt]],GL[[Account]:[B/P]],4,FALSE)</f>
        <v>#N/A</v>
      </c>
      <c r="AH632" s="1066" t="e">
        <v>#VALUE!</v>
      </c>
      <c r="AI632" s="1065" t="e">
        <f>TB_prev[[#This Row],[Synt]]&amp;TB_prev[[#This Row],[Line No. manual corr.]]</f>
        <v>#VALUE!</v>
      </c>
      <c r="AJ632" s="1064">
        <f t="shared" si="46"/>
        <v>0</v>
      </c>
      <c r="AK632" s="1064">
        <f t="shared" si="47"/>
        <v>0</v>
      </c>
      <c r="AL632" s="1064">
        <f t="shared" si="48"/>
        <v>0</v>
      </c>
      <c r="AM632" s="1064">
        <f t="shared" si="49"/>
        <v>0</v>
      </c>
      <c r="AN632" s="1064"/>
      <c r="AO632" s="1064">
        <f>TB_prev[[#This Row],[Closing balance]]+TB_prev[[#This Row],[Rounding]]</f>
        <v>0</v>
      </c>
    </row>
    <row r="633" spans="30:41" x14ac:dyDescent="0.25">
      <c r="AD633" s="1067" t="str">
        <f t="shared" si="45"/>
        <v/>
      </c>
      <c r="AE633" s="1063" t="str">
        <f>IF(ISNA(VLOOKUP(TB_prev[[#This Row],[Synt]],GL[[#Headers],[#Data],[subtotal label]],1,FALSE)),0,(VLOOKUP(TB_prev[[#This Row],[Synt]],GL[[#Headers],[#Data],[subtotal label]],1,FALSE)))</f>
        <v/>
      </c>
      <c r="AF633" s="1063" t="e">
        <f>IF((TB_prev[[#This Row],[Synt]]-TB_prev[[#This Row],[Subtotal Y/N]])=0,0,VLOOKUP(TB_prev[[#This Row],[Synt]],GL[[Account]:[Line]],3,FALSE))</f>
        <v>#VALUE!</v>
      </c>
      <c r="AG633" s="1063" t="e">
        <f>VLOOKUP(TB_prev[[#This Row],[Synt]],GL[[Account]:[B/P]],4,FALSE)</f>
        <v>#N/A</v>
      </c>
      <c r="AH633" s="1066" t="e">
        <v>#VALUE!</v>
      </c>
      <c r="AI633" s="1065" t="e">
        <f>TB_prev[[#This Row],[Synt]]&amp;TB_prev[[#This Row],[Line No. manual corr.]]</f>
        <v>#VALUE!</v>
      </c>
      <c r="AJ633" s="1064">
        <f t="shared" si="46"/>
        <v>0</v>
      </c>
      <c r="AK633" s="1064">
        <f t="shared" si="47"/>
        <v>0</v>
      </c>
      <c r="AL633" s="1064">
        <f t="shared" si="48"/>
        <v>0</v>
      </c>
      <c r="AM633" s="1064">
        <f t="shared" si="49"/>
        <v>0</v>
      </c>
      <c r="AN633" s="1064"/>
      <c r="AO633" s="1064">
        <f>TB_prev[[#This Row],[Closing balance]]+TB_prev[[#This Row],[Rounding]]</f>
        <v>0</v>
      </c>
    </row>
    <row r="634" spans="30:41" x14ac:dyDescent="0.25">
      <c r="AD634" s="1067" t="str">
        <f t="shared" si="45"/>
        <v/>
      </c>
      <c r="AE634" s="1063" t="str">
        <f>IF(ISNA(VLOOKUP(TB_prev[[#This Row],[Synt]],GL[[#Headers],[#Data],[subtotal label]],1,FALSE)),0,(VLOOKUP(TB_prev[[#This Row],[Synt]],GL[[#Headers],[#Data],[subtotal label]],1,FALSE)))</f>
        <v/>
      </c>
      <c r="AF634" s="1063" t="e">
        <f>IF((TB_prev[[#This Row],[Synt]]-TB_prev[[#This Row],[Subtotal Y/N]])=0,0,VLOOKUP(TB_prev[[#This Row],[Synt]],GL[[Account]:[Line]],3,FALSE))</f>
        <v>#VALUE!</v>
      </c>
      <c r="AG634" s="1063" t="e">
        <f>VLOOKUP(TB_prev[[#This Row],[Synt]],GL[[Account]:[B/P]],4,FALSE)</f>
        <v>#N/A</v>
      </c>
      <c r="AH634" s="1066" t="e">
        <v>#VALUE!</v>
      </c>
      <c r="AI634" s="1065" t="e">
        <f>TB_prev[[#This Row],[Synt]]&amp;TB_prev[[#This Row],[Line No. manual corr.]]</f>
        <v>#VALUE!</v>
      </c>
      <c r="AJ634" s="1064">
        <f t="shared" si="46"/>
        <v>0</v>
      </c>
      <c r="AK634" s="1064">
        <f t="shared" si="47"/>
        <v>0</v>
      </c>
      <c r="AL634" s="1064">
        <f t="shared" si="48"/>
        <v>0</v>
      </c>
      <c r="AM634" s="1064">
        <f t="shared" si="49"/>
        <v>0</v>
      </c>
      <c r="AN634" s="1064"/>
      <c r="AO634" s="1064">
        <f>TB_prev[[#This Row],[Closing balance]]+TB_prev[[#This Row],[Rounding]]</f>
        <v>0</v>
      </c>
    </row>
    <row r="635" spans="30:41" x14ac:dyDescent="0.25">
      <c r="AD635" s="1067" t="str">
        <f t="shared" si="45"/>
        <v/>
      </c>
      <c r="AE635" s="1063" t="str">
        <f>IF(ISNA(VLOOKUP(TB_prev[[#This Row],[Synt]],GL[[#Headers],[#Data],[subtotal label]],1,FALSE)),0,(VLOOKUP(TB_prev[[#This Row],[Synt]],GL[[#Headers],[#Data],[subtotal label]],1,FALSE)))</f>
        <v/>
      </c>
      <c r="AF635" s="1063" t="e">
        <f>IF((TB_prev[[#This Row],[Synt]]-TB_prev[[#This Row],[Subtotal Y/N]])=0,0,VLOOKUP(TB_prev[[#This Row],[Synt]],GL[[Account]:[Line]],3,FALSE))</f>
        <v>#VALUE!</v>
      </c>
      <c r="AG635" s="1063" t="e">
        <f>VLOOKUP(TB_prev[[#This Row],[Synt]],GL[[Account]:[B/P]],4,FALSE)</f>
        <v>#N/A</v>
      </c>
      <c r="AH635" s="1066" t="e">
        <v>#VALUE!</v>
      </c>
      <c r="AI635" s="1065" t="e">
        <f>TB_prev[[#This Row],[Synt]]&amp;TB_prev[[#This Row],[Line No. manual corr.]]</f>
        <v>#VALUE!</v>
      </c>
      <c r="AJ635" s="1064">
        <f t="shared" si="46"/>
        <v>0</v>
      </c>
      <c r="AK635" s="1064">
        <f t="shared" si="47"/>
        <v>0</v>
      </c>
      <c r="AL635" s="1064">
        <f t="shared" si="48"/>
        <v>0</v>
      </c>
      <c r="AM635" s="1064">
        <f t="shared" si="49"/>
        <v>0</v>
      </c>
      <c r="AN635" s="1064"/>
      <c r="AO635" s="1064">
        <f>TB_prev[[#This Row],[Closing balance]]+TB_prev[[#This Row],[Rounding]]</f>
        <v>0</v>
      </c>
    </row>
    <row r="636" spans="30:41" x14ac:dyDescent="0.25">
      <c r="AD636" s="1067" t="str">
        <f t="shared" si="45"/>
        <v/>
      </c>
      <c r="AE636" s="1063" t="str">
        <f>IF(ISNA(VLOOKUP(TB_prev[[#This Row],[Synt]],GL[[#Headers],[#Data],[subtotal label]],1,FALSE)),0,(VLOOKUP(TB_prev[[#This Row],[Synt]],GL[[#Headers],[#Data],[subtotal label]],1,FALSE)))</f>
        <v/>
      </c>
      <c r="AF636" s="1063" t="e">
        <f>IF((TB_prev[[#This Row],[Synt]]-TB_prev[[#This Row],[Subtotal Y/N]])=0,0,VLOOKUP(TB_prev[[#This Row],[Synt]],GL[[Account]:[Line]],3,FALSE))</f>
        <v>#VALUE!</v>
      </c>
      <c r="AG636" s="1063" t="e">
        <f>VLOOKUP(TB_prev[[#This Row],[Synt]],GL[[Account]:[B/P]],4,FALSE)</f>
        <v>#N/A</v>
      </c>
      <c r="AH636" s="1066" t="e">
        <v>#VALUE!</v>
      </c>
      <c r="AI636" s="1065" t="e">
        <f>TB_prev[[#This Row],[Synt]]&amp;TB_prev[[#This Row],[Line No. manual corr.]]</f>
        <v>#VALUE!</v>
      </c>
      <c r="AJ636" s="1064">
        <f t="shared" si="46"/>
        <v>0</v>
      </c>
      <c r="AK636" s="1064">
        <f t="shared" si="47"/>
        <v>0</v>
      </c>
      <c r="AL636" s="1064">
        <f t="shared" si="48"/>
        <v>0</v>
      </c>
      <c r="AM636" s="1064">
        <f t="shared" si="49"/>
        <v>0</v>
      </c>
      <c r="AN636" s="1064"/>
      <c r="AO636" s="1064">
        <f>TB_prev[[#This Row],[Closing balance]]+TB_prev[[#This Row],[Rounding]]</f>
        <v>0</v>
      </c>
    </row>
    <row r="637" spans="30:41" x14ac:dyDescent="0.25">
      <c r="AD637" s="1067" t="str">
        <f t="shared" si="45"/>
        <v/>
      </c>
      <c r="AE637" s="1063" t="str">
        <f>IF(ISNA(VLOOKUP(TB_prev[[#This Row],[Synt]],GL[[#Headers],[#Data],[subtotal label]],1,FALSE)),0,(VLOOKUP(TB_prev[[#This Row],[Synt]],GL[[#Headers],[#Data],[subtotal label]],1,FALSE)))</f>
        <v/>
      </c>
      <c r="AF637" s="1063" t="e">
        <f>IF((TB_prev[[#This Row],[Synt]]-TB_prev[[#This Row],[Subtotal Y/N]])=0,0,VLOOKUP(TB_prev[[#This Row],[Synt]],GL[[Account]:[Line]],3,FALSE))</f>
        <v>#VALUE!</v>
      </c>
      <c r="AG637" s="1063" t="e">
        <f>VLOOKUP(TB_prev[[#This Row],[Synt]],GL[[Account]:[B/P]],4,FALSE)</f>
        <v>#N/A</v>
      </c>
      <c r="AH637" s="1066" t="e">
        <v>#VALUE!</v>
      </c>
      <c r="AI637" s="1065" t="e">
        <f>TB_prev[[#This Row],[Synt]]&amp;TB_prev[[#This Row],[Line No. manual corr.]]</f>
        <v>#VALUE!</v>
      </c>
      <c r="AJ637" s="1064">
        <f t="shared" si="46"/>
        <v>0</v>
      </c>
      <c r="AK637" s="1064">
        <f t="shared" si="47"/>
        <v>0</v>
      </c>
      <c r="AL637" s="1064">
        <f t="shared" si="48"/>
        <v>0</v>
      </c>
      <c r="AM637" s="1064">
        <f t="shared" si="49"/>
        <v>0</v>
      </c>
      <c r="AN637" s="1064"/>
      <c r="AO637" s="1064">
        <f>TB_prev[[#This Row],[Closing balance]]+TB_prev[[#This Row],[Rounding]]</f>
        <v>0</v>
      </c>
    </row>
    <row r="638" spans="30:41" x14ac:dyDescent="0.25">
      <c r="AD638" s="1067" t="str">
        <f t="shared" si="45"/>
        <v/>
      </c>
      <c r="AE638" s="1063" t="str">
        <f>IF(ISNA(VLOOKUP(TB_prev[[#This Row],[Synt]],GL[[#Headers],[#Data],[subtotal label]],1,FALSE)),0,(VLOOKUP(TB_prev[[#This Row],[Synt]],GL[[#Headers],[#Data],[subtotal label]],1,FALSE)))</f>
        <v/>
      </c>
      <c r="AF638" s="1063" t="e">
        <f>IF((TB_prev[[#This Row],[Synt]]-TB_prev[[#This Row],[Subtotal Y/N]])=0,0,VLOOKUP(TB_prev[[#This Row],[Synt]],GL[[Account]:[Line]],3,FALSE))</f>
        <v>#VALUE!</v>
      </c>
      <c r="AG638" s="1063" t="e">
        <f>VLOOKUP(TB_prev[[#This Row],[Synt]],GL[[Account]:[B/P]],4,FALSE)</f>
        <v>#N/A</v>
      </c>
      <c r="AH638" s="1066" t="e">
        <v>#VALUE!</v>
      </c>
      <c r="AI638" s="1065" t="e">
        <f>TB_prev[[#This Row],[Synt]]&amp;TB_prev[[#This Row],[Line No. manual corr.]]</f>
        <v>#VALUE!</v>
      </c>
      <c r="AJ638" s="1064">
        <f t="shared" si="46"/>
        <v>0</v>
      </c>
      <c r="AK638" s="1064">
        <f t="shared" si="47"/>
        <v>0</v>
      </c>
      <c r="AL638" s="1064">
        <f t="shared" si="48"/>
        <v>0</v>
      </c>
      <c r="AM638" s="1064">
        <f t="shared" si="49"/>
        <v>0</v>
      </c>
      <c r="AN638" s="1064"/>
      <c r="AO638" s="1064">
        <f>TB_prev[[#This Row],[Closing balance]]+TB_prev[[#This Row],[Rounding]]</f>
        <v>0</v>
      </c>
    </row>
    <row r="639" spans="30:41" x14ac:dyDescent="0.25">
      <c r="AD639" s="1067" t="str">
        <f t="shared" si="45"/>
        <v/>
      </c>
      <c r="AE639" s="1063" t="str">
        <f>IF(ISNA(VLOOKUP(TB_prev[[#This Row],[Synt]],GL[[#Headers],[#Data],[subtotal label]],1,FALSE)),0,(VLOOKUP(TB_prev[[#This Row],[Synt]],GL[[#Headers],[#Data],[subtotal label]],1,FALSE)))</f>
        <v/>
      </c>
      <c r="AF639" s="1063" t="e">
        <f>IF((TB_prev[[#This Row],[Synt]]-TB_prev[[#This Row],[Subtotal Y/N]])=0,0,VLOOKUP(TB_prev[[#This Row],[Synt]],GL[[Account]:[Line]],3,FALSE))</f>
        <v>#VALUE!</v>
      </c>
      <c r="AG639" s="1063" t="e">
        <f>VLOOKUP(TB_prev[[#This Row],[Synt]],GL[[Account]:[B/P]],4,FALSE)</f>
        <v>#N/A</v>
      </c>
      <c r="AH639" s="1066" t="e">
        <v>#VALUE!</v>
      </c>
      <c r="AI639" s="1065" t="e">
        <f>TB_prev[[#This Row],[Synt]]&amp;TB_prev[[#This Row],[Line No. manual corr.]]</f>
        <v>#VALUE!</v>
      </c>
      <c r="AJ639" s="1064">
        <f t="shared" si="46"/>
        <v>0</v>
      </c>
      <c r="AK639" s="1064">
        <f t="shared" si="47"/>
        <v>0</v>
      </c>
      <c r="AL639" s="1064">
        <f t="shared" si="48"/>
        <v>0</v>
      </c>
      <c r="AM639" s="1064">
        <f t="shared" si="49"/>
        <v>0</v>
      </c>
      <c r="AN639" s="1064"/>
      <c r="AO639" s="1064">
        <f>TB_prev[[#This Row],[Closing balance]]+TB_prev[[#This Row],[Rounding]]</f>
        <v>0</v>
      </c>
    </row>
    <row r="640" spans="30:41" x14ac:dyDescent="0.25">
      <c r="AD640" s="1067" t="str">
        <f t="shared" si="45"/>
        <v/>
      </c>
      <c r="AE640" s="1063" t="str">
        <f>IF(ISNA(VLOOKUP(TB_prev[[#This Row],[Synt]],GL[[#Headers],[#Data],[subtotal label]],1,FALSE)),0,(VLOOKUP(TB_prev[[#This Row],[Synt]],GL[[#Headers],[#Data],[subtotal label]],1,FALSE)))</f>
        <v/>
      </c>
      <c r="AF640" s="1063" t="e">
        <f>IF((TB_prev[[#This Row],[Synt]]-TB_prev[[#This Row],[Subtotal Y/N]])=0,0,VLOOKUP(TB_prev[[#This Row],[Synt]],GL[[Account]:[Line]],3,FALSE))</f>
        <v>#VALUE!</v>
      </c>
      <c r="AG640" s="1063" t="e">
        <f>VLOOKUP(TB_prev[[#This Row],[Synt]],GL[[Account]:[B/P]],4,FALSE)</f>
        <v>#N/A</v>
      </c>
      <c r="AH640" s="1066" t="e">
        <v>#VALUE!</v>
      </c>
      <c r="AI640" s="1065" t="e">
        <f>TB_prev[[#This Row],[Synt]]&amp;TB_prev[[#This Row],[Line No. manual corr.]]</f>
        <v>#VALUE!</v>
      </c>
      <c r="AJ640" s="1064">
        <f t="shared" si="46"/>
        <v>0</v>
      </c>
      <c r="AK640" s="1064">
        <f t="shared" si="47"/>
        <v>0</v>
      </c>
      <c r="AL640" s="1064">
        <f t="shared" si="48"/>
        <v>0</v>
      </c>
      <c r="AM640" s="1064">
        <f t="shared" si="49"/>
        <v>0</v>
      </c>
      <c r="AN640" s="1064"/>
      <c r="AO640" s="1064">
        <f>TB_prev[[#This Row],[Closing balance]]+TB_prev[[#This Row],[Rounding]]</f>
        <v>0</v>
      </c>
    </row>
    <row r="641" spans="30:41" x14ac:dyDescent="0.25">
      <c r="AD641" s="1067" t="str">
        <f t="shared" si="45"/>
        <v/>
      </c>
      <c r="AE641" s="1063" t="str">
        <f>IF(ISNA(VLOOKUP(TB_prev[[#This Row],[Synt]],GL[[#Headers],[#Data],[subtotal label]],1,FALSE)),0,(VLOOKUP(TB_prev[[#This Row],[Synt]],GL[[#Headers],[#Data],[subtotal label]],1,FALSE)))</f>
        <v/>
      </c>
      <c r="AF641" s="1063" t="e">
        <f>IF((TB_prev[[#This Row],[Synt]]-TB_prev[[#This Row],[Subtotal Y/N]])=0,0,VLOOKUP(TB_prev[[#This Row],[Synt]],GL[[Account]:[Line]],3,FALSE))</f>
        <v>#VALUE!</v>
      </c>
      <c r="AG641" s="1063" t="e">
        <f>VLOOKUP(TB_prev[[#This Row],[Synt]],GL[[Account]:[B/P]],4,FALSE)</f>
        <v>#N/A</v>
      </c>
      <c r="AH641" s="1066" t="e">
        <v>#VALUE!</v>
      </c>
      <c r="AI641" s="1065" t="e">
        <f>TB_prev[[#This Row],[Synt]]&amp;TB_prev[[#This Row],[Line No. manual corr.]]</f>
        <v>#VALUE!</v>
      </c>
      <c r="AJ641" s="1064">
        <f t="shared" si="46"/>
        <v>0</v>
      </c>
      <c r="AK641" s="1064">
        <f t="shared" si="47"/>
        <v>0</v>
      </c>
      <c r="AL641" s="1064">
        <f t="shared" si="48"/>
        <v>0</v>
      </c>
      <c r="AM641" s="1064">
        <f t="shared" si="49"/>
        <v>0</v>
      </c>
      <c r="AN641" s="1064"/>
      <c r="AO641" s="1064">
        <f>TB_prev[[#This Row],[Closing balance]]+TB_prev[[#This Row],[Rounding]]</f>
        <v>0</v>
      </c>
    </row>
    <row r="642" spans="30:41" x14ac:dyDescent="0.25">
      <c r="AD642" s="1067" t="str">
        <f t="shared" si="45"/>
        <v/>
      </c>
      <c r="AE642" s="1063" t="str">
        <f>IF(ISNA(VLOOKUP(TB_prev[[#This Row],[Synt]],GL[[#Headers],[#Data],[subtotal label]],1,FALSE)),0,(VLOOKUP(TB_prev[[#This Row],[Synt]],GL[[#Headers],[#Data],[subtotal label]],1,FALSE)))</f>
        <v/>
      </c>
      <c r="AF642" s="1063" t="e">
        <f>IF((TB_prev[[#This Row],[Synt]]-TB_prev[[#This Row],[Subtotal Y/N]])=0,0,VLOOKUP(TB_prev[[#This Row],[Synt]],GL[[Account]:[Line]],3,FALSE))</f>
        <v>#VALUE!</v>
      </c>
      <c r="AG642" s="1063" t="e">
        <f>VLOOKUP(TB_prev[[#This Row],[Synt]],GL[[Account]:[B/P]],4,FALSE)</f>
        <v>#N/A</v>
      </c>
      <c r="AH642" s="1066" t="e">
        <v>#VALUE!</v>
      </c>
      <c r="AI642" s="1065" t="e">
        <f>TB_prev[[#This Row],[Synt]]&amp;TB_prev[[#This Row],[Line No. manual corr.]]</f>
        <v>#VALUE!</v>
      </c>
      <c r="AJ642" s="1064">
        <f t="shared" si="46"/>
        <v>0</v>
      </c>
      <c r="AK642" s="1064">
        <f t="shared" si="47"/>
        <v>0</v>
      </c>
      <c r="AL642" s="1064">
        <f t="shared" si="48"/>
        <v>0</v>
      </c>
      <c r="AM642" s="1064">
        <f t="shared" si="49"/>
        <v>0</v>
      </c>
      <c r="AN642" s="1064"/>
      <c r="AO642" s="1064">
        <f>TB_prev[[#This Row],[Closing balance]]+TB_prev[[#This Row],[Rounding]]</f>
        <v>0</v>
      </c>
    </row>
    <row r="643" spans="30:41" x14ac:dyDescent="0.25">
      <c r="AD643" s="1067" t="str">
        <f t="shared" si="45"/>
        <v/>
      </c>
      <c r="AE643" s="1063" t="str">
        <f>IF(ISNA(VLOOKUP(TB_prev[[#This Row],[Synt]],GL[[#Headers],[#Data],[subtotal label]],1,FALSE)),0,(VLOOKUP(TB_prev[[#This Row],[Synt]],GL[[#Headers],[#Data],[subtotal label]],1,FALSE)))</f>
        <v/>
      </c>
      <c r="AF643" s="1063" t="e">
        <f>IF((TB_prev[[#This Row],[Synt]]-TB_prev[[#This Row],[Subtotal Y/N]])=0,0,VLOOKUP(TB_prev[[#This Row],[Synt]],GL[[Account]:[Line]],3,FALSE))</f>
        <v>#VALUE!</v>
      </c>
      <c r="AG643" s="1063" t="e">
        <f>VLOOKUP(TB_prev[[#This Row],[Synt]],GL[[Account]:[B/P]],4,FALSE)</f>
        <v>#N/A</v>
      </c>
      <c r="AH643" s="1066" t="e">
        <v>#VALUE!</v>
      </c>
      <c r="AI643" s="1065" t="e">
        <f>TB_prev[[#This Row],[Synt]]&amp;TB_prev[[#This Row],[Line No. manual corr.]]</f>
        <v>#VALUE!</v>
      </c>
      <c r="AJ643" s="1064">
        <f t="shared" si="46"/>
        <v>0</v>
      </c>
      <c r="AK643" s="1064">
        <f t="shared" si="47"/>
        <v>0</v>
      </c>
      <c r="AL643" s="1064">
        <f t="shared" si="48"/>
        <v>0</v>
      </c>
      <c r="AM643" s="1064">
        <f t="shared" si="49"/>
        <v>0</v>
      </c>
      <c r="AN643" s="1064"/>
      <c r="AO643" s="1064">
        <f>TB_prev[[#This Row],[Closing balance]]+TB_prev[[#This Row],[Rounding]]</f>
        <v>0</v>
      </c>
    </row>
    <row r="644" spans="30:41" x14ac:dyDescent="0.25">
      <c r="AD644" s="1067" t="str">
        <f t="shared" si="45"/>
        <v/>
      </c>
      <c r="AE644" s="1063" t="str">
        <f>IF(ISNA(VLOOKUP(TB_prev[[#This Row],[Synt]],GL[[#Headers],[#Data],[subtotal label]],1,FALSE)),0,(VLOOKUP(TB_prev[[#This Row],[Synt]],GL[[#Headers],[#Data],[subtotal label]],1,FALSE)))</f>
        <v/>
      </c>
      <c r="AF644" s="1063" t="e">
        <f>IF((TB_prev[[#This Row],[Synt]]-TB_prev[[#This Row],[Subtotal Y/N]])=0,0,VLOOKUP(TB_prev[[#This Row],[Synt]],GL[[Account]:[Line]],3,FALSE))</f>
        <v>#VALUE!</v>
      </c>
      <c r="AG644" s="1063" t="e">
        <f>VLOOKUP(TB_prev[[#This Row],[Synt]],GL[[Account]:[B/P]],4,FALSE)</f>
        <v>#N/A</v>
      </c>
      <c r="AH644" s="1066" t="e">
        <v>#VALUE!</v>
      </c>
      <c r="AI644" s="1065" t="e">
        <f>TB_prev[[#This Row],[Synt]]&amp;TB_prev[[#This Row],[Line No. manual corr.]]</f>
        <v>#VALUE!</v>
      </c>
      <c r="AJ644" s="1064">
        <f t="shared" si="46"/>
        <v>0</v>
      </c>
      <c r="AK644" s="1064">
        <f t="shared" si="47"/>
        <v>0</v>
      </c>
      <c r="AL644" s="1064">
        <f t="shared" si="48"/>
        <v>0</v>
      </c>
      <c r="AM644" s="1064">
        <f t="shared" si="49"/>
        <v>0</v>
      </c>
      <c r="AN644" s="1064"/>
      <c r="AO644" s="1064">
        <f>TB_prev[[#This Row],[Closing balance]]+TB_prev[[#This Row],[Rounding]]</f>
        <v>0</v>
      </c>
    </row>
    <row r="645" spans="30:41" x14ac:dyDescent="0.25">
      <c r="AD645" s="1067" t="str">
        <f t="shared" si="45"/>
        <v/>
      </c>
      <c r="AE645" s="1063" t="str">
        <f>IF(ISNA(VLOOKUP(TB_prev[[#This Row],[Synt]],GL[[#Headers],[#Data],[subtotal label]],1,FALSE)),0,(VLOOKUP(TB_prev[[#This Row],[Synt]],GL[[#Headers],[#Data],[subtotal label]],1,FALSE)))</f>
        <v/>
      </c>
      <c r="AF645" s="1063" t="e">
        <f>IF((TB_prev[[#This Row],[Synt]]-TB_prev[[#This Row],[Subtotal Y/N]])=0,0,VLOOKUP(TB_prev[[#This Row],[Synt]],GL[[Account]:[Line]],3,FALSE))</f>
        <v>#VALUE!</v>
      </c>
      <c r="AG645" s="1063" t="e">
        <f>VLOOKUP(TB_prev[[#This Row],[Synt]],GL[[Account]:[B/P]],4,FALSE)</f>
        <v>#N/A</v>
      </c>
      <c r="AH645" s="1066" t="e">
        <v>#VALUE!</v>
      </c>
      <c r="AI645" s="1065" t="e">
        <f>TB_prev[[#This Row],[Synt]]&amp;TB_prev[[#This Row],[Line No. manual corr.]]</f>
        <v>#VALUE!</v>
      </c>
      <c r="AJ645" s="1064">
        <f t="shared" si="46"/>
        <v>0</v>
      </c>
      <c r="AK645" s="1064">
        <f t="shared" si="47"/>
        <v>0</v>
      </c>
      <c r="AL645" s="1064">
        <f t="shared" si="48"/>
        <v>0</v>
      </c>
      <c r="AM645" s="1064">
        <f t="shared" si="49"/>
        <v>0</v>
      </c>
      <c r="AN645" s="1064"/>
      <c r="AO645" s="1064">
        <f>TB_prev[[#This Row],[Closing balance]]+TB_prev[[#This Row],[Rounding]]</f>
        <v>0</v>
      </c>
    </row>
    <row r="646" spans="30:41" x14ac:dyDescent="0.25">
      <c r="AD646" s="1067" t="str">
        <f t="shared" si="45"/>
        <v/>
      </c>
      <c r="AE646" s="1063" t="str">
        <f>IF(ISNA(VLOOKUP(TB_prev[[#This Row],[Synt]],GL[[#Headers],[#Data],[subtotal label]],1,FALSE)),0,(VLOOKUP(TB_prev[[#This Row],[Synt]],GL[[#Headers],[#Data],[subtotal label]],1,FALSE)))</f>
        <v/>
      </c>
      <c r="AF646" s="1063" t="e">
        <f>IF((TB_prev[[#This Row],[Synt]]-TB_prev[[#This Row],[Subtotal Y/N]])=0,0,VLOOKUP(TB_prev[[#This Row],[Synt]],GL[[Account]:[Line]],3,FALSE))</f>
        <v>#VALUE!</v>
      </c>
      <c r="AG646" s="1063" t="e">
        <f>VLOOKUP(TB_prev[[#This Row],[Synt]],GL[[Account]:[B/P]],4,FALSE)</f>
        <v>#N/A</v>
      </c>
      <c r="AH646" s="1066" t="e">
        <v>#VALUE!</v>
      </c>
      <c r="AI646" s="1065" t="e">
        <f>TB_prev[[#This Row],[Synt]]&amp;TB_prev[[#This Row],[Line No. manual corr.]]</f>
        <v>#VALUE!</v>
      </c>
      <c r="AJ646" s="1064">
        <f t="shared" si="46"/>
        <v>0</v>
      </c>
      <c r="AK646" s="1064">
        <f t="shared" si="47"/>
        <v>0</v>
      </c>
      <c r="AL646" s="1064">
        <f t="shared" si="48"/>
        <v>0</v>
      </c>
      <c r="AM646" s="1064">
        <f t="shared" si="49"/>
        <v>0</v>
      </c>
      <c r="AN646" s="1064"/>
      <c r="AO646" s="1064">
        <f>TB_prev[[#This Row],[Closing balance]]+TB_prev[[#This Row],[Rounding]]</f>
        <v>0</v>
      </c>
    </row>
    <row r="647" spans="30:41" x14ac:dyDescent="0.25">
      <c r="AD647" s="1067" t="str">
        <f t="shared" si="45"/>
        <v/>
      </c>
      <c r="AE647" s="1063" t="str">
        <f>IF(ISNA(VLOOKUP(TB_prev[[#This Row],[Synt]],GL[[#Headers],[#Data],[subtotal label]],1,FALSE)),0,(VLOOKUP(TB_prev[[#This Row],[Synt]],GL[[#Headers],[#Data],[subtotal label]],1,FALSE)))</f>
        <v/>
      </c>
      <c r="AF647" s="1063" t="e">
        <f>IF((TB_prev[[#This Row],[Synt]]-TB_prev[[#This Row],[Subtotal Y/N]])=0,0,VLOOKUP(TB_prev[[#This Row],[Synt]],GL[[Account]:[Line]],3,FALSE))</f>
        <v>#VALUE!</v>
      </c>
      <c r="AG647" s="1063" t="e">
        <f>VLOOKUP(TB_prev[[#This Row],[Synt]],GL[[Account]:[B/P]],4,FALSE)</f>
        <v>#N/A</v>
      </c>
      <c r="AH647" s="1066" t="e">
        <v>#VALUE!</v>
      </c>
      <c r="AI647" s="1065" t="e">
        <f>TB_prev[[#This Row],[Synt]]&amp;TB_prev[[#This Row],[Line No. manual corr.]]</f>
        <v>#VALUE!</v>
      </c>
      <c r="AJ647" s="1064">
        <f t="shared" si="46"/>
        <v>0</v>
      </c>
      <c r="AK647" s="1064">
        <f t="shared" si="47"/>
        <v>0</v>
      </c>
      <c r="AL647" s="1064">
        <f t="shared" si="48"/>
        <v>0</v>
      </c>
      <c r="AM647" s="1064">
        <f t="shared" si="49"/>
        <v>0</v>
      </c>
      <c r="AN647" s="1064"/>
      <c r="AO647" s="1064">
        <f>TB_prev[[#This Row],[Closing balance]]+TB_prev[[#This Row],[Rounding]]</f>
        <v>0</v>
      </c>
    </row>
    <row r="648" spans="30:41" x14ac:dyDescent="0.25">
      <c r="AD648" s="1067" t="str">
        <f t="shared" ref="AD648:AD711" si="50">LEFT(B648,3)</f>
        <v/>
      </c>
      <c r="AE648" s="1063" t="str">
        <f>IF(ISNA(VLOOKUP(TB_prev[[#This Row],[Synt]],GL[[#Headers],[#Data],[subtotal label]],1,FALSE)),0,(VLOOKUP(TB_prev[[#This Row],[Synt]],GL[[#Headers],[#Data],[subtotal label]],1,FALSE)))</f>
        <v/>
      </c>
      <c r="AF648" s="1063" t="e">
        <f>IF((TB_prev[[#This Row],[Synt]]-TB_prev[[#This Row],[Subtotal Y/N]])=0,0,VLOOKUP(TB_prev[[#This Row],[Synt]],GL[[Account]:[Line]],3,FALSE))</f>
        <v>#VALUE!</v>
      </c>
      <c r="AG648" s="1063" t="e">
        <f>VLOOKUP(TB_prev[[#This Row],[Synt]],GL[[Account]:[B/P]],4,FALSE)</f>
        <v>#N/A</v>
      </c>
      <c r="AH648" s="1066" t="e">
        <v>#VALUE!</v>
      </c>
      <c r="AI648" s="1065" t="e">
        <f>TB_prev[[#This Row],[Synt]]&amp;TB_prev[[#This Row],[Line No. manual corr.]]</f>
        <v>#VALUE!</v>
      </c>
      <c r="AJ648" s="1064">
        <f t="shared" ref="AJ648:AJ711" si="51">K648-N648</f>
        <v>0</v>
      </c>
      <c r="AK648" s="1064">
        <f t="shared" ref="AK648:AK711" si="52">Q648</f>
        <v>0</v>
      </c>
      <c r="AL648" s="1064">
        <f t="shared" ref="AL648:AL711" si="53">U648</f>
        <v>0</v>
      </c>
      <c r="AM648" s="1064">
        <f t="shared" ref="AM648:AM711" si="54">X648-AB648</f>
        <v>0</v>
      </c>
      <c r="AN648" s="1064"/>
      <c r="AO648" s="1064">
        <f>TB_prev[[#This Row],[Closing balance]]+TB_prev[[#This Row],[Rounding]]</f>
        <v>0</v>
      </c>
    </row>
    <row r="649" spans="30:41" x14ac:dyDescent="0.25">
      <c r="AD649" s="1067" t="str">
        <f t="shared" si="50"/>
        <v/>
      </c>
      <c r="AE649" s="1063" t="str">
        <f>IF(ISNA(VLOOKUP(TB_prev[[#This Row],[Synt]],GL[[#Headers],[#Data],[subtotal label]],1,FALSE)),0,(VLOOKUP(TB_prev[[#This Row],[Synt]],GL[[#Headers],[#Data],[subtotal label]],1,FALSE)))</f>
        <v/>
      </c>
      <c r="AF649" s="1063" t="e">
        <f>IF((TB_prev[[#This Row],[Synt]]-TB_prev[[#This Row],[Subtotal Y/N]])=0,0,VLOOKUP(TB_prev[[#This Row],[Synt]],GL[[Account]:[Line]],3,FALSE))</f>
        <v>#VALUE!</v>
      </c>
      <c r="AG649" s="1063" t="e">
        <f>VLOOKUP(TB_prev[[#This Row],[Synt]],GL[[Account]:[B/P]],4,FALSE)</f>
        <v>#N/A</v>
      </c>
      <c r="AH649" s="1066" t="e">
        <v>#VALUE!</v>
      </c>
      <c r="AI649" s="1065" t="e">
        <f>TB_prev[[#This Row],[Synt]]&amp;TB_prev[[#This Row],[Line No. manual corr.]]</f>
        <v>#VALUE!</v>
      </c>
      <c r="AJ649" s="1064">
        <f t="shared" si="51"/>
        <v>0</v>
      </c>
      <c r="AK649" s="1064">
        <f t="shared" si="52"/>
        <v>0</v>
      </c>
      <c r="AL649" s="1064">
        <f t="shared" si="53"/>
        <v>0</v>
      </c>
      <c r="AM649" s="1064">
        <f t="shared" si="54"/>
        <v>0</v>
      </c>
      <c r="AN649" s="1064"/>
      <c r="AO649" s="1064">
        <f>TB_prev[[#This Row],[Closing balance]]+TB_prev[[#This Row],[Rounding]]</f>
        <v>0</v>
      </c>
    </row>
    <row r="650" spans="30:41" x14ac:dyDescent="0.25">
      <c r="AD650" s="1067" t="str">
        <f t="shared" si="50"/>
        <v/>
      </c>
      <c r="AE650" s="1063" t="str">
        <f>IF(ISNA(VLOOKUP(TB_prev[[#This Row],[Synt]],GL[[#Headers],[#Data],[subtotal label]],1,FALSE)),0,(VLOOKUP(TB_prev[[#This Row],[Synt]],GL[[#Headers],[#Data],[subtotal label]],1,FALSE)))</f>
        <v/>
      </c>
      <c r="AF650" s="1063" t="e">
        <f>IF((TB_prev[[#This Row],[Synt]]-TB_prev[[#This Row],[Subtotal Y/N]])=0,0,VLOOKUP(TB_prev[[#This Row],[Synt]],GL[[Account]:[Line]],3,FALSE))</f>
        <v>#VALUE!</v>
      </c>
      <c r="AG650" s="1063" t="e">
        <f>VLOOKUP(TB_prev[[#This Row],[Synt]],GL[[Account]:[B/P]],4,FALSE)</f>
        <v>#N/A</v>
      </c>
      <c r="AH650" s="1066" t="e">
        <v>#VALUE!</v>
      </c>
      <c r="AI650" s="1065" t="e">
        <f>TB_prev[[#This Row],[Synt]]&amp;TB_prev[[#This Row],[Line No. manual corr.]]</f>
        <v>#VALUE!</v>
      </c>
      <c r="AJ650" s="1064">
        <f t="shared" si="51"/>
        <v>0</v>
      </c>
      <c r="AK650" s="1064">
        <f t="shared" si="52"/>
        <v>0</v>
      </c>
      <c r="AL650" s="1064">
        <f t="shared" si="53"/>
        <v>0</v>
      </c>
      <c r="AM650" s="1064">
        <f t="shared" si="54"/>
        <v>0</v>
      </c>
      <c r="AN650" s="1064"/>
      <c r="AO650" s="1064">
        <f>TB_prev[[#This Row],[Closing balance]]+TB_prev[[#This Row],[Rounding]]</f>
        <v>0</v>
      </c>
    </row>
    <row r="651" spans="30:41" x14ac:dyDescent="0.25">
      <c r="AD651" s="1067" t="str">
        <f t="shared" si="50"/>
        <v/>
      </c>
      <c r="AE651" s="1063" t="str">
        <f>IF(ISNA(VLOOKUP(TB_prev[[#This Row],[Synt]],GL[[#Headers],[#Data],[subtotal label]],1,FALSE)),0,(VLOOKUP(TB_prev[[#This Row],[Synt]],GL[[#Headers],[#Data],[subtotal label]],1,FALSE)))</f>
        <v/>
      </c>
      <c r="AF651" s="1063" t="e">
        <f>IF((TB_prev[[#This Row],[Synt]]-TB_prev[[#This Row],[Subtotal Y/N]])=0,0,VLOOKUP(TB_prev[[#This Row],[Synt]],GL[[Account]:[Line]],3,FALSE))</f>
        <v>#VALUE!</v>
      </c>
      <c r="AG651" s="1063" t="e">
        <f>VLOOKUP(TB_prev[[#This Row],[Synt]],GL[[Account]:[B/P]],4,FALSE)</f>
        <v>#N/A</v>
      </c>
      <c r="AH651" s="1066" t="e">
        <v>#VALUE!</v>
      </c>
      <c r="AI651" s="1065" t="e">
        <f>TB_prev[[#This Row],[Synt]]&amp;TB_prev[[#This Row],[Line No. manual corr.]]</f>
        <v>#VALUE!</v>
      </c>
      <c r="AJ651" s="1064">
        <f t="shared" si="51"/>
        <v>0</v>
      </c>
      <c r="AK651" s="1064">
        <f t="shared" si="52"/>
        <v>0</v>
      </c>
      <c r="AL651" s="1064">
        <f t="shared" si="53"/>
        <v>0</v>
      </c>
      <c r="AM651" s="1064">
        <f t="shared" si="54"/>
        <v>0</v>
      </c>
      <c r="AN651" s="1064"/>
      <c r="AO651" s="1064">
        <f>TB_prev[[#This Row],[Closing balance]]+TB_prev[[#This Row],[Rounding]]</f>
        <v>0</v>
      </c>
    </row>
    <row r="652" spans="30:41" x14ac:dyDescent="0.25">
      <c r="AD652" s="1067" t="str">
        <f t="shared" si="50"/>
        <v/>
      </c>
      <c r="AE652" s="1063" t="str">
        <f>IF(ISNA(VLOOKUP(TB_prev[[#This Row],[Synt]],GL[[#Headers],[#Data],[subtotal label]],1,FALSE)),0,(VLOOKUP(TB_prev[[#This Row],[Synt]],GL[[#Headers],[#Data],[subtotal label]],1,FALSE)))</f>
        <v/>
      </c>
      <c r="AF652" s="1063" t="e">
        <f>IF((TB_prev[[#This Row],[Synt]]-TB_prev[[#This Row],[Subtotal Y/N]])=0,0,VLOOKUP(TB_prev[[#This Row],[Synt]],GL[[Account]:[Line]],3,FALSE))</f>
        <v>#VALUE!</v>
      </c>
      <c r="AG652" s="1063" t="e">
        <f>VLOOKUP(TB_prev[[#This Row],[Synt]],GL[[Account]:[B/P]],4,FALSE)</f>
        <v>#N/A</v>
      </c>
      <c r="AH652" s="1066" t="e">
        <v>#VALUE!</v>
      </c>
      <c r="AI652" s="1065" t="e">
        <f>TB_prev[[#This Row],[Synt]]&amp;TB_prev[[#This Row],[Line No. manual corr.]]</f>
        <v>#VALUE!</v>
      </c>
      <c r="AJ652" s="1064">
        <f t="shared" si="51"/>
        <v>0</v>
      </c>
      <c r="AK652" s="1064">
        <f t="shared" si="52"/>
        <v>0</v>
      </c>
      <c r="AL652" s="1064">
        <f t="shared" si="53"/>
        <v>0</v>
      </c>
      <c r="AM652" s="1064">
        <f t="shared" si="54"/>
        <v>0</v>
      </c>
      <c r="AN652" s="1064"/>
      <c r="AO652" s="1064">
        <f>TB_prev[[#This Row],[Closing balance]]+TB_prev[[#This Row],[Rounding]]</f>
        <v>0</v>
      </c>
    </row>
    <row r="653" spans="30:41" x14ac:dyDescent="0.25">
      <c r="AD653" s="1067" t="str">
        <f t="shared" si="50"/>
        <v/>
      </c>
      <c r="AE653" s="1063" t="str">
        <f>IF(ISNA(VLOOKUP(TB_prev[[#This Row],[Synt]],GL[[#Headers],[#Data],[subtotal label]],1,FALSE)),0,(VLOOKUP(TB_prev[[#This Row],[Synt]],GL[[#Headers],[#Data],[subtotal label]],1,FALSE)))</f>
        <v/>
      </c>
      <c r="AF653" s="1063" t="e">
        <f>IF((TB_prev[[#This Row],[Synt]]-TB_prev[[#This Row],[Subtotal Y/N]])=0,0,VLOOKUP(TB_prev[[#This Row],[Synt]],GL[[Account]:[Line]],3,FALSE))</f>
        <v>#VALUE!</v>
      </c>
      <c r="AG653" s="1063" t="e">
        <f>VLOOKUP(TB_prev[[#This Row],[Synt]],GL[[Account]:[B/P]],4,FALSE)</f>
        <v>#N/A</v>
      </c>
      <c r="AH653" s="1066" t="e">
        <v>#VALUE!</v>
      </c>
      <c r="AI653" s="1065" t="e">
        <f>TB_prev[[#This Row],[Synt]]&amp;TB_prev[[#This Row],[Line No. manual corr.]]</f>
        <v>#VALUE!</v>
      </c>
      <c r="AJ653" s="1064">
        <f t="shared" si="51"/>
        <v>0</v>
      </c>
      <c r="AK653" s="1064">
        <f t="shared" si="52"/>
        <v>0</v>
      </c>
      <c r="AL653" s="1064">
        <f t="shared" si="53"/>
        <v>0</v>
      </c>
      <c r="AM653" s="1064">
        <f t="shared" si="54"/>
        <v>0</v>
      </c>
      <c r="AN653" s="1064"/>
      <c r="AO653" s="1064">
        <f>TB_prev[[#This Row],[Closing balance]]+TB_prev[[#This Row],[Rounding]]</f>
        <v>0</v>
      </c>
    </row>
    <row r="654" spans="30:41" x14ac:dyDescent="0.25">
      <c r="AD654" s="1067" t="str">
        <f t="shared" si="50"/>
        <v/>
      </c>
      <c r="AE654" s="1063" t="str">
        <f>IF(ISNA(VLOOKUP(TB_prev[[#This Row],[Synt]],GL[[#Headers],[#Data],[subtotal label]],1,FALSE)),0,(VLOOKUP(TB_prev[[#This Row],[Synt]],GL[[#Headers],[#Data],[subtotal label]],1,FALSE)))</f>
        <v/>
      </c>
      <c r="AF654" s="1063" t="e">
        <f>IF((TB_prev[[#This Row],[Synt]]-TB_prev[[#This Row],[Subtotal Y/N]])=0,0,VLOOKUP(TB_prev[[#This Row],[Synt]],GL[[Account]:[Line]],3,FALSE))</f>
        <v>#VALUE!</v>
      </c>
      <c r="AG654" s="1063" t="e">
        <f>VLOOKUP(TB_prev[[#This Row],[Synt]],GL[[Account]:[B/P]],4,FALSE)</f>
        <v>#N/A</v>
      </c>
      <c r="AH654" s="1066" t="e">
        <v>#VALUE!</v>
      </c>
      <c r="AI654" s="1065" t="e">
        <f>TB_prev[[#This Row],[Synt]]&amp;TB_prev[[#This Row],[Line No. manual corr.]]</f>
        <v>#VALUE!</v>
      </c>
      <c r="AJ654" s="1064">
        <f t="shared" si="51"/>
        <v>0</v>
      </c>
      <c r="AK654" s="1064">
        <f t="shared" si="52"/>
        <v>0</v>
      </c>
      <c r="AL654" s="1064">
        <f t="shared" si="53"/>
        <v>0</v>
      </c>
      <c r="AM654" s="1064">
        <f t="shared" si="54"/>
        <v>0</v>
      </c>
      <c r="AN654" s="1064"/>
      <c r="AO654" s="1064">
        <f>TB_prev[[#This Row],[Closing balance]]+TB_prev[[#This Row],[Rounding]]</f>
        <v>0</v>
      </c>
    </row>
    <row r="655" spans="30:41" x14ac:dyDescent="0.25">
      <c r="AD655" s="1067" t="str">
        <f t="shared" si="50"/>
        <v/>
      </c>
      <c r="AE655" s="1063" t="str">
        <f>IF(ISNA(VLOOKUP(TB_prev[[#This Row],[Synt]],GL[[#Headers],[#Data],[subtotal label]],1,FALSE)),0,(VLOOKUP(TB_prev[[#This Row],[Synt]],GL[[#Headers],[#Data],[subtotal label]],1,FALSE)))</f>
        <v/>
      </c>
      <c r="AF655" s="1063" t="e">
        <f>IF((TB_prev[[#This Row],[Synt]]-TB_prev[[#This Row],[Subtotal Y/N]])=0,0,VLOOKUP(TB_prev[[#This Row],[Synt]],GL[[Account]:[Line]],3,FALSE))</f>
        <v>#VALUE!</v>
      </c>
      <c r="AG655" s="1063" t="e">
        <f>VLOOKUP(TB_prev[[#This Row],[Synt]],GL[[Account]:[B/P]],4,FALSE)</f>
        <v>#N/A</v>
      </c>
      <c r="AH655" s="1066" t="e">
        <v>#VALUE!</v>
      </c>
      <c r="AI655" s="1065" t="e">
        <f>TB_prev[[#This Row],[Synt]]&amp;TB_prev[[#This Row],[Line No. manual corr.]]</f>
        <v>#VALUE!</v>
      </c>
      <c r="AJ655" s="1064">
        <f t="shared" si="51"/>
        <v>0</v>
      </c>
      <c r="AK655" s="1064">
        <f t="shared" si="52"/>
        <v>0</v>
      </c>
      <c r="AL655" s="1064">
        <f t="shared" si="53"/>
        <v>0</v>
      </c>
      <c r="AM655" s="1064">
        <f t="shared" si="54"/>
        <v>0</v>
      </c>
      <c r="AN655" s="1064"/>
      <c r="AO655" s="1064">
        <f>TB_prev[[#This Row],[Closing balance]]+TB_prev[[#This Row],[Rounding]]</f>
        <v>0</v>
      </c>
    </row>
    <row r="656" spans="30:41" x14ac:dyDescent="0.25">
      <c r="AD656" s="1067" t="str">
        <f t="shared" si="50"/>
        <v/>
      </c>
      <c r="AE656" s="1063" t="str">
        <f>IF(ISNA(VLOOKUP(TB_prev[[#This Row],[Synt]],GL[[#Headers],[#Data],[subtotal label]],1,FALSE)),0,(VLOOKUP(TB_prev[[#This Row],[Synt]],GL[[#Headers],[#Data],[subtotal label]],1,FALSE)))</f>
        <v/>
      </c>
      <c r="AF656" s="1063" t="e">
        <f>IF((TB_prev[[#This Row],[Synt]]-TB_prev[[#This Row],[Subtotal Y/N]])=0,0,VLOOKUP(TB_prev[[#This Row],[Synt]],GL[[Account]:[Line]],3,FALSE))</f>
        <v>#VALUE!</v>
      </c>
      <c r="AG656" s="1063" t="e">
        <f>VLOOKUP(TB_prev[[#This Row],[Synt]],GL[[Account]:[B/P]],4,FALSE)</f>
        <v>#N/A</v>
      </c>
      <c r="AH656" s="1066" t="e">
        <v>#VALUE!</v>
      </c>
      <c r="AI656" s="1065" t="e">
        <f>TB_prev[[#This Row],[Synt]]&amp;TB_prev[[#This Row],[Line No. manual corr.]]</f>
        <v>#VALUE!</v>
      </c>
      <c r="AJ656" s="1064">
        <f t="shared" si="51"/>
        <v>0</v>
      </c>
      <c r="AK656" s="1064">
        <f t="shared" si="52"/>
        <v>0</v>
      </c>
      <c r="AL656" s="1064">
        <f t="shared" si="53"/>
        <v>0</v>
      </c>
      <c r="AM656" s="1064">
        <f t="shared" si="54"/>
        <v>0</v>
      </c>
      <c r="AN656" s="1064"/>
      <c r="AO656" s="1064">
        <f>TB_prev[[#This Row],[Closing balance]]+TB_prev[[#This Row],[Rounding]]</f>
        <v>0</v>
      </c>
    </row>
    <row r="657" spans="30:41" x14ac:dyDescent="0.25">
      <c r="AD657" s="1067" t="str">
        <f t="shared" si="50"/>
        <v/>
      </c>
      <c r="AE657" s="1063" t="str">
        <f>IF(ISNA(VLOOKUP(TB_prev[[#This Row],[Synt]],GL[[#Headers],[#Data],[subtotal label]],1,FALSE)),0,(VLOOKUP(TB_prev[[#This Row],[Synt]],GL[[#Headers],[#Data],[subtotal label]],1,FALSE)))</f>
        <v/>
      </c>
      <c r="AF657" s="1063" t="e">
        <f>IF((TB_prev[[#This Row],[Synt]]-TB_prev[[#This Row],[Subtotal Y/N]])=0,0,VLOOKUP(TB_prev[[#This Row],[Synt]],GL[[Account]:[Line]],3,FALSE))</f>
        <v>#VALUE!</v>
      </c>
      <c r="AG657" s="1063" t="e">
        <f>VLOOKUP(TB_prev[[#This Row],[Synt]],GL[[Account]:[B/P]],4,FALSE)</f>
        <v>#N/A</v>
      </c>
      <c r="AH657" s="1066" t="e">
        <v>#VALUE!</v>
      </c>
      <c r="AI657" s="1065" t="e">
        <f>TB_prev[[#This Row],[Synt]]&amp;TB_prev[[#This Row],[Line No. manual corr.]]</f>
        <v>#VALUE!</v>
      </c>
      <c r="AJ657" s="1064">
        <f t="shared" si="51"/>
        <v>0</v>
      </c>
      <c r="AK657" s="1064">
        <f t="shared" si="52"/>
        <v>0</v>
      </c>
      <c r="AL657" s="1064">
        <f t="shared" si="53"/>
        <v>0</v>
      </c>
      <c r="AM657" s="1064">
        <f t="shared" si="54"/>
        <v>0</v>
      </c>
      <c r="AN657" s="1064"/>
      <c r="AO657" s="1064">
        <f>TB_prev[[#This Row],[Closing balance]]+TB_prev[[#This Row],[Rounding]]</f>
        <v>0</v>
      </c>
    </row>
    <row r="658" spans="30:41" x14ac:dyDescent="0.25">
      <c r="AD658" s="1067" t="str">
        <f t="shared" si="50"/>
        <v/>
      </c>
      <c r="AE658" s="1063" t="str">
        <f>IF(ISNA(VLOOKUP(TB_prev[[#This Row],[Synt]],GL[[#Headers],[#Data],[subtotal label]],1,FALSE)),0,(VLOOKUP(TB_prev[[#This Row],[Synt]],GL[[#Headers],[#Data],[subtotal label]],1,FALSE)))</f>
        <v/>
      </c>
      <c r="AF658" s="1063" t="e">
        <f>IF((TB_prev[[#This Row],[Synt]]-TB_prev[[#This Row],[Subtotal Y/N]])=0,0,VLOOKUP(TB_prev[[#This Row],[Synt]],GL[[Account]:[Line]],3,FALSE))</f>
        <v>#VALUE!</v>
      </c>
      <c r="AG658" s="1063" t="e">
        <f>VLOOKUP(TB_prev[[#This Row],[Synt]],GL[[Account]:[B/P]],4,FALSE)</f>
        <v>#N/A</v>
      </c>
      <c r="AH658" s="1066" t="e">
        <v>#VALUE!</v>
      </c>
      <c r="AI658" s="1065" t="e">
        <f>TB_prev[[#This Row],[Synt]]&amp;TB_prev[[#This Row],[Line No. manual corr.]]</f>
        <v>#VALUE!</v>
      </c>
      <c r="AJ658" s="1064">
        <f t="shared" si="51"/>
        <v>0</v>
      </c>
      <c r="AK658" s="1064">
        <f t="shared" si="52"/>
        <v>0</v>
      </c>
      <c r="AL658" s="1064">
        <f t="shared" si="53"/>
        <v>0</v>
      </c>
      <c r="AM658" s="1064">
        <f t="shared" si="54"/>
        <v>0</v>
      </c>
      <c r="AN658" s="1064"/>
      <c r="AO658" s="1064">
        <f>TB_prev[[#This Row],[Closing balance]]+TB_prev[[#This Row],[Rounding]]</f>
        <v>0</v>
      </c>
    </row>
    <row r="659" spans="30:41" x14ac:dyDescent="0.25">
      <c r="AD659" s="1067" t="str">
        <f t="shared" si="50"/>
        <v/>
      </c>
      <c r="AE659" s="1063" t="str">
        <f>IF(ISNA(VLOOKUP(TB_prev[[#This Row],[Synt]],GL[[#Headers],[#Data],[subtotal label]],1,FALSE)),0,(VLOOKUP(TB_prev[[#This Row],[Synt]],GL[[#Headers],[#Data],[subtotal label]],1,FALSE)))</f>
        <v/>
      </c>
      <c r="AF659" s="1063" t="e">
        <f>IF((TB_prev[[#This Row],[Synt]]-TB_prev[[#This Row],[Subtotal Y/N]])=0,0,VLOOKUP(TB_prev[[#This Row],[Synt]],GL[[Account]:[Line]],3,FALSE))</f>
        <v>#VALUE!</v>
      </c>
      <c r="AG659" s="1063" t="e">
        <f>VLOOKUP(TB_prev[[#This Row],[Synt]],GL[[Account]:[B/P]],4,FALSE)</f>
        <v>#N/A</v>
      </c>
      <c r="AH659" s="1066" t="e">
        <v>#VALUE!</v>
      </c>
      <c r="AI659" s="1065" t="e">
        <f>TB_prev[[#This Row],[Synt]]&amp;TB_prev[[#This Row],[Line No. manual corr.]]</f>
        <v>#VALUE!</v>
      </c>
      <c r="AJ659" s="1064">
        <f t="shared" si="51"/>
        <v>0</v>
      </c>
      <c r="AK659" s="1064">
        <f t="shared" si="52"/>
        <v>0</v>
      </c>
      <c r="AL659" s="1064">
        <f t="shared" si="53"/>
        <v>0</v>
      </c>
      <c r="AM659" s="1064">
        <f t="shared" si="54"/>
        <v>0</v>
      </c>
      <c r="AN659" s="1064"/>
      <c r="AO659" s="1064">
        <f>TB_prev[[#This Row],[Closing balance]]+TB_prev[[#This Row],[Rounding]]</f>
        <v>0</v>
      </c>
    </row>
    <row r="660" spans="30:41" x14ac:dyDescent="0.25">
      <c r="AD660" s="1067" t="str">
        <f t="shared" si="50"/>
        <v/>
      </c>
      <c r="AE660" s="1063" t="str">
        <f>IF(ISNA(VLOOKUP(TB_prev[[#This Row],[Synt]],GL[[#Headers],[#Data],[subtotal label]],1,FALSE)),0,(VLOOKUP(TB_prev[[#This Row],[Synt]],GL[[#Headers],[#Data],[subtotal label]],1,FALSE)))</f>
        <v/>
      </c>
      <c r="AF660" s="1063" t="e">
        <f>IF((TB_prev[[#This Row],[Synt]]-TB_prev[[#This Row],[Subtotal Y/N]])=0,0,VLOOKUP(TB_prev[[#This Row],[Synt]],GL[[Account]:[Line]],3,FALSE))</f>
        <v>#VALUE!</v>
      </c>
      <c r="AG660" s="1063" t="e">
        <f>VLOOKUP(TB_prev[[#This Row],[Synt]],GL[[Account]:[B/P]],4,FALSE)</f>
        <v>#N/A</v>
      </c>
      <c r="AH660" s="1066" t="e">
        <v>#VALUE!</v>
      </c>
      <c r="AI660" s="1065" t="e">
        <f>TB_prev[[#This Row],[Synt]]&amp;TB_prev[[#This Row],[Line No. manual corr.]]</f>
        <v>#VALUE!</v>
      </c>
      <c r="AJ660" s="1064">
        <f t="shared" si="51"/>
        <v>0</v>
      </c>
      <c r="AK660" s="1064">
        <f t="shared" si="52"/>
        <v>0</v>
      </c>
      <c r="AL660" s="1064">
        <f t="shared" si="53"/>
        <v>0</v>
      </c>
      <c r="AM660" s="1064">
        <f t="shared" si="54"/>
        <v>0</v>
      </c>
      <c r="AN660" s="1064"/>
      <c r="AO660" s="1064">
        <f>TB_prev[[#This Row],[Closing balance]]+TB_prev[[#This Row],[Rounding]]</f>
        <v>0</v>
      </c>
    </row>
    <row r="661" spans="30:41" x14ac:dyDescent="0.25">
      <c r="AD661" s="1067" t="str">
        <f t="shared" si="50"/>
        <v/>
      </c>
      <c r="AE661" s="1063" t="str">
        <f>IF(ISNA(VLOOKUP(TB_prev[[#This Row],[Synt]],GL[[#Headers],[#Data],[subtotal label]],1,FALSE)),0,(VLOOKUP(TB_prev[[#This Row],[Synt]],GL[[#Headers],[#Data],[subtotal label]],1,FALSE)))</f>
        <v/>
      </c>
      <c r="AF661" s="1063" t="e">
        <f>IF((TB_prev[[#This Row],[Synt]]-TB_prev[[#This Row],[Subtotal Y/N]])=0,0,VLOOKUP(TB_prev[[#This Row],[Synt]],GL[[Account]:[Line]],3,FALSE))</f>
        <v>#VALUE!</v>
      </c>
      <c r="AG661" s="1063" t="e">
        <f>VLOOKUP(TB_prev[[#This Row],[Synt]],GL[[Account]:[B/P]],4,FALSE)</f>
        <v>#N/A</v>
      </c>
      <c r="AH661" s="1066" t="e">
        <v>#VALUE!</v>
      </c>
      <c r="AI661" s="1065" t="e">
        <f>TB_prev[[#This Row],[Synt]]&amp;TB_prev[[#This Row],[Line No. manual corr.]]</f>
        <v>#VALUE!</v>
      </c>
      <c r="AJ661" s="1064">
        <f t="shared" si="51"/>
        <v>0</v>
      </c>
      <c r="AK661" s="1064">
        <f t="shared" si="52"/>
        <v>0</v>
      </c>
      <c r="AL661" s="1064">
        <f t="shared" si="53"/>
        <v>0</v>
      </c>
      <c r="AM661" s="1064">
        <f t="shared" si="54"/>
        <v>0</v>
      </c>
      <c r="AN661" s="1064"/>
      <c r="AO661" s="1064">
        <f>TB_prev[[#This Row],[Closing balance]]+TB_prev[[#This Row],[Rounding]]</f>
        <v>0</v>
      </c>
    </row>
    <row r="662" spans="30:41" x14ac:dyDescent="0.25">
      <c r="AD662" s="1067" t="str">
        <f t="shared" si="50"/>
        <v/>
      </c>
      <c r="AE662" s="1063" t="str">
        <f>IF(ISNA(VLOOKUP(TB_prev[[#This Row],[Synt]],GL[[#Headers],[#Data],[subtotal label]],1,FALSE)),0,(VLOOKUP(TB_prev[[#This Row],[Synt]],GL[[#Headers],[#Data],[subtotal label]],1,FALSE)))</f>
        <v/>
      </c>
      <c r="AF662" s="1063" t="e">
        <f>IF((TB_prev[[#This Row],[Synt]]-TB_prev[[#This Row],[Subtotal Y/N]])=0,0,VLOOKUP(TB_prev[[#This Row],[Synt]],GL[[Account]:[Line]],3,FALSE))</f>
        <v>#VALUE!</v>
      </c>
      <c r="AG662" s="1063" t="e">
        <f>VLOOKUP(TB_prev[[#This Row],[Synt]],GL[[Account]:[B/P]],4,FALSE)</f>
        <v>#N/A</v>
      </c>
      <c r="AH662" s="1066" t="e">
        <v>#VALUE!</v>
      </c>
      <c r="AI662" s="1065" t="e">
        <f>TB_prev[[#This Row],[Synt]]&amp;TB_prev[[#This Row],[Line No. manual corr.]]</f>
        <v>#VALUE!</v>
      </c>
      <c r="AJ662" s="1064">
        <f t="shared" si="51"/>
        <v>0</v>
      </c>
      <c r="AK662" s="1064">
        <f t="shared" si="52"/>
        <v>0</v>
      </c>
      <c r="AL662" s="1064">
        <f t="shared" si="53"/>
        <v>0</v>
      </c>
      <c r="AM662" s="1064">
        <f t="shared" si="54"/>
        <v>0</v>
      </c>
      <c r="AN662" s="1064"/>
      <c r="AO662" s="1064">
        <f>TB_prev[[#This Row],[Closing balance]]+TB_prev[[#This Row],[Rounding]]</f>
        <v>0</v>
      </c>
    </row>
    <row r="663" spans="30:41" x14ac:dyDescent="0.25">
      <c r="AD663" s="1067" t="str">
        <f t="shared" si="50"/>
        <v/>
      </c>
      <c r="AE663" s="1063" t="str">
        <f>IF(ISNA(VLOOKUP(TB_prev[[#This Row],[Synt]],GL[[#Headers],[#Data],[subtotal label]],1,FALSE)),0,(VLOOKUP(TB_prev[[#This Row],[Synt]],GL[[#Headers],[#Data],[subtotal label]],1,FALSE)))</f>
        <v/>
      </c>
      <c r="AF663" s="1063" t="e">
        <f>IF((TB_prev[[#This Row],[Synt]]-TB_prev[[#This Row],[Subtotal Y/N]])=0,0,VLOOKUP(TB_prev[[#This Row],[Synt]],GL[[Account]:[Line]],3,FALSE))</f>
        <v>#VALUE!</v>
      </c>
      <c r="AG663" s="1063" t="e">
        <f>VLOOKUP(TB_prev[[#This Row],[Synt]],GL[[Account]:[B/P]],4,FALSE)</f>
        <v>#N/A</v>
      </c>
      <c r="AH663" s="1066" t="e">
        <v>#VALUE!</v>
      </c>
      <c r="AI663" s="1065" t="e">
        <f>TB_prev[[#This Row],[Synt]]&amp;TB_prev[[#This Row],[Line No. manual corr.]]</f>
        <v>#VALUE!</v>
      </c>
      <c r="AJ663" s="1064">
        <f t="shared" si="51"/>
        <v>0</v>
      </c>
      <c r="AK663" s="1064">
        <f t="shared" si="52"/>
        <v>0</v>
      </c>
      <c r="AL663" s="1064">
        <f t="shared" si="53"/>
        <v>0</v>
      </c>
      <c r="AM663" s="1064">
        <f t="shared" si="54"/>
        <v>0</v>
      </c>
      <c r="AN663" s="1064"/>
      <c r="AO663" s="1064">
        <f>TB_prev[[#This Row],[Closing balance]]+TB_prev[[#This Row],[Rounding]]</f>
        <v>0</v>
      </c>
    </row>
    <row r="664" spans="30:41" x14ac:dyDescent="0.25">
      <c r="AD664" s="1067" t="str">
        <f t="shared" si="50"/>
        <v/>
      </c>
      <c r="AE664" s="1063" t="str">
        <f>IF(ISNA(VLOOKUP(TB_prev[[#This Row],[Synt]],GL[[#Headers],[#Data],[subtotal label]],1,FALSE)),0,(VLOOKUP(TB_prev[[#This Row],[Synt]],GL[[#Headers],[#Data],[subtotal label]],1,FALSE)))</f>
        <v/>
      </c>
      <c r="AF664" s="1063" t="e">
        <f>IF((TB_prev[[#This Row],[Synt]]-TB_prev[[#This Row],[Subtotal Y/N]])=0,0,VLOOKUP(TB_prev[[#This Row],[Synt]],GL[[Account]:[Line]],3,FALSE))</f>
        <v>#VALUE!</v>
      </c>
      <c r="AG664" s="1063" t="e">
        <f>VLOOKUP(TB_prev[[#This Row],[Synt]],GL[[Account]:[B/P]],4,FALSE)</f>
        <v>#N/A</v>
      </c>
      <c r="AH664" s="1066" t="e">
        <v>#VALUE!</v>
      </c>
      <c r="AI664" s="1065" t="e">
        <f>TB_prev[[#This Row],[Synt]]&amp;TB_prev[[#This Row],[Line No. manual corr.]]</f>
        <v>#VALUE!</v>
      </c>
      <c r="AJ664" s="1064">
        <f t="shared" si="51"/>
        <v>0</v>
      </c>
      <c r="AK664" s="1064">
        <f t="shared" si="52"/>
        <v>0</v>
      </c>
      <c r="AL664" s="1064">
        <f t="shared" si="53"/>
        <v>0</v>
      </c>
      <c r="AM664" s="1064">
        <f t="shared" si="54"/>
        <v>0</v>
      </c>
      <c r="AN664" s="1064"/>
      <c r="AO664" s="1064">
        <f>TB_prev[[#This Row],[Closing balance]]+TB_prev[[#This Row],[Rounding]]</f>
        <v>0</v>
      </c>
    </row>
    <row r="665" spans="30:41" x14ac:dyDescent="0.25">
      <c r="AD665" s="1067" t="str">
        <f t="shared" si="50"/>
        <v/>
      </c>
      <c r="AE665" s="1063" t="str">
        <f>IF(ISNA(VLOOKUP(TB_prev[[#This Row],[Synt]],GL[[#Headers],[#Data],[subtotal label]],1,FALSE)),0,(VLOOKUP(TB_prev[[#This Row],[Synt]],GL[[#Headers],[#Data],[subtotal label]],1,FALSE)))</f>
        <v/>
      </c>
      <c r="AF665" s="1063" t="e">
        <f>IF((TB_prev[[#This Row],[Synt]]-TB_prev[[#This Row],[Subtotal Y/N]])=0,0,VLOOKUP(TB_prev[[#This Row],[Synt]],GL[[Account]:[Line]],3,FALSE))</f>
        <v>#VALUE!</v>
      </c>
      <c r="AG665" s="1063" t="e">
        <f>VLOOKUP(TB_prev[[#This Row],[Synt]],GL[[Account]:[B/P]],4,FALSE)</f>
        <v>#N/A</v>
      </c>
      <c r="AH665" s="1066" t="e">
        <v>#VALUE!</v>
      </c>
      <c r="AI665" s="1065" t="e">
        <f>TB_prev[[#This Row],[Synt]]&amp;TB_prev[[#This Row],[Line No. manual corr.]]</f>
        <v>#VALUE!</v>
      </c>
      <c r="AJ665" s="1064">
        <f t="shared" si="51"/>
        <v>0</v>
      </c>
      <c r="AK665" s="1064">
        <f t="shared" si="52"/>
        <v>0</v>
      </c>
      <c r="AL665" s="1064">
        <f t="shared" si="53"/>
        <v>0</v>
      </c>
      <c r="AM665" s="1064">
        <f t="shared" si="54"/>
        <v>0</v>
      </c>
      <c r="AN665" s="1064"/>
      <c r="AO665" s="1064">
        <f>TB_prev[[#This Row],[Closing balance]]+TB_prev[[#This Row],[Rounding]]</f>
        <v>0</v>
      </c>
    </row>
    <row r="666" spans="30:41" x14ac:dyDescent="0.25">
      <c r="AD666" s="1067" t="str">
        <f t="shared" si="50"/>
        <v/>
      </c>
      <c r="AE666" s="1063" t="str">
        <f>IF(ISNA(VLOOKUP(TB_prev[[#This Row],[Synt]],GL[[#Headers],[#Data],[subtotal label]],1,FALSE)),0,(VLOOKUP(TB_prev[[#This Row],[Synt]],GL[[#Headers],[#Data],[subtotal label]],1,FALSE)))</f>
        <v/>
      </c>
      <c r="AF666" s="1063" t="e">
        <f>IF((TB_prev[[#This Row],[Synt]]-TB_prev[[#This Row],[Subtotal Y/N]])=0,0,VLOOKUP(TB_prev[[#This Row],[Synt]],GL[[Account]:[Line]],3,FALSE))</f>
        <v>#VALUE!</v>
      </c>
      <c r="AG666" s="1063" t="e">
        <f>VLOOKUP(TB_prev[[#This Row],[Synt]],GL[[Account]:[B/P]],4,FALSE)</f>
        <v>#N/A</v>
      </c>
      <c r="AH666" s="1066" t="e">
        <v>#VALUE!</v>
      </c>
      <c r="AI666" s="1065" t="e">
        <f>TB_prev[[#This Row],[Synt]]&amp;TB_prev[[#This Row],[Line No. manual corr.]]</f>
        <v>#VALUE!</v>
      </c>
      <c r="AJ666" s="1064">
        <f t="shared" si="51"/>
        <v>0</v>
      </c>
      <c r="AK666" s="1064">
        <f t="shared" si="52"/>
        <v>0</v>
      </c>
      <c r="AL666" s="1064">
        <f t="shared" si="53"/>
        <v>0</v>
      </c>
      <c r="AM666" s="1064">
        <f t="shared" si="54"/>
        <v>0</v>
      </c>
      <c r="AN666" s="1064"/>
      <c r="AO666" s="1064">
        <f>TB_prev[[#This Row],[Closing balance]]+TB_prev[[#This Row],[Rounding]]</f>
        <v>0</v>
      </c>
    </row>
    <row r="667" spans="30:41" x14ac:dyDescent="0.25">
      <c r="AD667" s="1067" t="str">
        <f t="shared" si="50"/>
        <v/>
      </c>
      <c r="AE667" s="1063" t="str">
        <f>IF(ISNA(VLOOKUP(TB_prev[[#This Row],[Synt]],GL[[#Headers],[#Data],[subtotal label]],1,FALSE)),0,(VLOOKUP(TB_prev[[#This Row],[Synt]],GL[[#Headers],[#Data],[subtotal label]],1,FALSE)))</f>
        <v/>
      </c>
      <c r="AF667" s="1063" t="e">
        <f>IF((TB_prev[[#This Row],[Synt]]-TB_prev[[#This Row],[Subtotal Y/N]])=0,0,VLOOKUP(TB_prev[[#This Row],[Synt]],GL[[Account]:[Line]],3,FALSE))</f>
        <v>#VALUE!</v>
      </c>
      <c r="AG667" s="1063" t="e">
        <f>VLOOKUP(TB_prev[[#This Row],[Synt]],GL[[Account]:[B/P]],4,FALSE)</f>
        <v>#N/A</v>
      </c>
      <c r="AH667" s="1066" t="e">
        <v>#VALUE!</v>
      </c>
      <c r="AI667" s="1065" t="e">
        <f>TB_prev[[#This Row],[Synt]]&amp;TB_prev[[#This Row],[Line No. manual corr.]]</f>
        <v>#VALUE!</v>
      </c>
      <c r="AJ667" s="1064">
        <f t="shared" si="51"/>
        <v>0</v>
      </c>
      <c r="AK667" s="1064">
        <f t="shared" si="52"/>
        <v>0</v>
      </c>
      <c r="AL667" s="1064">
        <f t="shared" si="53"/>
        <v>0</v>
      </c>
      <c r="AM667" s="1064">
        <f t="shared" si="54"/>
        <v>0</v>
      </c>
      <c r="AN667" s="1064"/>
      <c r="AO667" s="1064">
        <f>TB_prev[[#This Row],[Closing balance]]+TB_prev[[#This Row],[Rounding]]</f>
        <v>0</v>
      </c>
    </row>
    <row r="668" spans="30:41" x14ac:dyDescent="0.25">
      <c r="AD668" s="1067" t="str">
        <f t="shared" si="50"/>
        <v/>
      </c>
      <c r="AE668" s="1063" t="str">
        <f>IF(ISNA(VLOOKUP(TB_prev[[#This Row],[Synt]],GL[[#Headers],[#Data],[subtotal label]],1,FALSE)),0,(VLOOKUP(TB_prev[[#This Row],[Synt]],GL[[#Headers],[#Data],[subtotal label]],1,FALSE)))</f>
        <v/>
      </c>
      <c r="AF668" s="1063" t="e">
        <f>IF((TB_prev[[#This Row],[Synt]]-TB_prev[[#This Row],[Subtotal Y/N]])=0,0,VLOOKUP(TB_prev[[#This Row],[Synt]],GL[[Account]:[Line]],3,FALSE))</f>
        <v>#VALUE!</v>
      </c>
      <c r="AG668" s="1063" t="e">
        <f>VLOOKUP(TB_prev[[#This Row],[Synt]],GL[[Account]:[B/P]],4,FALSE)</f>
        <v>#N/A</v>
      </c>
      <c r="AH668" s="1066" t="e">
        <v>#VALUE!</v>
      </c>
      <c r="AI668" s="1065" t="e">
        <f>TB_prev[[#This Row],[Synt]]&amp;TB_prev[[#This Row],[Line No. manual corr.]]</f>
        <v>#VALUE!</v>
      </c>
      <c r="AJ668" s="1064">
        <f t="shared" si="51"/>
        <v>0</v>
      </c>
      <c r="AK668" s="1064">
        <f t="shared" si="52"/>
        <v>0</v>
      </c>
      <c r="AL668" s="1064">
        <f t="shared" si="53"/>
        <v>0</v>
      </c>
      <c r="AM668" s="1064">
        <f t="shared" si="54"/>
        <v>0</v>
      </c>
      <c r="AN668" s="1064"/>
      <c r="AO668" s="1064">
        <f>TB_prev[[#This Row],[Closing balance]]+TB_prev[[#This Row],[Rounding]]</f>
        <v>0</v>
      </c>
    </row>
    <row r="669" spans="30:41" x14ac:dyDescent="0.25">
      <c r="AD669" s="1067" t="str">
        <f t="shared" si="50"/>
        <v/>
      </c>
      <c r="AE669" s="1063" t="str">
        <f>IF(ISNA(VLOOKUP(TB_prev[[#This Row],[Synt]],GL[[#Headers],[#Data],[subtotal label]],1,FALSE)),0,(VLOOKUP(TB_prev[[#This Row],[Synt]],GL[[#Headers],[#Data],[subtotal label]],1,FALSE)))</f>
        <v/>
      </c>
      <c r="AF669" s="1063" t="e">
        <f>IF((TB_prev[[#This Row],[Synt]]-TB_prev[[#This Row],[Subtotal Y/N]])=0,0,VLOOKUP(TB_prev[[#This Row],[Synt]],GL[[Account]:[Line]],3,FALSE))</f>
        <v>#VALUE!</v>
      </c>
      <c r="AG669" s="1063" t="e">
        <f>VLOOKUP(TB_prev[[#This Row],[Synt]],GL[[Account]:[B/P]],4,FALSE)</f>
        <v>#N/A</v>
      </c>
      <c r="AH669" s="1066" t="e">
        <v>#VALUE!</v>
      </c>
      <c r="AI669" s="1065" t="e">
        <f>TB_prev[[#This Row],[Synt]]&amp;TB_prev[[#This Row],[Line No. manual corr.]]</f>
        <v>#VALUE!</v>
      </c>
      <c r="AJ669" s="1064">
        <f t="shared" si="51"/>
        <v>0</v>
      </c>
      <c r="AK669" s="1064">
        <f t="shared" si="52"/>
        <v>0</v>
      </c>
      <c r="AL669" s="1064">
        <f t="shared" si="53"/>
        <v>0</v>
      </c>
      <c r="AM669" s="1064">
        <f t="shared" si="54"/>
        <v>0</v>
      </c>
      <c r="AN669" s="1064"/>
      <c r="AO669" s="1064">
        <f>TB_prev[[#This Row],[Closing balance]]+TB_prev[[#This Row],[Rounding]]</f>
        <v>0</v>
      </c>
    </row>
    <row r="670" spans="30:41" x14ac:dyDescent="0.25">
      <c r="AD670" s="1067" t="str">
        <f t="shared" si="50"/>
        <v/>
      </c>
      <c r="AE670" s="1063" t="str">
        <f>IF(ISNA(VLOOKUP(TB_prev[[#This Row],[Synt]],GL[[#Headers],[#Data],[subtotal label]],1,FALSE)),0,(VLOOKUP(TB_prev[[#This Row],[Synt]],GL[[#Headers],[#Data],[subtotal label]],1,FALSE)))</f>
        <v/>
      </c>
      <c r="AF670" s="1063" t="e">
        <f>IF((TB_prev[[#This Row],[Synt]]-TB_prev[[#This Row],[Subtotal Y/N]])=0,0,VLOOKUP(TB_prev[[#This Row],[Synt]],GL[[Account]:[Line]],3,FALSE))</f>
        <v>#VALUE!</v>
      </c>
      <c r="AG670" s="1063" t="e">
        <f>VLOOKUP(TB_prev[[#This Row],[Synt]],GL[[Account]:[B/P]],4,FALSE)</f>
        <v>#N/A</v>
      </c>
      <c r="AH670" s="1066" t="e">
        <v>#VALUE!</v>
      </c>
      <c r="AI670" s="1065" t="e">
        <f>TB_prev[[#This Row],[Synt]]&amp;TB_prev[[#This Row],[Line No. manual corr.]]</f>
        <v>#VALUE!</v>
      </c>
      <c r="AJ670" s="1064">
        <f t="shared" si="51"/>
        <v>0</v>
      </c>
      <c r="AK670" s="1064">
        <f t="shared" si="52"/>
        <v>0</v>
      </c>
      <c r="AL670" s="1064">
        <f t="shared" si="53"/>
        <v>0</v>
      </c>
      <c r="AM670" s="1064">
        <f t="shared" si="54"/>
        <v>0</v>
      </c>
      <c r="AN670" s="1064"/>
      <c r="AO670" s="1064">
        <f>TB_prev[[#This Row],[Closing balance]]+TB_prev[[#This Row],[Rounding]]</f>
        <v>0</v>
      </c>
    </row>
    <row r="671" spans="30:41" x14ac:dyDescent="0.25">
      <c r="AD671" s="1067" t="str">
        <f t="shared" si="50"/>
        <v/>
      </c>
      <c r="AE671" s="1063" t="str">
        <f>IF(ISNA(VLOOKUP(TB_prev[[#This Row],[Synt]],GL[[#Headers],[#Data],[subtotal label]],1,FALSE)),0,(VLOOKUP(TB_prev[[#This Row],[Synt]],GL[[#Headers],[#Data],[subtotal label]],1,FALSE)))</f>
        <v/>
      </c>
      <c r="AF671" s="1063" t="e">
        <f>IF((TB_prev[[#This Row],[Synt]]-TB_prev[[#This Row],[Subtotal Y/N]])=0,0,VLOOKUP(TB_prev[[#This Row],[Synt]],GL[[Account]:[Line]],3,FALSE))</f>
        <v>#VALUE!</v>
      </c>
      <c r="AG671" s="1063" t="e">
        <f>VLOOKUP(TB_prev[[#This Row],[Synt]],GL[[Account]:[B/P]],4,FALSE)</f>
        <v>#N/A</v>
      </c>
      <c r="AH671" s="1066" t="e">
        <v>#VALUE!</v>
      </c>
      <c r="AI671" s="1065" t="e">
        <f>TB_prev[[#This Row],[Synt]]&amp;TB_prev[[#This Row],[Line No. manual corr.]]</f>
        <v>#VALUE!</v>
      </c>
      <c r="AJ671" s="1064">
        <f t="shared" si="51"/>
        <v>0</v>
      </c>
      <c r="AK671" s="1064">
        <f t="shared" si="52"/>
        <v>0</v>
      </c>
      <c r="AL671" s="1064">
        <f t="shared" si="53"/>
        <v>0</v>
      </c>
      <c r="AM671" s="1064">
        <f t="shared" si="54"/>
        <v>0</v>
      </c>
      <c r="AN671" s="1064"/>
      <c r="AO671" s="1064">
        <f>TB_prev[[#This Row],[Closing balance]]+TB_prev[[#This Row],[Rounding]]</f>
        <v>0</v>
      </c>
    </row>
    <row r="672" spans="30:41" x14ac:dyDescent="0.25">
      <c r="AD672" s="1067" t="str">
        <f t="shared" si="50"/>
        <v/>
      </c>
      <c r="AE672" s="1063" t="str">
        <f>IF(ISNA(VLOOKUP(TB_prev[[#This Row],[Synt]],GL[[#Headers],[#Data],[subtotal label]],1,FALSE)),0,(VLOOKUP(TB_prev[[#This Row],[Synt]],GL[[#Headers],[#Data],[subtotal label]],1,FALSE)))</f>
        <v/>
      </c>
      <c r="AF672" s="1063" t="e">
        <f>IF((TB_prev[[#This Row],[Synt]]-TB_prev[[#This Row],[Subtotal Y/N]])=0,0,VLOOKUP(TB_prev[[#This Row],[Synt]],GL[[Account]:[Line]],3,FALSE))</f>
        <v>#VALUE!</v>
      </c>
      <c r="AG672" s="1063" t="e">
        <f>VLOOKUP(TB_prev[[#This Row],[Synt]],GL[[Account]:[B/P]],4,FALSE)</f>
        <v>#N/A</v>
      </c>
      <c r="AH672" s="1066" t="e">
        <v>#VALUE!</v>
      </c>
      <c r="AI672" s="1065" t="e">
        <f>TB_prev[[#This Row],[Synt]]&amp;TB_prev[[#This Row],[Line No. manual corr.]]</f>
        <v>#VALUE!</v>
      </c>
      <c r="AJ672" s="1064">
        <f t="shared" si="51"/>
        <v>0</v>
      </c>
      <c r="AK672" s="1064">
        <f t="shared" si="52"/>
        <v>0</v>
      </c>
      <c r="AL672" s="1064">
        <f t="shared" si="53"/>
        <v>0</v>
      </c>
      <c r="AM672" s="1064">
        <f t="shared" si="54"/>
        <v>0</v>
      </c>
      <c r="AN672" s="1064"/>
      <c r="AO672" s="1064">
        <f>TB_prev[[#This Row],[Closing balance]]+TB_prev[[#This Row],[Rounding]]</f>
        <v>0</v>
      </c>
    </row>
    <row r="673" spans="30:41" x14ac:dyDescent="0.25">
      <c r="AD673" s="1067" t="str">
        <f t="shared" si="50"/>
        <v/>
      </c>
      <c r="AE673" s="1063" t="str">
        <f>IF(ISNA(VLOOKUP(TB_prev[[#This Row],[Synt]],GL[[#Headers],[#Data],[subtotal label]],1,FALSE)),0,(VLOOKUP(TB_prev[[#This Row],[Synt]],GL[[#Headers],[#Data],[subtotal label]],1,FALSE)))</f>
        <v/>
      </c>
      <c r="AF673" s="1063" t="e">
        <f>IF((TB_prev[[#This Row],[Synt]]-TB_prev[[#This Row],[Subtotal Y/N]])=0,0,VLOOKUP(TB_prev[[#This Row],[Synt]],GL[[Account]:[Line]],3,FALSE))</f>
        <v>#VALUE!</v>
      </c>
      <c r="AG673" s="1063" t="e">
        <f>VLOOKUP(TB_prev[[#This Row],[Synt]],GL[[Account]:[B/P]],4,FALSE)</f>
        <v>#N/A</v>
      </c>
      <c r="AH673" s="1066" t="e">
        <v>#VALUE!</v>
      </c>
      <c r="AI673" s="1065" t="e">
        <f>TB_prev[[#This Row],[Synt]]&amp;TB_prev[[#This Row],[Line No. manual corr.]]</f>
        <v>#VALUE!</v>
      </c>
      <c r="AJ673" s="1064">
        <f t="shared" si="51"/>
        <v>0</v>
      </c>
      <c r="AK673" s="1064">
        <f t="shared" si="52"/>
        <v>0</v>
      </c>
      <c r="AL673" s="1064">
        <f t="shared" si="53"/>
        <v>0</v>
      </c>
      <c r="AM673" s="1064">
        <f t="shared" si="54"/>
        <v>0</v>
      </c>
      <c r="AN673" s="1064"/>
      <c r="AO673" s="1064">
        <f>TB_prev[[#This Row],[Closing balance]]+TB_prev[[#This Row],[Rounding]]</f>
        <v>0</v>
      </c>
    </row>
    <row r="674" spans="30:41" x14ac:dyDescent="0.25">
      <c r="AD674" s="1067" t="str">
        <f t="shared" si="50"/>
        <v/>
      </c>
      <c r="AE674" s="1063" t="str">
        <f>IF(ISNA(VLOOKUP(TB_prev[[#This Row],[Synt]],GL[[#Headers],[#Data],[subtotal label]],1,FALSE)),0,(VLOOKUP(TB_prev[[#This Row],[Synt]],GL[[#Headers],[#Data],[subtotal label]],1,FALSE)))</f>
        <v/>
      </c>
      <c r="AF674" s="1063" t="e">
        <f>IF((TB_prev[[#This Row],[Synt]]-TB_prev[[#This Row],[Subtotal Y/N]])=0,0,VLOOKUP(TB_prev[[#This Row],[Synt]],GL[[Account]:[Line]],3,FALSE))</f>
        <v>#VALUE!</v>
      </c>
      <c r="AG674" s="1063" t="e">
        <f>VLOOKUP(TB_prev[[#This Row],[Synt]],GL[[Account]:[B/P]],4,FALSE)</f>
        <v>#N/A</v>
      </c>
      <c r="AH674" s="1066" t="e">
        <v>#VALUE!</v>
      </c>
      <c r="AI674" s="1065" t="e">
        <f>TB_prev[[#This Row],[Synt]]&amp;TB_prev[[#This Row],[Line No. manual corr.]]</f>
        <v>#VALUE!</v>
      </c>
      <c r="AJ674" s="1064">
        <f t="shared" si="51"/>
        <v>0</v>
      </c>
      <c r="AK674" s="1064">
        <f t="shared" si="52"/>
        <v>0</v>
      </c>
      <c r="AL674" s="1064">
        <f t="shared" si="53"/>
        <v>0</v>
      </c>
      <c r="AM674" s="1064">
        <f t="shared" si="54"/>
        <v>0</v>
      </c>
      <c r="AN674" s="1064"/>
      <c r="AO674" s="1064">
        <f>TB_prev[[#This Row],[Closing balance]]+TB_prev[[#This Row],[Rounding]]</f>
        <v>0</v>
      </c>
    </row>
    <row r="675" spans="30:41" x14ac:dyDescent="0.25">
      <c r="AD675" s="1067" t="str">
        <f t="shared" si="50"/>
        <v/>
      </c>
      <c r="AE675" s="1063" t="str">
        <f>IF(ISNA(VLOOKUP(TB_prev[[#This Row],[Synt]],GL[[#Headers],[#Data],[subtotal label]],1,FALSE)),0,(VLOOKUP(TB_prev[[#This Row],[Synt]],GL[[#Headers],[#Data],[subtotal label]],1,FALSE)))</f>
        <v/>
      </c>
      <c r="AF675" s="1063" t="e">
        <f>IF((TB_prev[[#This Row],[Synt]]-TB_prev[[#This Row],[Subtotal Y/N]])=0,0,VLOOKUP(TB_prev[[#This Row],[Synt]],GL[[Account]:[Line]],3,FALSE))</f>
        <v>#VALUE!</v>
      </c>
      <c r="AG675" s="1063" t="e">
        <f>VLOOKUP(TB_prev[[#This Row],[Synt]],GL[[Account]:[B/P]],4,FALSE)</f>
        <v>#N/A</v>
      </c>
      <c r="AH675" s="1066" t="e">
        <v>#VALUE!</v>
      </c>
      <c r="AI675" s="1065" t="e">
        <f>TB_prev[[#This Row],[Synt]]&amp;TB_prev[[#This Row],[Line No. manual corr.]]</f>
        <v>#VALUE!</v>
      </c>
      <c r="AJ675" s="1064">
        <f t="shared" si="51"/>
        <v>0</v>
      </c>
      <c r="AK675" s="1064">
        <f t="shared" si="52"/>
        <v>0</v>
      </c>
      <c r="AL675" s="1064">
        <f t="shared" si="53"/>
        <v>0</v>
      </c>
      <c r="AM675" s="1064">
        <f t="shared" si="54"/>
        <v>0</v>
      </c>
      <c r="AN675" s="1064"/>
      <c r="AO675" s="1064">
        <f>TB_prev[[#This Row],[Closing balance]]+TB_prev[[#This Row],[Rounding]]</f>
        <v>0</v>
      </c>
    </row>
    <row r="676" spans="30:41" x14ac:dyDescent="0.25">
      <c r="AD676" s="1067" t="str">
        <f t="shared" si="50"/>
        <v/>
      </c>
      <c r="AE676" s="1063" t="str">
        <f>IF(ISNA(VLOOKUP(TB_prev[[#This Row],[Synt]],GL[[#Headers],[#Data],[subtotal label]],1,FALSE)),0,(VLOOKUP(TB_prev[[#This Row],[Synt]],GL[[#Headers],[#Data],[subtotal label]],1,FALSE)))</f>
        <v/>
      </c>
      <c r="AF676" s="1063" t="e">
        <f>IF((TB_prev[[#This Row],[Synt]]-TB_prev[[#This Row],[Subtotal Y/N]])=0,0,VLOOKUP(TB_prev[[#This Row],[Synt]],GL[[Account]:[Line]],3,FALSE))</f>
        <v>#VALUE!</v>
      </c>
      <c r="AG676" s="1063" t="e">
        <f>VLOOKUP(TB_prev[[#This Row],[Synt]],GL[[Account]:[B/P]],4,FALSE)</f>
        <v>#N/A</v>
      </c>
      <c r="AH676" s="1066" t="e">
        <v>#VALUE!</v>
      </c>
      <c r="AI676" s="1065" t="e">
        <f>TB_prev[[#This Row],[Synt]]&amp;TB_prev[[#This Row],[Line No. manual corr.]]</f>
        <v>#VALUE!</v>
      </c>
      <c r="AJ676" s="1064">
        <f t="shared" si="51"/>
        <v>0</v>
      </c>
      <c r="AK676" s="1064">
        <f t="shared" si="52"/>
        <v>0</v>
      </c>
      <c r="AL676" s="1064">
        <f t="shared" si="53"/>
        <v>0</v>
      </c>
      <c r="AM676" s="1064">
        <f t="shared" si="54"/>
        <v>0</v>
      </c>
      <c r="AN676" s="1064"/>
      <c r="AO676" s="1064">
        <f>TB_prev[[#This Row],[Closing balance]]+TB_prev[[#This Row],[Rounding]]</f>
        <v>0</v>
      </c>
    </row>
    <row r="677" spans="30:41" x14ac:dyDescent="0.25">
      <c r="AD677" s="1067" t="str">
        <f t="shared" si="50"/>
        <v/>
      </c>
      <c r="AE677" s="1063" t="str">
        <f>IF(ISNA(VLOOKUP(TB_prev[[#This Row],[Synt]],GL[[#Headers],[#Data],[subtotal label]],1,FALSE)),0,(VLOOKUP(TB_prev[[#This Row],[Synt]],GL[[#Headers],[#Data],[subtotal label]],1,FALSE)))</f>
        <v/>
      </c>
      <c r="AF677" s="1063" t="e">
        <f>IF((TB_prev[[#This Row],[Synt]]-TB_prev[[#This Row],[Subtotal Y/N]])=0,0,VLOOKUP(TB_prev[[#This Row],[Synt]],GL[[Account]:[Line]],3,FALSE))</f>
        <v>#VALUE!</v>
      </c>
      <c r="AG677" s="1063" t="e">
        <f>VLOOKUP(TB_prev[[#This Row],[Synt]],GL[[Account]:[B/P]],4,FALSE)</f>
        <v>#N/A</v>
      </c>
      <c r="AH677" s="1066" t="e">
        <v>#VALUE!</v>
      </c>
      <c r="AI677" s="1065" t="e">
        <f>TB_prev[[#This Row],[Synt]]&amp;TB_prev[[#This Row],[Line No. manual corr.]]</f>
        <v>#VALUE!</v>
      </c>
      <c r="AJ677" s="1064">
        <f t="shared" si="51"/>
        <v>0</v>
      </c>
      <c r="AK677" s="1064">
        <f t="shared" si="52"/>
        <v>0</v>
      </c>
      <c r="AL677" s="1064">
        <f t="shared" si="53"/>
        <v>0</v>
      </c>
      <c r="AM677" s="1064">
        <f t="shared" si="54"/>
        <v>0</v>
      </c>
      <c r="AN677" s="1064"/>
      <c r="AO677" s="1064">
        <f>TB_prev[[#This Row],[Closing balance]]+TB_prev[[#This Row],[Rounding]]</f>
        <v>0</v>
      </c>
    </row>
    <row r="678" spans="30:41" x14ac:dyDescent="0.25">
      <c r="AD678" s="1067" t="str">
        <f t="shared" si="50"/>
        <v/>
      </c>
      <c r="AE678" s="1063" t="str">
        <f>IF(ISNA(VLOOKUP(TB_prev[[#This Row],[Synt]],GL[[#Headers],[#Data],[subtotal label]],1,FALSE)),0,(VLOOKUP(TB_prev[[#This Row],[Synt]],GL[[#Headers],[#Data],[subtotal label]],1,FALSE)))</f>
        <v/>
      </c>
      <c r="AF678" s="1063" t="e">
        <f>IF((TB_prev[[#This Row],[Synt]]-TB_prev[[#This Row],[Subtotal Y/N]])=0,0,VLOOKUP(TB_prev[[#This Row],[Synt]],GL[[Account]:[Line]],3,FALSE))</f>
        <v>#VALUE!</v>
      </c>
      <c r="AG678" s="1063" t="e">
        <f>VLOOKUP(TB_prev[[#This Row],[Synt]],GL[[Account]:[B/P]],4,FALSE)</f>
        <v>#N/A</v>
      </c>
      <c r="AH678" s="1066" t="e">
        <v>#VALUE!</v>
      </c>
      <c r="AI678" s="1065" t="e">
        <f>TB_prev[[#This Row],[Synt]]&amp;TB_prev[[#This Row],[Line No. manual corr.]]</f>
        <v>#VALUE!</v>
      </c>
      <c r="AJ678" s="1064">
        <f t="shared" si="51"/>
        <v>0</v>
      </c>
      <c r="AK678" s="1064">
        <f t="shared" si="52"/>
        <v>0</v>
      </c>
      <c r="AL678" s="1064">
        <f t="shared" si="53"/>
        <v>0</v>
      </c>
      <c r="AM678" s="1064">
        <f t="shared" si="54"/>
        <v>0</v>
      </c>
      <c r="AN678" s="1064"/>
      <c r="AO678" s="1064">
        <f>TB_prev[[#This Row],[Closing balance]]+TB_prev[[#This Row],[Rounding]]</f>
        <v>0</v>
      </c>
    </row>
    <row r="679" spans="30:41" x14ac:dyDescent="0.25">
      <c r="AD679" s="1067" t="str">
        <f t="shared" si="50"/>
        <v/>
      </c>
      <c r="AE679" s="1063" t="str">
        <f>IF(ISNA(VLOOKUP(TB_prev[[#This Row],[Synt]],GL[[#Headers],[#Data],[subtotal label]],1,FALSE)),0,(VLOOKUP(TB_prev[[#This Row],[Synt]],GL[[#Headers],[#Data],[subtotal label]],1,FALSE)))</f>
        <v/>
      </c>
      <c r="AF679" s="1063" t="e">
        <f>IF((TB_prev[[#This Row],[Synt]]-TB_prev[[#This Row],[Subtotal Y/N]])=0,0,VLOOKUP(TB_prev[[#This Row],[Synt]],GL[[Account]:[Line]],3,FALSE))</f>
        <v>#VALUE!</v>
      </c>
      <c r="AG679" s="1063" t="e">
        <f>VLOOKUP(TB_prev[[#This Row],[Synt]],GL[[Account]:[B/P]],4,FALSE)</f>
        <v>#N/A</v>
      </c>
      <c r="AH679" s="1066" t="e">
        <v>#VALUE!</v>
      </c>
      <c r="AI679" s="1065" t="e">
        <f>TB_prev[[#This Row],[Synt]]&amp;TB_prev[[#This Row],[Line No. manual corr.]]</f>
        <v>#VALUE!</v>
      </c>
      <c r="AJ679" s="1064">
        <f t="shared" si="51"/>
        <v>0</v>
      </c>
      <c r="AK679" s="1064">
        <f t="shared" si="52"/>
        <v>0</v>
      </c>
      <c r="AL679" s="1064">
        <f t="shared" si="53"/>
        <v>0</v>
      </c>
      <c r="AM679" s="1064">
        <f t="shared" si="54"/>
        <v>0</v>
      </c>
      <c r="AN679" s="1064"/>
      <c r="AO679" s="1064">
        <f>TB_prev[[#This Row],[Closing balance]]+TB_prev[[#This Row],[Rounding]]</f>
        <v>0</v>
      </c>
    </row>
    <row r="680" spans="30:41" x14ac:dyDescent="0.25">
      <c r="AD680" s="1067" t="str">
        <f t="shared" si="50"/>
        <v/>
      </c>
      <c r="AE680" s="1063" t="str">
        <f>IF(ISNA(VLOOKUP(TB_prev[[#This Row],[Synt]],GL[[#Headers],[#Data],[subtotal label]],1,FALSE)),0,(VLOOKUP(TB_prev[[#This Row],[Synt]],GL[[#Headers],[#Data],[subtotal label]],1,FALSE)))</f>
        <v/>
      </c>
      <c r="AF680" s="1063" t="e">
        <f>IF((TB_prev[[#This Row],[Synt]]-TB_prev[[#This Row],[Subtotal Y/N]])=0,0,VLOOKUP(TB_prev[[#This Row],[Synt]],GL[[Account]:[Line]],3,FALSE))</f>
        <v>#VALUE!</v>
      </c>
      <c r="AG680" s="1063" t="e">
        <f>VLOOKUP(TB_prev[[#This Row],[Synt]],GL[[Account]:[B/P]],4,FALSE)</f>
        <v>#N/A</v>
      </c>
      <c r="AH680" s="1066" t="e">
        <v>#VALUE!</v>
      </c>
      <c r="AI680" s="1065" t="e">
        <f>TB_prev[[#This Row],[Synt]]&amp;TB_prev[[#This Row],[Line No. manual corr.]]</f>
        <v>#VALUE!</v>
      </c>
      <c r="AJ680" s="1064">
        <f t="shared" si="51"/>
        <v>0</v>
      </c>
      <c r="AK680" s="1064">
        <f t="shared" si="52"/>
        <v>0</v>
      </c>
      <c r="AL680" s="1064">
        <f t="shared" si="53"/>
        <v>0</v>
      </c>
      <c r="AM680" s="1064">
        <f t="shared" si="54"/>
        <v>0</v>
      </c>
      <c r="AN680" s="1064"/>
      <c r="AO680" s="1064">
        <f>TB_prev[[#This Row],[Closing balance]]+TB_prev[[#This Row],[Rounding]]</f>
        <v>0</v>
      </c>
    </row>
    <row r="681" spans="30:41" x14ac:dyDescent="0.25">
      <c r="AD681" s="1067" t="str">
        <f t="shared" si="50"/>
        <v/>
      </c>
      <c r="AE681" s="1063" t="str">
        <f>IF(ISNA(VLOOKUP(TB_prev[[#This Row],[Synt]],GL[[#Headers],[#Data],[subtotal label]],1,FALSE)),0,(VLOOKUP(TB_prev[[#This Row],[Synt]],GL[[#Headers],[#Data],[subtotal label]],1,FALSE)))</f>
        <v/>
      </c>
      <c r="AF681" s="1063" t="e">
        <f>IF((TB_prev[[#This Row],[Synt]]-TB_prev[[#This Row],[Subtotal Y/N]])=0,0,VLOOKUP(TB_prev[[#This Row],[Synt]],GL[[Account]:[Line]],3,FALSE))</f>
        <v>#VALUE!</v>
      </c>
      <c r="AG681" s="1063" t="e">
        <f>VLOOKUP(TB_prev[[#This Row],[Synt]],GL[[Account]:[B/P]],4,FALSE)</f>
        <v>#N/A</v>
      </c>
      <c r="AH681" s="1066" t="e">
        <v>#VALUE!</v>
      </c>
      <c r="AI681" s="1065" t="e">
        <f>TB_prev[[#This Row],[Synt]]&amp;TB_prev[[#This Row],[Line No. manual corr.]]</f>
        <v>#VALUE!</v>
      </c>
      <c r="AJ681" s="1064">
        <f t="shared" si="51"/>
        <v>0</v>
      </c>
      <c r="AK681" s="1064">
        <f t="shared" si="52"/>
        <v>0</v>
      </c>
      <c r="AL681" s="1064">
        <f t="shared" si="53"/>
        <v>0</v>
      </c>
      <c r="AM681" s="1064">
        <f t="shared" si="54"/>
        <v>0</v>
      </c>
      <c r="AN681" s="1064"/>
      <c r="AO681" s="1064">
        <f>TB_prev[[#This Row],[Closing balance]]+TB_prev[[#This Row],[Rounding]]</f>
        <v>0</v>
      </c>
    </row>
    <row r="682" spans="30:41" x14ac:dyDescent="0.25">
      <c r="AD682" s="1067" t="str">
        <f t="shared" si="50"/>
        <v/>
      </c>
      <c r="AE682" s="1063" t="str">
        <f>IF(ISNA(VLOOKUP(TB_prev[[#This Row],[Synt]],GL[[#Headers],[#Data],[subtotal label]],1,FALSE)),0,(VLOOKUP(TB_prev[[#This Row],[Synt]],GL[[#Headers],[#Data],[subtotal label]],1,FALSE)))</f>
        <v/>
      </c>
      <c r="AF682" s="1063" t="e">
        <f>IF((TB_prev[[#This Row],[Synt]]-TB_prev[[#This Row],[Subtotal Y/N]])=0,0,VLOOKUP(TB_prev[[#This Row],[Synt]],GL[[Account]:[Line]],3,FALSE))</f>
        <v>#VALUE!</v>
      </c>
      <c r="AG682" s="1063" t="e">
        <f>VLOOKUP(TB_prev[[#This Row],[Synt]],GL[[Account]:[B/P]],4,FALSE)</f>
        <v>#N/A</v>
      </c>
      <c r="AH682" s="1066" t="e">
        <v>#VALUE!</v>
      </c>
      <c r="AI682" s="1065" t="e">
        <f>TB_prev[[#This Row],[Synt]]&amp;TB_prev[[#This Row],[Line No. manual corr.]]</f>
        <v>#VALUE!</v>
      </c>
      <c r="AJ682" s="1064">
        <f t="shared" si="51"/>
        <v>0</v>
      </c>
      <c r="AK682" s="1064">
        <f t="shared" si="52"/>
        <v>0</v>
      </c>
      <c r="AL682" s="1064">
        <f t="shared" si="53"/>
        <v>0</v>
      </c>
      <c r="AM682" s="1064">
        <f t="shared" si="54"/>
        <v>0</v>
      </c>
      <c r="AN682" s="1064"/>
      <c r="AO682" s="1064">
        <f>TB_prev[[#This Row],[Closing balance]]+TB_prev[[#This Row],[Rounding]]</f>
        <v>0</v>
      </c>
    </row>
    <row r="683" spans="30:41" x14ac:dyDescent="0.25">
      <c r="AD683" s="1067" t="str">
        <f t="shared" si="50"/>
        <v/>
      </c>
      <c r="AE683" s="1063" t="str">
        <f>IF(ISNA(VLOOKUP(TB_prev[[#This Row],[Synt]],GL[[#Headers],[#Data],[subtotal label]],1,FALSE)),0,(VLOOKUP(TB_prev[[#This Row],[Synt]],GL[[#Headers],[#Data],[subtotal label]],1,FALSE)))</f>
        <v/>
      </c>
      <c r="AF683" s="1063" t="e">
        <f>IF((TB_prev[[#This Row],[Synt]]-TB_prev[[#This Row],[Subtotal Y/N]])=0,0,VLOOKUP(TB_prev[[#This Row],[Synt]],GL[[Account]:[Line]],3,FALSE))</f>
        <v>#VALUE!</v>
      </c>
      <c r="AG683" s="1063" t="e">
        <f>VLOOKUP(TB_prev[[#This Row],[Synt]],GL[[Account]:[B/P]],4,FALSE)</f>
        <v>#N/A</v>
      </c>
      <c r="AH683" s="1066" t="e">
        <v>#VALUE!</v>
      </c>
      <c r="AI683" s="1065" t="e">
        <f>TB_prev[[#This Row],[Synt]]&amp;TB_prev[[#This Row],[Line No. manual corr.]]</f>
        <v>#VALUE!</v>
      </c>
      <c r="AJ683" s="1064">
        <f t="shared" si="51"/>
        <v>0</v>
      </c>
      <c r="AK683" s="1064">
        <f t="shared" si="52"/>
        <v>0</v>
      </c>
      <c r="AL683" s="1064">
        <f t="shared" si="53"/>
        <v>0</v>
      </c>
      <c r="AM683" s="1064">
        <f t="shared" si="54"/>
        <v>0</v>
      </c>
      <c r="AN683" s="1064"/>
      <c r="AO683" s="1064">
        <f>TB_prev[[#This Row],[Closing balance]]+TB_prev[[#This Row],[Rounding]]</f>
        <v>0</v>
      </c>
    </row>
    <row r="684" spans="30:41" x14ac:dyDescent="0.25">
      <c r="AD684" s="1067" t="str">
        <f t="shared" si="50"/>
        <v/>
      </c>
      <c r="AE684" s="1063" t="str">
        <f>IF(ISNA(VLOOKUP(TB_prev[[#This Row],[Synt]],GL[[#Headers],[#Data],[subtotal label]],1,FALSE)),0,(VLOOKUP(TB_prev[[#This Row],[Synt]],GL[[#Headers],[#Data],[subtotal label]],1,FALSE)))</f>
        <v/>
      </c>
      <c r="AF684" s="1063" t="e">
        <f>IF((TB_prev[[#This Row],[Synt]]-TB_prev[[#This Row],[Subtotal Y/N]])=0,0,VLOOKUP(TB_prev[[#This Row],[Synt]],GL[[Account]:[Line]],3,FALSE))</f>
        <v>#VALUE!</v>
      </c>
      <c r="AG684" s="1063" t="e">
        <f>VLOOKUP(TB_prev[[#This Row],[Synt]],GL[[Account]:[B/P]],4,FALSE)</f>
        <v>#N/A</v>
      </c>
      <c r="AH684" s="1066" t="e">
        <v>#VALUE!</v>
      </c>
      <c r="AI684" s="1065" t="e">
        <f>TB_prev[[#This Row],[Synt]]&amp;TB_prev[[#This Row],[Line No. manual corr.]]</f>
        <v>#VALUE!</v>
      </c>
      <c r="AJ684" s="1064">
        <f t="shared" si="51"/>
        <v>0</v>
      </c>
      <c r="AK684" s="1064">
        <f t="shared" si="52"/>
        <v>0</v>
      </c>
      <c r="AL684" s="1064">
        <f t="shared" si="53"/>
        <v>0</v>
      </c>
      <c r="AM684" s="1064">
        <f t="shared" si="54"/>
        <v>0</v>
      </c>
      <c r="AN684" s="1064"/>
      <c r="AO684" s="1064">
        <f>TB_prev[[#This Row],[Closing balance]]+TB_prev[[#This Row],[Rounding]]</f>
        <v>0</v>
      </c>
    </row>
    <row r="685" spans="30:41" x14ac:dyDescent="0.25">
      <c r="AD685" s="1067" t="str">
        <f t="shared" si="50"/>
        <v/>
      </c>
      <c r="AE685" s="1063" t="str">
        <f>IF(ISNA(VLOOKUP(TB_prev[[#This Row],[Synt]],GL[[#Headers],[#Data],[subtotal label]],1,FALSE)),0,(VLOOKUP(TB_prev[[#This Row],[Synt]],GL[[#Headers],[#Data],[subtotal label]],1,FALSE)))</f>
        <v/>
      </c>
      <c r="AF685" s="1063" t="e">
        <f>IF((TB_prev[[#This Row],[Synt]]-TB_prev[[#This Row],[Subtotal Y/N]])=0,0,VLOOKUP(TB_prev[[#This Row],[Synt]],GL[[Account]:[Line]],3,FALSE))</f>
        <v>#VALUE!</v>
      </c>
      <c r="AG685" s="1063" t="e">
        <f>VLOOKUP(TB_prev[[#This Row],[Synt]],GL[[Account]:[B/P]],4,FALSE)</f>
        <v>#N/A</v>
      </c>
      <c r="AH685" s="1066" t="e">
        <v>#VALUE!</v>
      </c>
      <c r="AI685" s="1065" t="e">
        <f>TB_prev[[#This Row],[Synt]]&amp;TB_prev[[#This Row],[Line No. manual corr.]]</f>
        <v>#VALUE!</v>
      </c>
      <c r="AJ685" s="1064">
        <f t="shared" si="51"/>
        <v>0</v>
      </c>
      <c r="AK685" s="1064">
        <f t="shared" si="52"/>
        <v>0</v>
      </c>
      <c r="AL685" s="1064">
        <f t="shared" si="53"/>
        <v>0</v>
      </c>
      <c r="AM685" s="1064">
        <f t="shared" si="54"/>
        <v>0</v>
      </c>
      <c r="AN685" s="1064"/>
      <c r="AO685" s="1064">
        <f>TB_prev[[#This Row],[Closing balance]]+TB_prev[[#This Row],[Rounding]]</f>
        <v>0</v>
      </c>
    </row>
    <row r="686" spans="30:41" x14ac:dyDescent="0.25">
      <c r="AD686" s="1067" t="str">
        <f t="shared" si="50"/>
        <v/>
      </c>
      <c r="AE686" s="1063" t="str">
        <f>IF(ISNA(VLOOKUP(TB_prev[[#This Row],[Synt]],GL[[#Headers],[#Data],[subtotal label]],1,FALSE)),0,(VLOOKUP(TB_prev[[#This Row],[Synt]],GL[[#Headers],[#Data],[subtotal label]],1,FALSE)))</f>
        <v/>
      </c>
      <c r="AF686" s="1063" t="e">
        <f>IF((TB_prev[[#This Row],[Synt]]-TB_prev[[#This Row],[Subtotal Y/N]])=0,0,VLOOKUP(TB_prev[[#This Row],[Synt]],GL[[Account]:[Line]],3,FALSE))</f>
        <v>#VALUE!</v>
      </c>
      <c r="AG686" s="1063" t="e">
        <f>VLOOKUP(TB_prev[[#This Row],[Synt]],GL[[Account]:[B/P]],4,FALSE)</f>
        <v>#N/A</v>
      </c>
      <c r="AH686" s="1066" t="e">
        <v>#VALUE!</v>
      </c>
      <c r="AI686" s="1065" t="e">
        <f>TB_prev[[#This Row],[Synt]]&amp;TB_prev[[#This Row],[Line No. manual corr.]]</f>
        <v>#VALUE!</v>
      </c>
      <c r="AJ686" s="1064">
        <f t="shared" si="51"/>
        <v>0</v>
      </c>
      <c r="AK686" s="1064">
        <f t="shared" si="52"/>
        <v>0</v>
      </c>
      <c r="AL686" s="1064">
        <f t="shared" si="53"/>
        <v>0</v>
      </c>
      <c r="AM686" s="1064">
        <f t="shared" si="54"/>
        <v>0</v>
      </c>
      <c r="AN686" s="1064"/>
      <c r="AO686" s="1064">
        <f>TB_prev[[#This Row],[Closing balance]]+TB_prev[[#This Row],[Rounding]]</f>
        <v>0</v>
      </c>
    </row>
    <row r="687" spans="30:41" x14ac:dyDescent="0.25">
      <c r="AD687" s="1067" t="str">
        <f t="shared" si="50"/>
        <v/>
      </c>
      <c r="AE687" s="1063" t="str">
        <f>IF(ISNA(VLOOKUP(TB_prev[[#This Row],[Synt]],GL[[#Headers],[#Data],[subtotal label]],1,FALSE)),0,(VLOOKUP(TB_prev[[#This Row],[Synt]],GL[[#Headers],[#Data],[subtotal label]],1,FALSE)))</f>
        <v/>
      </c>
      <c r="AF687" s="1063" t="e">
        <f>IF((TB_prev[[#This Row],[Synt]]-TB_prev[[#This Row],[Subtotal Y/N]])=0,0,VLOOKUP(TB_prev[[#This Row],[Synt]],GL[[Account]:[Line]],3,FALSE))</f>
        <v>#VALUE!</v>
      </c>
      <c r="AG687" s="1063" t="e">
        <f>VLOOKUP(TB_prev[[#This Row],[Synt]],GL[[Account]:[B/P]],4,FALSE)</f>
        <v>#N/A</v>
      </c>
      <c r="AH687" s="1066" t="e">
        <v>#VALUE!</v>
      </c>
      <c r="AI687" s="1065" t="e">
        <f>TB_prev[[#This Row],[Synt]]&amp;TB_prev[[#This Row],[Line No. manual corr.]]</f>
        <v>#VALUE!</v>
      </c>
      <c r="AJ687" s="1064">
        <f t="shared" si="51"/>
        <v>0</v>
      </c>
      <c r="AK687" s="1064">
        <f t="shared" si="52"/>
        <v>0</v>
      </c>
      <c r="AL687" s="1064">
        <f t="shared" si="53"/>
        <v>0</v>
      </c>
      <c r="AM687" s="1064">
        <f t="shared" si="54"/>
        <v>0</v>
      </c>
      <c r="AN687" s="1064"/>
      <c r="AO687" s="1064">
        <f>TB_prev[[#This Row],[Closing balance]]+TB_prev[[#This Row],[Rounding]]</f>
        <v>0</v>
      </c>
    </row>
    <row r="688" spans="30:41" x14ac:dyDescent="0.25">
      <c r="AD688" s="1067" t="str">
        <f t="shared" si="50"/>
        <v/>
      </c>
      <c r="AE688" s="1063" t="str">
        <f>IF(ISNA(VLOOKUP(TB_prev[[#This Row],[Synt]],GL[[#Headers],[#Data],[subtotal label]],1,FALSE)),0,(VLOOKUP(TB_prev[[#This Row],[Synt]],GL[[#Headers],[#Data],[subtotal label]],1,FALSE)))</f>
        <v/>
      </c>
      <c r="AF688" s="1063" t="e">
        <f>IF((TB_prev[[#This Row],[Synt]]-TB_prev[[#This Row],[Subtotal Y/N]])=0,0,VLOOKUP(TB_prev[[#This Row],[Synt]],GL[[Account]:[Line]],3,FALSE))</f>
        <v>#VALUE!</v>
      </c>
      <c r="AG688" s="1063" t="e">
        <f>VLOOKUP(TB_prev[[#This Row],[Synt]],GL[[Account]:[B/P]],4,FALSE)</f>
        <v>#N/A</v>
      </c>
      <c r="AH688" s="1066" t="e">
        <v>#VALUE!</v>
      </c>
      <c r="AI688" s="1065" t="e">
        <f>TB_prev[[#This Row],[Synt]]&amp;TB_prev[[#This Row],[Line No. manual corr.]]</f>
        <v>#VALUE!</v>
      </c>
      <c r="AJ688" s="1064">
        <f t="shared" si="51"/>
        <v>0</v>
      </c>
      <c r="AK688" s="1064">
        <f t="shared" si="52"/>
        <v>0</v>
      </c>
      <c r="AL688" s="1064">
        <f t="shared" si="53"/>
        <v>0</v>
      </c>
      <c r="AM688" s="1064">
        <f t="shared" si="54"/>
        <v>0</v>
      </c>
      <c r="AN688" s="1064"/>
      <c r="AO688" s="1064">
        <f>TB_prev[[#This Row],[Closing balance]]+TB_prev[[#This Row],[Rounding]]</f>
        <v>0</v>
      </c>
    </row>
    <row r="689" spans="30:41" x14ac:dyDescent="0.25">
      <c r="AD689" s="1067" t="str">
        <f t="shared" si="50"/>
        <v/>
      </c>
      <c r="AE689" s="1063" t="str">
        <f>IF(ISNA(VLOOKUP(TB_prev[[#This Row],[Synt]],GL[[#Headers],[#Data],[subtotal label]],1,FALSE)),0,(VLOOKUP(TB_prev[[#This Row],[Synt]],GL[[#Headers],[#Data],[subtotal label]],1,FALSE)))</f>
        <v/>
      </c>
      <c r="AF689" s="1063" t="e">
        <f>IF((TB_prev[[#This Row],[Synt]]-TB_prev[[#This Row],[Subtotal Y/N]])=0,0,VLOOKUP(TB_prev[[#This Row],[Synt]],GL[[Account]:[Line]],3,FALSE))</f>
        <v>#VALUE!</v>
      </c>
      <c r="AG689" s="1063" t="e">
        <f>VLOOKUP(TB_prev[[#This Row],[Synt]],GL[[Account]:[B/P]],4,FALSE)</f>
        <v>#N/A</v>
      </c>
      <c r="AH689" s="1066" t="e">
        <v>#VALUE!</v>
      </c>
      <c r="AI689" s="1065" t="e">
        <f>TB_prev[[#This Row],[Synt]]&amp;TB_prev[[#This Row],[Line No. manual corr.]]</f>
        <v>#VALUE!</v>
      </c>
      <c r="AJ689" s="1064">
        <f t="shared" si="51"/>
        <v>0</v>
      </c>
      <c r="AK689" s="1064">
        <f t="shared" si="52"/>
        <v>0</v>
      </c>
      <c r="AL689" s="1064">
        <f t="shared" si="53"/>
        <v>0</v>
      </c>
      <c r="AM689" s="1064">
        <f t="shared" si="54"/>
        <v>0</v>
      </c>
      <c r="AN689" s="1064"/>
      <c r="AO689" s="1064">
        <f>TB_prev[[#This Row],[Closing balance]]+TB_prev[[#This Row],[Rounding]]</f>
        <v>0</v>
      </c>
    </row>
    <row r="690" spans="30:41" x14ac:dyDescent="0.25">
      <c r="AD690" s="1067" t="str">
        <f t="shared" si="50"/>
        <v/>
      </c>
      <c r="AE690" s="1063" t="str">
        <f>IF(ISNA(VLOOKUP(TB_prev[[#This Row],[Synt]],GL[[#Headers],[#Data],[subtotal label]],1,FALSE)),0,(VLOOKUP(TB_prev[[#This Row],[Synt]],GL[[#Headers],[#Data],[subtotal label]],1,FALSE)))</f>
        <v/>
      </c>
      <c r="AF690" s="1063" t="e">
        <f>IF((TB_prev[[#This Row],[Synt]]-TB_prev[[#This Row],[Subtotal Y/N]])=0,0,VLOOKUP(TB_prev[[#This Row],[Synt]],GL[[Account]:[Line]],3,FALSE))</f>
        <v>#VALUE!</v>
      </c>
      <c r="AG690" s="1063" t="e">
        <f>VLOOKUP(TB_prev[[#This Row],[Synt]],GL[[Account]:[B/P]],4,FALSE)</f>
        <v>#N/A</v>
      </c>
      <c r="AH690" s="1066" t="e">
        <v>#VALUE!</v>
      </c>
      <c r="AI690" s="1065" t="e">
        <f>TB_prev[[#This Row],[Synt]]&amp;TB_prev[[#This Row],[Line No. manual corr.]]</f>
        <v>#VALUE!</v>
      </c>
      <c r="AJ690" s="1064">
        <f t="shared" si="51"/>
        <v>0</v>
      </c>
      <c r="AK690" s="1064">
        <f t="shared" si="52"/>
        <v>0</v>
      </c>
      <c r="AL690" s="1064">
        <f t="shared" si="53"/>
        <v>0</v>
      </c>
      <c r="AM690" s="1064">
        <f t="shared" si="54"/>
        <v>0</v>
      </c>
      <c r="AN690" s="1064"/>
      <c r="AO690" s="1064">
        <f>TB_prev[[#This Row],[Closing balance]]+TB_prev[[#This Row],[Rounding]]</f>
        <v>0</v>
      </c>
    </row>
    <row r="691" spans="30:41" x14ac:dyDescent="0.25">
      <c r="AD691" s="1067" t="str">
        <f t="shared" si="50"/>
        <v/>
      </c>
      <c r="AE691" s="1063" t="str">
        <f>IF(ISNA(VLOOKUP(TB_prev[[#This Row],[Synt]],GL[[#Headers],[#Data],[subtotal label]],1,FALSE)),0,(VLOOKUP(TB_prev[[#This Row],[Synt]],GL[[#Headers],[#Data],[subtotal label]],1,FALSE)))</f>
        <v/>
      </c>
      <c r="AF691" s="1063" t="e">
        <f>IF((TB_prev[[#This Row],[Synt]]-TB_prev[[#This Row],[Subtotal Y/N]])=0,0,VLOOKUP(TB_prev[[#This Row],[Synt]],GL[[Account]:[Line]],3,FALSE))</f>
        <v>#VALUE!</v>
      </c>
      <c r="AG691" s="1063" t="e">
        <f>VLOOKUP(TB_prev[[#This Row],[Synt]],GL[[Account]:[B/P]],4,FALSE)</f>
        <v>#N/A</v>
      </c>
      <c r="AH691" s="1066" t="e">
        <v>#VALUE!</v>
      </c>
      <c r="AI691" s="1065" t="e">
        <f>TB_prev[[#This Row],[Synt]]&amp;TB_prev[[#This Row],[Line No. manual corr.]]</f>
        <v>#VALUE!</v>
      </c>
      <c r="AJ691" s="1064">
        <f t="shared" si="51"/>
        <v>0</v>
      </c>
      <c r="AK691" s="1064">
        <f t="shared" si="52"/>
        <v>0</v>
      </c>
      <c r="AL691" s="1064">
        <f t="shared" si="53"/>
        <v>0</v>
      </c>
      <c r="AM691" s="1064">
        <f t="shared" si="54"/>
        <v>0</v>
      </c>
      <c r="AN691" s="1064"/>
      <c r="AO691" s="1064">
        <f>TB_prev[[#This Row],[Closing balance]]+TB_prev[[#This Row],[Rounding]]</f>
        <v>0</v>
      </c>
    </row>
    <row r="692" spans="30:41" x14ac:dyDescent="0.25">
      <c r="AD692" s="1067" t="str">
        <f t="shared" si="50"/>
        <v/>
      </c>
      <c r="AE692" s="1063" t="str">
        <f>IF(ISNA(VLOOKUP(TB_prev[[#This Row],[Synt]],GL[[#Headers],[#Data],[subtotal label]],1,FALSE)),0,(VLOOKUP(TB_prev[[#This Row],[Synt]],GL[[#Headers],[#Data],[subtotal label]],1,FALSE)))</f>
        <v/>
      </c>
      <c r="AF692" s="1063" t="e">
        <f>IF((TB_prev[[#This Row],[Synt]]-TB_prev[[#This Row],[Subtotal Y/N]])=0,0,VLOOKUP(TB_prev[[#This Row],[Synt]],GL[[Account]:[Line]],3,FALSE))</f>
        <v>#VALUE!</v>
      </c>
      <c r="AG692" s="1063" t="e">
        <f>VLOOKUP(TB_prev[[#This Row],[Synt]],GL[[Account]:[B/P]],4,FALSE)</f>
        <v>#N/A</v>
      </c>
      <c r="AH692" s="1066" t="e">
        <v>#VALUE!</v>
      </c>
      <c r="AI692" s="1065" t="e">
        <f>TB_prev[[#This Row],[Synt]]&amp;TB_prev[[#This Row],[Line No. manual corr.]]</f>
        <v>#VALUE!</v>
      </c>
      <c r="AJ692" s="1064">
        <f t="shared" si="51"/>
        <v>0</v>
      </c>
      <c r="AK692" s="1064">
        <f t="shared" si="52"/>
        <v>0</v>
      </c>
      <c r="AL692" s="1064">
        <f t="shared" si="53"/>
        <v>0</v>
      </c>
      <c r="AM692" s="1064">
        <f t="shared" si="54"/>
        <v>0</v>
      </c>
      <c r="AN692" s="1064"/>
      <c r="AO692" s="1064">
        <f>TB_prev[[#This Row],[Closing balance]]+TB_prev[[#This Row],[Rounding]]</f>
        <v>0</v>
      </c>
    </row>
    <row r="693" spans="30:41" x14ac:dyDescent="0.25">
      <c r="AD693" s="1067" t="str">
        <f t="shared" si="50"/>
        <v/>
      </c>
      <c r="AE693" s="1063" t="str">
        <f>IF(ISNA(VLOOKUP(TB_prev[[#This Row],[Synt]],GL[[#Headers],[#Data],[subtotal label]],1,FALSE)),0,(VLOOKUP(TB_prev[[#This Row],[Synt]],GL[[#Headers],[#Data],[subtotal label]],1,FALSE)))</f>
        <v/>
      </c>
      <c r="AF693" s="1063" t="e">
        <f>IF((TB_prev[[#This Row],[Synt]]-TB_prev[[#This Row],[Subtotal Y/N]])=0,0,VLOOKUP(TB_prev[[#This Row],[Synt]],GL[[Account]:[Line]],3,FALSE))</f>
        <v>#VALUE!</v>
      </c>
      <c r="AG693" s="1063" t="e">
        <f>VLOOKUP(TB_prev[[#This Row],[Synt]],GL[[Account]:[B/P]],4,FALSE)</f>
        <v>#N/A</v>
      </c>
      <c r="AH693" s="1066" t="e">
        <v>#VALUE!</v>
      </c>
      <c r="AI693" s="1065" t="e">
        <f>TB_prev[[#This Row],[Synt]]&amp;TB_prev[[#This Row],[Line No. manual corr.]]</f>
        <v>#VALUE!</v>
      </c>
      <c r="AJ693" s="1064">
        <f t="shared" si="51"/>
        <v>0</v>
      </c>
      <c r="AK693" s="1064">
        <f t="shared" si="52"/>
        <v>0</v>
      </c>
      <c r="AL693" s="1064">
        <f t="shared" si="53"/>
        <v>0</v>
      </c>
      <c r="AM693" s="1064">
        <f t="shared" si="54"/>
        <v>0</v>
      </c>
      <c r="AN693" s="1064"/>
      <c r="AO693" s="1064">
        <f>TB_prev[[#This Row],[Closing balance]]+TB_prev[[#This Row],[Rounding]]</f>
        <v>0</v>
      </c>
    </row>
    <row r="694" spans="30:41" x14ac:dyDescent="0.25">
      <c r="AD694" s="1067" t="str">
        <f t="shared" si="50"/>
        <v/>
      </c>
      <c r="AE694" s="1063" t="str">
        <f>IF(ISNA(VLOOKUP(TB_prev[[#This Row],[Synt]],GL[[#Headers],[#Data],[subtotal label]],1,FALSE)),0,(VLOOKUP(TB_prev[[#This Row],[Synt]],GL[[#Headers],[#Data],[subtotal label]],1,FALSE)))</f>
        <v/>
      </c>
      <c r="AF694" s="1063" t="e">
        <f>IF((TB_prev[[#This Row],[Synt]]-TB_prev[[#This Row],[Subtotal Y/N]])=0,0,VLOOKUP(TB_prev[[#This Row],[Synt]],GL[[Account]:[Line]],3,FALSE))</f>
        <v>#VALUE!</v>
      </c>
      <c r="AG694" s="1063" t="e">
        <f>VLOOKUP(TB_prev[[#This Row],[Synt]],GL[[Account]:[B/P]],4,FALSE)</f>
        <v>#N/A</v>
      </c>
      <c r="AH694" s="1066" t="e">
        <v>#VALUE!</v>
      </c>
      <c r="AI694" s="1065" t="e">
        <f>TB_prev[[#This Row],[Synt]]&amp;TB_prev[[#This Row],[Line No. manual corr.]]</f>
        <v>#VALUE!</v>
      </c>
      <c r="AJ694" s="1064">
        <f t="shared" si="51"/>
        <v>0</v>
      </c>
      <c r="AK694" s="1064">
        <f t="shared" si="52"/>
        <v>0</v>
      </c>
      <c r="AL694" s="1064">
        <f t="shared" si="53"/>
        <v>0</v>
      </c>
      <c r="AM694" s="1064">
        <f t="shared" si="54"/>
        <v>0</v>
      </c>
      <c r="AN694" s="1064"/>
      <c r="AO694" s="1064">
        <f>TB_prev[[#This Row],[Closing balance]]+TB_prev[[#This Row],[Rounding]]</f>
        <v>0</v>
      </c>
    </row>
    <row r="695" spans="30:41" x14ac:dyDescent="0.25">
      <c r="AD695" s="1067" t="str">
        <f t="shared" si="50"/>
        <v/>
      </c>
      <c r="AE695" s="1063" t="str">
        <f>IF(ISNA(VLOOKUP(TB_prev[[#This Row],[Synt]],GL[[#Headers],[#Data],[subtotal label]],1,FALSE)),0,(VLOOKUP(TB_prev[[#This Row],[Synt]],GL[[#Headers],[#Data],[subtotal label]],1,FALSE)))</f>
        <v/>
      </c>
      <c r="AF695" s="1063" t="e">
        <f>IF((TB_prev[[#This Row],[Synt]]-TB_prev[[#This Row],[Subtotal Y/N]])=0,0,VLOOKUP(TB_prev[[#This Row],[Synt]],GL[[Account]:[Line]],3,FALSE))</f>
        <v>#VALUE!</v>
      </c>
      <c r="AG695" s="1063" t="e">
        <f>VLOOKUP(TB_prev[[#This Row],[Synt]],GL[[Account]:[B/P]],4,FALSE)</f>
        <v>#N/A</v>
      </c>
      <c r="AH695" s="1066" t="e">
        <v>#VALUE!</v>
      </c>
      <c r="AI695" s="1065" t="e">
        <f>TB_prev[[#This Row],[Synt]]&amp;TB_prev[[#This Row],[Line No. manual corr.]]</f>
        <v>#VALUE!</v>
      </c>
      <c r="AJ695" s="1064">
        <f t="shared" si="51"/>
        <v>0</v>
      </c>
      <c r="AK695" s="1064">
        <f t="shared" si="52"/>
        <v>0</v>
      </c>
      <c r="AL695" s="1064">
        <f t="shared" si="53"/>
        <v>0</v>
      </c>
      <c r="AM695" s="1064">
        <f t="shared" si="54"/>
        <v>0</v>
      </c>
      <c r="AN695" s="1064"/>
      <c r="AO695" s="1064">
        <f>TB_prev[[#This Row],[Closing balance]]+TB_prev[[#This Row],[Rounding]]</f>
        <v>0</v>
      </c>
    </row>
    <row r="696" spans="30:41" x14ac:dyDescent="0.25">
      <c r="AD696" s="1067" t="str">
        <f t="shared" si="50"/>
        <v/>
      </c>
      <c r="AE696" s="1063" t="str">
        <f>IF(ISNA(VLOOKUP(TB_prev[[#This Row],[Synt]],GL[[#Headers],[#Data],[subtotal label]],1,FALSE)),0,(VLOOKUP(TB_prev[[#This Row],[Synt]],GL[[#Headers],[#Data],[subtotal label]],1,FALSE)))</f>
        <v/>
      </c>
      <c r="AF696" s="1063" t="e">
        <f>IF((TB_prev[[#This Row],[Synt]]-TB_prev[[#This Row],[Subtotal Y/N]])=0,0,VLOOKUP(TB_prev[[#This Row],[Synt]],GL[[Account]:[Line]],3,FALSE))</f>
        <v>#VALUE!</v>
      </c>
      <c r="AG696" s="1063" t="e">
        <f>VLOOKUP(TB_prev[[#This Row],[Synt]],GL[[Account]:[B/P]],4,FALSE)</f>
        <v>#N/A</v>
      </c>
      <c r="AH696" s="1066" t="e">
        <v>#VALUE!</v>
      </c>
      <c r="AI696" s="1065" t="e">
        <f>TB_prev[[#This Row],[Synt]]&amp;TB_prev[[#This Row],[Line No. manual corr.]]</f>
        <v>#VALUE!</v>
      </c>
      <c r="AJ696" s="1064">
        <f t="shared" si="51"/>
        <v>0</v>
      </c>
      <c r="AK696" s="1064">
        <f t="shared" si="52"/>
        <v>0</v>
      </c>
      <c r="AL696" s="1064">
        <f t="shared" si="53"/>
        <v>0</v>
      </c>
      <c r="AM696" s="1064">
        <f t="shared" si="54"/>
        <v>0</v>
      </c>
      <c r="AN696" s="1064"/>
      <c r="AO696" s="1064">
        <f>TB_prev[[#This Row],[Closing balance]]+TB_prev[[#This Row],[Rounding]]</f>
        <v>0</v>
      </c>
    </row>
    <row r="697" spans="30:41" x14ac:dyDescent="0.25">
      <c r="AD697" s="1067" t="str">
        <f t="shared" si="50"/>
        <v/>
      </c>
      <c r="AE697" s="1063" t="str">
        <f>IF(ISNA(VLOOKUP(TB_prev[[#This Row],[Synt]],GL[[#Headers],[#Data],[subtotal label]],1,FALSE)),0,(VLOOKUP(TB_prev[[#This Row],[Synt]],GL[[#Headers],[#Data],[subtotal label]],1,FALSE)))</f>
        <v/>
      </c>
      <c r="AF697" s="1063" t="e">
        <f>IF((TB_prev[[#This Row],[Synt]]-TB_prev[[#This Row],[Subtotal Y/N]])=0,0,VLOOKUP(TB_prev[[#This Row],[Synt]],GL[[Account]:[Line]],3,FALSE))</f>
        <v>#VALUE!</v>
      </c>
      <c r="AG697" s="1063" t="e">
        <f>VLOOKUP(TB_prev[[#This Row],[Synt]],GL[[Account]:[B/P]],4,FALSE)</f>
        <v>#N/A</v>
      </c>
      <c r="AH697" s="1066" t="e">
        <v>#VALUE!</v>
      </c>
      <c r="AI697" s="1065" t="e">
        <f>TB_prev[[#This Row],[Synt]]&amp;TB_prev[[#This Row],[Line No. manual corr.]]</f>
        <v>#VALUE!</v>
      </c>
      <c r="AJ697" s="1064">
        <f t="shared" si="51"/>
        <v>0</v>
      </c>
      <c r="AK697" s="1064">
        <f t="shared" si="52"/>
        <v>0</v>
      </c>
      <c r="AL697" s="1064">
        <f t="shared" si="53"/>
        <v>0</v>
      </c>
      <c r="AM697" s="1064">
        <f t="shared" si="54"/>
        <v>0</v>
      </c>
      <c r="AN697" s="1064"/>
      <c r="AO697" s="1064">
        <f>TB_prev[[#This Row],[Closing balance]]+TB_prev[[#This Row],[Rounding]]</f>
        <v>0</v>
      </c>
    </row>
    <row r="698" spans="30:41" x14ac:dyDescent="0.25">
      <c r="AD698" s="1067" t="str">
        <f t="shared" si="50"/>
        <v/>
      </c>
      <c r="AE698" s="1063" t="str">
        <f>IF(ISNA(VLOOKUP(TB_prev[[#This Row],[Synt]],GL[[#Headers],[#Data],[subtotal label]],1,FALSE)),0,(VLOOKUP(TB_prev[[#This Row],[Synt]],GL[[#Headers],[#Data],[subtotal label]],1,FALSE)))</f>
        <v/>
      </c>
      <c r="AF698" s="1063" t="e">
        <f>IF((TB_prev[[#This Row],[Synt]]-TB_prev[[#This Row],[Subtotal Y/N]])=0,0,VLOOKUP(TB_prev[[#This Row],[Synt]],GL[[Account]:[Line]],3,FALSE))</f>
        <v>#VALUE!</v>
      </c>
      <c r="AG698" s="1063" t="e">
        <f>VLOOKUP(TB_prev[[#This Row],[Synt]],GL[[Account]:[B/P]],4,FALSE)</f>
        <v>#N/A</v>
      </c>
      <c r="AH698" s="1066" t="e">
        <v>#VALUE!</v>
      </c>
      <c r="AI698" s="1065" t="e">
        <f>TB_prev[[#This Row],[Synt]]&amp;TB_prev[[#This Row],[Line No. manual corr.]]</f>
        <v>#VALUE!</v>
      </c>
      <c r="AJ698" s="1064">
        <f t="shared" si="51"/>
        <v>0</v>
      </c>
      <c r="AK698" s="1064">
        <f t="shared" si="52"/>
        <v>0</v>
      </c>
      <c r="AL698" s="1064">
        <f t="shared" si="53"/>
        <v>0</v>
      </c>
      <c r="AM698" s="1064">
        <f t="shared" si="54"/>
        <v>0</v>
      </c>
      <c r="AN698" s="1064"/>
      <c r="AO698" s="1064">
        <f>TB_prev[[#This Row],[Closing balance]]+TB_prev[[#This Row],[Rounding]]</f>
        <v>0</v>
      </c>
    </row>
    <row r="699" spans="30:41" x14ac:dyDescent="0.25">
      <c r="AD699" s="1067" t="str">
        <f t="shared" si="50"/>
        <v/>
      </c>
      <c r="AE699" s="1063" t="str">
        <f>IF(ISNA(VLOOKUP(TB_prev[[#This Row],[Synt]],GL[[#Headers],[#Data],[subtotal label]],1,FALSE)),0,(VLOOKUP(TB_prev[[#This Row],[Synt]],GL[[#Headers],[#Data],[subtotal label]],1,FALSE)))</f>
        <v/>
      </c>
      <c r="AF699" s="1063" t="e">
        <f>IF((TB_prev[[#This Row],[Synt]]-TB_prev[[#This Row],[Subtotal Y/N]])=0,0,VLOOKUP(TB_prev[[#This Row],[Synt]],GL[[Account]:[Line]],3,FALSE))</f>
        <v>#VALUE!</v>
      </c>
      <c r="AG699" s="1063" t="e">
        <f>VLOOKUP(TB_prev[[#This Row],[Synt]],GL[[Account]:[B/P]],4,FALSE)</f>
        <v>#N/A</v>
      </c>
      <c r="AH699" s="1066" t="e">
        <v>#VALUE!</v>
      </c>
      <c r="AI699" s="1065" t="e">
        <f>TB_prev[[#This Row],[Synt]]&amp;TB_prev[[#This Row],[Line No. manual corr.]]</f>
        <v>#VALUE!</v>
      </c>
      <c r="AJ699" s="1064">
        <f t="shared" si="51"/>
        <v>0</v>
      </c>
      <c r="AK699" s="1064">
        <f t="shared" si="52"/>
        <v>0</v>
      </c>
      <c r="AL699" s="1064">
        <f t="shared" si="53"/>
        <v>0</v>
      </c>
      <c r="AM699" s="1064">
        <f t="shared" si="54"/>
        <v>0</v>
      </c>
      <c r="AN699" s="1064"/>
      <c r="AO699" s="1064">
        <f>TB_prev[[#This Row],[Closing balance]]+TB_prev[[#This Row],[Rounding]]</f>
        <v>0</v>
      </c>
    </row>
    <row r="700" spans="30:41" x14ac:dyDescent="0.25">
      <c r="AD700" s="1067" t="str">
        <f t="shared" si="50"/>
        <v/>
      </c>
      <c r="AE700" s="1063" t="str">
        <f>IF(ISNA(VLOOKUP(TB_prev[[#This Row],[Synt]],GL[[#Headers],[#Data],[subtotal label]],1,FALSE)),0,(VLOOKUP(TB_prev[[#This Row],[Synt]],GL[[#Headers],[#Data],[subtotal label]],1,FALSE)))</f>
        <v/>
      </c>
      <c r="AF700" s="1063" t="e">
        <f>IF((TB_prev[[#This Row],[Synt]]-TB_prev[[#This Row],[Subtotal Y/N]])=0,0,VLOOKUP(TB_prev[[#This Row],[Synt]],GL[[Account]:[Line]],3,FALSE))</f>
        <v>#VALUE!</v>
      </c>
      <c r="AG700" s="1063" t="e">
        <f>VLOOKUP(TB_prev[[#This Row],[Synt]],GL[[Account]:[B/P]],4,FALSE)</f>
        <v>#N/A</v>
      </c>
      <c r="AH700" s="1066" t="e">
        <v>#VALUE!</v>
      </c>
      <c r="AI700" s="1065" t="e">
        <f>TB_prev[[#This Row],[Synt]]&amp;TB_prev[[#This Row],[Line No. manual corr.]]</f>
        <v>#VALUE!</v>
      </c>
      <c r="AJ700" s="1064">
        <f t="shared" si="51"/>
        <v>0</v>
      </c>
      <c r="AK700" s="1064">
        <f t="shared" si="52"/>
        <v>0</v>
      </c>
      <c r="AL700" s="1064">
        <f t="shared" si="53"/>
        <v>0</v>
      </c>
      <c r="AM700" s="1064">
        <f t="shared" si="54"/>
        <v>0</v>
      </c>
      <c r="AN700" s="1064"/>
      <c r="AO700" s="1064">
        <f>TB_prev[[#This Row],[Closing balance]]+TB_prev[[#This Row],[Rounding]]</f>
        <v>0</v>
      </c>
    </row>
    <row r="701" spans="30:41" x14ac:dyDescent="0.25">
      <c r="AD701" s="1067" t="str">
        <f t="shared" si="50"/>
        <v/>
      </c>
      <c r="AE701" s="1063" t="str">
        <f>IF(ISNA(VLOOKUP(TB_prev[[#This Row],[Synt]],GL[[#Headers],[#Data],[subtotal label]],1,FALSE)),0,(VLOOKUP(TB_prev[[#This Row],[Synt]],GL[[#Headers],[#Data],[subtotal label]],1,FALSE)))</f>
        <v/>
      </c>
      <c r="AF701" s="1063" t="e">
        <f>IF((TB_prev[[#This Row],[Synt]]-TB_prev[[#This Row],[Subtotal Y/N]])=0,0,VLOOKUP(TB_prev[[#This Row],[Synt]],GL[[Account]:[Line]],3,FALSE))</f>
        <v>#VALUE!</v>
      </c>
      <c r="AG701" s="1063" t="e">
        <f>VLOOKUP(TB_prev[[#This Row],[Synt]],GL[[Account]:[B/P]],4,FALSE)</f>
        <v>#N/A</v>
      </c>
      <c r="AH701" s="1066" t="e">
        <v>#VALUE!</v>
      </c>
      <c r="AI701" s="1065" t="e">
        <f>TB_prev[[#This Row],[Synt]]&amp;TB_prev[[#This Row],[Line No. manual corr.]]</f>
        <v>#VALUE!</v>
      </c>
      <c r="AJ701" s="1064">
        <f t="shared" si="51"/>
        <v>0</v>
      </c>
      <c r="AK701" s="1064">
        <f t="shared" si="52"/>
        <v>0</v>
      </c>
      <c r="AL701" s="1064">
        <f t="shared" si="53"/>
        <v>0</v>
      </c>
      <c r="AM701" s="1064">
        <f t="shared" si="54"/>
        <v>0</v>
      </c>
      <c r="AN701" s="1064"/>
      <c r="AO701" s="1064">
        <f>TB_prev[[#This Row],[Closing balance]]+TB_prev[[#This Row],[Rounding]]</f>
        <v>0</v>
      </c>
    </row>
    <row r="702" spans="30:41" x14ac:dyDescent="0.25">
      <c r="AD702" s="1067" t="str">
        <f t="shared" si="50"/>
        <v/>
      </c>
      <c r="AE702" s="1063" t="str">
        <f>IF(ISNA(VLOOKUP(TB_prev[[#This Row],[Synt]],GL[[#Headers],[#Data],[subtotal label]],1,FALSE)),0,(VLOOKUP(TB_prev[[#This Row],[Synt]],GL[[#Headers],[#Data],[subtotal label]],1,FALSE)))</f>
        <v/>
      </c>
      <c r="AF702" s="1063" t="e">
        <f>IF((TB_prev[[#This Row],[Synt]]-TB_prev[[#This Row],[Subtotal Y/N]])=0,0,VLOOKUP(TB_prev[[#This Row],[Synt]],GL[[Account]:[Line]],3,FALSE))</f>
        <v>#VALUE!</v>
      </c>
      <c r="AG702" s="1063" t="e">
        <f>VLOOKUP(TB_prev[[#This Row],[Synt]],GL[[Account]:[B/P]],4,FALSE)</f>
        <v>#N/A</v>
      </c>
      <c r="AH702" s="1066" t="e">
        <v>#VALUE!</v>
      </c>
      <c r="AI702" s="1065" t="e">
        <f>TB_prev[[#This Row],[Synt]]&amp;TB_prev[[#This Row],[Line No. manual corr.]]</f>
        <v>#VALUE!</v>
      </c>
      <c r="AJ702" s="1064">
        <f t="shared" si="51"/>
        <v>0</v>
      </c>
      <c r="AK702" s="1064">
        <f t="shared" si="52"/>
        <v>0</v>
      </c>
      <c r="AL702" s="1064">
        <f t="shared" si="53"/>
        <v>0</v>
      </c>
      <c r="AM702" s="1064">
        <f t="shared" si="54"/>
        <v>0</v>
      </c>
      <c r="AN702" s="1064"/>
      <c r="AO702" s="1064">
        <f>TB_prev[[#This Row],[Closing balance]]+TB_prev[[#This Row],[Rounding]]</f>
        <v>0</v>
      </c>
    </row>
    <row r="703" spans="30:41" x14ac:dyDescent="0.25">
      <c r="AD703" s="1067" t="str">
        <f t="shared" si="50"/>
        <v/>
      </c>
      <c r="AE703" s="1063" t="str">
        <f>IF(ISNA(VLOOKUP(TB_prev[[#This Row],[Synt]],GL[[#Headers],[#Data],[subtotal label]],1,FALSE)),0,(VLOOKUP(TB_prev[[#This Row],[Synt]],GL[[#Headers],[#Data],[subtotal label]],1,FALSE)))</f>
        <v/>
      </c>
      <c r="AF703" s="1063" t="e">
        <f>IF((TB_prev[[#This Row],[Synt]]-TB_prev[[#This Row],[Subtotal Y/N]])=0,0,VLOOKUP(TB_prev[[#This Row],[Synt]],GL[[Account]:[Line]],3,FALSE))</f>
        <v>#VALUE!</v>
      </c>
      <c r="AG703" s="1063" t="e">
        <f>VLOOKUP(TB_prev[[#This Row],[Synt]],GL[[Account]:[B/P]],4,FALSE)</f>
        <v>#N/A</v>
      </c>
      <c r="AH703" s="1066" t="e">
        <v>#VALUE!</v>
      </c>
      <c r="AI703" s="1065" t="e">
        <f>TB_prev[[#This Row],[Synt]]&amp;TB_prev[[#This Row],[Line No. manual corr.]]</f>
        <v>#VALUE!</v>
      </c>
      <c r="AJ703" s="1064">
        <f t="shared" si="51"/>
        <v>0</v>
      </c>
      <c r="AK703" s="1064">
        <f t="shared" si="52"/>
        <v>0</v>
      </c>
      <c r="AL703" s="1064">
        <f t="shared" si="53"/>
        <v>0</v>
      </c>
      <c r="AM703" s="1064">
        <f t="shared" si="54"/>
        <v>0</v>
      </c>
      <c r="AN703" s="1064"/>
      <c r="AO703" s="1064">
        <f>TB_prev[[#This Row],[Closing balance]]+TB_prev[[#This Row],[Rounding]]</f>
        <v>0</v>
      </c>
    </row>
    <row r="704" spans="30:41" x14ac:dyDescent="0.25">
      <c r="AD704" s="1067" t="str">
        <f t="shared" si="50"/>
        <v/>
      </c>
      <c r="AE704" s="1063" t="str">
        <f>IF(ISNA(VLOOKUP(TB_prev[[#This Row],[Synt]],GL[[#Headers],[#Data],[subtotal label]],1,FALSE)),0,(VLOOKUP(TB_prev[[#This Row],[Synt]],GL[[#Headers],[#Data],[subtotal label]],1,FALSE)))</f>
        <v/>
      </c>
      <c r="AF704" s="1063" t="e">
        <f>IF((TB_prev[[#This Row],[Synt]]-TB_prev[[#This Row],[Subtotal Y/N]])=0,0,VLOOKUP(TB_prev[[#This Row],[Synt]],GL[[Account]:[Line]],3,FALSE))</f>
        <v>#VALUE!</v>
      </c>
      <c r="AG704" s="1063" t="e">
        <f>VLOOKUP(TB_prev[[#This Row],[Synt]],GL[[Account]:[B/P]],4,FALSE)</f>
        <v>#N/A</v>
      </c>
      <c r="AH704" s="1066" t="e">
        <v>#VALUE!</v>
      </c>
      <c r="AI704" s="1065" t="e">
        <f>TB_prev[[#This Row],[Synt]]&amp;TB_prev[[#This Row],[Line No. manual corr.]]</f>
        <v>#VALUE!</v>
      </c>
      <c r="AJ704" s="1064">
        <f t="shared" si="51"/>
        <v>0</v>
      </c>
      <c r="AK704" s="1064">
        <f t="shared" si="52"/>
        <v>0</v>
      </c>
      <c r="AL704" s="1064">
        <f t="shared" si="53"/>
        <v>0</v>
      </c>
      <c r="AM704" s="1064">
        <f t="shared" si="54"/>
        <v>0</v>
      </c>
      <c r="AN704" s="1064"/>
      <c r="AO704" s="1064">
        <f>TB_prev[[#This Row],[Closing balance]]+TB_prev[[#This Row],[Rounding]]</f>
        <v>0</v>
      </c>
    </row>
    <row r="705" spans="30:41" x14ac:dyDescent="0.25">
      <c r="AD705" s="1067" t="str">
        <f t="shared" si="50"/>
        <v/>
      </c>
      <c r="AE705" s="1063" t="str">
        <f>IF(ISNA(VLOOKUP(TB_prev[[#This Row],[Synt]],GL[[#Headers],[#Data],[subtotal label]],1,FALSE)),0,(VLOOKUP(TB_prev[[#This Row],[Synt]],GL[[#Headers],[#Data],[subtotal label]],1,FALSE)))</f>
        <v/>
      </c>
      <c r="AF705" s="1063" t="e">
        <f>IF((TB_prev[[#This Row],[Synt]]-TB_prev[[#This Row],[Subtotal Y/N]])=0,0,VLOOKUP(TB_prev[[#This Row],[Synt]],GL[[Account]:[Line]],3,FALSE))</f>
        <v>#VALUE!</v>
      </c>
      <c r="AG705" s="1063" t="e">
        <f>VLOOKUP(TB_prev[[#This Row],[Synt]],GL[[Account]:[B/P]],4,FALSE)</f>
        <v>#N/A</v>
      </c>
      <c r="AH705" s="1066" t="e">
        <v>#VALUE!</v>
      </c>
      <c r="AI705" s="1065" t="e">
        <f>TB_prev[[#This Row],[Synt]]&amp;TB_prev[[#This Row],[Line No. manual corr.]]</f>
        <v>#VALUE!</v>
      </c>
      <c r="AJ705" s="1064">
        <f t="shared" si="51"/>
        <v>0</v>
      </c>
      <c r="AK705" s="1064">
        <f t="shared" si="52"/>
        <v>0</v>
      </c>
      <c r="AL705" s="1064">
        <f t="shared" si="53"/>
        <v>0</v>
      </c>
      <c r="AM705" s="1064">
        <f t="shared" si="54"/>
        <v>0</v>
      </c>
      <c r="AN705" s="1064"/>
      <c r="AO705" s="1064">
        <f>TB_prev[[#This Row],[Closing balance]]+TB_prev[[#This Row],[Rounding]]</f>
        <v>0</v>
      </c>
    </row>
    <row r="706" spans="30:41" x14ac:dyDescent="0.25">
      <c r="AD706" s="1067" t="str">
        <f t="shared" si="50"/>
        <v/>
      </c>
      <c r="AE706" s="1063" t="str">
        <f>IF(ISNA(VLOOKUP(TB_prev[[#This Row],[Synt]],GL[[#Headers],[#Data],[subtotal label]],1,FALSE)),0,(VLOOKUP(TB_prev[[#This Row],[Synt]],GL[[#Headers],[#Data],[subtotal label]],1,FALSE)))</f>
        <v/>
      </c>
      <c r="AF706" s="1063" t="e">
        <f>IF((TB_prev[[#This Row],[Synt]]-TB_prev[[#This Row],[Subtotal Y/N]])=0,0,VLOOKUP(TB_prev[[#This Row],[Synt]],GL[[Account]:[Line]],3,FALSE))</f>
        <v>#VALUE!</v>
      </c>
      <c r="AG706" s="1063" t="e">
        <f>VLOOKUP(TB_prev[[#This Row],[Synt]],GL[[Account]:[B/P]],4,FALSE)</f>
        <v>#N/A</v>
      </c>
      <c r="AH706" s="1066" t="e">
        <v>#VALUE!</v>
      </c>
      <c r="AI706" s="1065" t="e">
        <f>TB_prev[[#This Row],[Synt]]&amp;TB_prev[[#This Row],[Line No. manual corr.]]</f>
        <v>#VALUE!</v>
      </c>
      <c r="AJ706" s="1064">
        <f t="shared" si="51"/>
        <v>0</v>
      </c>
      <c r="AK706" s="1064">
        <f t="shared" si="52"/>
        <v>0</v>
      </c>
      <c r="AL706" s="1064">
        <f t="shared" si="53"/>
        <v>0</v>
      </c>
      <c r="AM706" s="1064">
        <f t="shared" si="54"/>
        <v>0</v>
      </c>
      <c r="AN706" s="1064"/>
      <c r="AO706" s="1064">
        <f>TB_prev[[#This Row],[Closing balance]]+TB_prev[[#This Row],[Rounding]]</f>
        <v>0</v>
      </c>
    </row>
    <row r="707" spans="30:41" x14ac:dyDescent="0.25">
      <c r="AD707" s="1067" t="str">
        <f t="shared" si="50"/>
        <v/>
      </c>
      <c r="AE707" s="1063" t="str">
        <f>IF(ISNA(VLOOKUP(TB_prev[[#This Row],[Synt]],GL[[#Headers],[#Data],[subtotal label]],1,FALSE)),0,(VLOOKUP(TB_prev[[#This Row],[Synt]],GL[[#Headers],[#Data],[subtotal label]],1,FALSE)))</f>
        <v/>
      </c>
      <c r="AF707" s="1063" t="e">
        <f>IF((TB_prev[[#This Row],[Synt]]-TB_prev[[#This Row],[Subtotal Y/N]])=0,0,VLOOKUP(TB_prev[[#This Row],[Synt]],GL[[Account]:[Line]],3,FALSE))</f>
        <v>#VALUE!</v>
      </c>
      <c r="AG707" s="1063" t="e">
        <f>VLOOKUP(TB_prev[[#This Row],[Synt]],GL[[Account]:[B/P]],4,FALSE)</f>
        <v>#N/A</v>
      </c>
      <c r="AH707" s="1066" t="e">
        <v>#VALUE!</v>
      </c>
      <c r="AI707" s="1065" t="e">
        <f>TB_prev[[#This Row],[Synt]]&amp;TB_prev[[#This Row],[Line No. manual corr.]]</f>
        <v>#VALUE!</v>
      </c>
      <c r="AJ707" s="1064">
        <f t="shared" si="51"/>
        <v>0</v>
      </c>
      <c r="AK707" s="1064">
        <f t="shared" si="52"/>
        <v>0</v>
      </c>
      <c r="AL707" s="1064">
        <f t="shared" si="53"/>
        <v>0</v>
      </c>
      <c r="AM707" s="1064">
        <f t="shared" si="54"/>
        <v>0</v>
      </c>
      <c r="AN707" s="1064"/>
      <c r="AO707" s="1064">
        <f>TB_prev[[#This Row],[Closing balance]]+TB_prev[[#This Row],[Rounding]]</f>
        <v>0</v>
      </c>
    </row>
    <row r="708" spans="30:41" x14ac:dyDescent="0.25">
      <c r="AD708" s="1067" t="str">
        <f t="shared" si="50"/>
        <v/>
      </c>
      <c r="AE708" s="1063" t="str">
        <f>IF(ISNA(VLOOKUP(TB_prev[[#This Row],[Synt]],GL[[#Headers],[#Data],[subtotal label]],1,FALSE)),0,(VLOOKUP(TB_prev[[#This Row],[Synt]],GL[[#Headers],[#Data],[subtotal label]],1,FALSE)))</f>
        <v/>
      </c>
      <c r="AF708" s="1063" t="e">
        <f>IF((TB_prev[[#This Row],[Synt]]-TB_prev[[#This Row],[Subtotal Y/N]])=0,0,VLOOKUP(TB_prev[[#This Row],[Synt]],GL[[Account]:[Line]],3,FALSE))</f>
        <v>#VALUE!</v>
      </c>
      <c r="AG708" s="1063" t="e">
        <f>VLOOKUP(TB_prev[[#This Row],[Synt]],GL[[Account]:[B/P]],4,FALSE)</f>
        <v>#N/A</v>
      </c>
      <c r="AH708" s="1066" t="e">
        <v>#VALUE!</v>
      </c>
      <c r="AI708" s="1065" t="e">
        <f>TB_prev[[#This Row],[Synt]]&amp;TB_prev[[#This Row],[Line No. manual corr.]]</f>
        <v>#VALUE!</v>
      </c>
      <c r="AJ708" s="1064">
        <f t="shared" si="51"/>
        <v>0</v>
      </c>
      <c r="AK708" s="1064">
        <f t="shared" si="52"/>
        <v>0</v>
      </c>
      <c r="AL708" s="1064">
        <f t="shared" si="53"/>
        <v>0</v>
      </c>
      <c r="AM708" s="1064">
        <f t="shared" si="54"/>
        <v>0</v>
      </c>
      <c r="AN708" s="1064"/>
      <c r="AO708" s="1064">
        <f>TB_prev[[#This Row],[Closing balance]]+TB_prev[[#This Row],[Rounding]]</f>
        <v>0</v>
      </c>
    </row>
    <row r="709" spans="30:41" x14ac:dyDescent="0.25">
      <c r="AD709" s="1067" t="str">
        <f t="shared" si="50"/>
        <v/>
      </c>
      <c r="AE709" s="1063" t="str">
        <f>IF(ISNA(VLOOKUP(TB_prev[[#This Row],[Synt]],GL[[#Headers],[#Data],[subtotal label]],1,FALSE)),0,(VLOOKUP(TB_prev[[#This Row],[Synt]],GL[[#Headers],[#Data],[subtotal label]],1,FALSE)))</f>
        <v/>
      </c>
      <c r="AF709" s="1063" t="e">
        <f>IF((TB_prev[[#This Row],[Synt]]-TB_prev[[#This Row],[Subtotal Y/N]])=0,0,VLOOKUP(TB_prev[[#This Row],[Synt]],GL[[Account]:[Line]],3,FALSE))</f>
        <v>#VALUE!</v>
      </c>
      <c r="AG709" s="1063" t="e">
        <f>VLOOKUP(TB_prev[[#This Row],[Synt]],GL[[Account]:[B/P]],4,FALSE)</f>
        <v>#N/A</v>
      </c>
      <c r="AH709" s="1066" t="e">
        <v>#VALUE!</v>
      </c>
      <c r="AI709" s="1065" t="e">
        <f>TB_prev[[#This Row],[Synt]]&amp;TB_prev[[#This Row],[Line No. manual corr.]]</f>
        <v>#VALUE!</v>
      </c>
      <c r="AJ709" s="1064">
        <f t="shared" si="51"/>
        <v>0</v>
      </c>
      <c r="AK709" s="1064">
        <f t="shared" si="52"/>
        <v>0</v>
      </c>
      <c r="AL709" s="1064">
        <f t="shared" si="53"/>
        <v>0</v>
      </c>
      <c r="AM709" s="1064">
        <f t="shared" si="54"/>
        <v>0</v>
      </c>
      <c r="AN709" s="1064"/>
      <c r="AO709" s="1064">
        <f>TB_prev[[#This Row],[Closing balance]]+TB_prev[[#This Row],[Rounding]]</f>
        <v>0</v>
      </c>
    </row>
    <row r="710" spans="30:41" x14ac:dyDescent="0.25">
      <c r="AD710" s="1067" t="str">
        <f t="shared" si="50"/>
        <v/>
      </c>
      <c r="AE710" s="1063" t="str">
        <f>IF(ISNA(VLOOKUP(TB_prev[[#This Row],[Synt]],GL[[#Headers],[#Data],[subtotal label]],1,FALSE)),0,(VLOOKUP(TB_prev[[#This Row],[Synt]],GL[[#Headers],[#Data],[subtotal label]],1,FALSE)))</f>
        <v/>
      </c>
      <c r="AF710" s="1063" t="e">
        <f>IF((TB_prev[[#This Row],[Synt]]-TB_prev[[#This Row],[Subtotal Y/N]])=0,0,VLOOKUP(TB_prev[[#This Row],[Synt]],GL[[Account]:[Line]],3,FALSE))</f>
        <v>#VALUE!</v>
      </c>
      <c r="AG710" s="1063" t="e">
        <f>VLOOKUP(TB_prev[[#This Row],[Synt]],GL[[Account]:[B/P]],4,FALSE)</f>
        <v>#N/A</v>
      </c>
      <c r="AH710" s="1066" t="e">
        <v>#VALUE!</v>
      </c>
      <c r="AI710" s="1065" t="e">
        <f>TB_prev[[#This Row],[Synt]]&amp;TB_prev[[#This Row],[Line No. manual corr.]]</f>
        <v>#VALUE!</v>
      </c>
      <c r="AJ710" s="1064">
        <f t="shared" si="51"/>
        <v>0</v>
      </c>
      <c r="AK710" s="1064">
        <f t="shared" si="52"/>
        <v>0</v>
      </c>
      <c r="AL710" s="1064">
        <f t="shared" si="53"/>
        <v>0</v>
      </c>
      <c r="AM710" s="1064">
        <f t="shared" si="54"/>
        <v>0</v>
      </c>
      <c r="AN710" s="1064"/>
      <c r="AO710" s="1064">
        <f>TB_prev[[#This Row],[Closing balance]]+TB_prev[[#This Row],[Rounding]]</f>
        <v>0</v>
      </c>
    </row>
    <row r="711" spans="30:41" x14ac:dyDescent="0.25">
      <c r="AD711" s="1067" t="str">
        <f t="shared" si="50"/>
        <v/>
      </c>
      <c r="AE711" s="1063" t="str">
        <f>IF(ISNA(VLOOKUP(TB_prev[[#This Row],[Synt]],GL[[#Headers],[#Data],[subtotal label]],1,FALSE)),0,(VLOOKUP(TB_prev[[#This Row],[Synt]],GL[[#Headers],[#Data],[subtotal label]],1,FALSE)))</f>
        <v/>
      </c>
      <c r="AF711" s="1063" t="e">
        <f>IF((TB_prev[[#This Row],[Synt]]-TB_prev[[#This Row],[Subtotal Y/N]])=0,0,VLOOKUP(TB_prev[[#This Row],[Synt]],GL[[Account]:[Line]],3,FALSE))</f>
        <v>#VALUE!</v>
      </c>
      <c r="AG711" s="1063" t="e">
        <f>VLOOKUP(TB_prev[[#This Row],[Synt]],GL[[Account]:[B/P]],4,FALSE)</f>
        <v>#N/A</v>
      </c>
      <c r="AH711" s="1066" t="e">
        <v>#VALUE!</v>
      </c>
      <c r="AI711" s="1065" t="e">
        <f>TB_prev[[#This Row],[Synt]]&amp;TB_prev[[#This Row],[Line No. manual corr.]]</f>
        <v>#VALUE!</v>
      </c>
      <c r="AJ711" s="1064">
        <f t="shared" si="51"/>
        <v>0</v>
      </c>
      <c r="AK711" s="1064">
        <f t="shared" si="52"/>
        <v>0</v>
      </c>
      <c r="AL711" s="1064">
        <f t="shared" si="53"/>
        <v>0</v>
      </c>
      <c r="AM711" s="1064">
        <f t="shared" si="54"/>
        <v>0</v>
      </c>
      <c r="AN711" s="1064"/>
      <c r="AO711" s="1064">
        <f>TB_prev[[#This Row],[Closing balance]]+TB_prev[[#This Row],[Rounding]]</f>
        <v>0</v>
      </c>
    </row>
    <row r="712" spans="30:41" x14ac:dyDescent="0.25">
      <c r="AD712" s="1067" t="str">
        <f t="shared" ref="AD712:AD775" si="55">LEFT(B712,3)</f>
        <v/>
      </c>
      <c r="AE712" s="1063" t="str">
        <f>IF(ISNA(VLOOKUP(TB_prev[[#This Row],[Synt]],GL[[#Headers],[#Data],[subtotal label]],1,FALSE)),0,(VLOOKUP(TB_prev[[#This Row],[Synt]],GL[[#Headers],[#Data],[subtotal label]],1,FALSE)))</f>
        <v/>
      </c>
      <c r="AF712" s="1063" t="e">
        <f>IF((TB_prev[[#This Row],[Synt]]-TB_prev[[#This Row],[Subtotal Y/N]])=0,0,VLOOKUP(TB_prev[[#This Row],[Synt]],GL[[Account]:[Line]],3,FALSE))</f>
        <v>#VALUE!</v>
      </c>
      <c r="AG712" s="1063" t="e">
        <f>VLOOKUP(TB_prev[[#This Row],[Synt]],GL[[Account]:[B/P]],4,FALSE)</f>
        <v>#N/A</v>
      </c>
      <c r="AH712" s="1066" t="e">
        <v>#VALUE!</v>
      </c>
      <c r="AI712" s="1065" t="e">
        <f>TB_prev[[#This Row],[Synt]]&amp;TB_prev[[#This Row],[Line No. manual corr.]]</f>
        <v>#VALUE!</v>
      </c>
      <c r="AJ712" s="1064">
        <f t="shared" ref="AJ712:AJ775" si="56">K712-N712</f>
        <v>0</v>
      </c>
      <c r="AK712" s="1064">
        <f t="shared" ref="AK712:AK775" si="57">Q712</f>
        <v>0</v>
      </c>
      <c r="AL712" s="1064">
        <f t="shared" ref="AL712:AL775" si="58">U712</f>
        <v>0</v>
      </c>
      <c r="AM712" s="1064">
        <f t="shared" ref="AM712:AM775" si="59">X712-AB712</f>
        <v>0</v>
      </c>
      <c r="AN712" s="1064"/>
      <c r="AO712" s="1064">
        <f>TB_prev[[#This Row],[Closing balance]]+TB_prev[[#This Row],[Rounding]]</f>
        <v>0</v>
      </c>
    </row>
    <row r="713" spans="30:41" x14ac:dyDescent="0.25">
      <c r="AD713" s="1067" t="str">
        <f t="shared" si="55"/>
        <v/>
      </c>
      <c r="AE713" s="1063" t="str">
        <f>IF(ISNA(VLOOKUP(TB_prev[[#This Row],[Synt]],GL[[#Headers],[#Data],[subtotal label]],1,FALSE)),0,(VLOOKUP(TB_prev[[#This Row],[Synt]],GL[[#Headers],[#Data],[subtotal label]],1,FALSE)))</f>
        <v/>
      </c>
      <c r="AF713" s="1063" t="e">
        <f>IF((TB_prev[[#This Row],[Synt]]-TB_prev[[#This Row],[Subtotal Y/N]])=0,0,VLOOKUP(TB_prev[[#This Row],[Synt]],GL[[Account]:[Line]],3,FALSE))</f>
        <v>#VALUE!</v>
      </c>
      <c r="AG713" s="1063" t="e">
        <f>VLOOKUP(TB_prev[[#This Row],[Synt]],GL[[Account]:[B/P]],4,FALSE)</f>
        <v>#N/A</v>
      </c>
      <c r="AH713" s="1066" t="e">
        <v>#VALUE!</v>
      </c>
      <c r="AI713" s="1065" t="e">
        <f>TB_prev[[#This Row],[Synt]]&amp;TB_prev[[#This Row],[Line No. manual corr.]]</f>
        <v>#VALUE!</v>
      </c>
      <c r="AJ713" s="1064">
        <f t="shared" si="56"/>
        <v>0</v>
      </c>
      <c r="AK713" s="1064">
        <f t="shared" si="57"/>
        <v>0</v>
      </c>
      <c r="AL713" s="1064">
        <f t="shared" si="58"/>
        <v>0</v>
      </c>
      <c r="AM713" s="1064">
        <f t="shared" si="59"/>
        <v>0</v>
      </c>
      <c r="AN713" s="1064"/>
      <c r="AO713" s="1064">
        <f>TB_prev[[#This Row],[Closing balance]]+TB_prev[[#This Row],[Rounding]]</f>
        <v>0</v>
      </c>
    </row>
    <row r="714" spans="30:41" x14ac:dyDescent="0.25">
      <c r="AD714" s="1067" t="str">
        <f t="shared" si="55"/>
        <v/>
      </c>
      <c r="AE714" s="1063" t="str">
        <f>IF(ISNA(VLOOKUP(TB_prev[[#This Row],[Synt]],GL[[#Headers],[#Data],[subtotal label]],1,FALSE)),0,(VLOOKUP(TB_prev[[#This Row],[Synt]],GL[[#Headers],[#Data],[subtotal label]],1,FALSE)))</f>
        <v/>
      </c>
      <c r="AF714" s="1063" t="e">
        <f>IF((TB_prev[[#This Row],[Synt]]-TB_prev[[#This Row],[Subtotal Y/N]])=0,0,VLOOKUP(TB_prev[[#This Row],[Synt]],GL[[Account]:[Line]],3,FALSE))</f>
        <v>#VALUE!</v>
      </c>
      <c r="AG714" s="1063" t="e">
        <f>VLOOKUP(TB_prev[[#This Row],[Synt]],GL[[Account]:[B/P]],4,FALSE)</f>
        <v>#N/A</v>
      </c>
      <c r="AH714" s="1066" t="e">
        <v>#VALUE!</v>
      </c>
      <c r="AI714" s="1065" t="e">
        <f>TB_prev[[#This Row],[Synt]]&amp;TB_prev[[#This Row],[Line No. manual corr.]]</f>
        <v>#VALUE!</v>
      </c>
      <c r="AJ714" s="1064">
        <f t="shared" si="56"/>
        <v>0</v>
      </c>
      <c r="AK714" s="1064">
        <f t="shared" si="57"/>
        <v>0</v>
      </c>
      <c r="AL714" s="1064">
        <f t="shared" si="58"/>
        <v>0</v>
      </c>
      <c r="AM714" s="1064">
        <f t="shared" si="59"/>
        <v>0</v>
      </c>
      <c r="AN714" s="1064"/>
      <c r="AO714" s="1064">
        <f>TB_prev[[#This Row],[Closing balance]]+TB_prev[[#This Row],[Rounding]]</f>
        <v>0</v>
      </c>
    </row>
    <row r="715" spans="30:41" x14ac:dyDescent="0.25">
      <c r="AD715" s="1067" t="str">
        <f t="shared" si="55"/>
        <v/>
      </c>
      <c r="AE715" s="1063" t="str">
        <f>IF(ISNA(VLOOKUP(TB_prev[[#This Row],[Synt]],GL[[#Headers],[#Data],[subtotal label]],1,FALSE)),0,(VLOOKUP(TB_prev[[#This Row],[Synt]],GL[[#Headers],[#Data],[subtotal label]],1,FALSE)))</f>
        <v/>
      </c>
      <c r="AF715" s="1063" t="e">
        <f>IF((TB_prev[[#This Row],[Synt]]-TB_prev[[#This Row],[Subtotal Y/N]])=0,0,VLOOKUP(TB_prev[[#This Row],[Synt]],GL[[Account]:[Line]],3,FALSE))</f>
        <v>#VALUE!</v>
      </c>
      <c r="AG715" s="1063" t="e">
        <f>VLOOKUP(TB_prev[[#This Row],[Synt]],GL[[Account]:[B/P]],4,FALSE)</f>
        <v>#N/A</v>
      </c>
      <c r="AH715" s="1066" t="e">
        <v>#VALUE!</v>
      </c>
      <c r="AI715" s="1065" t="e">
        <f>TB_prev[[#This Row],[Synt]]&amp;TB_prev[[#This Row],[Line No. manual corr.]]</f>
        <v>#VALUE!</v>
      </c>
      <c r="AJ715" s="1064">
        <f t="shared" si="56"/>
        <v>0</v>
      </c>
      <c r="AK715" s="1064">
        <f t="shared" si="57"/>
        <v>0</v>
      </c>
      <c r="AL715" s="1064">
        <f t="shared" si="58"/>
        <v>0</v>
      </c>
      <c r="AM715" s="1064">
        <f t="shared" si="59"/>
        <v>0</v>
      </c>
      <c r="AN715" s="1064"/>
      <c r="AO715" s="1064">
        <f>TB_prev[[#This Row],[Closing balance]]+TB_prev[[#This Row],[Rounding]]</f>
        <v>0</v>
      </c>
    </row>
    <row r="716" spans="30:41" x14ac:dyDescent="0.25">
      <c r="AD716" s="1067" t="str">
        <f t="shared" si="55"/>
        <v/>
      </c>
      <c r="AE716" s="1063" t="str">
        <f>IF(ISNA(VLOOKUP(TB_prev[[#This Row],[Synt]],GL[[#Headers],[#Data],[subtotal label]],1,FALSE)),0,(VLOOKUP(TB_prev[[#This Row],[Synt]],GL[[#Headers],[#Data],[subtotal label]],1,FALSE)))</f>
        <v/>
      </c>
      <c r="AF716" s="1063" t="e">
        <f>IF((TB_prev[[#This Row],[Synt]]-TB_prev[[#This Row],[Subtotal Y/N]])=0,0,VLOOKUP(TB_prev[[#This Row],[Synt]],GL[[Account]:[Line]],3,FALSE))</f>
        <v>#VALUE!</v>
      </c>
      <c r="AG716" s="1063" t="e">
        <f>VLOOKUP(TB_prev[[#This Row],[Synt]],GL[[Account]:[B/P]],4,FALSE)</f>
        <v>#N/A</v>
      </c>
      <c r="AH716" s="1066" t="e">
        <v>#VALUE!</v>
      </c>
      <c r="AI716" s="1065" t="e">
        <f>TB_prev[[#This Row],[Synt]]&amp;TB_prev[[#This Row],[Line No. manual corr.]]</f>
        <v>#VALUE!</v>
      </c>
      <c r="AJ716" s="1064">
        <f t="shared" si="56"/>
        <v>0</v>
      </c>
      <c r="AK716" s="1064">
        <f t="shared" si="57"/>
        <v>0</v>
      </c>
      <c r="AL716" s="1064">
        <f t="shared" si="58"/>
        <v>0</v>
      </c>
      <c r="AM716" s="1064">
        <f t="shared" si="59"/>
        <v>0</v>
      </c>
      <c r="AN716" s="1064"/>
      <c r="AO716" s="1064">
        <f>TB_prev[[#This Row],[Closing balance]]+TB_prev[[#This Row],[Rounding]]</f>
        <v>0</v>
      </c>
    </row>
    <row r="717" spans="30:41" x14ac:dyDescent="0.25">
      <c r="AD717" s="1067" t="str">
        <f t="shared" si="55"/>
        <v/>
      </c>
      <c r="AE717" s="1063" t="str">
        <f>IF(ISNA(VLOOKUP(TB_prev[[#This Row],[Synt]],GL[[#Headers],[#Data],[subtotal label]],1,FALSE)),0,(VLOOKUP(TB_prev[[#This Row],[Synt]],GL[[#Headers],[#Data],[subtotal label]],1,FALSE)))</f>
        <v/>
      </c>
      <c r="AF717" s="1063" t="e">
        <f>IF((TB_prev[[#This Row],[Synt]]-TB_prev[[#This Row],[Subtotal Y/N]])=0,0,VLOOKUP(TB_prev[[#This Row],[Synt]],GL[[Account]:[Line]],3,FALSE))</f>
        <v>#VALUE!</v>
      </c>
      <c r="AG717" s="1063" t="e">
        <f>VLOOKUP(TB_prev[[#This Row],[Synt]],GL[[Account]:[B/P]],4,FALSE)</f>
        <v>#N/A</v>
      </c>
      <c r="AH717" s="1066" t="e">
        <v>#VALUE!</v>
      </c>
      <c r="AI717" s="1065" t="e">
        <f>TB_prev[[#This Row],[Synt]]&amp;TB_prev[[#This Row],[Line No. manual corr.]]</f>
        <v>#VALUE!</v>
      </c>
      <c r="AJ717" s="1064">
        <f t="shared" si="56"/>
        <v>0</v>
      </c>
      <c r="AK717" s="1064">
        <f t="shared" si="57"/>
        <v>0</v>
      </c>
      <c r="AL717" s="1064">
        <f t="shared" si="58"/>
        <v>0</v>
      </c>
      <c r="AM717" s="1064">
        <f t="shared" si="59"/>
        <v>0</v>
      </c>
      <c r="AN717" s="1064"/>
      <c r="AO717" s="1064">
        <f>TB_prev[[#This Row],[Closing balance]]+TB_prev[[#This Row],[Rounding]]</f>
        <v>0</v>
      </c>
    </row>
    <row r="718" spans="30:41" x14ac:dyDescent="0.25">
      <c r="AD718" s="1067" t="str">
        <f t="shared" si="55"/>
        <v/>
      </c>
      <c r="AE718" s="1063" t="str">
        <f>IF(ISNA(VLOOKUP(TB_prev[[#This Row],[Synt]],GL[[#Headers],[#Data],[subtotal label]],1,FALSE)),0,(VLOOKUP(TB_prev[[#This Row],[Synt]],GL[[#Headers],[#Data],[subtotal label]],1,FALSE)))</f>
        <v/>
      </c>
      <c r="AF718" s="1063" t="e">
        <f>IF((TB_prev[[#This Row],[Synt]]-TB_prev[[#This Row],[Subtotal Y/N]])=0,0,VLOOKUP(TB_prev[[#This Row],[Synt]],GL[[Account]:[Line]],3,FALSE))</f>
        <v>#VALUE!</v>
      </c>
      <c r="AG718" s="1063" t="e">
        <f>VLOOKUP(TB_prev[[#This Row],[Synt]],GL[[Account]:[B/P]],4,FALSE)</f>
        <v>#N/A</v>
      </c>
      <c r="AH718" s="1066" t="e">
        <v>#VALUE!</v>
      </c>
      <c r="AI718" s="1065" t="e">
        <f>TB_prev[[#This Row],[Synt]]&amp;TB_prev[[#This Row],[Line No. manual corr.]]</f>
        <v>#VALUE!</v>
      </c>
      <c r="AJ718" s="1064">
        <f t="shared" si="56"/>
        <v>0</v>
      </c>
      <c r="AK718" s="1064">
        <f t="shared" si="57"/>
        <v>0</v>
      </c>
      <c r="AL718" s="1064">
        <f t="shared" si="58"/>
        <v>0</v>
      </c>
      <c r="AM718" s="1064">
        <f t="shared" si="59"/>
        <v>0</v>
      </c>
      <c r="AN718" s="1064"/>
      <c r="AO718" s="1064">
        <f>TB_prev[[#This Row],[Closing balance]]+TB_prev[[#This Row],[Rounding]]</f>
        <v>0</v>
      </c>
    </row>
    <row r="719" spans="30:41" x14ac:dyDescent="0.25">
      <c r="AD719" s="1067" t="str">
        <f t="shared" si="55"/>
        <v/>
      </c>
      <c r="AE719" s="1063" t="str">
        <f>IF(ISNA(VLOOKUP(TB_prev[[#This Row],[Synt]],GL[[#Headers],[#Data],[subtotal label]],1,FALSE)),0,(VLOOKUP(TB_prev[[#This Row],[Synt]],GL[[#Headers],[#Data],[subtotal label]],1,FALSE)))</f>
        <v/>
      </c>
      <c r="AF719" s="1063" t="e">
        <f>IF((TB_prev[[#This Row],[Synt]]-TB_prev[[#This Row],[Subtotal Y/N]])=0,0,VLOOKUP(TB_prev[[#This Row],[Synt]],GL[[Account]:[Line]],3,FALSE))</f>
        <v>#VALUE!</v>
      </c>
      <c r="AG719" s="1063" t="e">
        <f>VLOOKUP(TB_prev[[#This Row],[Synt]],GL[[Account]:[B/P]],4,FALSE)</f>
        <v>#N/A</v>
      </c>
      <c r="AH719" s="1066" t="e">
        <v>#VALUE!</v>
      </c>
      <c r="AI719" s="1065" t="e">
        <f>TB_prev[[#This Row],[Synt]]&amp;TB_prev[[#This Row],[Line No. manual corr.]]</f>
        <v>#VALUE!</v>
      </c>
      <c r="AJ719" s="1064">
        <f t="shared" si="56"/>
        <v>0</v>
      </c>
      <c r="AK719" s="1064">
        <f t="shared" si="57"/>
        <v>0</v>
      </c>
      <c r="AL719" s="1064">
        <f t="shared" si="58"/>
        <v>0</v>
      </c>
      <c r="AM719" s="1064">
        <f t="shared" si="59"/>
        <v>0</v>
      </c>
      <c r="AN719" s="1064"/>
      <c r="AO719" s="1064">
        <f>TB_prev[[#This Row],[Closing balance]]+TB_prev[[#This Row],[Rounding]]</f>
        <v>0</v>
      </c>
    </row>
    <row r="720" spans="30:41" x14ac:dyDescent="0.25">
      <c r="AD720" s="1067" t="str">
        <f t="shared" si="55"/>
        <v/>
      </c>
      <c r="AE720" s="1063" t="str">
        <f>IF(ISNA(VLOOKUP(TB_prev[[#This Row],[Synt]],GL[[#Headers],[#Data],[subtotal label]],1,FALSE)),0,(VLOOKUP(TB_prev[[#This Row],[Synt]],GL[[#Headers],[#Data],[subtotal label]],1,FALSE)))</f>
        <v/>
      </c>
      <c r="AF720" s="1063" t="e">
        <f>IF((TB_prev[[#This Row],[Synt]]-TB_prev[[#This Row],[Subtotal Y/N]])=0,0,VLOOKUP(TB_prev[[#This Row],[Synt]],GL[[Account]:[Line]],3,FALSE))</f>
        <v>#VALUE!</v>
      </c>
      <c r="AG720" s="1063" t="e">
        <f>VLOOKUP(TB_prev[[#This Row],[Synt]],GL[[Account]:[B/P]],4,FALSE)</f>
        <v>#N/A</v>
      </c>
      <c r="AH720" s="1066" t="e">
        <v>#VALUE!</v>
      </c>
      <c r="AI720" s="1065" t="e">
        <f>TB_prev[[#This Row],[Synt]]&amp;TB_prev[[#This Row],[Line No. manual corr.]]</f>
        <v>#VALUE!</v>
      </c>
      <c r="AJ720" s="1064">
        <f t="shared" si="56"/>
        <v>0</v>
      </c>
      <c r="AK720" s="1064">
        <f t="shared" si="57"/>
        <v>0</v>
      </c>
      <c r="AL720" s="1064">
        <f t="shared" si="58"/>
        <v>0</v>
      </c>
      <c r="AM720" s="1064">
        <f t="shared" si="59"/>
        <v>0</v>
      </c>
      <c r="AN720" s="1064"/>
      <c r="AO720" s="1064">
        <f>TB_prev[[#This Row],[Closing balance]]+TB_prev[[#This Row],[Rounding]]</f>
        <v>0</v>
      </c>
    </row>
    <row r="721" spans="30:41" x14ac:dyDescent="0.25">
      <c r="AD721" s="1067" t="str">
        <f t="shared" si="55"/>
        <v/>
      </c>
      <c r="AE721" s="1063" t="str">
        <f>IF(ISNA(VLOOKUP(TB_prev[[#This Row],[Synt]],GL[[#Headers],[#Data],[subtotal label]],1,FALSE)),0,(VLOOKUP(TB_prev[[#This Row],[Synt]],GL[[#Headers],[#Data],[subtotal label]],1,FALSE)))</f>
        <v/>
      </c>
      <c r="AF721" s="1063" t="e">
        <f>IF((TB_prev[[#This Row],[Synt]]-TB_prev[[#This Row],[Subtotal Y/N]])=0,0,VLOOKUP(TB_prev[[#This Row],[Synt]],GL[[Account]:[Line]],3,FALSE))</f>
        <v>#VALUE!</v>
      </c>
      <c r="AG721" s="1063" t="e">
        <f>VLOOKUP(TB_prev[[#This Row],[Synt]],GL[[Account]:[B/P]],4,FALSE)</f>
        <v>#N/A</v>
      </c>
      <c r="AH721" s="1066" t="e">
        <v>#VALUE!</v>
      </c>
      <c r="AI721" s="1065" t="e">
        <f>TB_prev[[#This Row],[Synt]]&amp;TB_prev[[#This Row],[Line No. manual corr.]]</f>
        <v>#VALUE!</v>
      </c>
      <c r="AJ721" s="1064">
        <f t="shared" si="56"/>
        <v>0</v>
      </c>
      <c r="AK721" s="1064">
        <f t="shared" si="57"/>
        <v>0</v>
      </c>
      <c r="AL721" s="1064">
        <f t="shared" si="58"/>
        <v>0</v>
      </c>
      <c r="AM721" s="1064">
        <f t="shared" si="59"/>
        <v>0</v>
      </c>
      <c r="AN721" s="1064"/>
      <c r="AO721" s="1064">
        <f>TB_prev[[#This Row],[Closing balance]]+TB_prev[[#This Row],[Rounding]]</f>
        <v>0</v>
      </c>
    </row>
    <row r="722" spans="30:41" x14ac:dyDescent="0.25">
      <c r="AD722" s="1067" t="str">
        <f t="shared" si="55"/>
        <v/>
      </c>
      <c r="AE722" s="1063" t="str">
        <f>IF(ISNA(VLOOKUP(TB_prev[[#This Row],[Synt]],GL[[#Headers],[#Data],[subtotal label]],1,FALSE)),0,(VLOOKUP(TB_prev[[#This Row],[Synt]],GL[[#Headers],[#Data],[subtotal label]],1,FALSE)))</f>
        <v/>
      </c>
      <c r="AF722" s="1063" t="e">
        <f>IF((TB_prev[[#This Row],[Synt]]-TB_prev[[#This Row],[Subtotal Y/N]])=0,0,VLOOKUP(TB_prev[[#This Row],[Synt]],GL[[Account]:[Line]],3,FALSE))</f>
        <v>#VALUE!</v>
      </c>
      <c r="AG722" s="1063" t="e">
        <f>VLOOKUP(TB_prev[[#This Row],[Synt]],GL[[Account]:[B/P]],4,FALSE)</f>
        <v>#N/A</v>
      </c>
      <c r="AH722" s="1066" t="e">
        <v>#VALUE!</v>
      </c>
      <c r="AI722" s="1065" t="e">
        <f>TB_prev[[#This Row],[Synt]]&amp;TB_prev[[#This Row],[Line No. manual corr.]]</f>
        <v>#VALUE!</v>
      </c>
      <c r="AJ722" s="1064">
        <f t="shared" si="56"/>
        <v>0</v>
      </c>
      <c r="AK722" s="1064">
        <f t="shared" si="57"/>
        <v>0</v>
      </c>
      <c r="AL722" s="1064">
        <f t="shared" si="58"/>
        <v>0</v>
      </c>
      <c r="AM722" s="1064">
        <f t="shared" si="59"/>
        <v>0</v>
      </c>
      <c r="AN722" s="1064"/>
      <c r="AO722" s="1064">
        <f>TB_prev[[#This Row],[Closing balance]]+TB_prev[[#This Row],[Rounding]]</f>
        <v>0</v>
      </c>
    </row>
    <row r="723" spans="30:41" x14ac:dyDescent="0.25">
      <c r="AD723" s="1067" t="str">
        <f t="shared" si="55"/>
        <v/>
      </c>
      <c r="AE723" s="1063" t="str">
        <f>IF(ISNA(VLOOKUP(TB_prev[[#This Row],[Synt]],GL[[#Headers],[#Data],[subtotal label]],1,FALSE)),0,(VLOOKUP(TB_prev[[#This Row],[Synt]],GL[[#Headers],[#Data],[subtotal label]],1,FALSE)))</f>
        <v/>
      </c>
      <c r="AF723" s="1063" t="e">
        <f>IF((TB_prev[[#This Row],[Synt]]-TB_prev[[#This Row],[Subtotal Y/N]])=0,0,VLOOKUP(TB_prev[[#This Row],[Synt]],GL[[Account]:[Line]],3,FALSE))</f>
        <v>#VALUE!</v>
      </c>
      <c r="AG723" s="1063" t="e">
        <f>VLOOKUP(TB_prev[[#This Row],[Synt]],GL[[Account]:[B/P]],4,FALSE)</f>
        <v>#N/A</v>
      </c>
      <c r="AH723" s="1066" t="e">
        <v>#VALUE!</v>
      </c>
      <c r="AI723" s="1065" t="e">
        <f>TB_prev[[#This Row],[Synt]]&amp;TB_prev[[#This Row],[Line No. manual corr.]]</f>
        <v>#VALUE!</v>
      </c>
      <c r="AJ723" s="1064">
        <f t="shared" si="56"/>
        <v>0</v>
      </c>
      <c r="AK723" s="1064">
        <f t="shared" si="57"/>
        <v>0</v>
      </c>
      <c r="AL723" s="1064">
        <f t="shared" si="58"/>
        <v>0</v>
      </c>
      <c r="AM723" s="1064">
        <f t="shared" si="59"/>
        <v>0</v>
      </c>
      <c r="AN723" s="1064"/>
      <c r="AO723" s="1064">
        <f>TB_prev[[#This Row],[Closing balance]]+TB_prev[[#This Row],[Rounding]]</f>
        <v>0</v>
      </c>
    </row>
    <row r="724" spans="30:41" x14ac:dyDescent="0.25">
      <c r="AD724" s="1067" t="str">
        <f t="shared" si="55"/>
        <v/>
      </c>
      <c r="AE724" s="1063" t="str">
        <f>IF(ISNA(VLOOKUP(TB_prev[[#This Row],[Synt]],GL[[#Headers],[#Data],[subtotal label]],1,FALSE)),0,(VLOOKUP(TB_prev[[#This Row],[Synt]],GL[[#Headers],[#Data],[subtotal label]],1,FALSE)))</f>
        <v/>
      </c>
      <c r="AF724" s="1063" t="e">
        <f>IF((TB_prev[[#This Row],[Synt]]-TB_prev[[#This Row],[Subtotal Y/N]])=0,0,VLOOKUP(TB_prev[[#This Row],[Synt]],GL[[Account]:[Line]],3,FALSE))</f>
        <v>#VALUE!</v>
      </c>
      <c r="AG724" s="1063" t="e">
        <f>VLOOKUP(TB_prev[[#This Row],[Synt]],GL[[Account]:[B/P]],4,FALSE)</f>
        <v>#N/A</v>
      </c>
      <c r="AH724" s="1066" t="e">
        <v>#VALUE!</v>
      </c>
      <c r="AI724" s="1065" t="e">
        <f>TB_prev[[#This Row],[Synt]]&amp;TB_prev[[#This Row],[Line No. manual corr.]]</f>
        <v>#VALUE!</v>
      </c>
      <c r="AJ724" s="1064">
        <f t="shared" si="56"/>
        <v>0</v>
      </c>
      <c r="AK724" s="1064">
        <f t="shared" si="57"/>
        <v>0</v>
      </c>
      <c r="AL724" s="1064">
        <f t="shared" si="58"/>
        <v>0</v>
      </c>
      <c r="AM724" s="1064">
        <f t="shared" si="59"/>
        <v>0</v>
      </c>
      <c r="AN724" s="1064"/>
      <c r="AO724" s="1064">
        <f>TB_prev[[#This Row],[Closing balance]]+TB_prev[[#This Row],[Rounding]]</f>
        <v>0</v>
      </c>
    </row>
    <row r="725" spans="30:41" x14ac:dyDescent="0.25">
      <c r="AD725" s="1067" t="str">
        <f t="shared" si="55"/>
        <v/>
      </c>
      <c r="AE725" s="1063" t="str">
        <f>IF(ISNA(VLOOKUP(TB_prev[[#This Row],[Synt]],GL[[#Headers],[#Data],[subtotal label]],1,FALSE)),0,(VLOOKUP(TB_prev[[#This Row],[Synt]],GL[[#Headers],[#Data],[subtotal label]],1,FALSE)))</f>
        <v/>
      </c>
      <c r="AF725" s="1063" t="e">
        <f>IF((TB_prev[[#This Row],[Synt]]-TB_prev[[#This Row],[Subtotal Y/N]])=0,0,VLOOKUP(TB_prev[[#This Row],[Synt]],GL[[Account]:[Line]],3,FALSE))</f>
        <v>#VALUE!</v>
      </c>
      <c r="AG725" s="1063" t="e">
        <f>VLOOKUP(TB_prev[[#This Row],[Synt]],GL[[Account]:[B/P]],4,FALSE)</f>
        <v>#N/A</v>
      </c>
      <c r="AH725" s="1066" t="e">
        <v>#VALUE!</v>
      </c>
      <c r="AI725" s="1065" t="e">
        <f>TB_prev[[#This Row],[Synt]]&amp;TB_prev[[#This Row],[Line No. manual corr.]]</f>
        <v>#VALUE!</v>
      </c>
      <c r="AJ725" s="1064">
        <f t="shared" si="56"/>
        <v>0</v>
      </c>
      <c r="AK725" s="1064">
        <f t="shared" si="57"/>
        <v>0</v>
      </c>
      <c r="AL725" s="1064">
        <f t="shared" si="58"/>
        <v>0</v>
      </c>
      <c r="AM725" s="1064">
        <f t="shared" si="59"/>
        <v>0</v>
      </c>
      <c r="AN725" s="1064"/>
      <c r="AO725" s="1064">
        <f>TB_prev[[#This Row],[Closing balance]]+TB_prev[[#This Row],[Rounding]]</f>
        <v>0</v>
      </c>
    </row>
    <row r="726" spans="30:41" x14ac:dyDescent="0.25">
      <c r="AD726" s="1067" t="str">
        <f t="shared" si="55"/>
        <v/>
      </c>
      <c r="AE726" s="1063" t="str">
        <f>IF(ISNA(VLOOKUP(TB_prev[[#This Row],[Synt]],GL[[#Headers],[#Data],[subtotal label]],1,FALSE)),0,(VLOOKUP(TB_prev[[#This Row],[Synt]],GL[[#Headers],[#Data],[subtotal label]],1,FALSE)))</f>
        <v/>
      </c>
      <c r="AF726" s="1063" t="e">
        <f>IF((TB_prev[[#This Row],[Synt]]-TB_prev[[#This Row],[Subtotal Y/N]])=0,0,VLOOKUP(TB_prev[[#This Row],[Synt]],GL[[Account]:[Line]],3,FALSE))</f>
        <v>#VALUE!</v>
      </c>
      <c r="AG726" s="1063" t="e">
        <f>VLOOKUP(TB_prev[[#This Row],[Synt]],GL[[Account]:[B/P]],4,FALSE)</f>
        <v>#N/A</v>
      </c>
      <c r="AH726" s="1066" t="e">
        <v>#VALUE!</v>
      </c>
      <c r="AI726" s="1065" t="e">
        <f>TB_prev[[#This Row],[Synt]]&amp;TB_prev[[#This Row],[Line No. manual corr.]]</f>
        <v>#VALUE!</v>
      </c>
      <c r="AJ726" s="1064">
        <f t="shared" si="56"/>
        <v>0</v>
      </c>
      <c r="AK726" s="1064">
        <f t="shared" si="57"/>
        <v>0</v>
      </c>
      <c r="AL726" s="1064">
        <f t="shared" si="58"/>
        <v>0</v>
      </c>
      <c r="AM726" s="1064">
        <f t="shared" si="59"/>
        <v>0</v>
      </c>
      <c r="AN726" s="1064"/>
      <c r="AO726" s="1064">
        <f>TB_prev[[#This Row],[Closing balance]]+TB_prev[[#This Row],[Rounding]]</f>
        <v>0</v>
      </c>
    </row>
    <row r="727" spans="30:41" x14ac:dyDescent="0.25">
      <c r="AD727" s="1067" t="str">
        <f t="shared" si="55"/>
        <v/>
      </c>
      <c r="AE727" s="1063" t="str">
        <f>IF(ISNA(VLOOKUP(TB_prev[[#This Row],[Synt]],GL[[#Headers],[#Data],[subtotal label]],1,FALSE)),0,(VLOOKUP(TB_prev[[#This Row],[Synt]],GL[[#Headers],[#Data],[subtotal label]],1,FALSE)))</f>
        <v/>
      </c>
      <c r="AF727" s="1063" t="e">
        <f>IF((TB_prev[[#This Row],[Synt]]-TB_prev[[#This Row],[Subtotal Y/N]])=0,0,VLOOKUP(TB_prev[[#This Row],[Synt]],GL[[Account]:[Line]],3,FALSE))</f>
        <v>#VALUE!</v>
      </c>
      <c r="AG727" s="1063" t="e">
        <f>VLOOKUP(TB_prev[[#This Row],[Synt]],GL[[Account]:[B/P]],4,FALSE)</f>
        <v>#N/A</v>
      </c>
      <c r="AH727" s="1066" t="e">
        <v>#VALUE!</v>
      </c>
      <c r="AI727" s="1065" t="e">
        <f>TB_prev[[#This Row],[Synt]]&amp;TB_prev[[#This Row],[Line No. manual corr.]]</f>
        <v>#VALUE!</v>
      </c>
      <c r="AJ727" s="1064">
        <f t="shared" si="56"/>
        <v>0</v>
      </c>
      <c r="AK727" s="1064">
        <f t="shared" si="57"/>
        <v>0</v>
      </c>
      <c r="AL727" s="1064">
        <f t="shared" si="58"/>
        <v>0</v>
      </c>
      <c r="AM727" s="1064">
        <f t="shared" si="59"/>
        <v>0</v>
      </c>
      <c r="AN727" s="1064"/>
      <c r="AO727" s="1064">
        <f>TB_prev[[#This Row],[Closing balance]]+TB_prev[[#This Row],[Rounding]]</f>
        <v>0</v>
      </c>
    </row>
    <row r="728" spans="30:41" x14ac:dyDescent="0.25">
      <c r="AD728" s="1067" t="str">
        <f t="shared" si="55"/>
        <v/>
      </c>
      <c r="AE728" s="1063" t="str">
        <f>IF(ISNA(VLOOKUP(TB_prev[[#This Row],[Synt]],GL[[#Headers],[#Data],[subtotal label]],1,FALSE)),0,(VLOOKUP(TB_prev[[#This Row],[Synt]],GL[[#Headers],[#Data],[subtotal label]],1,FALSE)))</f>
        <v/>
      </c>
      <c r="AF728" s="1063" t="e">
        <f>IF((TB_prev[[#This Row],[Synt]]-TB_prev[[#This Row],[Subtotal Y/N]])=0,0,VLOOKUP(TB_prev[[#This Row],[Synt]],GL[[Account]:[Line]],3,FALSE))</f>
        <v>#VALUE!</v>
      </c>
      <c r="AG728" s="1063" t="e">
        <f>VLOOKUP(TB_prev[[#This Row],[Synt]],GL[[Account]:[B/P]],4,FALSE)</f>
        <v>#N/A</v>
      </c>
      <c r="AH728" s="1066" t="e">
        <v>#VALUE!</v>
      </c>
      <c r="AI728" s="1065" t="e">
        <f>TB_prev[[#This Row],[Synt]]&amp;TB_prev[[#This Row],[Line No. manual corr.]]</f>
        <v>#VALUE!</v>
      </c>
      <c r="AJ728" s="1064">
        <f t="shared" si="56"/>
        <v>0</v>
      </c>
      <c r="AK728" s="1064">
        <f t="shared" si="57"/>
        <v>0</v>
      </c>
      <c r="AL728" s="1064">
        <f t="shared" si="58"/>
        <v>0</v>
      </c>
      <c r="AM728" s="1064">
        <f t="shared" si="59"/>
        <v>0</v>
      </c>
      <c r="AN728" s="1064"/>
      <c r="AO728" s="1064">
        <f>TB_prev[[#This Row],[Closing balance]]+TB_prev[[#This Row],[Rounding]]</f>
        <v>0</v>
      </c>
    </row>
    <row r="729" spans="30:41" x14ac:dyDescent="0.25">
      <c r="AD729" s="1067" t="str">
        <f t="shared" si="55"/>
        <v/>
      </c>
      <c r="AE729" s="1063" t="str">
        <f>IF(ISNA(VLOOKUP(TB_prev[[#This Row],[Synt]],GL[[#Headers],[#Data],[subtotal label]],1,FALSE)),0,(VLOOKUP(TB_prev[[#This Row],[Synt]],GL[[#Headers],[#Data],[subtotal label]],1,FALSE)))</f>
        <v/>
      </c>
      <c r="AF729" s="1063" t="e">
        <f>IF((TB_prev[[#This Row],[Synt]]-TB_prev[[#This Row],[Subtotal Y/N]])=0,0,VLOOKUP(TB_prev[[#This Row],[Synt]],GL[[Account]:[Line]],3,FALSE))</f>
        <v>#VALUE!</v>
      </c>
      <c r="AG729" s="1063" t="e">
        <f>VLOOKUP(TB_prev[[#This Row],[Synt]],GL[[Account]:[B/P]],4,FALSE)</f>
        <v>#N/A</v>
      </c>
      <c r="AH729" s="1066" t="e">
        <v>#VALUE!</v>
      </c>
      <c r="AI729" s="1065" t="e">
        <f>TB_prev[[#This Row],[Synt]]&amp;TB_prev[[#This Row],[Line No. manual corr.]]</f>
        <v>#VALUE!</v>
      </c>
      <c r="AJ729" s="1064">
        <f t="shared" si="56"/>
        <v>0</v>
      </c>
      <c r="AK729" s="1064">
        <f t="shared" si="57"/>
        <v>0</v>
      </c>
      <c r="AL729" s="1064">
        <f t="shared" si="58"/>
        <v>0</v>
      </c>
      <c r="AM729" s="1064">
        <f t="shared" si="59"/>
        <v>0</v>
      </c>
      <c r="AN729" s="1064"/>
      <c r="AO729" s="1064">
        <f>TB_prev[[#This Row],[Closing balance]]+TB_prev[[#This Row],[Rounding]]</f>
        <v>0</v>
      </c>
    </row>
    <row r="730" spans="30:41" x14ac:dyDescent="0.25">
      <c r="AD730" s="1067" t="str">
        <f t="shared" si="55"/>
        <v/>
      </c>
      <c r="AE730" s="1063" t="str">
        <f>IF(ISNA(VLOOKUP(TB_prev[[#This Row],[Synt]],GL[[#Headers],[#Data],[subtotal label]],1,FALSE)),0,(VLOOKUP(TB_prev[[#This Row],[Synt]],GL[[#Headers],[#Data],[subtotal label]],1,FALSE)))</f>
        <v/>
      </c>
      <c r="AF730" s="1063" t="e">
        <f>IF((TB_prev[[#This Row],[Synt]]-TB_prev[[#This Row],[Subtotal Y/N]])=0,0,VLOOKUP(TB_prev[[#This Row],[Synt]],GL[[Account]:[Line]],3,FALSE))</f>
        <v>#VALUE!</v>
      </c>
      <c r="AG730" s="1063" t="e">
        <f>VLOOKUP(TB_prev[[#This Row],[Synt]],GL[[Account]:[B/P]],4,FALSE)</f>
        <v>#N/A</v>
      </c>
      <c r="AH730" s="1066" t="e">
        <v>#VALUE!</v>
      </c>
      <c r="AI730" s="1065" t="e">
        <f>TB_prev[[#This Row],[Synt]]&amp;TB_prev[[#This Row],[Line No. manual corr.]]</f>
        <v>#VALUE!</v>
      </c>
      <c r="AJ730" s="1064">
        <f t="shared" si="56"/>
        <v>0</v>
      </c>
      <c r="AK730" s="1064">
        <f t="shared" si="57"/>
        <v>0</v>
      </c>
      <c r="AL730" s="1064">
        <f t="shared" si="58"/>
        <v>0</v>
      </c>
      <c r="AM730" s="1064">
        <f t="shared" si="59"/>
        <v>0</v>
      </c>
      <c r="AN730" s="1064"/>
      <c r="AO730" s="1064">
        <f>TB_prev[[#This Row],[Closing balance]]+TB_prev[[#This Row],[Rounding]]</f>
        <v>0</v>
      </c>
    </row>
    <row r="731" spans="30:41" x14ac:dyDescent="0.25">
      <c r="AD731" s="1067" t="str">
        <f t="shared" si="55"/>
        <v/>
      </c>
      <c r="AE731" s="1063" t="str">
        <f>IF(ISNA(VLOOKUP(TB_prev[[#This Row],[Synt]],GL[[#Headers],[#Data],[subtotal label]],1,FALSE)),0,(VLOOKUP(TB_prev[[#This Row],[Synt]],GL[[#Headers],[#Data],[subtotal label]],1,FALSE)))</f>
        <v/>
      </c>
      <c r="AF731" s="1063" t="e">
        <f>IF((TB_prev[[#This Row],[Synt]]-TB_prev[[#This Row],[Subtotal Y/N]])=0,0,VLOOKUP(TB_prev[[#This Row],[Synt]],GL[[Account]:[Line]],3,FALSE))</f>
        <v>#VALUE!</v>
      </c>
      <c r="AG731" s="1063" t="e">
        <f>VLOOKUP(TB_prev[[#This Row],[Synt]],GL[[Account]:[B/P]],4,FALSE)</f>
        <v>#N/A</v>
      </c>
      <c r="AH731" s="1066" t="e">
        <v>#VALUE!</v>
      </c>
      <c r="AI731" s="1065" t="e">
        <f>TB_prev[[#This Row],[Synt]]&amp;TB_prev[[#This Row],[Line No. manual corr.]]</f>
        <v>#VALUE!</v>
      </c>
      <c r="AJ731" s="1064">
        <f t="shared" si="56"/>
        <v>0</v>
      </c>
      <c r="AK731" s="1064">
        <f t="shared" si="57"/>
        <v>0</v>
      </c>
      <c r="AL731" s="1064">
        <f t="shared" si="58"/>
        <v>0</v>
      </c>
      <c r="AM731" s="1064">
        <f t="shared" si="59"/>
        <v>0</v>
      </c>
      <c r="AN731" s="1064"/>
      <c r="AO731" s="1064">
        <f>TB_prev[[#This Row],[Closing balance]]+TB_prev[[#This Row],[Rounding]]</f>
        <v>0</v>
      </c>
    </row>
    <row r="732" spans="30:41" x14ac:dyDescent="0.25">
      <c r="AD732" s="1067" t="str">
        <f t="shared" si="55"/>
        <v/>
      </c>
      <c r="AE732" s="1063" t="str">
        <f>IF(ISNA(VLOOKUP(TB_prev[[#This Row],[Synt]],GL[[#Headers],[#Data],[subtotal label]],1,FALSE)),0,(VLOOKUP(TB_prev[[#This Row],[Synt]],GL[[#Headers],[#Data],[subtotal label]],1,FALSE)))</f>
        <v/>
      </c>
      <c r="AF732" s="1063" t="e">
        <f>IF((TB_prev[[#This Row],[Synt]]-TB_prev[[#This Row],[Subtotal Y/N]])=0,0,VLOOKUP(TB_prev[[#This Row],[Synt]],GL[[Account]:[Line]],3,FALSE))</f>
        <v>#VALUE!</v>
      </c>
      <c r="AG732" s="1063" t="e">
        <f>VLOOKUP(TB_prev[[#This Row],[Synt]],GL[[Account]:[B/P]],4,FALSE)</f>
        <v>#N/A</v>
      </c>
      <c r="AH732" s="1066" t="e">
        <v>#VALUE!</v>
      </c>
      <c r="AI732" s="1065" t="e">
        <f>TB_prev[[#This Row],[Synt]]&amp;TB_prev[[#This Row],[Line No. manual corr.]]</f>
        <v>#VALUE!</v>
      </c>
      <c r="AJ732" s="1064">
        <f t="shared" si="56"/>
        <v>0</v>
      </c>
      <c r="AK732" s="1064">
        <f t="shared" si="57"/>
        <v>0</v>
      </c>
      <c r="AL732" s="1064">
        <f t="shared" si="58"/>
        <v>0</v>
      </c>
      <c r="AM732" s="1064">
        <f t="shared" si="59"/>
        <v>0</v>
      </c>
      <c r="AN732" s="1064"/>
      <c r="AO732" s="1064">
        <f>TB_prev[[#This Row],[Closing balance]]+TB_prev[[#This Row],[Rounding]]</f>
        <v>0</v>
      </c>
    </row>
    <row r="733" spans="30:41" x14ac:dyDescent="0.25">
      <c r="AD733" s="1067" t="str">
        <f t="shared" si="55"/>
        <v/>
      </c>
      <c r="AE733" s="1063" t="str">
        <f>IF(ISNA(VLOOKUP(TB_prev[[#This Row],[Synt]],GL[[#Headers],[#Data],[subtotal label]],1,FALSE)),0,(VLOOKUP(TB_prev[[#This Row],[Synt]],GL[[#Headers],[#Data],[subtotal label]],1,FALSE)))</f>
        <v/>
      </c>
      <c r="AF733" s="1063" t="e">
        <f>IF((TB_prev[[#This Row],[Synt]]-TB_prev[[#This Row],[Subtotal Y/N]])=0,0,VLOOKUP(TB_prev[[#This Row],[Synt]],GL[[Account]:[Line]],3,FALSE))</f>
        <v>#VALUE!</v>
      </c>
      <c r="AG733" s="1063" t="e">
        <f>VLOOKUP(TB_prev[[#This Row],[Synt]],GL[[Account]:[B/P]],4,FALSE)</f>
        <v>#N/A</v>
      </c>
      <c r="AH733" s="1066" t="e">
        <v>#VALUE!</v>
      </c>
      <c r="AI733" s="1065" t="e">
        <f>TB_prev[[#This Row],[Synt]]&amp;TB_prev[[#This Row],[Line No. manual corr.]]</f>
        <v>#VALUE!</v>
      </c>
      <c r="AJ733" s="1064">
        <f t="shared" si="56"/>
        <v>0</v>
      </c>
      <c r="AK733" s="1064">
        <f t="shared" si="57"/>
        <v>0</v>
      </c>
      <c r="AL733" s="1064">
        <f t="shared" si="58"/>
        <v>0</v>
      </c>
      <c r="AM733" s="1064">
        <f t="shared" si="59"/>
        <v>0</v>
      </c>
      <c r="AN733" s="1064"/>
      <c r="AO733" s="1064">
        <f>TB_prev[[#This Row],[Closing balance]]+TB_prev[[#This Row],[Rounding]]</f>
        <v>0</v>
      </c>
    </row>
    <row r="734" spans="30:41" x14ac:dyDescent="0.25">
      <c r="AD734" s="1067" t="str">
        <f t="shared" si="55"/>
        <v/>
      </c>
      <c r="AE734" s="1063" t="str">
        <f>IF(ISNA(VLOOKUP(TB_prev[[#This Row],[Synt]],GL[[#Headers],[#Data],[subtotal label]],1,FALSE)),0,(VLOOKUP(TB_prev[[#This Row],[Synt]],GL[[#Headers],[#Data],[subtotal label]],1,FALSE)))</f>
        <v/>
      </c>
      <c r="AF734" s="1063" t="e">
        <f>IF((TB_prev[[#This Row],[Synt]]-TB_prev[[#This Row],[Subtotal Y/N]])=0,0,VLOOKUP(TB_prev[[#This Row],[Synt]],GL[[Account]:[Line]],3,FALSE))</f>
        <v>#VALUE!</v>
      </c>
      <c r="AG734" s="1063" t="e">
        <f>VLOOKUP(TB_prev[[#This Row],[Synt]],GL[[Account]:[B/P]],4,FALSE)</f>
        <v>#N/A</v>
      </c>
      <c r="AH734" s="1066" t="e">
        <v>#VALUE!</v>
      </c>
      <c r="AI734" s="1065" t="e">
        <f>TB_prev[[#This Row],[Synt]]&amp;TB_prev[[#This Row],[Line No. manual corr.]]</f>
        <v>#VALUE!</v>
      </c>
      <c r="AJ734" s="1064">
        <f t="shared" si="56"/>
        <v>0</v>
      </c>
      <c r="AK734" s="1064">
        <f t="shared" si="57"/>
        <v>0</v>
      </c>
      <c r="AL734" s="1064">
        <f t="shared" si="58"/>
        <v>0</v>
      </c>
      <c r="AM734" s="1064">
        <f t="shared" si="59"/>
        <v>0</v>
      </c>
      <c r="AN734" s="1064"/>
      <c r="AO734" s="1064">
        <f>TB_prev[[#This Row],[Closing balance]]+TB_prev[[#This Row],[Rounding]]</f>
        <v>0</v>
      </c>
    </row>
    <row r="735" spans="30:41" x14ac:dyDescent="0.25">
      <c r="AD735" s="1067" t="str">
        <f t="shared" si="55"/>
        <v/>
      </c>
      <c r="AE735" s="1063" t="str">
        <f>IF(ISNA(VLOOKUP(TB_prev[[#This Row],[Synt]],GL[[#Headers],[#Data],[subtotal label]],1,FALSE)),0,(VLOOKUP(TB_prev[[#This Row],[Synt]],GL[[#Headers],[#Data],[subtotal label]],1,FALSE)))</f>
        <v/>
      </c>
      <c r="AF735" s="1063" t="e">
        <f>IF((TB_prev[[#This Row],[Synt]]-TB_prev[[#This Row],[Subtotal Y/N]])=0,0,VLOOKUP(TB_prev[[#This Row],[Synt]],GL[[Account]:[Line]],3,FALSE))</f>
        <v>#VALUE!</v>
      </c>
      <c r="AG735" s="1063" t="e">
        <f>VLOOKUP(TB_prev[[#This Row],[Synt]],GL[[Account]:[B/P]],4,FALSE)</f>
        <v>#N/A</v>
      </c>
      <c r="AH735" s="1066" t="e">
        <v>#VALUE!</v>
      </c>
      <c r="AI735" s="1065" t="e">
        <f>TB_prev[[#This Row],[Synt]]&amp;TB_prev[[#This Row],[Line No. manual corr.]]</f>
        <v>#VALUE!</v>
      </c>
      <c r="AJ735" s="1064">
        <f t="shared" si="56"/>
        <v>0</v>
      </c>
      <c r="AK735" s="1064">
        <f t="shared" si="57"/>
        <v>0</v>
      </c>
      <c r="AL735" s="1064">
        <f t="shared" si="58"/>
        <v>0</v>
      </c>
      <c r="AM735" s="1064">
        <f t="shared" si="59"/>
        <v>0</v>
      </c>
      <c r="AN735" s="1064"/>
      <c r="AO735" s="1064">
        <f>TB_prev[[#This Row],[Closing balance]]+TB_prev[[#This Row],[Rounding]]</f>
        <v>0</v>
      </c>
    </row>
    <row r="736" spans="30:41" x14ac:dyDescent="0.25">
      <c r="AD736" s="1067" t="str">
        <f t="shared" si="55"/>
        <v/>
      </c>
      <c r="AE736" s="1063" t="str">
        <f>IF(ISNA(VLOOKUP(TB_prev[[#This Row],[Synt]],GL[[#Headers],[#Data],[subtotal label]],1,FALSE)),0,(VLOOKUP(TB_prev[[#This Row],[Synt]],GL[[#Headers],[#Data],[subtotal label]],1,FALSE)))</f>
        <v/>
      </c>
      <c r="AF736" s="1063" t="e">
        <f>IF((TB_prev[[#This Row],[Synt]]-TB_prev[[#This Row],[Subtotal Y/N]])=0,0,VLOOKUP(TB_prev[[#This Row],[Synt]],GL[[Account]:[Line]],3,FALSE))</f>
        <v>#VALUE!</v>
      </c>
      <c r="AG736" s="1063" t="e">
        <f>VLOOKUP(TB_prev[[#This Row],[Synt]],GL[[Account]:[B/P]],4,FALSE)</f>
        <v>#N/A</v>
      </c>
      <c r="AH736" s="1066" t="e">
        <v>#VALUE!</v>
      </c>
      <c r="AI736" s="1065" t="e">
        <f>TB_prev[[#This Row],[Synt]]&amp;TB_prev[[#This Row],[Line No. manual corr.]]</f>
        <v>#VALUE!</v>
      </c>
      <c r="AJ736" s="1064">
        <f t="shared" si="56"/>
        <v>0</v>
      </c>
      <c r="AK736" s="1064">
        <f t="shared" si="57"/>
        <v>0</v>
      </c>
      <c r="AL736" s="1064">
        <f t="shared" si="58"/>
        <v>0</v>
      </c>
      <c r="AM736" s="1064">
        <f t="shared" si="59"/>
        <v>0</v>
      </c>
      <c r="AN736" s="1064"/>
      <c r="AO736" s="1064">
        <f>TB_prev[[#This Row],[Closing balance]]+TB_prev[[#This Row],[Rounding]]</f>
        <v>0</v>
      </c>
    </row>
    <row r="737" spans="30:41" x14ac:dyDescent="0.25">
      <c r="AD737" s="1067" t="str">
        <f t="shared" si="55"/>
        <v/>
      </c>
      <c r="AE737" s="1063" t="str">
        <f>IF(ISNA(VLOOKUP(TB_prev[[#This Row],[Synt]],GL[[#Headers],[#Data],[subtotal label]],1,FALSE)),0,(VLOOKUP(TB_prev[[#This Row],[Synt]],GL[[#Headers],[#Data],[subtotal label]],1,FALSE)))</f>
        <v/>
      </c>
      <c r="AF737" s="1063" t="e">
        <f>IF((TB_prev[[#This Row],[Synt]]-TB_prev[[#This Row],[Subtotal Y/N]])=0,0,VLOOKUP(TB_prev[[#This Row],[Synt]],GL[[Account]:[Line]],3,FALSE))</f>
        <v>#VALUE!</v>
      </c>
      <c r="AG737" s="1063" t="e">
        <f>VLOOKUP(TB_prev[[#This Row],[Synt]],GL[[Account]:[B/P]],4,FALSE)</f>
        <v>#N/A</v>
      </c>
      <c r="AH737" s="1066" t="e">
        <v>#VALUE!</v>
      </c>
      <c r="AI737" s="1065" t="e">
        <f>TB_prev[[#This Row],[Synt]]&amp;TB_prev[[#This Row],[Line No. manual corr.]]</f>
        <v>#VALUE!</v>
      </c>
      <c r="AJ737" s="1064">
        <f t="shared" si="56"/>
        <v>0</v>
      </c>
      <c r="AK737" s="1064">
        <f t="shared" si="57"/>
        <v>0</v>
      </c>
      <c r="AL737" s="1064">
        <f t="shared" si="58"/>
        <v>0</v>
      </c>
      <c r="AM737" s="1064">
        <f t="shared" si="59"/>
        <v>0</v>
      </c>
      <c r="AN737" s="1064"/>
      <c r="AO737" s="1064">
        <f>TB_prev[[#This Row],[Closing balance]]+TB_prev[[#This Row],[Rounding]]</f>
        <v>0</v>
      </c>
    </row>
    <row r="738" spans="30:41" x14ac:dyDescent="0.25">
      <c r="AD738" s="1067" t="str">
        <f t="shared" si="55"/>
        <v/>
      </c>
      <c r="AE738" s="1063" t="str">
        <f>IF(ISNA(VLOOKUP(TB_prev[[#This Row],[Synt]],GL[[#Headers],[#Data],[subtotal label]],1,FALSE)),0,(VLOOKUP(TB_prev[[#This Row],[Synt]],GL[[#Headers],[#Data],[subtotal label]],1,FALSE)))</f>
        <v/>
      </c>
      <c r="AF738" s="1063" t="e">
        <f>IF((TB_prev[[#This Row],[Synt]]-TB_prev[[#This Row],[Subtotal Y/N]])=0,0,VLOOKUP(TB_prev[[#This Row],[Synt]],GL[[Account]:[Line]],3,FALSE))</f>
        <v>#VALUE!</v>
      </c>
      <c r="AG738" s="1063" t="e">
        <f>VLOOKUP(TB_prev[[#This Row],[Synt]],GL[[Account]:[B/P]],4,FALSE)</f>
        <v>#N/A</v>
      </c>
      <c r="AH738" s="1066" t="e">
        <v>#VALUE!</v>
      </c>
      <c r="AI738" s="1065" t="e">
        <f>TB_prev[[#This Row],[Synt]]&amp;TB_prev[[#This Row],[Line No. manual corr.]]</f>
        <v>#VALUE!</v>
      </c>
      <c r="AJ738" s="1064">
        <f t="shared" si="56"/>
        <v>0</v>
      </c>
      <c r="AK738" s="1064">
        <f t="shared" si="57"/>
        <v>0</v>
      </c>
      <c r="AL738" s="1064">
        <f t="shared" si="58"/>
        <v>0</v>
      </c>
      <c r="AM738" s="1064">
        <f t="shared" si="59"/>
        <v>0</v>
      </c>
      <c r="AN738" s="1064"/>
      <c r="AO738" s="1064">
        <f>TB_prev[[#This Row],[Closing balance]]+TB_prev[[#This Row],[Rounding]]</f>
        <v>0</v>
      </c>
    </row>
    <row r="739" spans="30:41" x14ac:dyDescent="0.25">
      <c r="AD739" s="1067" t="str">
        <f t="shared" si="55"/>
        <v/>
      </c>
      <c r="AE739" s="1063" t="str">
        <f>IF(ISNA(VLOOKUP(TB_prev[[#This Row],[Synt]],GL[[#Headers],[#Data],[subtotal label]],1,FALSE)),0,(VLOOKUP(TB_prev[[#This Row],[Synt]],GL[[#Headers],[#Data],[subtotal label]],1,FALSE)))</f>
        <v/>
      </c>
      <c r="AF739" s="1063" t="e">
        <f>IF((TB_prev[[#This Row],[Synt]]-TB_prev[[#This Row],[Subtotal Y/N]])=0,0,VLOOKUP(TB_prev[[#This Row],[Synt]],GL[[Account]:[Line]],3,FALSE))</f>
        <v>#VALUE!</v>
      </c>
      <c r="AG739" s="1063" t="e">
        <f>VLOOKUP(TB_prev[[#This Row],[Synt]],GL[[Account]:[B/P]],4,FALSE)</f>
        <v>#N/A</v>
      </c>
      <c r="AH739" s="1066" t="e">
        <v>#VALUE!</v>
      </c>
      <c r="AI739" s="1065" t="e">
        <f>TB_prev[[#This Row],[Synt]]&amp;TB_prev[[#This Row],[Line No. manual corr.]]</f>
        <v>#VALUE!</v>
      </c>
      <c r="AJ739" s="1064">
        <f t="shared" si="56"/>
        <v>0</v>
      </c>
      <c r="AK739" s="1064">
        <f t="shared" si="57"/>
        <v>0</v>
      </c>
      <c r="AL739" s="1064">
        <f t="shared" si="58"/>
        <v>0</v>
      </c>
      <c r="AM739" s="1064">
        <f t="shared" si="59"/>
        <v>0</v>
      </c>
      <c r="AN739" s="1064"/>
      <c r="AO739" s="1064">
        <f>TB_prev[[#This Row],[Closing balance]]+TB_prev[[#This Row],[Rounding]]</f>
        <v>0</v>
      </c>
    </row>
    <row r="740" spans="30:41" x14ac:dyDescent="0.25">
      <c r="AD740" s="1067" t="str">
        <f t="shared" si="55"/>
        <v/>
      </c>
      <c r="AE740" s="1063" t="str">
        <f>IF(ISNA(VLOOKUP(TB_prev[[#This Row],[Synt]],GL[[#Headers],[#Data],[subtotal label]],1,FALSE)),0,(VLOOKUP(TB_prev[[#This Row],[Synt]],GL[[#Headers],[#Data],[subtotal label]],1,FALSE)))</f>
        <v/>
      </c>
      <c r="AF740" s="1063" t="e">
        <f>IF((TB_prev[[#This Row],[Synt]]-TB_prev[[#This Row],[Subtotal Y/N]])=0,0,VLOOKUP(TB_prev[[#This Row],[Synt]],GL[[Account]:[Line]],3,FALSE))</f>
        <v>#VALUE!</v>
      </c>
      <c r="AG740" s="1063" t="e">
        <f>VLOOKUP(TB_prev[[#This Row],[Synt]],GL[[Account]:[B/P]],4,FALSE)</f>
        <v>#N/A</v>
      </c>
      <c r="AH740" s="1066" t="e">
        <v>#VALUE!</v>
      </c>
      <c r="AI740" s="1065" t="e">
        <f>TB_prev[[#This Row],[Synt]]&amp;TB_prev[[#This Row],[Line No. manual corr.]]</f>
        <v>#VALUE!</v>
      </c>
      <c r="AJ740" s="1064">
        <f t="shared" si="56"/>
        <v>0</v>
      </c>
      <c r="AK740" s="1064">
        <f t="shared" si="57"/>
        <v>0</v>
      </c>
      <c r="AL740" s="1064">
        <f t="shared" si="58"/>
        <v>0</v>
      </c>
      <c r="AM740" s="1064">
        <f t="shared" si="59"/>
        <v>0</v>
      </c>
      <c r="AN740" s="1064"/>
      <c r="AO740" s="1064">
        <f>TB_prev[[#This Row],[Closing balance]]+TB_prev[[#This Row],[Rounding]]</f>
        <v>0</v>
      </c>
    </row>
    <row r="741" spans="30:41" x14ac:dyDescent="0.25">
      <c r="AD741" s="1067" t="str">
        <f t="shared" si="55"/>
        <v/>
      </c>
      <c r="AE741" s="1063" t="str">
        <f>IF(ISNA(VLOOKUP(TB_prev[[#This Row],[Synt]],GL[[#Headers],[#Data],[subtotal label]],1,FALSE)),0,(VLOOKUP(TB_prev[[#This Row],[Synt]],GL[[#Headers],[#Data],[subtotal label]],1,FALSE)))</f>
        <v/>
      </c>
      <c r="AF741" s="1063" t="e">
        <f>IF((TB_prev[[#This Row],[Synt]]-TB_prev[[#This Row],[Subtotal Y/N]])=0,0,VLOOKUP(TB_prev[[#This Row],[Synt]],GL[[Account]:[Line]],3,FALSE))</f>
        <v>#VALUE!</v>
      </c>
      <c r="AG741" s="1063" t="e">
        <f>VLOOKUP(TB_prev[[#This Row],[Synt]],GL[[Account]:[B/P]],4,FALSE)</f>
        <v>#N/A</v>
      </c>
      <c r="AH741" s="1066" t="e">
        <v>#VALUE!</v>
      </c>
      <c r="AI741" s="1065" t="e">
        <f>TB_prev[[#This Row],[Synt]]&amp;TB_prev[[#This Row],[Line No. manual corr.]]</f>
        <v>#VALUE!</v>
      </c>
      <c r="AJ741" s="1064">
        <f t="shared" si="56"/>
        <v>0</v>
      </c>
      <c r="AK741" s="1064">
        <f t="shared" si="57"/>
        <v>0</v>
      </c>
      <c r="AL741" s="1064">
        <f t="shared" si="58"/>
        <v>0</v>
      </c>
      <c r="AM741" s="1064">
        <f t="shared" si="59"/>
        <v>0</v>
      </c>
      <c r="AN741" s="1064"/>
      <c r="AO741" s="1064">
        <f>TB_prev[[#This Row],[Closing balance]]+TB_prev[[#This Row],[Rounding]]</f>
        <v>0</v>
      </c>
    </row>
    <row r="742" spans="30:41" x14ac:dyDescent="0.25">
      <c r="AD742" s="1067" t="str">
        <f t="shared" si="55"/>
        <v/>
      </c>
      <c r="AE742" s="1063" t="str">
        <f>IF(ISNA(VLOOKUP(TB_prev[[#This Row],[Synt]],GL[[#Headers],[#Data],[subtotal label]],1,FALSE)),0,(VLOOKUP(TB_prev[[#This Row],[Synt]],GL[[#Headers],[#Data],[subtotal label]],1,FALSE)))</f>
        <v/>
      </c>
      <c r="AF742" s="1063" t="e">
        <f>IF((TB_prev[[#This Row],[Synt]]-TB_prev[[#This Row],[Subtotal Y/N]])=0,0,VLOOKUP(TB_prev[[#This Row],[Synt]],GL[[Account]:[Line]],3,FALSE))</f>
        <v>#VALUE!</v>
      </c>
      <c r="AG742" s="1063" t="e">
        <f>VLOOKUP(TB_prev[[#This Row],[Synt]],GL[[Account]:[B/P]],4,FALSE)</f>
        <v>#N/A</v>
      </c>
      <c r="AH742" s="1066" t="e">
        <v>#VALUE!</v>
      </c>
      <c r="AI742" s="1065" t="e">
        <f>TB_prev[[#This Row],[Synt]]&amp;TB_prev[[#This Row],[Line No. manual corr.]]</f>
        <v>#VALUE!</v>
      </c>
      <c r="AJ742" s="1064">
        <f t="shared" si="56"/>
        <v>0</v>
      </c>
      <c r="AK742" s="1064">
        <f t="shared" si="57"/>
        <v>0</v>
      </c>
      <c r="AL742" s="1064">
        <f t="shared" si="58"/>
        <v>0</v>
      </c>
      <c r="AM742" s="1064">
        <f t="shared" si="59"/>
        <v>0</v>
      </c>
      <c r="AN742" s="1064"/>
      <c r="AO742" s="1064">
        <f>TB_prev[[#This Row],[Closing balance]]+TB_prev[[#This Row],[Rounding]]</f>
        <v>0</v>
      </c>
    </row>
    <row r="743" spans="30:41" x14ac:dyDescent="0.25">
      <c r="AD743" s="1067" t="str">
        <f t="shared" si="55"/>
        <v/>
      </c>
      <c r="AE743" s="1063" t="str">
        <f>IF(ISNA(VLOOKUP(TB_prev[[#This Row],[Synt]],GL[[#Headers],[#Data],[subtotal label]],1,FALSE)),0,(VLOOKUP(TB_prev[[#This Row],[Synt]],GL[[#Headers],[#Data],[subtotal label]],1,FALSE)))</f>
        <v/>
      </c>
      <c r="AF743" s="1063" t="e">
        <f>IF((TB_prev[[#This Row],[Synt]]-TB_prev[[#This Row],[Subtotal Y/N]])=0,0,VLOOKUP(TB_prev[[#This Row],[Synt]],GL[[Account]:[Line]],3,FALSE))</f>
        <v>#VALUE!</v>
      </c>
      <c r="AG743" s="1063" t="e">
        <f>VLOOKUP(TB_prev[[#This Row],[Synt]],GL[[Account]:[B/P]],4,FALSE)</f>
        <v>#N/A</v>
      </c>
      <c r="AH743" s="1066" t="e">
        <v>#VALUE!</v>
      </c>
      <c r="AI743" s="1065" t="e">
        <f>TB_prev[[#This Row],[Synt]]&amp;TB_prev[[#This Row],[Line No. manual corr.]]</f>
        <v>#VALUE!</v>
      </c>
      <c r="AJ743" s="1064">
        <f t="shared" si="56"/>
        <v>0</v>
      </c>
      <c r="AK743" s="1064">
        <f t="shared" si="57"/>
        <v>0</v>
      </c>
      <c r="AL743" s="1064">
        <f t="shared" si="58"/>
        <v>0</v>
      </c>
      <c r="AM743" s="1064">
        <f t="shared" si="59"/>
        <v>0</v>
      </c>
      <c r="AN743" s="1064"/>
      <c r="AO743" s="1064">
        <f>TB_prev[[#This Row],[Closing balance]]+TB_prev[[#This Row],[Rounding]]</f>
        <v>0</v>
      </c>
    </row>
    <row r="744" spans="30:41" x14ac:dyDescent="0.25">
      <c r="AD744" s="1067" t="str">
        <f t="shared" si="55"/>
        <v/>
      </c>
      <c r="AE744" s="1063" t="str">
        <f>IF(ISNA(VLOOKUP(TB_prev[[#This Row],[Synt]],GL[[#Headers],[#Data],[subtotal label]],1,FALSE)),0,(VLOOKUP(TB_prev[[#This Row],[Synt]],GL[[#Headers],[#Data],[subtotal label]],1,FALSE)))</f>
        <v/>
      </c>
      <c r="AF744" s="1063" t="e">
        <f>IF((TB_prev[[#This Row],[Synt]]-TB_prev[[#This Row],[Subtotal Y/N]])=0,0,VLOOKUP(TB_prev[[#This Row],[Synt]],GL[[Account]:[Line]],3,FALSE))</f>
        <v>#VALUE!</v>
      </c>
      <c r="AG744" s="1063" t="e">
        <f>VLOOKUP(TB_prev[[#This Row],[Synt]],GL[[Account]:[B/P]],4,FALSE)</f>
        <v>#N/A</v>
      </c>
      <c r="AH744" s="1066" t="e">
        <v>#VALUE!</v>
      </c>
      <c r="AI744" s="1065" t="e">
        <f>TB_prev[[#This Row],[Synt]]&amp;TB_prev[[#This Row],[Line No. manual corr.]]</f>
        <v>#VALUE!</v>
      </c>
      <c r="AJ744" s="1064">
        <f t="shared" si="56"/>
        <v>0</v>
      </c>
      <c r="AK744" s="1064">
        <f t="shared" si="57"/>
        <v>0</v>
      </c>
      <c r="AL744" s="1064">
        <f t="shared" si="58"/>
        <v>0</v>
      </c>
      <c r="AM744" s="1064">
        <f t="shared" si="59"/>
        <v>0</v>
      </c>
      <c r="AN744" s="1064"/>
      <c r="AO744" s="1064">
        <f>TB_prev[[#This Row],[Closing balance]]+TB_prev[[#This Row],[Rounding]]</f>
        <v>0</v>
      </c>
    </row>
    <row r="745" spans="30:41" x14ac:dyDescent="0.25">
      <c r="AD745" s="1067" t="str">
        <f t="shared" si="55"/>
        <v/>
      </c>
      <c r="AE745" s="1063" t="str">
        <f>IF(ISNA(VLOOKUP(TB_prev[[#This Row],[Synt]],GL[[#Headers],[#Data],[subtotal label]],1,FALSE)),0,(VLOOKUP(TB_prev[[#This Row],[Synt]],GL[[#Headers],[#Data],[subtotal label]],1,FALSE)))</f>
        <v/>
      </c>
      <c r="AF745" s="1063" t="e">
        <f>IF((TB_prev[[#This Row],[Synt]]-TB_prev[[#This Row],[Subtotal Y/N]])=0,0,VLOOKUP(TB_prev[[#This Row],[Synt]],GL[[Account]:[Line]],3,FALSE))</f>
        <v>#VALUE!</v>
      </c>
      <c r="AG745" s="1063" t="e">
        <f>VLOOKUP(TB_prev[[#This Row],[Synt]],GL[[Account]:[B/P]],4,FALSE)</f>
        <v>#N/A</v>
      </c>
      <c r="AH745" s="1066" t="e">
        <v>#VALUE!</v>
      </c>
      <c r="AI745" s="1065" t="e">
        <f>TB_prev[[#This Row],[Synt]]&amp;TB_prev[[#This Row],[Line No. manual corr.]]</f>
        <v>#VALUE!</v>
      </c>
      <c r="AJ745" s="1064">
        <f t="shared" si="56"/>
        <v>0</v>
      </c>
      <c r="AK745" s="1064">
        <f t="shared" si="57"/>
        <v>0</v>
      </c>
      <c r="AL745" s="1064">
        <f t="shared" si="58"/>
        <v>0</v>
      </c>
      <c r="AM745" s="1064">
        <f t="shared" si="59"/>
        <v>0</v>
      </c>
      <c r="AN745" s="1064"/>
      <c r="AO745" s="1064">
        <f>TB_prev[[#This Row],[Closing balance]]+TB_prev[[#This Row],[Rounding]]</f>
        <v>0</v>
      </c>
    </row>
    <row r="746" spans="30:41" x14ac:dyDescent="0.25">
      <c r="AD746" s="1067" t="str">
        <f t="shared" si="55"/>
        <v/>
      </c>
      <c r="AE746" s="1063" t="str">
        <f>IF(ISNA(VLOOKUP(TB_prev[[#This Row],[Synt]],GL[[#Headers],[#Data],[subtotal label]],1,FALSE)),0,(VLOOKUP(TB_prev[[#This Row],[Synt]],GL[[#Headers],[#Data],[subtotal label]],1,FALSE)))</f>
        <v/>
      </c>
      <c r="AF746" s="1063" t="e">
        <f>IF((TB_prev[[#This Row],[Synt]]-TB_prev[[#This Row],[Subtotal Y/N]])=0,0,VLOOKUP(TB_prev[[#This Row],[Synt]],GL[[Account]:[Line]],3,FALSE))</f>
        <v>#VALUE!</v>
      </c>
      <c r="AG746" s="1063" t="e">
        <f>VLOOKUP(TB_prev[[#This Row],[Synt]],GL[[Account]:[B/P]],4,FALSE)</f>
        <v>#N/A</v>
      </c>
      <c r="AH746" s="1066" t="e">
        <v>#VALUE!</v>
      </c>
      <c r="AI746" s="1065" t="e">
        <f>TB_prev[[#This Row],[Synt]]&amp;TB_prev[[#This Row],[Line No. manual corr.]]</f>
        <v>#VALUE!</v>
      </c>
      <c r="AJ746" s="1064">
        <f t="shared" si="56"/>
        <v>0</v>
      </c>
      <c r="AK746" s="1064">
        <f t="shared" si="57"/>
        <v>0</v>
      </c>
      <c r="AL746" s="1064">
        <f t="shared" si="58"/>
        <v>0</v>
      </c>
      <c r="AM746" s="1064">
        <f t="shared" si="59"/>
        <v>0</v>
      </c>
      <c r="AN746" s="1064"/>
      <c r="AO746" s="1064">
        <f>TB_prev[[#This Row],[Closing balance]]+TB_prev[[#This Row],[Rounding]]</f>
        <v>0</v>
      </c>
    </row>
    <row r="747" spans="30:41" x14ac:dyDescent="0.25">
      <c r="AD747" s="1067" t="str">
        <f t="shared" si="55"/>
        <v/>
      </c>
      <c r="AE747" s="1063" t="str">
        <f>IF(ISNA(VLOOKUP(TB_prev[[#This Row],[Synt]],GL[[#Headers],[#Data],[subtotal label]],1,FALSE)),0,(VLOOKUP(TB_prev[[#This Row],[Synt]],GL[[#Headers],[#Data],[subtotal label]],1,FALSE)))</f>
        <v/>
      </c>
      <c r="AF747" s="1063" t="e">
        <f>IF((TB_prev[[#This Row],[Synt]]-TB_prev[[#This Row],[Subtotal Y/N]])=0,0,VLOOKUP(TB_prev[[#This Row],[Synt]],GL[[Account]:[Line]],3,FALSE))</f>
        <v>#VALUE!</v>
      </c>
      <c r="AG747" s="1063" t="e">
        <f>VLOOKUP(TB_prev[[#This Row],[Synt]],GL[[Account]:[B/P]],4,FALSE)</f>
        <v>#N/A</v>
      </c>
      <c r="AH747" s="1066" t="e">
        <v>#VALUE!</v>
      </c>
      <c r="AI747" s="1065" t="e">
        <f>TB_prev[[#This Row],[Synt]]&amp;TB_prev[[#This Row],[Line No. manual corr.]]</f>
        <v>#VALUE!</v>
      </c>
      <c r="AJ747" s="1064">
        <f t="shared" si="56"/>
        <v>0</v>
      </c>
      <c r="AK747" s="1064">
        <f t="shared" si="57"/>
        <v>0</v>
      </c>
      <c r="AL747" s="1064">
        <f t="shared" si="58"/>
        <v>0</v>
      </c>
      <c r="AM747" s="1064">
        <f t="shared" si="59"/>
        <v>0</v>
      </c>
      <c r="AN747" s="1064"/>
      <c r="AO747" s="1064">
        <f>TB_prev[[#This Row],[Closing balance]]+TB_prev[[#This Row],[Rounding]]</f>
        <v>0</v>
      </c>
    </row>
    <row r="748" spans="30:41" x14ac:dyDescent="0.25">
      <c r="AD748" s="1067" t="str">
        <f t="shared" si="55"/>
        <v/>
      </c>
      <c r="AE748" s="1063" t="str">
        <f>IF(ISNA(VLOOKUP(TB_prev[[#This Row],[Synt]],GL[[#Headers],[#Data],[subtotal label]],1,FALSE)),0,(VLOOKUP(TB_prev[[#This Row],[Synt]],GL[[#Headers],[#Data],[subtotal label]],1,FALSE)))</f>
        <v/>
      </c>
      <c r="AF748" s="1063" t="e">
        <f>IF((TB_prev[[#This Row],[Synt]]-TB_prev[[#This Row],[Subtotal Y/N]])=0,0,VLOOKUP(TB_prev[[#This Row],[Synt]],GL[[Account]:[Line]],3,FALSE))</f>
        <v>#VALUE!</v>
      </c>
      <c r="AG748" s="1063" t="e">
        <f>VLOOKUP(TB_prev[[#This Row],[Synt]],GL[[Account]:[B/P]],4,FALSE)</f>
        <v>#N/A</v>
      </c>
      <c r="AH748" s="1066" t="e">
        <v>#VALUE!</v>
      </c>
      <c r="AI748" s="1065" t="e">
        <f>TB_prev[[#This Row],[Synt]]&amp;TB_prev[[#This Row],[Line No. manual corr.]]</f>
        <v>#VALUE!</v>
      </c>
      <c r="AJ748" s="1064">
        <f t="shared" si="56"/>
        <v>0</v>
      </c>
      <c r="AK748" s="1064">
        <f t="shared" si="57"/>
        <v>0</v>
      </c>
      <c r="AL748" s="1064">
        <f t="shared" si="58"/>
        <v>0</v>
      </c>
      <c r="AM748" s="1064">
        <f t="shared" si="59"/>
        <v>0</v>
      </c>
      <c r="AN748" s="1064"/>
      <c r="AO748" s="1064">
        <f>TB_prev[[#This Row],[Closing balance]]+TB_prev[[#This Row],[Rounding]]</f>
        <v>0</v>
      </c>
    </row>
    <row r="749" spans="30:41" x14ac:dyDescent="0.25">
      <c r="AD749" s="1067" t="str">
        <f t="shared" si="55"/>
        <v/>
      </c>
      <c r="AE749" s="1063" t="str">
        <f>IF(ISNA(VLOOKUP(TB_prev[[#This Row],[Synt]],GL[[#Headers],[#Data],[subtotal label]],1,FALSE)),0,(VLOOKUP(TB_prev[[#This Row],[Synt]],GL[[#Headers],[#Data],[subtotal label]],1,FALSE)))</f>
        <v/>
      </c>
      <c r="AF749" s="1063" t="e">
        <f>IF((TB_prev[[#This Row],[Synt]]-TB_prev[[#This Row],[Subtotal Y/N]])=0,0,VLOOKUP(TB_prev[[#This Row],[Synt]],GL[[Account]:[Line]],3,FALSE))</f>
        <v>#VALUE!</v>
      </c>
      <c r="AG749" s="1063" t="e">
        <f>VLOOKUP(TB_prev[[#This Row],[Synt]],GL[[Account]:[B/P]],4,FALSE)</f>
        <v>#N/A</v>
      </c>
      <c r="AH749" s="1066" t="e">
        <v>#VALUE!</v>
      </c>
      <c r="AI749" s="1065" t="e">
        <f>TB_prev[[#This Row],[Synt]]&amp;TB_prev[[#This Row],[Line No. manual corr.]]</f>
        <v>#VALUE!</v>
      </c>
      <c r="AJ749" s="1064">
        <f t="shared" si="56"/>
        <v>0</v>
      </c>
      <c r="AK749" s="1064">
        <f t="shared" si="57"/>
        <v>0</v>
      </c>
      <c r="AL749" s="1064">
        <f t="shared" si="58"/>
        <v>0</v>
      </c>
      <c r="AM749" s="1064">
        <f t="shared" si="59"/>
        <v>0</v>
      </c>
      <c r="AN749" s="1064"/>
      <c r="AO749" s="1064">
        <f>TB_prev[[#This Row],[Closing balance]]+TB_prev[[#This Row],[Rounding]]</f>
        <v>0</v>
      </c>
    </row>
    <row r="750" spans="30:41" x14ac:dyDescent="0.25">
      <c r="AD750" s="1067" t="str">
        <f t="shared" si="55"/>
        <v/>
      </c>
      <c r="AE750" s="1063" t="str">
        <f>IF(ISNA(VLOOKUP(TB_prev[[#This Row],[Synt]],GL[[#Headers],[#Data],[subtotal label]],1,FALSE)),0,(VLOOKUP(TB_prev[[#This Row],[Synt]],GL[[#Headers],[#Data],[subtotal label]],1,FALSE)))</f>
        <v/>
      </c>
      <c r="AF750" s="1063" t="e">
        <f>IF((TB_prev[[#This Row],[Synt]]-TB_prev[[#This Row],[Subtotal Y/N]])=0,0,VLOOKUP(TB_prev[[#This Row],[Synt]],GL[[Account]:[Line]],3,FALSE))</f>
        <v>#VALUE!</v>
      </c>
      <c r="AG750" s="1063" t="e">
        <f>VLOOKUP(TB_prev[[#This Row],[Synt]],GL[[Account]:[B/P]],4,FALSE)</f>
        <v>#N/A</v>
      </c>
      <c r="AH750" s="1066" t="e">
        <v>#VALUE!</v>
      </c>
      <c r="AI750" s="1065" t="e">
        <f>TB_prev[[#This Row],[Synt]]&amp;TB_prev[[#This Row],[Line No. manual corr.]]</f>
        <v>#VALUE!</v>
      </c>
      <c r="AJ750" s="1064">
        <f t="shared" si="56"/>
        <v>0</v>
      </c>
      <c r="AK750" s="1064">
        <f t="shared" si="57"/>
        <v>0</v>
      </c>
      <c r="AL750" s="1064">
        <f t="shared" si="58"/>
        <v>0</v>
      </c>
      <c r="AM750" s="1064">
        <f t="shared" si="59"/>
        <v>0</v>
      </c>
      <c r="AN750" s="1064"/>
      <c r="AO750" s="1064">
        <f>TB_prev[[#This Row],[Closing balance]]+TB_prev[[#This Row],[Rounding]]</f>
        <v>0</v>
      </c>
    </row>
    <row r="751" spans="30:41" x14ac:dyDescent="0.25">
      <c r="AD751" s="1067" t="str">
        <f t="shared" si="55"/>
        <v/>
      </c>
      <c r="AE751" s="1063" t="str">
        <f>IF(ISNA(VLOOKUP(TB_prev[[#This Row],[Synt]],GL[[#Headers],[#Data],[subtotal label]],1,FALSE)),0,(VLOOKUP(TB_prev[[#This Row],[Synt]],GL[[#Headers],[#Data],[subtotal label]],1,FALSE)))</f>
        <v/>
      </c>
      <c r="AF751" s="1063" t="e">
        <f>IF((TB_prev[[#This Row],[Synt]]-TB_prev[[#This Row],[Subtotal Y/N]])=0,0,VLOOKUP(TB_prev[[#This Row],[Synt]],GL[[Account]:[Line]],3,FALSE))</f>
        <v>#VALUE!</v>
      </c>
      <c r="AG751" s="1063" t="e">
        <f>VLOOKUP(TB_prev[[#This Row],[Synt]],GL[[Account]:[B/P]],4,FALSE)</f>
        <v>#N/A</v>
      </c>
      <c r="AH751" s="1066" t="e">
        <v>#VALUE!</v>
      </c>
      <c r="AI751" s="1065" t="e">
        <f>TB_prev[[#This Row],[Synt]]&amp;TB_prev[[#This Row],[Line No. manual corr.]]</f>
        <v>#VALUE!</v>
      </c>
      <c r="AJ751" s="1064">
        <f t="shared" si="56"/>
        <v>0</v>
      </c>
      <c r="AK751" s="1064">
        <f t="shared" si="57"/>
        <v>0</v>
      </c>
      <c r="AL751" s="1064">
        <f t="shared" si="58"/>
        <v>0</v>
      </c>
      <c r="AM751" s="1064">
        <f t="shared" si="59"/>
        <v>0</v>
      </c>
      <c r="AN751" s="1064"/>
      <c r="AO751" s="1064">
        <f>TB_prev[[#This Row],[Closing balance]]+TB_prev[[#This Row],[Rounding]]</f>
        <v>0</v>
      </c>
    </row>
    <row r="752" spans="30:41" x14ac:dyDescent="0.25">
      <c r="AD752" s="1067" t="str">
        <f t="shared" si="55"/>
        <v/>
      </c>
      <c r="AE752" s="1063" t="str">
        <f>IF(ISNA(VLOOKUP(TB_prev[[#This Row],[Synt]],GL[[#Headers],[#Data],[subtotal label]],1,FALSE)),0,(VLOOKUP(TB_prev[[#This Row],[Synt]],GL[[#Headers],[#Data],[subtotal label]],1,FALSE)))</f>
        <v/>
      </c>
      <c r="AF752" s="1063" t="e">
        <f>IF((TB_prev[[#This Row],[Synt]]-TB_prev[[#This Row],[Subtotal Y/N]])=0,0,VLOOKUP(TB_prev[[#This Row],[Synt]],GL[[Account]:[Line]],3,FALSE))</f>
        <v>#VALUE!</v>
      </c>
      <c r="AG752" s="1063" t="e">
        <f>VLOOKUP(TB_prev[[#This Row],[Synt]],GL[[Account]:[B/P]],4,FALSE)</f>
        <v>#N/A</v>
      </c>
      <c r="AH752" s="1066" t="e">
        <v>#VALUE!</v>
      </c>
      <c r="AI752" s="1065" t="e">
        <f>TB_prev[[#This Row],[Synt]]&amp;TB_prev[[#This Row],[Line No. manual corr.]]</f>
        <v>#VALUE!</v>
      </c>
      <c r="AJ752" s="1064">
        <f t="shared" si="56"/>
        <v>0</v>
      </c>
      <c r="AK752" s="1064">
        <f t="shared" si="57"/>
        <v>0</v>
      </c>
      <c r="AL752" s="1064">
        <f t="shared" si="58"/>
        <v>0</v>
      </c>
      <c r="AM752" s="1064">
        <f t="shared" si="59"/>
        <v>0</v>
      </c>
      <c r="AN752" s="1064"/>
      <c r="AO752" s="1064">
        <f>TB_prev[[#This Row],[Closing balance]]+TB_prev[[#This Row],[Rounding]]</f>
        <v>0</v>
      </c>
    </row>
    <row r="753" spans="30:41" x14ac:dyDescent="0.25">
      <c r="AD753" s="1067" t="str">
        <f t="shared" si="55"/>
        <v/>
      </c>
      <c r="AE753" s="1063" t="str">
        <f>IF(ISNA(VLOOKUP(TB_prev[[#This Row],[Synt]],GL[[#Headers],[#Data],[subtotal label]],1,FALSE)),0,(VLOOKUP(TB_prev[[#This Row],[Synt]],GL[[#Headers],[#Data],[subtotal label]],1,FALSE)))</f>
        <v/>
      </c>
      <c r="AF753" s="1063" t="e">
        <f>IF((TB_prev[[#This Row],[Synt]]-TB_prev[[#This Row],[Subtotal Y/N]])=0,0,VLOOKUP(TB_prev[[#This Row],[Synt]],GL[[Account]:[Line]],3,FALSE))</f>
        <v>#VALUE!</v>
      </c>
      <c r="AG753" s="1063" t="e">
        <f>VLOOKUP(TB_prev[[#This Row],[Synt]],GL[[Account]:[B/P]],4,FALSE)</f>
        <v>#N/A</v>
      </c>
      <c r="AH753" s="1066" t="e">
        <v>#VALUE!</v>
      </c>
      <c r="AI753" s="1065" t="e">
        <f>TB_prev[[#This Row],[Synt]]&amp;TB_prev[[#This Row],[Line No. manual corr.]]</f>
        <v>#VALUE!</v>
      </c>
      <c r="AJ753" s="1064">
        <f t="shared" si="56"/>
        <v>0</v>
      </c>
      <c r="AK753" s="1064">
        <f t="shared" si="57"/>
        <v>0</v>
      </c>
      <c r="AL753" s="1064">
        <f t="shared" si="58"/>
        <v>0</v>
      </c>
      <c r="AM753" s="1064">
        <f t="shared" si="59"/>
        <v>0</v>
      </c>
      <c r="AN753" s="1064"/>
      <c r="AO753" s="1064">
        <f>TB_prev[[#This Row],[Closing balance]]+TB_prev[[#This Row],[Rounding]]</f>
        <v>0</v>
      </c>
    </row>
    <row r="754" spans="30:41" x14ac:dyDescent="0.25">
      <c r="AD754" s="1067" t="str">
        <f t="shared" si="55"/>
        <v/>
      </c>
      <c r="AE754" s="1063" t="str">
        <f>IF(ISNA(VLOOKUP(TB_prev[[#This Row],[Synt]],GL[[#Headers],[#Data],[subtotal label]],1,FALSE)),0,(VLOOKUP(TB_prev[[#This Row],[Synt]],GL[[#Headers],[#Data],[subtotal label]],1,FALSE)))</f>
        <v/>
      </c>
      <c r="AF754" s="1063" t="e">
        <f>IF((TB_prev[[#This Row],[Synt]]-TB_prev[[#This Row],[Subtotal Y/N]])=0,0,VLOOKUP(TB_prev[[#This Row],[Synt]],GL[[Account]:[Line]],3,FALSE))</f>
        <v>#VALUE!</v>
      </c>
      <c r="AG754" s="1063" t="e">
        <f>VLOOKUP(TB_prev[[#This Row],[Synt]],GL[[Account]:[B/P]],4,FALSE)</f>
        <v>#N/A</v>
      </c>
      <c r="AH754" s="1066" t="e">
        <v>#VALUE!</v>
      </c>
      <c r="AI754" s="1065" t="e">
        <f>TB_prev[[#This Row],[Synt]]&amp;TB_prev[[#This Row],[Line No. manual corr.]]</f>
        <v>#VALUE!</v>
      </c>
      <c r="AJ754" s="1064">
        <f t="shared" si="56"/>
        <v>0</v>
      </c>
      <c r="AK754" s="1064">
        <f t="shared" si="57"/>
        <v>0</v>
      </c>
      <c r="AL754" s="1064">
        <f t="shared" si="58"/>
        <v>0</v>
      </c>
      <c r="AM754" s="1064">
        <f t="shared" si="59"/>
        <v>0</v>
      </c>
      <c r="AN754" s="1064"/>
      <c r="AO754" s="1064">
        <f>TB_prev[[#This Row],[Closing balance]]+TB_prev[[#This Row],[Rounding]]</f>
        <v>0</v>
      </c>
    </row>
    <row r="755" spans="30:41" x14ac:dyDescent="0.25">
      <c r="AD755" s="1067" t="str">
        <f t="shared" si="55"/>
        <v/>
      </c>
      <c r="AE755" s="1063" t="str">
        <f>IF(ISNA(VLOOKUP(TB_prev[[#This Row],[Synt]],GL[[#Headers],[#Data],[subtotal label]],1,FALSE)),0,(VLOOKUP(TB_prev[[#This Row],[Synt]],GL[[#Headers],[#Data],[subtotal label]],1,FALSE)))</f>
        <v/>
      </c>
      <c r="AF755" s="1063" t="e">
        <f>IF((TB_prev[[#This Row],[Synt]]-TB_prev[[#This Row],[Subtotal Y/N]])=0,0,VLOOKUP(TB_prev[[#This Row],[Synt]],GL[[Account]:[Line]],3,FALSE))</f>
        <v>#VALUE!</v>
      </c>
      <c r="AG755" s="1063" t="e">
        <f>VLOOKUP(TB_prev[[#This Row],[Synt]],GL[[Account]:[B/P]],4,FALSE)</f>
        <v>#N/A</v>
      </c>
      <c r="AH755" s="1066" t="e">
        <v>#VALUE!</v>
      </c>
      <c r="AI755" s="1065" t="e">
        <f>TB_prev[[#This Row],[Synt]]&amp;TB_prev[[#This Row],[Line No. manual corr.]]</f>
        <v>#VALUE!</v>
      </c>
      <c r="AJ755" s="1064">
        <f t="shared" si="56"/>
        <v>0</v>
      </c>
      <c r="AK755" s="1064">
        <f t="shared" si="57"/>
        <v>0</v>
      </c>
      <c r="AL755" s="1064">
        <f t="shared" si="58"/>
        <v>0</v>
      </c>
      <c r="AM755" s="1064">
        <f t="shared" si="59"/>
        <v>0</v>
      </c>
      <c r="AN755" s="1064"/>
      <c r="AO755" s="1064">
        <f>TB_prev[[#This Row],[Closing balance]]+TB_prev[[#This Row],[Rounding]]</f>
        <v>0</v>
      </c>
    </row>
    <row r="756" spans="30:41" x14ac:dyDescent="0.25">
      <c r="AD756" s="1067" t="str">
        <f t="shared" si="55"/>
        <v/>
      </c>
      <c r="AE756" s="1063" t="str">
        <f>IF(ISNA(VLOOKUP(TB_prev[[#This Row],[Synt]],GL[[#Headers],[#Data],[subtotal label]],1,FALSE)),0,(VLOOKUP(TB_prev[[#This Row],[Synt]],GL[[#Headers],[#Data],[subtotal label]],1,FALSE)))</f>
        <v/>
      </c>
      <c r="AF756" s="1063" t="e">
        <f>IF((TB_prev[[#This Row],[Synt]]-TB_prev[[#This Row],[Subtotal Y/N]])=0,0,VLOOKUP(TB_prev[[#This Row],[Synt]],GL[[Account]:[Line]],3,FALSE))</f>
        <v>#VALUE!</v>
      </c>
      <c r="AG756" s="1063" t="e">
        <f>VLOOKUP(TB_prev[[#This Row],[Synt]],GL[[Account]:[B/P]],4,FALSE)</f>
        <v>#N/A</v>
      </c>
      <c r="AH756" s="1066" t="e">
        <v>#VALUE!</v>
      </c>
      <c r="AI756" s="1065" t="e">
        <f>TB_prev[[#This Row],[Synt]]&amp;TB_prev[[#This Row],[Line No. manual corr.]]</f>
        <v>#VALUE!</v>
      </c>
      <c r="AJ756" s="1064">
        <f t="shared" si="56"/>
        <v>0</v>
      </c>
      <c r="AK756" s="1064">
        <f t="shared" si="57"/>
        <v>0</v>
      </c>
      <c r="AL756" s="1064">
        <f t="shared" si="58"/>
        <v>0</v>
      </c>
      <c r="AM756" s="1064">
        <f t="shared" si="59"/>
        <v>0</v>
      </c>
      <c r="AN756" s="1064"/>
      <c r="AO756" s="1064">
        <f>TB_prev[[#This Row],[Closing balance]]+TB_prev[[#This Row],[Rounding]]</f>
        <v>0</v>
      </c>
    </row>
    <row r="757" spans="30:41" x14ac:dyDescent="0.25">
      <c r="AD757" s="1067" t="str">
        <f t="shared" si="55"/>
        <v/>
      </c>
      <c r="AE757" s="1063" t="str">
        <f>IF(ISNA(VLOOKUP(TB_prev[[#This Row],[Synt]],GL[[#Headers],[#Data],[subtotal label]],1,FALSE)),0,(VLOOKUP(TB_prev[[#This Row],[Synt]],GL[[#Headers],[#Data],[subtotal label]],1,FALSE)))</f>
        <v/>
      </c>
      <c r="AF757" s="1063" t="e">
        <f>IF((TB_prev[[#This Row],[Synt]]-TB_prev[[#This Row],[Subtotal Y/N]])=0,0,VLOOKUP(TB_prev[[#This Row],[Synt]],GL[[Account]:[Line]],3,FALSE))</f>
        <v>#VALUE!</v>
      </c>
      <c r="AG757" s="1063" t="e">
        <f>VLOOKUP(TB_prev[[#This Row],[Synt]],GL[[Account]:[B/P]],4,FALSE)</f>
        <v>#N/A</v>
      </c>
      <c r="AH757" s="1066" t="e">
        <v>#VALUE!</v>
      </c>
      <c r="AI757" s="1065" t="e">
        <f>TB_prev[[#This Row],[Synt]]&amp;TB_prev[[#This Row],[Line No. manual corr.]]</f>
        <v>#VALUE!</v>
      </c>
      <c r="AJ757" s="1064">
        <f t="shared" si="56"/>
        <v>0</v>
      </c>
      <c r="AK757" s="1064">
        <f t="shared" si="57"/>
        <v>0</v>
      </c>
      <c r="AL757" s="1064">
        <f t="shared" si="58"/>
        <v>0</v>
      </c>
      <c r="AM757" s="1064">
        <f t="shared" si="59"/>
        <v>0</v>
      </c>
      <c r="AN757" s="1064"/>
      <c r="AO757" s="1064">
        <f>TB_prev[[#This Row],[Closing balance]]+TB_prev[[#This Row],[Rounding]]</f>
        <v>0</v>
      </c>
    </row>
    <row r="758" spans="30:41" x14ac:dyDescent="0.25">
      <c r="AD758" s="1067" t="str">
        <f t="shared" si="55"/>
        <v/>
      </c>
      <c r="AE758" s="1063" t="str">
        <f>IF(ISNA(VLOOKUP(TB_prev[[#This Row],[Synt]],GL[[#Headers],[#Data],[subtotal label]],1,FALSE)),0,(VLOOKUP(TB_prev[[#This Row],[Synt]],GL[[#Headers],[#Data],[subtotal label]],1,FALSE)))</f>
        <v/>
      </c>
      <c r="AF758" s="1063" t="e">
        <f>IF((TB_prev[[#This Row],[Synt]]-TB_prev[[#This Row],[Subtotal Y/N]])=0,0,VLOOKUP(TB_prev[[#This Row],[Synt]],GL[[Account]:[Line]],3,FALSE))</f>
        <v>#VALUE!</v>
      </c>
      <c r="AG758" s="1063" t="e">
        <f>VLOOKUP(TB_prev[[#This Row],[Synt]],GL[[Account]:[B/P]],4,FALSE)</f>
        <v>#N/A</v>
      </c>
      <c r="AH758" s="1066" t="e">
        <v>#VALUE!</v>
      </c>
      <c r="AI758" s="1065" t="e">
        <f>TB_prev[[#This Row],[Synt]]&amp;TB_prev[[#This Row],[Line No. manual corr.]]</f>
        <v>#VALUE!</v>
      </c>
      <c r="AJ758" s="1064">
        <f t="shared" si="56"/>
        <v>0</v>
      </c>
      <c r="AK758" s="1064">
        <f t="shared" si="57"/>
        <v>0</v>
      </c>
      <c r="AL758" s="1064">
        <f t="shared" si="58"/>
        <v>0</v>
      </c>
      <c r="AM758" s="1064">
        <f t="shared" si="59"/>
        <v>0</v>
      </c>
      <c r="AN758" s="1064"/>
      <c r="AO758" s="1064">
        <f>TB_prev[[#This Row],[Closing balance]]+TB_prev[[#This Row],[Rounding]]</f>
        <v>0</v>
      </c>
    </row>
    <row r="759" spans="30:41" x14ac:dyDescent="0.25">
      <c r="AD759" s="1067" t="str">
        <f t="shared" si="55"/>
        <v/>
      </c>
      <c r="AE759" s="1063" t="str">
        <f>IF(ISNA(VLOOKUP(TB_prev[[#This Row],[Synt]],GL[[#Headers],[#Data],[subtotal label]],1,FALSE)),0,(VLOOKUP(TB_prev[[#This Row],[Synt]],GL[[#Headers],[#Data],[subtotal label]],1,FALSE)))</f>
        <v/>
      </c>
      <c r="AF759" s="1063" t="e">
        <f>IF((TB_prev[[#This Row],[Synt]]-TB_prev[[#This Row],[Subtotal Y/N]])=0,0,VLOOKUP(TB_prev[[#This Row],[Synt]],GL[[Account]:[Line]],3,FALSE))</f>
        <v>#VALUE!</v>
      </c>
      <c r="AG759" s="1063" t="e">
        <f>VLOOKUP(TB_prev[[#This Row],[Synt]],GL[[Account]:[B/P]],4,FALSE)</f>
        <v>#N/A</v>
      </c>
      <c r="AH759" s="1066" t="e">
        <v>#VALUE!</v>
      </c>
      <c r="AI759" s="1065" t="e">
        <f>TB_prev[[#This Row],[Synt]]&amp;TB_prev[[#This Row],[Line No. manual corr.]]</f>
        <v>#VALUE!</v>
      </c>
      <c r="AJ759" s="1064">
        <f t="shared" si="56"/>
        <v>0</v>
      </c>
      <c r="AK759" s="1064">
        <f t="shared" si="57"/>
        <v>0</v>
      </c>
      <c r="AL759" s="1064">
        <f t="shared" si="58"/>
        <v>0</v>
      </c>
      <c r="AM759" s="1064">
        <f t="shared" si="59"/>
        <v>0</v>
      </c>
      <c r="AN759" s="1064"/>
      <c r="AO759" s="1064">
        <f>TB_prev[[#This Row],[Closing balance]]+TB_prev[[#This Row],[Rounding]]</f>
        <v>0</v>
      </c>
    </row>
    <row r="760" spans="30:41" x14ac:dyDescent="0.25">
      <c r="AD760" s="1067" t="str">
        <f t="shared" si="55"/>
        <v/>
      </c>
      <c r="AE760" s="1063" t="str">
        <f>IF(ISNA(VLOOKUP(TB_prev[[#This Row],[Synt]],GL[[#Headers],[#Data],[subtotal label]],1,FALSE)),0,(VLOOKUP(TB_prev[[#This Row],[Synt]],GL[[#Headers],[#Data],[subtotal label]],1,FALSE)))</f>
        <v/>
      </c>
      <c r="AF760" s="1063" t="e">
        <f>IF((TB_prev[[#This Row],[Synt]]-TB_prev[[#This Row],[Subtotal Y/N]])=0,0,VLOOKUP(TB_prev[[#This Row],[Synt]],GL[[Account]:[Line]],3,FALSE))</f>
        <v>#VALUE!</v>
      </c>
      <c r="AG760" s="1063" t="e">
        <f>VLOOKUP(TB_prev[[#This Row],[Synt]],GL[[Account]:[B/P]],4,FALSE)</f>
        <v>#N/A</v>
      </c>
      <c r="AH760" s="1066" t="e">
        <v>#VALUE!</v>
      </c>
      <c r="AI760" s="1065" t="e">
        <f>TB_prev[[#This Row],[Synt]]&amp;TB_prev[[#This Row],[Line No. manual corr.]]</f>
        <v>#VALUE!</v>
      </c>
      <c r="AJ760" s="1064">
        <f t="shared" si="56"/>
        <v>0</v>
      </c>
      <c r="AK760" s="1064">
        <f t="shared" si="57"/>
        <v>0</v>
      </c>
      <c r="AL760" s="1064">
        <f t="shared" si="58"/>
        <v>0</v>
      </c>
      <c r="AM760" s="1064">
        <f t="shared" si="59"/>
        <v>0</v>
      </c>
      <c r="AN760" s="1064"/>
      <c r="AO760" s="1064">
        <f>TB_prev[[#This Row],[Closing balance]]+TB_prev[[#This Row],[Rounding]]</f>
        <v>0</v>
      </c>
    </row>
    <row r="761" spans="30:41" x14ac:dyDescent="0.25">
      <c r="AD761" s="1067" t="str">
        <f t="shared" si="55"/>
        <v/>
      </c>
      <c r="AE761" s="1063" t="str">
        <f>IF(ISNA(VLOOKUP(TB_prev[[#This Row],[Synt]],GL[[#Headers],[#Data],[subtotal label]],1,FALSE)),0,(VLOOKUP(TB_prev[[#This Row],[Synt]],GL[[#Headers],[#Data],[subtotal label]],1,FALSE)))</f>
        <v/>
      </c>
      <c r="AF761" s="1063" t="e">
        <f>IF((TB_prev[[#This Row],[Synt]]-TB_prev[[#This Row],[Subtotal Y/N]])=0,0,VLOOKUP(TB_prev[[#This Row],[Synt]],GL[[Account]:[Line]],3,FALSE))</f>
        <v>#VALUE!</v>
      </c>
      <c r="AG761" s="1063" t="e">
        <f>VLOOKUP(TB_prev[[#This Row],[Synt]],GL[[Account]:[B/P]],4,FALSE)</f>
        <v>#N/A</v>
      </c>
      <c r="AH761" s="1066" t="e">
        <v>#VALUE!</v>
      </c>
      <c r="AI761" s="1065" t="e">
        <f>TB_prev[[#This Row],[Synt]]&amp;TB_prev[[#This Row],[Line No. manual corr.]]</f>
        <v>#VALUE!</v>
      </c>
      <c r="AJ761" s="1064">
        <f t="shared" si="56"/>
        <v>0</v>
      </c>
      <c r="AK761" s="1064">
        <f t="shared" si="57"/>
        <v>0</v>
      </c>
      <c r="AL761" s="1064">
        <f t="shared" si="58"/>
        <v>0</v>
      </c>
      <c r="AM761" s="1064">
        <f t="shared" si="59"/>
        <v>0</v>
      </c>
      <c r="AN761" s="1064"/>
      <c r="AO761" s="1064">
        <f>TB_prev[[#This Row],[Closing balance]]+TB_prev[[#This Row],[Rounding]]</f>
        <v>0</v>
      </c>
    </row>
    <row r="762" spans="30:41" x14ac:dyDescent="0.25">
      <c r="AD762" s="1067" t="str">
        <f t="shared" si="55"/>
        <v/>
      </c>
      <c r="AE762" s="1063" t="str">
        <f>IF(ISNA(VLOOKUP(TB_prev[[#This Row],[Synt]],GL[[#Headers],[#Data],[subtotal label]],1,FALSE)),0,(VLOOKUP(TB_prev[[#This Row],[Synt]],GL[[#Headers],[#Data],[subtotal label]],1,FALSE)))</f>
        <v/>
      </c>
      <c r="AF762" s="1063" t="e">
        <f>IF((TB_prev[[#This Row],[Synt]]-TB_prev[[#This Row],[Subtotal Y/N]])=0,0,VLOOKUP(TB_prev[[#This Row],[Synt]],GL[[Account]:[Line]],3,FALSE))</f>
        <v>#VALUE!</v>
      </c>
      <c r="AG762" s="1063" t="e">
        <f>VLOOKUP(TB_prev[[#This Row],[Synt]],GL[[Account]:[B/P]],4,FALSE)</f>
        <v>#N/A</v>
      </c>
      <c r="AH762" s="1066" t="e">
        <v>#VALUE!</v>
      </c>
      <c r="AI762" s="1065" t="e">
        <f>TB_prev[[#This Row],[Synt]]&amp;TB_prev[[#This Row],[Line No. manual corr.]]</f>
        <v>#VALUE!</v>
      </c>
      <c r="AJ762" s="1064">
        <f t="shared" si="56"/>
        <v>0</v>
      </c>
      <c r="AK762" s="1064">
        <f t="shared" si="57"/>
        <v>0</v>
      </c>
      <c r="AL762" s="1064">
        <f t="shared" si="58"/>
        <v>0</v>
      </c>
      <c r="AM762" s="1064">
        <f t="shared" si="59"/>
        <v>0</v>
      </c>
      <c r="AN762" s="1064"/>
      <c r="AO762" s="1064">
        <f>TB_prev[[#This Row],[Closing balance]]+TB_prev[[#This Row],[Rounding]]</f>
        <v>0</v>
      </c>
    </row>
    <row r="763" spans="30:41" x14ac:dyDescent="0.25">
      <c r="AD763" s="1067" t="str">
        <f t="shared" si="55"/>
        <v/>
      </c>
      <c r="AE763" s="1063" t="str">
        <f>IF(ISNA(VLOOKUP(TB_prev[[#This Row],[Synt]],GL[[#Headers],[#Data],[subtotal label]],1,FALSE)),0,(VLOOKUP(TB_prev[[#This Row],[Synt]],GL[[#Headers],[#Data],[subtotal label]],1,FALSE)))</f>
        <v/>
      </c>
      <c r="AF763" s="1063" t="e">
        <f>IF((TB_prev[[#This Row],[Synt]]-TB_prev[[#This Row],[Subtotal Y/N]])=0,0,VLOOKUP(TB_prev[[#This Row],[Synt]],GL[[Account]:[Line]],3,FALSE))</f>
        <v>#VALUE!</v>
      </c>
      <c r="AG763" s="1063" t="e">
        <f>VLOOKUP(TB_prev[[#This Row],[Synt]],GL[[Account]:[B/P]],4,FALSE)</f>
        <v>#N/A</v>
      </c>
      <c r="AH763" s="1066" t="e">
        <v>#VALUE!</v>
      </c>
      <c r="AI763" s="1065" t="e">
        <f>TB_prev[[#This Row],[Synt]]&amp;TB_prev[[#This Row],[Line No. manual corr.]]</f>
        <v>#VALUE!</v>
      </c>
      <c r="AJ763" s="1064">
        <f t="shared" si="56"/>
        <v>0</v>
      </c>
      <c r="AK763" s="1064">
        <f t="shared" si="57"/>
        <v>0</v>
      </c>
      <c r="AL763" s="1064">
        <f t="shared" si="58"/>
        <v>0</v>
      </c>
      <c r="AM763" s="1064">
        <f t="shared" si="59"/>
        <v>0</v>
      </c>
      <c r="AN763" s="1064"/>
      <c r="AO763" s="1064">
        <f>TB_prev[[#This Row],[Closing balance]]+TB_prev[[#This Row],[Rounding]]</f>
        <v>0</v>
      </c>
    </row>
    <row r="764" spans="30:41" x14ac:dyDescent="0.25">
      <c r="AD764" s="1067" t="str">
        <f t="shared" si="55"/>
        <v/>
      </c>
      <c r="AE764" s="1063" t="str">
        <f>IF(ISNA(VLOOKUP(TB_prev[[#This Row],[Synt]],GL[[#Headers],[#Data],[subtotal label]],1,FALSE)),0,(VLOOKUP(TB_prev[[#This Row],[Synt]],GL[[#Headers],[#Data],[subtotal label]],1,FALSE)))</f>
        <v/>
      </c>
      <c r="AF764" s="1063" t="e">
        <f>IF((TB_prev[[#This Row],[Synt]]-TB_prev[[#This Row],[Subtotal Y/N]])=0,0,VLOOKUP(TB_prev[[#This Row],[Synt]],GL[[Account]:[Line]],3,FALSE))</f>
        <v>#VALUE!</v>
      </c>
      <c r="AG764" s="1063" t="e">
        <f>VLOOKUP(TB_prev[[#This Row],[Synt]],GL[[Account]:[B/P]],4,FALSE)</f>
        <v>#N/A</v>
      </c>
      <c r="AH764" s="1066" t="e">
        <v>#VALUE!</v>
      </c>
      <c r="AI764" s="1065" t="e">
        <f>TB_prev[[#This Row],[Synt]]&amp;TB_prev[[#This Row],[Line No. manual corr.]]</f>
        <v>#VALUE!</v>
      </c>
      <c r="AJ764" s="1064">
        <f t="shared" si="56"/>
        <v>0</v>
      </c>
      <c r="AK764" s="1064">
        <f t="shared" si="57"/>
        <v>0</v>
      </c>
      <c r="AL764" s="1064">
        <f t="shared" si="58"/>
        <v>0</v>
      </c>
      <c r="AM764" s="1064">
        <f t="shared" si="59"/>
        <v>0</v>
      </c>
      <c r="AN764" s="1064"/>
      <c r="AO764" s="1064">
        <f>TB_prev[[#This Row],[Closing balance]]+TB_prev[[#This Row],[Rounding]]</f>
        <v>0</v>
      </c>
    </row>
    <row r="765" spans="30:41" x14ac:dyDescent="0.25">
      <c r="AD765" s="1067" t="str">
        <f t="shared" si="55"/>
        <v/>
      </c>
      <c r="AE765" s="1063" t="str">
        <f>IF(ISNA(VLOOKUP(TB_prev[[#This Row],[Synt]],GL[[#Headers],[#Data],[subtotal label]],1,FALSE)),0,(VLOOKUP(TB_prev[[#This Row],[Synt]],GL[[#Headers],[#Data],[subtotal label]],1,FALSE)))</f>
        <v/>
      </c>
      <c r="AF765" s="1063" t="e">
        <f>IF((TB_prev[[#This Row],[Synt]]-TB_prev[[#This Row],[Subtotal Y/N]])=0,0,VLOOKUP(TB_prev[[#This Row],[Synt]],GL[[Account]:[Line]],3,FALSE))</f>
        <v>#VALUE!</v>
      </c>
      <c r="AG765" s="1063" t="e">
        <f>VLOOKUP(TB_prev[[#This Row],[Synt]],GL[[Account]:[B/P]],4,FALSE)</f>
        <v>#N/A</v>
      </c>
      <c r="AH765" s="1066" t="e">
        <v>#VALUE!</v>
      </c>
      <c r="AI765" s="1065" t="e">
        <f>TB_prev[[#This Row],[Synt]]&amp;TB_prev[[#This Row],[Line No. manual corr.]]</f>
        <v>#VALUE!</v>
      </c>
      <c r="AJ765" s="1064">
        <f t="shared" si="56"/>
        <v>0</v>
      </c>
      <c r="AK765" s="1064">
        <f t="shared" si="57"/>
        <v>0</v>
      </c>
      <c r="AL765" s="1064">
        <f t="shared" si="58"/>
        <v>0</v>
      </c>
      <c r="AM765" s="1064">
        <f t="shared" si="59"/>
        <v>0</v>
      </c>
      <c r="AN765" s="1064"/>
      <c r="AO765" s="1064">
        <f>TB_prev[[#This Row],[Closing balance]]+TB_prev[[#This Row],[Rounding]]</f>
        <v>0</v>
      </c>
    </row>
    <row r="766" spans="30:41" x14ac:dyDescent="0.25">
      <c r="AD766" s="1067" t="str">
        <f t="shared" si="55"/>
        <v/>
      </c>
      <c r="AE766" s="1063" t="str">
        <f>IF(ISNA(VLOOKUP(TB_prev[[#This Row],[Synt]],GL[[#Headers],[#Data],[subtotal label]],1,FALSE)),0,(VLOOKUP(TB_prev[[#This Row],[Synt]],GL[[#Headers],[#Data],[subtotal label]],1,FALSE)))</f>
        <v/>
      </c>
      <c r="AF766" s="1063" t="e">
        <f>IF((TB_prev[[#This Row],[Synt]]-TB_prev[[#This Row],[Subtotal Y/N]])=0,0,VLOOKUP(TB_prev[[#This Row],[Synt]],GL[[Account]:[Line]],3,FALSE))</f>
        <v>#VALUE!</v>
      </c>
      <c r="AG766" s="1063" t="e">
        <f>VLOOKUP(TB_prev[[#This Row],[Synt]],GL[[Account]:[B/P]],4,FALSE)</f>
        <v>#N/A</v>
      </c>
      <c r="AH766" s="1066" t="e">
        <v>#VALUE!</v>
      </c>
      <c r="AI766" s="1065" t="e">
        <f>TB_prev[[#This Row],[Synt]]&amp;TB_prev[[#This Row],[Line No. manual corr.]]</f>
        <v>#VALUE!</v>
      </c>
      <c r="AJ766" s="1064">
        <f t="shared" si="56"/>
        <v>0</v>
      </c>
      <c r="AK766" s="1064">
        <f t="shared" si="57"/>
        <v>0</v>
      </c>
      <c r="AL766" s="1064">
        <f t="shared" si="58"/>
        <v>0</v>
      </c>
      <c r="AM766" s="1064">
        <f t="shared" si="59"/>
        <v>0</v>
      </c>
      <c r="AN766" s="1064"/>
      <c r="AO766" s="1064">
        <f>TB_prev[[#This Row],[Closing balance]]+TB_prev[[#This Row],[Rounding]]</f>
        <v>0</v>
      </c>
    </row>
    <row r="767" spans="30:41" x14ac:dyDescent="0.25">
      <c r="AD767" s="1067" t="str">
        <f t="shared" si="55"/>
        <v/>
      </c>
      <c r="AE767" s="1063" t="str">
        <f>IF(ISNA(VLOOKUP(TB_prev[[#This Row],[Synt]],GL[[#Headers],[#Data],[subtotal label]],1,FALSE)),0,(VLOOKUP(TB_prev[[#This Row],[Synt]],GL[[#Headers],[#Data],[subtotal label]],1,FALSE)))</f>
        <v/>
      </c>
      <c r="AF767" s="1063" t="e">
        <f>IF((TB_prev[[#This Row],[Synt]]-TB_prev[[#This Row],[Subtotal Y/N]])=0,0,VLOOKUP(TB_prev[[#This Row],[Synt]],GL[[Account]:[Line]],3,FALSE))</f>
        <v>#VALUE!</v>
      </c>
      <c r="AG767" s="1063" t="e">
        <f>VLOOKUP(TB_prev[[#This Row],[Synt]],GL[[Account]:[B/P]],4,FALSE)</f>
        <v>#N/A</v>
      </c>
      <c r="AH767" s="1066" t="e">
        <v>#VALUE!</v>
      </c>
      <c r="AI767" s="1065" t="e">
        <f>TB_prev[[#This Row],[Synt]]&amp;TB_prev[[#This Row],[Line No. manual corr.]]</f>
        <v>#VALUE!</v>
      </c>
      <c r="AJ767" s="1064">
        <f t="shared" si="56"/>
        <v>0</v>
      </c>
      <c r="AK767" s="1064">
        <f t="shared" si="57"/>
        <v>0</v>
      </c>
      <c r="AL767" s="1064">
        <f t="shared" si="58"/>
        <v>0</v>
      </c>
      <c r="AM767" s="1064">
        <f t="shared" si="59"/>
        <v>0</v>
      </c>
      <c r="AN767" s="1064"/>
      <c r="AO767" s="1064">
        <f>TB_prev[[#This Row],[Closing balance]]+TB_prev[[#This Row],[Rounding]]</f>
        <v>0</v>
      </c>
    </row>
    <row r="768" spans="30:41" x14ac:dyDescent="0.25">
      <c r="AD768" s="1067" t="str">
        <f t="shared" si="55"/>
        <v/>
      </c>
      <c r="AE768" s="1063" t="str">
        <f>IF(ISNA(VLOOKUP(TB_prev[[#This Row],[Synt]],GL[[#Headers],[#Data],[subtotal label]],1,FALSE)),0,(VLOOKUP(TB_prev[[#This Row],[Synt]],GL[[#Headers],[#Data],[subtotal label]],1,FALSE)))</f>
        <v/>
      </c>
      <c r="AF768" s="1063" t="e">
        <f>IF((TB_prev[[#This Row],[Synt]]-TB_prev[[#This Row],[Subtotal Y/N]])=0,0,VLOOKUP(TB_prev[[#This Row],[Synt]],GL[[Account]:[Line]],3,FALSE))</f>
        <v>#VALUE!</v>
      </c>
      <c r="AG768" s="1063" t="e">
        <f>VLOOKUP(TB_prev[[#This Row],[Synt]],GL[[Account]:[B/P]],4,FALSE)</f>
        <v>#N/A</v>
      </c>
      <c r="AH768" s="1066" t="e">
        <v>#VALUE!</v>
      </c>
      <c r="AI768" s="1065" t="e">
        <f>TB_prev[[#This Row],[Synt]]&amp;TB_prev[[#This Row],[Line No. manual corr.]]</f>
        <v>#VALUE!</v>
      </c>
      <c r="AJ768" s="1064">
        <f t="shared" si="56"/>
        <v>0</v>
      </c>
      <c r="AK768" s="1064">
        <f t="shared" si="57"/>
        <v>0</v>
      </c>
      <c r="AL768" s="1064">
        <f t="shared" si="58"/>
        <v>0</v>
      </c>
      <c r="AM768" s="1064">
        <f t="shared" si="59"/>
        <v>0</v>
      </c>
      <c r="AN768" s="1064"/>
      <c r="AO768" s="1064">
        <f>TB_prev[[#This Row],[Closing balance]]+TB_prev[[#This Row],[Rounding]]</f>
        <v>0</v>
      </c>
    </row>
    <row r="769" spans="30:41" x14ac:dyDescent="0.25">
      <c r="AD769" s="1067" t="str">
        <f t="shared" si="55"/>
        <v/>
      </c>
      <c r="AE769" s="1063" t="str">
        <f>IF(ISNA(VLOOKUP(TB_prev[[#This Row],[Synt]],GL[[#Headers],[#Data],[subtotal label]],1,FALSE)),0,(VLOOKUP(TB_prev[[#This Row],[Synt]],GL[[#Headers],[#Data],[subtotal label]],1,FALSE)))</f>
        <v/>
      </c>
      <c r="AF769" s="1063" t="e">
        <f>IF((TB_prev[[#This Row],[Synt]]-TB_prev[[#This Row],[Subtotal Y/N]])=0,0,VLOOKUP(TB_prev[[#This Row],[Synt]],GL[[Account]:[Line]],3,FALSE))</f>
        <v>#VALUE!</v>
      </c>
      <c r="AG769" s="1063" t="e">
        <f>VLOOKUP(TB_prev[[#This Row],[Synt]],GL[[Account]:[B/P]],4,FALSE)</f>
        <v>#N/A</v>
      </c>
      <c r="AH769" s="1066" t="e">
        <v>#VALUE!</v>
      </c>
      <c r="AI769" s="1065" t="e">
        <f>TB_prev[[#This Row],[Synt]]&amp;TB_prev[[#This Row],[Line No. manual corr.]]</f>
        <v>#VALUE!</v>
      </c>
      <c r="AJ769" s="1064">
        <f t="shared" si="56"/>
        <v>0</v>
      </c>
      <c r="AK769" s="1064">
        <f t="shared" si="57"/>
        <v>0</v>
      </c>
      <c r="AL769" s="1064">
        <f t="shared" si="58"/>
        <v>0</v>
      </c>
      <c r="AM769" s="1064">
        <f t="shared" si="59"/>
        <v>0</v>
      </c>
      <c r="AN769" s="1064"/>
      <c r="AO769" s="1064">
        <f>TB_prev[[#This Row],[Closing balance]]+TB_prev[[#This Row],[Rounding]]</f>
        <v>0</v>
      </c>
    </row>
    <row r="770" spans="30:41" x14ac:dyDescent="0.25">
      <c r="AD770" s="1067" t="str">
        <f t="shared" si="55"/>
        <v/>
      </c>
      <c r="AE770" s="1063" t="str">
        <f>IF(ISNA(VLOOKUP(TB_prev[[#This Row],[Synt]],GL[[#Headers],[#Data],[subtotal label]],1,FALSE)),0,(VLOOKUP(TB_prev[[#This Row],[Synt]],GL[[#Headers],[#Data],[subtotal label]],1,FALSE)))</f>
        <v/>
      </c>
      <c r="AF770" s="1063" t="e">
        <f>IF((TB_prev[[#This Row],[Synt]]-TB_prev[[#This Row],[Subtotal Y/N]])=0,0,VLOOKUP(TB_prev[[#This Row],[Synt]],GL[[Account]:[Line]],3,FALSE))</f>
        <v>#VALUE!</v>
      </c>
      <c r="AG770" s="1063" t="e">
        <f>VLOOKUP(TB_prev[[#This Row],[Synt]],GL[[Account]:[B/P]],4,FALSE)</f>
        <v>#N/A</v>
      </c>
      <c r="AH770" s="1066" t="e">
        <v>#VALUE!</v>
      </c>
      <c r="AI770" s="1065" t="e">
        <f>TB_prev[[#This Row],[Synt]]&amp;TB_prev[[#This Row],[Line No. manual corr.]]</f>
        <v>#VALUE!</v>
      </c>
      <c r="AJ770" s="1064">
        <f t="shared" si="56"/>
        <v>0</v>
      </c>
      <c r="AK770" s="1064">
        <f t="shared" si="57"/>
        <v>0</v>
      </c>
      <c r="AL770" s="1064">
        <f t="shared" si="58"/>
        <v>0</v>
      </c>
      <c r="AM770" s="1064">
        <f t="shared" si="59"/>
        <v>0</v>
      </c>
      <c r="AN770" s="1064"/>
      <c r="AO770" s="1064">
        <f>TB_prev[[#This Row],[Closing balance]]+TB_prev[[#This Row],[Rounding]]</f>
        <v>0</v>
      </c>
    </row>
    <row r="771" spans="30:41" x14ac:dyDescent="0.25">
      <c r="AD771" s="1067" t="str">
        <f t="shared" si="55"/>
        <v/>
      </c>
      <c r="AE771" s="1063" t="str">
        <f>IF(ISNA(VLOOKUP(TB_prev[[#This Row],[Synt]],GL[[#Headers],[#Data],[subtotal label]],1,FALSE)),0,(VLOOKUP(TB_prev[[#This Row],[Synt]],GL[[#Headers],[#Data],[subtotal label]],1,FALSE)))</f>
        <v/>
      </c>
      <c r="AF771" s="1063" t="e">
        <f>IF((TB_prev[[#This Row],[Synt]]-TB_prev[[#This Row],[Subtotal Y/N]])=0,0,VLOOKUP(TB_prev[[#This Row],[Synt]],GL[[Account]:[Line]],3,FALSE))</f>
        <v>#VALUE!</v>
      </c>
      <c r="AG771" s="1063" t="e">
        <f>VLOOKUP(TB_prev[[#This Row],[Synt]],GL[[Account]:[B/P]],4,FALSE)</f>
        <v>#N/A</v>
      </c>
      <c r="AH771" s="1066" t="e">
        <v>#VALUE!</v>
      </c>
      <c r="AI771" s="1065" t="e">
        <f>TB_prev[[#This Row],[Synt]]&amp;TB_prev[[#This Row],[Line No. manual corr.]]</f>
        <v>#VALUE!</v>
      </c>
      <c r="AJ771" s="1064">
        <f t="shared" si="56"/>
        <v>0</v>
      </c>
      <c r="AK771" s="1064">
        <f t="shared" si="57"/>
        <v>0</v>
      </c>
      <c r="AL771" s="1064">
        <f t="shared" si="58"/>
        <v>0</v>
      </c>
      <c r="AM771" s="1064">
        <f t="shared" si="59"/>
        <v>0</v>
      </c>
      <c r="AN771" s="1064"/>
      <c r="AO771" s="1064">
        <f>TB_prev[[#This Row],[Closing balance]]+TB_prev[[#This Row],[Rounding]]</f>
        <v>0</v>
      </c>
    </row>
    <row r="772" spans="30:41" x14ac:dyDescent="0.25">
      <c r="AD772" s="1067" t="str">
        <f t="shared" si="55"/>
        <v/>
      </c>
      <c r="AE772" s="1063" t="str">
        <f>IF(ISNA(VLOOKUP(TB_prev[[#This Row],[Synt]],GL[[#Headers],[#Data],[subtotal label]],1,FALSE)),0,(VLOOKUP(TB_prev[[#This Row],[Synt]],GL[[#Headers],[#Data],[subtotal label]],1,FALSE)))</f>
        <v/>
      </c>
      <c r="AF772" s="1063" t="e">
        <f>IF((TB_prev[[#This Row],[Synt]]-TB_prev[[#This Row],[Subtotal Y/N]])=0,0,VLOOKUP(TB_prev[[#This Row],[Synt]],GL[[Account]:[Line]],3,FALSE))</f>
        <v>#VALUE!</v>
      </c>
      <c r="AG772" s="1063" t="e">
        <f>VLOOKUP(TB_prev[[#This Row],[Synt]],GL[[Account]:[B/P]],4,FALSE)</f>
        <v>#N/A</v>
      </c>
      <c r="AH772" s="1066" t="e">
        <v>#VALUE!</v>
      </c>
      <c r="AI772" s="1065" t="e">
        <f>TB_prev[[#This Row],[Synt]]&amp;TB_prev[[#This Row],[Line No. manual corr.]]</f>
        <v>#VALUE!</v>
      </c>
      <c r="AJ772" s="1064">
        <f t="shared" si="56"/>
        <v>0</v>
      </c>
      <c r="AK772" s="1064">
        <f t="shared" si="57"/>
        <v>0</v>
      </c>
      <c r="AL772" s="1064">
        <f t="shared" si="58"/>
        <v>0</v>
      </c>
      <c r="AM772" s="1064">
        <f t="shared" si="59"/>
        <v>0</v>
      </c>
      <c r="AN772" s="1064"/>
      <c r="AO772" s="1064">
        <f>TB_prev[[#This Row],[Closing balance]]+TB_prev[[#This Row],[Rounding]]</f>
        <v>0</v>
      </c>
    </row>
    <row r="773" spans="30:41" x14ac:dyDescent="0.25">
      <c r="AD773" s="1067" t="str">
        <f t="shared" si="55"/>
        <v/>
      </c>
      <c r="AE773" s="1063" t="str">
        <f>IF(ISNA(VLOOKUP(TB_prev[[#This Row],[Synt]],GL[[#Headers],[#Data],[subtotal label]],1,FALSE)),0,(VLOOKUP(TB_prev[[#This Row],[Synt]],GL[[#Headers],[#Data],[subtotal label]],1,FALSE)))</f>
        <v/>
      </c>
      <c r="AF773" s="1063" t="e">
        <f>IF((TB_prev[[#This Row],[Synt]]-TB_prev[[#This Row],[Subtotal Y/N]])=0,0,VLOOKUP(TB_prev[[#This Row],[Synt]],GL[[Account]:[Line]],3,FALSE))</f>
        <v>#VALUE!</v>
      </c>
      <c r="AG773" s="1063" t="e">
        <f>VLOOKUP(TB_prev[[#This Row],[Synt]],GL[[Account]:[B/P]],4,FALSE)</f>
        <v>#N/A</v>
      </c>
      <c r="AH773" s="1066" t="e">
        <v>#VALUE!</v>
      </c>
      <c r="AI773" s="1065" t="e">
        <f>TB_prev[[#This Row],[Synt]]&amp;TB_prev[[#This Row],[Line No. manual corr.]]</f>
        <v>#VALUE!</v>
      </c>
      <c r="AJ773" s="1064">
        <f t="shared" si="56"/>
        <v>0</v>
      </c>
      <c r="AK773" s="1064">
        <f t="shared" si="57"/>
        <v>0</v>
      </c>
      <c r="AL773" s="1064">
        <f t="shared" si="58"/>
        <v>0</v>
      </c>
      <c r="AM773" s="1064">
        <f t="shared" si="59"/>
        <v>0</v>
      </c>
      <c r="AN773" s="1064"/>
      <c r="AO773" s="1064">
        <f>TB_prev[[#This Row],[Closing balance]]+TB_prev[[#This Row],[Rounding]]</f>
        <v>0</v>
      </c>
    </row>
    <row r="774" spans="30:41" x14ac:dyDescent="0.25">
      <c r="AD774" s="1067" t="str">
        <f t="shared" si="55"/>
        <v/>
      </c>
      <c r="AE774" s="1063" t="str">
        <f>IF(ISNA(VLOOKUP(TB_prev[[#This Row],[Synt]],GL[[#Headers],[#Data],[subtotal label]],1,FALSE)),0,(VLOOKUP(TB_prev[[#This Row],[Synt]],GL[[#Headers],[#Data],[subtotal label]],1,FALSE)))</f>
        <v/>
      </c>
      <c r="AF774" s="1063" t="e">
        <f>IF((TB_prev[[#This Row],[Synt]]-TB_prev[[#This Row],[Subtotal Y/N]])=0,0,VLOOKUP(TB_prev[[#This Row],[Synt]],GL[[Account]:[Line]],3,FALSE))</f>
        <v>#VALUE!</v>
      </c>
      <c r="AG774" s="1063" t="e">
        <f>VLOOKUP(TB_prev[[#This Row],[Synt]],GL[[Account]:[B/P]],4,FALSE)</f>
        <v>#N/A</v>
      </c>
      <c r="AH774" s="1066" t="e">
        <v>#VALUE!</v>
      </c>
      <c r="AI774" s="1065" t="e">
        <f>TB_prev[[#This Row],[Synt]]&amp;TB_prev[[#This Row],[Line No. manual corr.]]</f>
        <v>#VALUE!</v>
      </c>
      <c r="AJ774" s="1064">
        <f t="shared" si="56"/>
        <v>0</v>
      </c>
      <c r="AK774" s="1064">
        <f t="shared" si="57"/>
        <v>0</v>
      </c>
      <c r="AL774" s="1064">
        <f t="shared" si="58"/>
        <v>0</v>
      </c>
      <c r="AM774" s="1064">
        <f t="shared" si="59"/>
        <v>0</v>
      </c>
      <c r="AN774" s="1064"/>
      <c r="AO774" s="1064">
        <f>TB_prev[[#This Row],[Closing balance]]+TB_prev[[#This Row],[Rounding]]</f>
        <v>0</v>
      </c>
    </row>
    <row r="775" spans="30:41" x14ac:dyDescent="0.25">
      <c r="AD775" s="1067" t="str">
        <f t="shared" si="55"/>
        <v/>
      </c>
      <c r="AE775" s="1063" t="str">
        <f>IF(ISNA(VLOOKUP(TB_prev[[#This Row],[Synt]],GL[[#Headers],[#Data],[subtotal label]],1,FALSE)),0,(VLOOKUP(TB_prev[[#This Row],[Synt]],GL[[#Headers],[#Data],[subtotal label]],1,FALSE)))</f>
        <v/>
      </c>
      <c r="AF775" s="1063" t="e">
        <f>IF((TB_prev[[#This Row],[Synt]]-TB_prev[[#This Row],[Subtotal Y/N]])=0,0,VLOOKUP(TB_prev[[#This Row],[Synt]],GL[[Account]:[Line]],3,FALSE))</f>
        <v>#VALUE!</v>
      </c>
      <c r="AG775" s="1063" t="e">
        <f>VLOOKUP(TB_prev[[#This Row],[Synt]],GL[[Account]:[B/P]],4,FALSE)</f>
        <v>#N/A</v>
      </c>
      <c r="AH775" s="1066" t="e">
        <v>#VALUE!</v>
      </c>
      <c r="AI775" s="1065" t="e">
        <f>TB_prev[[#This Row],[Synt]]&amp;TB_prev[[#This Row],[Line No. manual corr.]]</f>
        <v>#VALUE!</v>
      </c>
      <c r="AJ775" s="1064">
        <f t="shared" si="56"/>
        <v>0</v>
      </c>
      <c r="AK775" s="1064">
        <f t="shared" si="57"/>
        <v>0</v>
      </c>
      <c r="AL775" s="1064">
        <f t="shared" si="58"/>
        <v>0</v>
      </c>
      <c r="AM775" s="1064">
        <f t="shared" si="59"/>
        <v>0</v>
      </c>
      <c r="AN775" s="1064"/>
      <c r="AO775" s="1064">
        <f>TB_prev[[#This Row],[Closing balance]]+TB_prev[[#This Row],[Rounding]]</f>
        <v>0</v>
      </c>
    </row>
    <row r="776" spans="30:41" x14ac:dyDescent="0.25">
      <c r="AD776" s="1067" t="str">
        <f t="shared" ref="AD776:AD839" si="60">LEFT(B776,3)</f>
        <v/>
      </c>
      <c r="AE776" s="1063" t="str">
        <f>IF(ISNA(VLOOKUP(TB_prev[[#This Row],[Synt]],GL[[#Headers],[#Data],[subtotal label]],1,FALSE)),0,(VLOOKUP(TB_prev[[#This Row],[Synt]],GL[[#Headers],[#Data],[subtotal label]],1,FALSE)))</f>
        <v/>
      </c>
      <c r="AF776" s="1063" t="e">
        <f>IF((TB_prev[[#This Row],[Synt]]-TB_prev[[#This Row],[Subtotal Y/N]])=0,0,VLOOKUP(TB_prev[[#This Row],[Synt]],GL[[Account]:[Line]],3,FALSE))</f>
        <v>#VALUE!</v>
      </c>
      <c r="AG776" s="1063" t="e">
        <f>VLOOKUP(TB_prev[[#This Row],[Synt]],GL[[Account]:[B/P]],4,FALSE)</f>
        <v>#N/A</v>
      </c>
      <c r="AH776" s="1066" t="e">
        <v>#VALUE!</v>
      </c>
      <c r="AI776" s="1065" t="e">
        <f>TB_prev[[#This Row],[Synt]]&amp;TB_prev[[#This Row],[Line No. manual corr.]]</f>
        <v>#VALUE!</v>
      </c>
      <c r="AJ776" s="1064">
        <f t="shared" ref="AJ776:AJ839" si="61">K776-N776</f>
        <v>0</v>
      </c>
      <c r="AK776" s="1064">
        <f t="shared" ref="AK776:AK839" si="62">Q776</f>
        <v>0</v>
      </c>
      <c r="AL776" s="1064">
        <f t="shared" ref="AL776:AL839" si="63">U776</f>
        <v>0</v>
      </c>
      <c r="AM776" s="1064">
        <f t="shared" ref="AM776:AM839" si="64">X776-AB776</f>
        <v>0</v>
      </c>
      <c r="AN776" s="1064"/>
      <c r="AO776" s="1064">
        <f>TB_prev[[#This Row],[Closing balance]]+TB_prev[[#This Row],[Rounding]]</f>
        <v>0</v>
      </c>
    </row>
    <row r="777" spans="30:41" x14ac:dyDescent="0.25">
      <c r="AD777" s="1067" t="str">
        <f t="shared" si="60"/>
        <v/>
      </c>
      <c r="AE777" s="1063" t="str">
        <f>IF(ISNA(VLOOKUP(TB_prev[[#This Row],[Synt]],GL[[#Headers],[#Data],[subtotal label]],1,FALSE)),0,(VLOOKUP(TB_prev[[#This Row],[Synt]],GL[[#Headers],[#Data],[subtotal label]],1,FALSE)))</f>
        <v/>
      </c>
      <c r="AF777" s="1063" t="e">
        <f>IF((TB_prev[[#This Row],[Synt]]-TB_prev[[#This Row],[Subtotal Y/N]])=0,0,VLOOKUP(TB_prev[[#This Row],[Synt]],GL[[Account]:[Line]],3,FALSE))</f>
        <v>#VALUE!</v>
      </c>
      <c r="AG777" s="1063" t="e">
        <f>VLOOKUP(TB_prev[[#This Row],[Synt]],GL[[Account]:[B/P]],4,FALSE)</f>
        <v>#N/A</v>
      </c>
      <c r="AH777" s="1066" t="e">
        <v>#VALUE!</v>
      </c>
      <c r="AI777" s="1065" t="e">
        <f>TB_prev[[#This Row],[Synt]]&amp;TB_prev[[#This Row],[Line No. manual corr.]]</f>
        <v>#VALUE!</v>
      </c>
      <c r="AJ777" s="1064">
        <f t="shared" si="61"/>
        <v>0</v>
      </c>
      <c r="AK777" s="1064">
        <f t="shared" si="62"/>
        <v>0</v>
      </c>
      <c r="AL777" s="1064">
        <f t="shared" si="63"/>
        <v>0</v>
      </c>
      <c r="AM777" s="1064">
        <f t="shared" si="64"/>
        <v>0</v>
      </c>
      <c r="AN777" s="1064"/>
      <c r="AO777" s="1064">
        <f>TB_prev[[#This Row],[Closing balance]]+TB_prev[[#This Row],[Rounding]]</f>
        <v>0</v>
      </c>
    </row>
    <row r="778" spans="30:41" x14ac:dyDescent="0.25">
      <c r="AD778" s="1067" t="str">
        <f t="shared" si="60"/>
        <v/>
      </c>
      <c r="AE778" s="1063" t="str">
        <f>IF(ISNA(VLOOKUP(TB_prev[[#This Row],[Synt]],GL[[#Headers],[#Data],[subtotal label]],1,FALSE)),0,(VLOOKUP(TB_prev[[#This Row],[Synt]],GL[[#Headers],[#Data],[subtotal label]],1,FALSE)))</f>
        <v/>
      </c>
      <c r="AF778" s="1063" t="e">
        <f>IF((TB_prev[[#This Row],[Synt]]-TB_prev[[#This Row],[Subtotal Y/N]])=0,0,VLOOKUP(TB_prev[[#This Row],[Synt]],GL[[Account]:[Line]],3,FALSE))</f>
        <v>#VALUE!</v>
      </c>
      <c r="AG778" s="1063" t="e">
        <f>VLOOKUP(TB_prev[[#This Row],[Synt]],GL[[Account]:[B/P]],4,FALSE)</f>
        <v>#N/A</v>
      </c>
      <c r="AH778" s="1066" t="e">
        <v>#VALUE!</v>
      </c>
      <c r="AI778" s="1065" t="e">
        <f>TB_prev[[#This Row],[Synt]]&amp;TB_prev[[#This Row],[Line No. manual corr.]]</f>
        <v>#VALUE!</v>
      </c>
      <c r="AJ778" s="1064">
        <f t="shared" si="61"/>
        <v>0</v>
      </c>
      <c r="AK778" s="1064">
        <f t="shared" si="62"/>
        <v>0</v>
      </c>
      <c r="AL778" s="1064">
        <f t="shared" si="63"/>
        <v>0</v>
      </c>
      <c r="AM778" s="1064">
        <f t="shared" si="64"/>
        <v>0</v>
      </c>
      <c r="AN778" s="1064"/>
      <c r="AO778" s="1064">
        <f>TB_prev[[#This Row],[Closing balance]]+TB_prev[[#This Row],[Rounding]]</f>
        <v>0</v>
      </c>
    </row>
    <row r="779" spans="30:41" x14ac:dyDescent="0.25">
      <c r="AD779" s="1067" t="str">
        <f t="shared" si="60"/>
        <v/>
      </c>
      <c r="AE779" s="1063" t="str">
        <f>IF(ISNA(VLOOKUP(TB_prev[[#This Row],[Synt]],GL[[#Headers],[#Data],[subtotal label]],1,FALSE)),0,(VLOOKUP(TB_prev[[#This Row],[Synt]],GL[[#Headers],[#Data],[subtotal label]],1,FALSE)))</f>
        <v/>
      </c>
      <c r="AF779" s="1063" t="e">
        <f>IF((TB_prev[[#This Row],[Synt]]-TB_prev[[#This Row],[Subtotal Y/N]])=0,0,VLOOKUP(TB_prev[[#This Row],[Synt]],GL[[Account]:[Line]],3,FALSE))</f>
        <v>#VALUE!</v>
      </c>
      <c r="AG779" s="1063" t="e">
        <f>VLOOKUP(TB_prev[[#This Row],[Synt]],GL[[Account]:[B/P]],4,FALSE)</f>
        <v>#N/A</v>
      </c>
      <c r="AH779" s="1066" t="e">
        <v>#VALUE!</v>
      </c>
      <c r="AI779" s="1065" t="e">
        <f>TB_prev[[#This Row],[Synt]]&amp;TB_prev[[#This Row],[Line No. manual corr.]]</f>
        <v>#VALUE!</v>
      </c>
      <c r="AJ779" s="1064">
        <f t="shared" si="61"/>
        <v>0</v>
      </c>
      <c r="AK779" s="1064">
        <f t="shared" si="62"/>
        <v>0</v>
      </c>
      <c r="AL779" s="1064">
        <f t="shared" si="63"/>
        <v>0</v>
      </c>
      <c r="AM779" s="1064">
        <f t="shared" si="64"/>
        <v>0</v>
      </c>
      <c r="AN779" s="1064"/>
      <c r="AO779" s="1064">
        <f>TB_prev[[#This Row],[Closing balance]]+TB_prev[[#This Row],[Rounding]]</f>
        <v>0</v>
      </c>
    </row>
    <row r="780" spans="30:41" x14ac:dyDescent="0.25">
      <c r="AD780" s="1067" t="str">
        <f t="shared" si="60"/>
        <v/>
      </c>
      <c r="AE780" s="1063" t="str">
        <f>IF(ISNA(VLOOKUP(TB_prev[[#This Row],[Synt]],GL[[#Headers],[#Data],[subtotal label]],1,FALSE)),0,(VLOOKUP(TB_prev[[#This Row],[Synt]],GL[[#Headers],[#Data],[subtotal label]],1,FALSE)))</f>
        <v/>
      </c>
      <c r="AF780" s="1063" t="e">
        <f>IF((TB_prev[[#This Row],[Synt]]-TB_prev[[#This Row],[Subtotal Y/N]])=0,0,VLOOKUP(TB_prev[[#This Row],[Synt]],GL[[Account]:[Line]],3,FALSE))</f>
        <v>#VALUE!</v>
      </c>
      <c r="AG780" s="1063" t="e">
        <f>VLOOKUP(TB_prev[[#This Row],[Synt]],GL[[Account]:[B/P]],4,FALSE)</f>
        <v>#N/A</v>
      </c>
      <c r="AH780" s="1066" t="e">
        <v>#VALUE!</v>
      </c>
      <c r="AI780" s="1065" t="e">
        <f>TB_prev[[#This Row],[Synt]]&amp;TB_prev[[#This Row],[Line No. manual corr.]]</f>
        <v>#VALUE!</v>
      </c>
      <c r="AJ780" s="1064">
        <f t="shared" si="61"/>
        <v>0</v>
      </c>
      <c r="AK780" s="1064">
        <f t="shared" si="62"/>
        <v>0</v>
      </c>
      <c r="AL780" s="1064">
        <f t="shared" si="63"/>
        <v>0</v>
      </c>
      <c r="AM780" s="1064">
        <f t="shared" si="64"/>
        <v>0</v>
      </c>
      <c r="AN780" s="1064"/>
      <c r="AO780" s="1064">
        <f>TB_prev[[#This Row],[Closing balance]]+TB_prev[[#This Row],[Rounding]]</f>
        <v>0</v>
      </c>
    </row>
    <row r="781" spans="30:41" x14ac:dyDescent="0.25">
      <c r="AD781" s="1067" t="str">
        <f t="shared" si="60"/>
        <v/>
      </c>
      <c r="AE781" s="1063" t="str">
        <f>IF(ISNA(VLOOKUP(TB_prev[[#This Row],[Synt]],GL[[#Headers],[#Data],[subtotal label]],1,FALSE)),0,(VLOOKUP(TB_prev[[#This Row],[Synt]],GL[[#Headers],[#Data],[subtotal label]],1,FALSE)))</f>
        <v/>
      </c>
      <c r="AF781" s="1063" t="e">
        <f>IF((TB_prev[[#This Row],[Synt]]-TB_prev[[#This Row],[Subtotal Y/N]])=0,0,VLOOKUP(TB_prev[[#This Row],[Synt]],GL[[Account]:[Line]],3,FALSE))</f>
        <v>#VALUE!</v>
      </c>
      <c r="AG781" s="1063" t="e">
        <f>VLOOKUP(TB_prev[[#This Row],[Synt]],GL[[Account]:[B/P]],4,FALSE)</f>
        <v>#N/A</v>
      </c>
      <c r="AH781" s="1066" t="e">
        <v>#VALUE!</v>
      </c>
      <c r="AI781" s="1065" t="e">
        <f>TB_prev[[#This Row],[Synt]]&amp;TB_prev[[#This Row],[Line No. manual corr.]]</f>
        <v>#VALUE!</v>
      </c>
      <c r="AJ781" s="1064">
        <f t="shared" si="61"/>
        <v>0</v>
      </c>
      <c r="AK781" s="1064">
        <f t="shared" si="62"/>
        <v>0</v>
      </c>
      <c r="AL781" s="1064">
        <f t="shared" si="63"/>
        <v>0</v>
      </c>
      <c r="AM781" s="1064">
        <f t="shared" si="64"/>
        <v>0</v>
      </c>
      <c r="AN781" s="1064"/>
      <c r="AO781" s="1064">
        <f>TB_prev[[#This Row],[Closing balance]]+TB_prev[[#This Row],[Rounding]]</f>
        <v>0</v>
      </c>
    </row>
    <row r="782" spans="30:41" x14ac:dyDescent="0.25">
      <c r="AD782" s="1067" t="str">
        <f t="shared" si="60"/>
        <v/>
      </c>
      <c r="AE782" s="1063" t="str">
        <f>IF(ISNA(VLOOKUP(TB_prev[[#This Row],[Synt]],GL[[#Headers],[#Data],[subtotal label]],1,FALSE)),0,(VLOOKUP(TB_prev[[#This Row],[Synt]],GL[[#Headers],[#Data],[subtotal label]],1,FALSE)))</f>
        <v/>
      </c>
      <c r="AF782" s="1063" t="e">
        <f>IF((TB_prev[[#This Row],[Synt]]-TB_prev[[#This Row],[Subtotal Y/N]])=0,0,VLOOKUP(TB_prev[[#This Row],[Synt]],GL[[Account]:[Line]],3,FALSE))</f>
        <v>#VALUE!</v>
      </c>
      <c r="AG782" s="1063" t="e">
        <f>VLOOKUP(TB_prev[[#This Row],[Synt]],GL[[Account]:[B/P]],4,FALSE)</f>
        <v>#N/A</v>
      </c>
      <c r="AH782" s="1066" t="e">
        <v>#VALUE!</v>
      </c>
      <c r="AI782" s="1065" t="e">
        <f>TB_prev[[#This Row],[Synt]]&amp;TB_prev[[#This Row],[Line No. manual corr.]]</f>
        <v>#VALUE!</v>
      </c>
      <c r="AJ782" s="1064">
        <f t="shared" si="61"/>
        <v>0</v>
      </c>
      <c r="AK782" s="1064">
        <f t="shared" si="62"/>
        <v>0</v>
      </c>
      <c r="AL782" s="1064">
        <f t="shared" si="63"/>
        <v>0</v>
      </c>
      <c r="AM782" s="1064">
        <f t="shared" si="64"/>
        <v>0</v>
      </c>
      <c r="AN782" s="1064"/>
      <c r="AO782" s="1064">
        <f>TB_prev[[#This Row],[Closing balance]]+TB_prev[[#This Row],[Rounding]]</f>
        <v>0</v>
      </c>
    </row>
    <row r="783" spans="30:41" x14ac:dyDescent="0.25">
      <c r="AD783" s="1067" t="str">
        <f t="shared" si="60"/>
        <v/>
      </c>
      <c r="AE783" s="1063" t="str">
        <f>IF(ISNA(VLOOKUP(TB_prev[[#This Row],[Synt]],GL[[#Headers],[#Data],[subtotal label]],1,FALSE)),0,(VLOOKUP(TB_prev[[#This Row],[Synt]],GL[[#Headers],[#Data],[subtotal label]],1,FALSE)))</f>
        <v/>
      </c>
      <c r="AF783" s="1063" t="e">
        <f>IF((TB_prev[[#This Row],[Synt]]-TB_prev[[#This Row],[Subtotal Y/N]])=0,0,VLOOKUP(TB_prev[[#This Row],[Synt]],GL[[Account]:[Line]],3,FALSE))</f>
        <v>#VALUE!</v>
      </c>
      <c r="AG783" s="1063" t="e">
        <f>VLOOKUP(TB_prev[[#This Row],[Synt]],GL[[Account]:[B/P]],4,FALSE)</f>
        <v>#N/A</v>
      </c>
      <c r="AH783" s="1066" t="e">
        <v>#VALUE!</v>
      </c>
      <c r="AI783" s="1065" t="e">
        <f>TB_prev[[#This Row],[Synt]]&amp;TB_prev[[#This Row],[Line No. manual corr.]]</f>
        <v>#VALUE!</v>
      </c>
      <c r="AJ783" s="1064">
        <f t="shared" si="61"/>
        <v>0</v>
      </c>
      <c r="AK783" s="1064">
        <f t="shared" si="62"/>
        <v>0</v>
      </c>
      <c r="AL783" s="1064">
        <f t="shared" si="63"/>
        <v>0</v>
      </c>
      <c r="AM783" s="1064">
        <f t="shared" si="64"/>
        <v>0</v>
      </c>
      <c r="AN783" s="1064"/>
      <c r="AO783" s="1064">
        <f>TB_prev[[#This Row],[Closing balance]]+TB_prev[[#This Row],[Rounding]]</f>
        <v>0</v>
      </c>
    </row>
    <row r="784" spans="30:41" x14ac:dyDescent="0.25">
      <c r="AD784" s="1067" t="str">
        <f t="shared" si="60"/>
        <v/>
      </c>
      <c r="AE784" s="1063" t="str">
        <f>IF(ISNA(VLOOKUP(TB_prev[[#This Row],[Synt]],GL[[#Headers],[#Data],[subtotal label]],1,FALSE)),0,(VLOOKUP(TB_prev[[#This Row],[Synt]],GL[[#Headers],[#Data],[subtotal label]],1,FALSE)))</f>
        <v/>
      </c>
      <c r="AF784" s="1063" t="e">
        <f>IF((TB_prev[[#This Row],[Synt]]-TB_prev[[#This Row],[Subtotal Y/N]])=0,0,VLOOKUP(TB_prev[[#This Row],[Synt]],GL[[Account]:[Line]],3,FALSE))</f>
        <v>#VALUE!</v>
      </c>
      <c r="AG784" s="1063" t="e">
        <f>VLOOKUP(TB_prev[[#This Row],[Synt]],GL[[Account]:[B/P]],4,FALSE)</f>
        <v>#N/A</v>
      </c>
      <c r="AH784" s="1066" t="e">
        <v>#VALUE!</v>
      </c>
      <c r="AI784" s="1065" t="e">
        <f>TB_prev[[#This Row],[Synt]]&amp;TB_prev[[#This Row],[Line No. manual corr.]]</f>
        <v>#VALUE!</v>
      </c>
      <c r="AJ784" s="1064">
        <f t="shared" si="61"/>
        <v>0</v>
      </c>
      <c r="AK784" s="1064">
        <f t="shared" si="62"/>
        <v>0</v>
      </c>
      <c r="AL784" s="1064">
        <f t="shared" si="63"/>
        <v>0</v>
      </c>
      <c r="AM784" s="1064">
        <f t="shared" si="64"/>
        <v>0</v>
      </c>
      <c r="AN784" s="1064"/>
      <c r="AO784" s="1064">
        <f>TB_prev[[#This Row],[Closing balance]]+TB_prev[[#This Row],[Rounding]]</f>
        <v>0</v>
      </c>
    </row>
    <row r="785" spans="30:41" x14ac:dyDescent="0.25">
      <c r="AD785" s="1067" t="str">
        <f t="shared" si="60"/>
        <v/>
      </c>
      <c r="AE785" s="1063" t="str">
        <f>IF(ISNA(VLOOKUP(TB_prev[[#This Row],[Synt]],GL[[#Headers],[#Data],[subtotal label]],1,FALSE)),0,(VLOOKUP(TB_prev[[#This Row],[Synt]],GL[[#Headers],[#Data],[subtotal label]],1,FALSE)))</f>
        <v/>
      </c>
      <c r="AF785" s="1063" t="e">
        <f>IF((TB_prev[[#This Row],[Synt]]-TB_prev[[#This Row],[Subtotal Y/N]])=0,0,VLOOKUP(TB_prev[[#This Row],[Synt]],GL[[Account]:[Line]],3,FALSE))</f>
        <v>#VALUE!</v>
      </c>
      <c r="AG785" s="1063" t="e">
        <f>VLOOKUP(TB_prev[[#This Row],[Synt]],GL[[Account]:[B/P]],4,FALSE)</f>
        <v>#N/A</v>
      </c>
      <c r="AH785" s="1066" t="e">
        <v>#VALUE!</v>
      </c>
      <c r="AI785" s="1065" t="e">
        <f>TB_prev[[#This Row],[Synt]]&amp;TB_prev[[#This Row],[Line No. manual corr.]]</f>
        <v>#VALUE!</v>
      </c>
      <c r="AJ785" s="1064">
        <f t="shared" si="61"/>
        <v>0</v>
      </c>
      <c r="AK785" s="1064">
        <f t="shared" si="62"/>
        <v>0</v>
      </c>
      <c r="AL785" s="1064">
        <f t="shared" si="63"/>
        <v>0</v>
      </c>
      <c r="AM785" s="1064">
        <f t="shared" si="64"/>
        <v>0</v>
      </c>
      <c r="AN785" s="1064"/>
      <c r="AO785" s="1064">
        <f>TB_prev[[#This Row],[Closing balance]]+TB_prev[[#This Row],[Rounding]]</f>
        <v>0</v>
      </c>
    </row>
    <row r="786" spans="30:41" x14ac:dyDescent="0.25">
      <c r="AD786" s="1067" t="str">
        <f t="shared" si="60"/>
        <v/>
      </c>
      <c r="AE786" s="1063" t="str">
        <f>IF(ISNA(VLOOKUP(TB_prev[[#This Row],[Synt]],GL[[#Headers],[#Data],[subtotal label]],1,FALSE)),0,(VLOOKUP(TB_prev[[#This Row],[Synt]],GL[[#Headers],[#Data],[subtotal label]],1,FALSE)))</f>
        <v/>
      </c>
      <c r="AF786" s="1063" t="e">
        <f>IF((TB_prev[[#This Row],[Synt]]-TB_prev[[#This Row],[Subtotal Y/N]])=0,0,VLOOKUP(TB_prev[[#This Row],[Synt]],GL[[Account]:[Line]],3,FALSE))</f>
        <v>#VALUE!</v>
      </c>
      <c r="AG786" s="1063" t="e">
        <f>VLOOKUP(TB_prev[[#This Row],[Synt]],GL[[Account]:[B/P]],4,FALSE)</f>
        <v>#N/A</v>
      </c>
      <c r="AH786" s="1066" t="e">
        <v>#VALUE!</v>
      </c>
      <c r="AI786" s="1065" t="e">
        <f>TB_prev[[#This Row],[Synt]]&amp;TB_prev[[#This Row],[Line No. manual corr.]]</f>
        <v>#VALUE!</v>
      </c>
      <c r="AJ786" s="1064">
        <f t="shared" si="61"/>
        <v>0</v>
      </c>
      <c r="AK786" s="1064">
        <f t="shared" si="62"/>
        <v>0</v>
      </c>
      <c r="AL786" s="1064">
        <f t="shared" si="63"/>
        <v>0</v>
      </c>
      <c r="AM786" s="1064">
        <f t="shared" si="64"/>
        <v>0</v>
      </c>
      <c r="AN786" s="1064"/>
      <c r="AO786" s="1064">
        <f>TB_prev[[#This Row],[Closing balance]]+TB_prev[[#This Row],[Rounding]]</f>
        <v>0</v>
      </c>
    </row>
    <row r="787" spans="30:41" x14ac:dyDescent="0.25">
      <c r="AD787" s="1067" t="str">
        <f t="shared" si="60"/>
        <v/>
      </c>
      <c r="AE787" s="1063" t="str">
        <f>IF(ISNA(VLOOKUP(TB_prev[[#This Row],[Synt]],GL[[#Headers],[#Data],[subtotal label]],1,FALSE)),0,(VLOOKUP(TB_prev[[#This Row],[Synt]],GL[[#Headers],[#Data],[subtotal label]],1,FALSE)))</f>
        <v/>
      </c>
      <c r="AF787" s="1063" t="e">
        <f>IF((TB_prev[[#This Row],[Synt]]-TB_prev[[#This Row],[Subtotal Y/N]])=0,0,VLOOKUP(TB_prev[[#This Row],[Synt]],GL[[Account]:[Line]],3,FALSE))</f>
        <v>#VALUE!</v>
      </c>
      <c r="AG787" s="1063" t="e">
        <f>VLOOKUP(TB_prev[[#This Row],[Synt]],GL[[Account]:[B/P]],4,FALSE)</f>
        <v>#N/A</v>
      </c>
      <c r="AH787" s="1066" t="e">
        <v>#VALUE!</v>
      </c>
      <c r="AI787" s="1065" t="e">
        <f>TB_prev[[#This Row],[Synt]]&amp;TB_prev[[#This Row],[Line No. manual corr.]]</f>
        <v>#VALUE!</v>
      </c>
      <c r="AJ787" s="1064">
        <f t="shared" si="61"/>
        <v>0</v>
      </c>
      <c r="AK787" s="1064">
        <f t="shared" si="62"/>
        <v>0</v>
      </c>
      <c r="AL787" s="1064">
        <f t="shared" si="63"/>
        <v>0</v>
      </c>
      <c r="AM787" s="1064">
        <f t="shared" si="64"/>
        <v>0</v>
      </c>
      <c r="AN787" s="1064"/>
      <c r="AO787" s="1064">
        <f>TB_prev[[#This Row],[Closing balance]]+TB_prev[[#This Row],[Rounding]]</f>
        <v>0</v>
      </c>
    </row>
    <row r="788" spans="30:41" x14ac:dyDescent="0.25">
      <c r="AD788" s="1067" t="str">
        <f t="shared" si="60"/>
        <v/>
      </c>
      <c r="AE788" s="1063" t="str">
        <f>IF(ISNA(VLOOKUP(TB_prev[[#This Row],[Synt]],GL[[#Headers],[#Data],[subtotal label]],1,FALSE)),0,(VLOOKUP(TB_prev[[#This Row],[Synt]],GL[[#Headers],[#Data],[subtotal label]],1,FALSE)))</f>
        <v/>
      </c>
      <c r="AF788" s="1063" t="e">
        <f>IF((TB_prev[[#This Row],[Synt]]-TB_prev[[#This Row],[Subtotal Y/N]])=0,0,VLOOKUP(TB_prev[[#This Row],[Synt]],GL[[Account]:[Line]],3,FALSE))</f>
        <v>#VALUE!</v>
      </c>
      <c r="AG788" s="1063" t="e">
        <f>VLOOKUP(TB_prev[[#This Row],[Synt]],GL[[Account]:[B/P]],4,FALSE)</f>
        <v>#N/A</v>
      </c>
      <c r="AH788" s="1066" t="e">
        <v>#VALUE!</v>
      </c>
      <c r="AI788" s="1065" t="e">
        <f>TB_prev[[#This Row],[Synt]]&amp;TB_prev[[#This Row],[Line No. manual corr.]]</f>
        <v>#VALUE!</v>
      </c>
      <c r="AJ788" s="1064">
        <f t="shared" si="61"/>
        <v>0</v>
      </c>
      <c r="AK788" s="1064">
        <f t="shared" si="62"/>
        <v>0</v>
      </c>
      <c r="AL788" s="1064">
        <f t="shared" si="63"/>
        <v>0</v>
      </c>
      <c r="AM788" s="1064">
        <f t="shared" si="64"/>
        <v>0</v>
      </c>
      <c r="AN788" s="1064"/>
      <c r="AO788" s="1064">
        <f>TB_prev[[#This Row],[Closing balance]]+TB_prev[[#This Row],[Rounding]]</f>
        <v>0</v>
      </c>
    </row>
    <row r="789" spans="30:41" x14ac:dyDescent="0.25">
      <c r="AD789" s="1067" t="str">
        <f t="shared" si="60"/>
        <v/>
      </c>
      <c r="AE789" s="1063" t="str">
        <f>IF(ISNA(VLOOKUP(TB_prev[[#This Row],[Synt]],GL[[#Headers],[#Data],[subtotal label]],1,FALSE)),0,(VLOOKUP(TB_prev[[#This Row],[Synt]],GL[[#Headers],[#Data],[subtotal label]],1,FALSE)))</f>
        <v/>
      </c>
      <c r="AF789" s="1063" t="e">
        <f>IF((TB_prev[[#This Row],[Synt]]-TB_prev[[#This Row],[Subtotal Y/N]])=0,0,VLOOKUP(TB_prev[[#This Row],[Synt]],GL[[Account]:[Line]],3,FALSE))</f>
        <v>#VALUE!</v>
      </c>
      <c r="AG789" s="1063" t="e">
        <f>VLOOKUP(TB_prev[[#This Row],[Synt]],GL[[Account]:[B/P]],4,FALSE)</f>
        <v>#N/A</v>
      </c>
      <c r="AH789" s="1066" t="e">
        <v>#VALUE!</v>
      </c>
      <c r="AI789" s="1065" t="e">
        <f>TB_prev[[#This Row],[Synt]]&amp;TB_prev[[#This Row],[Line No. manual corr.]]</f>
        <v>#VALUE!</v>
      </c>
      <c r="AJ789" s="1064">
        <f t="shared" si="61"/>
        <v>0</v>
      </c>
      <c r="AK789" s="1064">
        <f t="shared" si="62"/>
        <v>0</v>
      </c>
      <c r="AL789" s="1064">
        <f t="shared" si="63"/>
        <v>0</v>
      </c>
      <c r="AM789" s="1064">
        <f t="shared" si="64"/>
        <v>0</v>
      </c>
      <c r="AN789" s="1064"/>
      <c r="AO789" s="1064">
        <f>TB_prev[[#This Row],[Closing balance]]+TB_prev[[#This Row],[Rounding]]</f>
        <v>0</v>
      </c>
    </row>
    <row r="790" spans="30:41" x14ac:dyDescent="0.25">
      <c r="AD790" s="1067" t="str">
        <f t="shared" si="60"/>
        <v/>
      </c>
      <c r="AE790" s="1063" t="str">
        <f>IF(ISNA(VLOOKUP(TB_prev[[#This Row],[Synt]],GL[[#Headers],[#Data],[subtotal label]],1,FALSE)),0,(VLOOKUP(TB_prev[[#This Row],[Synt]],GL[[#Headers],[#Data],[subtotal label]],1,FALSE)))</f>
        <v/>
      </c>
      <c r="AF790" s="1063" t="e">
        <f>IF((TB_prev[[#This Row],[Synt]]-TB_prev[[#This Row],[Subtotal Y/N]])=0,0,VLOOKUP(TB_prev[[#This Row],[Synt]],GL[[Account]:[Line]],3,FALSE))</f>
        <v>#VALUE!</v>
      </c>
      <c r="AG790" s="1063" t="e">
        <f>VLOOKUP(TB_prev[[#This Row],[Synt]],GL[[Account]:[B/P]],4,FALSE)</f>
        <v>#N/A</v>
      </c>
      <c r="AH790" s="1066" t="e">
        <v>#VALUE!</v>
      </c>
      <c r="AI790" s="1065" t="e">
        <f>TB_prev[[#This Row],[Synt]]&amp;TB_prev[[#This Row],[Line No. manual corr.]]</f>
        <v>#VALUE!</v>
      </c>
      <c r="AJ790" s="1064">
        <f t="shared" si="61"/>
        <v>0</v>
      </c>
      <c r="AK790" s="1064">
        <f t="shared" si="62"/>
        <v>0</v>
      </c>
      <c r="AL790" s="1064">
        <f t="shared" si="63"/>
        <v>0</v>
      </c>
      <c r="AM790" s="1064">
        <f t="shared" si="64"/>
        <v>0</v>
      </c>
      <c r="AN790" s="1064"/>
      <c r="AO790" s="1064">
        <f>TB_prev[[#This Row],[Closing balance]]+TB_prev[[#This Row],[Rounding]]</f>
        <v>0</v>
      </c>
    </row>
    <row r="791" spans="30:41" x14ac:dyDescent="0.25">
      <c r="AD791" s="1067" t="str">
        <f t="shared" si="60"/>
        <v/>
      </c>
      <c r="AE791" s="1063" t="str">
        <f>IF(ISNA(VLOOKUP(TB_prev[[#This Row],[Synt]],GL[[#Headers],[#Data],[subtotal label]],1,FALSE)),0,(VLOOKUP(TB_prev[[#This Row],[Synt]],GL[[#Headers],[#Data],[subtotal label]],1,FALSE)))</f>
        <v/>
      </c>
      <c r="AF791" s="1063" t="e">
        <f>IF((TB_prev[[#This Row],[Synt]]-TB_prev[[#This Row],[Subtotal Y/N]])=0,0,VLOOKUP(TB_prev[[#This Row],[Synt]],GL[[Account]:[Line]],3,FALSE))</f>
        <v>#VALUE!</v>
      </c>
      <c r="AG791" s="1063" t="e">
        <f>VLOOKUP(TB_prev[[#This Row],[Synt]],GL[[Account]:[B/P]],4,FALSE)</f>
        <v>#N/A</v>
      </c>
      <c r="AH791" s="1066" t="e">
        <v>#VALUE!</v>
      </c>
      <c r="AI791" s="1065" t="e">
        <f>TB_prev[[#This Row],[Synt]]&amp;TB_prev[[#This Row],[Line No. manual corr.]]</f>
        <v>#VALUE!</v>
      </c>
      <c r="AJ791" s="1064">
        <f t="shared" si="61"/>
        <v>0</v>
      </c>
      <c r="AK791" s="1064">
        <f t="shared" si="62"/>
        <v>0</v>
      </c>
      <c r="AL791" s="1064">
        <f t="shared" si="63"/>
        <v>0</v>
      </c>
      <c r="AM791" s="1064">
        <f t="shared" si="64"/>
        <v>0</v>
      </c>
      <c r="AN791" s="1064"/>
      <c r="AO791" s="1064">
        <f>TB_prev[[#This Row],[Closing balance]]+TB_prev[[#This Row],[Rounding]]</f>
        <v>0</v>
      </c>
    </row>
    <row r="792" spans="30:41" x14ac:dyDescent="0.25">
      <c r="AD792" s="1067" t="str">
        <f t="shared" si="60"/>
        <v/>
      </c>
      <c r="AE792" s="1063" t="str">
        <f>IF(ISNA(VLOOKUP(TB_prev[[#This Row],[Synt]],GL[[#Headers],[#Data],[subtotal label]],1,FALSE)),0,(VLOOKUP(TB_prev[[#This Row],[Synt]],GL[[#Headers],[#Data],[subtotal label]],1,FALSE)))</f>
        <v/>
      </c>
      <c r="AF792" s="1063" t="e">
        <f>IF((TB_prev[[#This Row],[Synt]]-TB_prev[[#This Row],[Subtotal Y/N]])=0,0,VLOOKUP(TB_prev[[#This Row],[Synt]],GL[[Account]:[Line]],3,FALSE))</f>
        <v>#VALUE!</v>
      </c>
      <c r="AG792" s="1063" t="e">
        <f>VLOOKUP(TB_prev[[#This Row],[Synt]],GL[[Account]:[B/P]],4,FALSE)</f>
        <v>#N/A</v>
      </c>
      <c r="AH792" s="1066" t="e">
        <v>#VALUE!</v>
      </c>
      <c r="AI792" s="1065" t="e">
        <f>TB_prev[[#This Row],[Synt]]&amp;TB_prev[[#This Row],[Line No. manual corr.]]</f>
        <v>#VALUE!</v>
      </c>
      <c r="AJ792" s="1064">
        <f t="shared" si="61"/>
        <v>0</v>
      </c>
      <c r="AK792" s="1064">
        <f t="shared" si="62"/>
        <v>0</v>
      </c>
      <c r="AL792" s="1064">
        <f t="shared" si="63"/>
        <v>0</v>
      </c>
      <c r="AM792" s="1064">
        <f t="shared" si="64"/>
        <v>0</v>
      </c>
      <c r="AN792" s="1064"/>
      <c r="AO792" s="1064">
        <f>TB_prev[[#This Row],[Closing balance]]+TB_prev[[#This Row],[Rounding]]</f>
        <v>0</v>
      </c>
    </row>
    <row r="793" spans="30:41" x14ac:dyDescent="0.25">
      <c r="AD793" s="1067" t="str">
        <f t="shared" si="60"/>
        <v/>
      </c>
      <c r="AE793" s="1063" t="str">
        <f>IF(ISNA(VLOOKUP(TB_prev[[#This Row],[Synt]],GL[[#Headers],[#Data],[subtotal label]],1,FALSE)),0,(VLOOKUP(TB_prev[[#This Row],[Synt]],GL[[#Headers],[#Data],[subtotal label]],1,FALSE)))</f>
        <v/>
      </c>
      <c r="AF793" s="1063" t="e">
        <f>IF((TB_prev[[#This Row],[Synt]]-TB_prev[[#This Row],[Subtotal Y/N]])=0,0,VLOOKUP(TB_prev[[#This Row],[Synt]],GL[[Account]:[Line]],3,FALSE))</f>
        <v>#VALUE!</v>
      </c>
      <c r="AG793" s="1063" t="e">
        <f>VLOOKUP(TB_prev[[#This Row],[Synt]],GL[[Account]:[B/P]],4,FALSE)</f>
        <v>#N/A</v>
      </c>
      <c r="AH793" s="1066" t="e">
        <v>#VALUE!</v>
      </c>
      <c r="AI793" s="1065" t="e">
        <f>TB_prev[[#This Row],[Synt]]&amp;TB_prev[[#This Row],[Line No. manual corr.]]</f>
        <v>#VALUE!</v>
      </c>
      <c r="AJ793" s="1064">
        <f t="shared" si="61"/>
        <v>0</v>
      </c>
      <c r="AK793" s="1064">
        <f t="shared" si="62"/>
        <v>0</v>
      </c>
      <c r="AL793" s="1064">
        <f t="shared" si="63"/>
        <v>0</v>
      </c>
      <c r="AM793" s="1064">
        <f t="shared" si="64"/>
        <v>0</v>
      </c>
      <c r="AN793" s="1064"/>
      <c r="AO793" s="1064">
        <f>TB_prev[[#This Row],[Closing balance]]+TB_prev[[#This Row],[Rounding]]</f>
        <v>0</v>
      </c>
    </row>
    <row r="794" spans="30:41" x14ac:dyDescent="0.25">
      <c r="AD794" s="1067" t="str">
        <f t="shared" si="60"/>
        <v/>
      </c>
      <c r="AE794" s="1063" t="str">
        <f>IF(ISNA(VLOOKUP(TB_prev[[#This Row],[Synt]],GL[[#Headers],[#Data],[subtotal label]],1,FALSE)),0,(VLOOKUP(TB_prev[[#This Row],[Synt]],GL[[#Headers],[#Data],[subtotal label]],1,FALSE)))</f>
        <v/>
      </c>
      <c r="AF794" s="1063" t="e">
        <f>IF((TB_prev[[#This Row],[Synt]]-TB_prev[[#This Row],[Subtotal Y/N]])=0,0,VLOOKUP(TB_prev[[#This Row],[Synt]],GL[[Account]:[Line]],3,FALSE))</f>
        <v>#VALUE!</v>
      </c>
      <c r="AG794" s="1063" t="e">
        <f>VLOOKUP(TB_prev[[#This Row],[Synt]],GL[[Account]:[B/P]],4,FALSE)</f>
        <v>#N/A</v>
      </c>
      <c r="AH794" s="1066" t="e">
        <v>#VALUE!</v>
      </c>
      <c r="AI794" s="1065" t="e">
        <f>TB_prev[[#This Row],[Synt]]&amp;TB_prev[[#This Row],[Line No. manual corr.]]</f>
        <v>#VALUE!</v>
      </c>
      <c r="AJ794" s="1064">
        <f t="shared" si="61"/>
        <v>0</v>
      </c>
      <c r="AK794" s="1064">
        <f t="shared" si="62"/>
        <v>0</v>
      </c>
      <c r="AL794" s="1064">
        <f t="shared" si="63"/>
        <v>0</v>
      </c>
      <c r="AM794" s="1064">
        <f t="shared" si="64"/>
        <v>0</v>
      </c>
      <c r="AN794" s="1064"/>
      <c r="AO794" s="1064">
        <f>TB_prev[[#This Row],[Closing balance]]+TB_prev[[#This Row],[Rounding]]</f>
        <v>0</v>
      </c>
    </row>
    <row r="795" spans="30:41" x14ac:dyDescent="0.25">
      <c r="AD795" s="1067" t="str">
        <f t="shared" si="60"/>
        <v/>
      </c>
      <c r="AE795" s="1063" t="str">
        <f>IF(ISNA(VLOOKUP(TB_prev[[#This Row],[Synt]],GL[[#Headers],[#Data],[subtotal label]],1,FALSE)),0,(VLOOKUP(TB_prev[[#This Row],[Synt]],GL[[#Headers],[#Data],[subtotal label]],1,FALSE)))</f>
        <v/>
      </c>
      <c r="AF795" s="1063" t="e">
        <f>IF((TB_prev[[#This Row],[Synt]]-TB_prev[[#This Row],[Subtotal Y/N]])=0,0,VLOOKUP(TB_prev[[#This Row],[Synt]],GL[[Account]:[Line]],3,FALSE))</f>
        <v>#VALUE!</v>
      </c>
      <c r="AG795" s="1063" t="e">
        <f>VLOOKUP(TB_prev[[#This Row],[Synt]],GL[[Account]:[B/P]],4,FALSE)</f>
        <v>#N/A</v>
      </c>
      <c r="AH795" s="1066" t="e">
        <v>#VALUE!</v>
      </c>
      <c r="AI795" s="1065" t="e">
        <f>TB_prev[[#This Row],[Synt]]&amp;TB_prev[[#This Row],[Line No. manual corr.]]</f>
        <v>#VALUE!</v>
      </c>
      <c r="AJ795" s="1064">
        <f t="shared" si="61"/>
        <v>0</v>
      </c>
      <c r="AK795" s="1064">
        <f t="shared" si="62"/>
        <v>0</v>
      </c>
      <c r="AL795" s="1064">
        <f t="shared" si="63"/>
        <v>0</v>
      </c>
      <c r="AM795" s="1064">
        <f t="shared" si="64"/>
        <v>0</v>
      </c>
      <c r="AN795" s="1064"/>
      <c r="AO795" s="1064">
        <f>TB_prev[[#This Row],[Closing balance]]+TB_prev[[#This Row],[Rounding]]</f>
        <v>0</v>
      </c>
    </row>
    <row r="796" spans="30:41" x14ac:dyDescent="0.25">
      <c r="AD796" s="1067" t="str">
        <f t="shared" si="60"/>
        <v/>
      </c>
      <c r="AE796" s="1063" t="str">
        <f>IF(ISNA(VLOOKUP(TB_prev[[#This Row],[Synt]],GL[[#Headers],[#Data],[subtotal label]],1,FALSE)),0,(VLOOKUP(TB_prev[[#This Row],[Synt]],GL[[#Headers],[#Data],[subtotal label]],1,FALSE)))</f>
        <v/>
      </c>
      <c r="AF796" s="1063" t="e">
        <f>IF((TB_prev[[#This Row],[Synt]]-TB_prev[[#This Row],[Subtotal Y/N]])=0,0,VLOOKUP(TB_prev[[#This Row],[Synt]],GL[[Account]:[Line]],3,FALSE))</f>
        <v>#VALUE!</v>
      </c>
      <c r="AG796" s="1063" t="e">
        <f>VLOOKUP(TB_prev[[#This Row],[Synt]],GL[[Account]:[B/P]],4,FALSE)</f>
        <v>#N/A</v>
      </c>
      <c r="AH796" s="1066" t="e">
        <v>#VALUE!</v>
      </c>
      <c r="AI796" s="1065" t="e">
        <f>TB_prev[[#This Row],[Synt]]&amp;TB_prev[[#This Row],[Line No. manual corr.]]</f>
        <v>#VALUE!</v>
      </c>
      <c r="AJ796" s="1064">
        <f t="shared" si="61"/>
        <v>0</v>
      </c>
      <c r="AK796" s="1064">
        <f t="shared" si="62"/>
        <v>0</v>
      </c>
      <c r="AL796" s="1064">
        <f t="shared" si="63"/>
        <v>0</v>
      </c>
      <c r="AM796" s="1064">
        <f t="shared" si="64"/>
        <v>0</v>
      </c>
      <c r="AN796" s="1064"/>
      <c r="AO796" s="1064">
        <f>TB_prev[[#This Row],[Closing balance]]+TB_prev[[#This Row],[Rounding]]</f>
        <v>0</v>
      </c>
    </row>
    <row r="797" spans="30:41" x14ac:dyDescent="0.25">
      <c r="AD797" s="1067" t="str">
        <f t="shared" si="60"/>
        <v/>
      </c>
      <c r="AE797" s="1063" t="str">
        <f>IF(ISNA(VLOOKUP(TB_prev[[#This Row],[Synt]],GL[[#Headers],[#Data],[subtotal label]],1,FALSE)),0,(VLOOKUP(TB_prev[[#This Row],[Synt]],GL[[#Headers],[#Data],[subtotal label]],1,FALSE)))</f>
        <v/>
      </c>
      <c r="AF797" s="1063" t="e">
        <f>IF((TB_prev[[#This Row],[Synt]]-TB_prev[[#This Row],[Subtotal Y/N]])=0,0,VLOOKUP(TB_prev[[#This Row],[Synt]],GL[[Account]:[Line]],3,FALSE))</f>
        <v>#VALUE!</v>
      </c>
      <c r="AG797" s="1063" t="e">
        <f>VLOOKUP(TB_prev[[#This Row],[Synt]],GL[[Account]:[B/P]],4,FALSE)</f>
        <v>#N/A</v>
      </c>
      <c r="AH797" s="1066" t="e">
        <v>#VALUE!</v>
      </c>
      <c r="AI797" s="1065" t="e">
        <f>TB_prev[[#This Row],[Synt]]&amp;TB_prev[[#This Row],[Line No. manual corr.]]</f>
        <v>#VALUE!</v>
      </c>
      <c r="AJ797" s="1064">
        <f t="shared" si="61"/>
        <v>0</v>
      </c>
      <c r="AK797" s="1064">
        <f t="shared" si="62"/>
        <v>0</v>
      </c>
      <c r="AL797" s="1064">
        <f t="shared" si="63"/>
        <v>0</v>
      </c>
      <c r="AM797" s="1064">
        <f t="shared" si="64"/>
        <v>0</v>
      </c>
      <c r="AN797" s="1064"/>
      <c r="AO797" s="1064">
        <f>TB_prev[[#This Row],[Closing balance]]+TB_prev[[#This Row],[Rounding]]</f>
        <v>0</v>
      </c>
    </row>
    <row r="798" spans="30:41" x14ac:dyDescent="0.25">
      <c r="AD798" s="1067" t="str">
        <f t="shared" si="60"/>
        <v/>
      </c>
      <c r="AE798" s="1063" t="str">
        <f>IF(ISNA(VLOOKUP(TB_prev[[#This Row],[Synt]],GL[[#Headers],[#Data],[subtotal label]],1,FALSE)),0,(VLOOKUP(TB_prev[[#This Row],[Synt]],GL[[#Headers],[#Data],[subtotal label]],1,FALSE)))</f>
        <v/>
      </c>
      <c r="AF798" s="1063" t="e">
        <f>IF((TB_prev[[#This Row],[Synt]]-TB_prev[[#This Row],[Subtotal Y/N]])=0,0,VLOOKUP(TB_prev[[#This Row],[Synt]],GL[[Account]:[Line]],3,FALSE))</f>
        <v>#VALUE!</v>
      </c>
      <c r="AG798" s="1063" t="e">
        <f>VLOOKUP(TB_prev[[#This Row],[Synt]],GL[[Account]:[B/P]],4,FALSE)</f>
        <v>#N/A</v>
      </c>
      <c r="AH798" s="1066" t="e">
        <v>#VALUE!</v>
      </c>
      <c r="AI798" s="1065" t="e">
        <f>TB_prev[[#This Row],[Synt]]&amp;TB_prev[[#This Row],[Line No. manual corr.]]</f>
        <v>#VALUE!</v>
      </c>
      <c r="AJ798" s="1064">
        <f t="shared" si="61"/>
        <v>0</v>
      </c>
      <c r="AK798" s="1064">
        <f t="shared" si="62"/>
        <v>0</v>
      </c>
      <c r="AL798" s="1064">
        <f t="shared" si="63"/>
        <v>0</v>
      </c>
      <c r="AM798" s="1064">
        <f t="shared" si="64"/>
        <v>0</v>
      </c>
      <c r="AN798" s="1064"/>
      <c r="AO798" s="1064">
        <f>TB_prev[[#This Row],[Closing balance]]+TB_prev[[#This Row],[Rounding]]</f>
        <v>0</v>
      </c>
    </row>
    <row r="799" spans="30:41" x14ac:dyDescent="0.25">
      <c r="AD799" s="1067" t="str">
        <f t="shared" si="60"/>
        <v/>
      </c>
      <c r="AE799" s="1063" t="str">
        <f>IF(ISNA(VLOOKUP(TB_prev[[#This Row],[Synt]],GL[[#Headers],[#Data],[subtotal label]],1,FALSE)),0,(VLOOKUP(TB_prev[[#This Row],[Synt]],GL[[#Headers],[#Data],[subtotal label]],1,FALSE)))</f>
        <v/>
      </c>
      <c r="AF799" s="1063" t="e">
        <f>IF((TB_prev[[#This Row],[Synt]]-TB_prev[[#This Row],[Subtotal Y/N]])=0,0,VLOOKUP(TB_prev[[#This Row],[Synt]],GL[[Account]:[Line]],3,FALSE))</f>
        <v>#VALUE!</v>
      </c>
      <c r="AG799" s="1063" t="e">
        <f>VLOOKUP(TB_prev[[#This Row],[Synt]],GL[[Account]:[B/P]],4,FALSE)</f>
        <v>#N/A</v>
      </c>
      <c r="AH799" s="1066" t="e">
        <v>#VALUE!</v>
      </c>
      <c r="AI799" s="1065" t="e">
        <f>TB_prev[[#This Row],[Synt]]&amp;TB_prev[[#This Row],[Line No. manual corr.]]</f>
        <v>#VALUE!</v>
      </c>
      <c r="AJ799" s="1064">
        <f t="shared" si="61"/>
        <v>0</v>
      </c>
      <c r="AK799" s="1064">
        <f t="shared" si="62"/>
        <v>0</v>
      </c>
      <c r="AL799" s="1064">
        <f t="shared" si="63"/>
        <v>0</v>
      </c>
      <c r="AM799" s="1064">
        <f t="shared" si="64"/>
        <v>0</v>
      </c>
      <c r="AN799" s="1064"/>
      <c r="AO799" s="1064">
        <f>TB_prev[[#This Row],[Closing balance]]+TB_prev[[#This Row],[Rounding]]</f>
        <v>0</v>
      </c>
    </row>
    <row r="800" spans="30:41" x14ac:dyDescent="0.25">
      <c r="AD800" s="1067" t="str">
        <f t="shared" si="60"/>
        <v/>
      </c>
      <c r="AE800" s="1063" t="str">
        <f>IF(ISNA(VLOOKUP(TB_prev[[#This Row],[Synt]],GL[[#Headers],[#Data],[subtotal label]],1,FALSE)),0,(VLOOKUP(TB_prev[[#This Row],[Synt]],GL[[#Headers],[#Data],[subtotal label]],1,FALSE)))</f>
        <v/>
      </c>
      <c r="AF800" s="1063" t="e">
        <f>IF((TB_prev[[#This Row],[Synt]]-TB_prev[[#This Row],[Subtotal Y/N]])=0,0,VLOOKUP(TB_prev[[#This Row],[Synt]],GL[[Account]:[Line]],3,FALSE))</f>
        <v>#VALUE!</v>
      </c>
      <c r="AG800" s="1063" t="e">
        <f>VLOOKUP(TB_prev[[#This Row],[Synt]],GL[[Account]:[B/P]],4,FALSE)</f>
        <v>#N/A</v>
      </c>
      <c r="AH800" s="1066" t="e">
        <v>#VALUE!</v>
      </c>
      <c r="AI800" s="1065" t="e">
        <f>TB_prev[[#This Row],[Synt]]&amp;TB_prev[[#This Row],[Line No. manual corr.]]</f>
        <v>#VALUE!</v>
      </c>
      <c r="AJ800" s="1064">
        <f t="shared" si="61"/>
        <v>0</v>
      </c>
      <c r="AK800" s="1064">
        <f t="shared" si="62"/>
        <v>0</v>
      </c>
      <c r="AL800" s="1064">
        <f t="shared" si="63"/>
        <v>0</v>
      </c>
      <c r="AM800" s="1064">
        <f t="shared" si="64"/>
        <v>0</v>
      </c>
      <c r="AN800" s="1064"/>
      <c r="AO800" s="1064">
        <f>TB_prev[[#This Row],[Closing balance]]+TB_prev[[#This Row],[Rounding]]</f>
        <v>0</v>
      </c>
    </row>
    <row r="801" spans="30:41" x14ac:dyDescent="0.25">
      <c r="AD801" s="1067" t="str">
        <f t="shared" si="60"/>
        <v/>
      </c>
      <c r="AE801" s="1063" t="str">
        <f>IF(ISNA(VLOOKUP(TB_prev[[#This Row],[Synt]],GL[[#Headers],[#Data],[subtotal label]],1,FALSE)),0,(VLOOKUP(TB_prev[[#This Row],[Synt]],GL[[#Headers],[#Data],[subtotal label]],1,FALSE)))</f>
        <v/>
      </c>
      <c r="AF801" s="1063" t="e">
        <f>IF((TB_prev[[#This Row],[Synt]]-TB_prev[[#This Row],[Subtotal Y/N]])=0,0,VLOOKUP(TB_prev[[#This Row],[Synt]],GL[[Account]:[Line]],3,FALSE))</f>
        <v>#VALUE!</v>
      </c>
      <c r="AG801" s="1063" t="e">
        <f>VLOOKUP(TB_prev[[#This Row],[Synt]],GL[[Account]:[B/P]],4,FALSE)</f>
        <v>#N/A</v>
      </c>
      <c r="AH801" s="1066" t="e">
        <v>#VALUE!</v>
      </c>
      <c r="AI801" s="1065" t="e">
        <f>TB_prev[[#This Row],[Synt]]&amp;TB_prev[[#This Row],[Line No. manual corr.]]</f>
        <v>#VALUE!</v>
      </c>
      <c r="AJ801" s="1064">
        <f t="shared" si="61"/>
        <v>0</v>
      </c>
      <c r="AK801" s="1064">
        <f t="shared" si="62"/>
        <v>0</v>
      </c>
      <c r="AL801" s="1064">
        <f t="shared" si="63"/>
        <v>0</v>
      </c>
      <c r="AM801" s="1064">
        <f t="shared" si="64"/>
        <v>0</v>
      </c>
      <c r="AN801" s="1064"/>
      <c r="AO801" s="1064">
        <f>TB_prev[[#This Row],[Closing balance]]+TB_prev[[#This Row],[Rounding]]</f>
        <v>0</v>
      </c>
    </row>
    <row r="802" spans="30:41" x14ac:dyDescent="0.25">
      <c r="AD802" s="1067" t="str">
        <f t="shared" si="60"/>
        <v/>
      </c>
      <c r="AE802" s="1063" t="str">
        <f>IF(ISNA(VLOOKUP(TB_prev[[#This Row],[Synt]],GL[[#Headers],[#Data],[subtotal label]],1,FALSE)),0,(VLOOKUP(TB_prev[[#This Row],[Synt]],GL[[#Headers],[#Data],[subtotal label]],1,FALSE)))</f>
        <v/>
      </c>
      <c r="AF802" s="1063" t="e">
        <f>IF((TB_prev[[#This Row],[Synt]]-TB_prev[[#This Row],[Subtotal Y/N]])=0,0,VLOOKUP(TB_prev[[#This Row],[Synt]],GL[[Account]:[Line]],3,FALSE))</f>
        <v>#VALUE!</v>
      </c>
      <c r="AG802" s="1063" t="e">
        <f>VLOOKUP(TB_prev[[#This Row],[Synt]],GL[[Account]:[B/P]],4,FALSE)</f>
        <v>#N/A</v>
      </c>
      <c r="AH802" s="1066" t="e">
        <v>#VALUE!</v>
      </c>
      <c r="AI802" s="1065" t="e">
        <f>TB_prev[[#This Row],[Synt]]&amp;TB_prev[[#This Row],[Line No. manual corr.]]</f>
        <v>#VALUE!</v>
      </c>
      <c r="AJ802" s="1064">
        <f t="shared" si="61"/>
        <v>0</v>
      </c>
      <c r="AK802" s="1064">
        <f t="shared" si="62"/>
        <v>0</v>
      </c>
      <c r="AL802" s="1064">
        <f t="shared" si="63"/>
        <v>0</v>
      </c>
      <c r="AM802" s="1064">
        <f t="shared" si="64"/>
        <v>0</v>
      </c>
      <c r="AN802" s="1064"/>
      <c r="AO802" s="1064">
        <f>TB_prev[[#This Row],[Closing balance]]+TB_prev[[#This Row],[Rounding]]</f>
        <v>0</v>
      </c>
    </row>
    <row r="803" spans="30:41" x14ac:dyDescent="0.25">
      <c r="AD803" s="1067" t="str">
        <f t="shared" si="60"/>
        <v/>
      </c>
      <c r="AE803" s="1063" t="str">
        <f>IF(ISNA(VLOOKUP(TB_prev[[#This Row],[Synt]],GL[[#Headers],[#Data],[subtotal label]],1,FALSE)),0,(VLOOKUP(TB_prev[[#This Row],[Synt]],GL[[#Headers],[#Data],[subtotal label]],1,FALSE)))</f>
        <v/>
      </c>
      <c r="AF803" s="1063" t="e">
        <f>IF((TB_prev[[#This Row],[Synt]]-TB_prev[[#This Row],[Subtotal Y/N]])=0,0,VLOOKUP(TB_prev[[#This Row],[Synt]],GL[[Account]:[Line]],3,FALSE))</f>
        <v>#VALUE!</v>
      </c>
      <c r="AG803" s="1063" t="e">
        <f>VLOOKUP(TB_prev[[#This Row],[Synt]],GL[[Account]:[B/P]],4,FALSE)</f>
        <v>#N/A</v>
      </c>
      <c r="AH803" s="1066" t="e">
        <v>#VALUE!</v>
      </c>
      <c r="AI803" s="1065" t="e">
        <f>TB_prev[[#This Row],[Synt]]&amp;TB_prev[[#This Row],[Line No. manual corr.]]</f>
        <v>#VALUE!</v>
      </c>
      <c r="AJ803" s="1064">
        <f t="shared" si="61"/>
        <v>0</v>
      </c>
      <c r="AK803" s="1064">
        <f t="shared" si="62"/>
        <v>0</v>
      </c>
      <c r="AL803" s="1064">
        <f t="shared" si="63"/>
        <v>0</v>
      </c>
      <c r="AM803" s="1064">
        <f t="shared" si="64"/>
        <v>0</v>
      </c>
      <c r="AN803" s="1064"/>
      <c r="AO803" s="1064">
        <f>TB_prev[[#This Row],[Closing balance]]+TB_prev[[#This Row],[Rounding]]</f>
        <v>0</v>
      </c>
    </row>
    <row r="804" spans="30:41" x14ac:dyDescent="0.25">
      <c r="AD804" s="1067" t="str">
        <f t="shared" si="60"/>
        <v/>
      </c>
      <c r="AE804" s="1063" t="str">
        <f>IF(ISNA(VLOOKUP(TB_prev[[#This Row],[Synt]],GL[[#Headers],[#Data],[subtotal label]],1,FALSE)),0,(VLOOKUP(TB_prev[[#This Row],[Synt]],GL[[#Headers],[#Data],[subtotal label]],1,FALSE)))</f>
        <v/>
      </c>
      <c r="AF804" s="1063" t="e">
        <f>IF((TB_prev[[#This Row],[Synt]]-TB_prev[[#This Row],[Subtotal Y/N]])=0,0,VLOOKUP(TB_prev[[#This Row],[Synt]],GL[[Account]:[Line]],3,FALSE))</f>
        <v>#VALUE!</v>
      </c>
      <c r="AG804" s="1063" t="e">
        <f>VLOOKUP(TB_prev[[#This Row],[Synt]],GL[[Account]:[B/P]],4,FALSE)</f>
        <v>#N/A</v>
      </c>
      <c r="AH804" s="1066" t="e">
        <v>#VALUE!</v>
      </c>
      <c r="AI804" s="1065" t="e">
        <f>TB_prev[[#This Row],[Synt]]&amp;TB_prev[[#This Row],[Line No. manual corr.]]</f>
        <v>#VALUE!</v>
      </c>
      <c r="AJ804" s="1064">
        <f t="shared" si="61"/>
        <v>0</v>
      </c>
      <c r="AK804" s="1064">
        <f t="shared" si="62"/>
        <v>0</v>
      </c>
      <c r="AL804" s="1064">
        <f t="shared" si="63"/>
        <v>0</v>
      </c>
      <c r="AM804" s="1064">
        <f t="shared" si="64"/>
        <v>0</v>
      </c>
      <c r="AN804" s="1064"/>
      <c r="AO804" s="1064">
        <f>TB_prev[[#This Row],[Closing balance]]+TB_prev[[#This Row],[Rounding]]</f>
        <v>0</v>
      </c>
    </row>
    <row r="805" spans="30:41" x14ac:dyDescent="0.25">
      <c r="AD805" s="1067" t="str">
        <f t="shared" si="60"/>
        <v/>
      </c>
      <c r="AE805" s="1063" t="str">
        <f>IF(ISNA(VLOOKUP(TB_prev[[#This Row],[Synt]],GL[[#Headers],[#Data],[subtotal label]],1,FALSE)),0,(VLOOKUP(TB_prev[[#This Row],[Synt]],GL[[#Headers],[#Data],[subtotal label]],1,FALSE)))</f>
        <v/>
      </c>
      <c r="AF805" s="1063" t="e">
        <f>IF((TB_prev[[#This Row],[Synt]]-TB_prev[[#This Row],[Subtotal Y/N]])=0,0,VLOOKUP(TB_prev[[#This Row],[Synt]],GL[[Account]:[Line]],3,FALSE))</f>
        <v>#VALUE!</v>
      </c>
      <c r="AG805" s="1063" t="e">
        <f>VLOOKUP(TB_prev[[#This Row],[Synt]],GL[[Account]:[B/P]],4,FALSE)</f>
        <v>#N/A</v>
      </c>
      <c r="AH805" s="1066" t="e">
        <v>#VALUE!</v>
      </c>
      <c r="AI805" s="1065" t="e">
        <f>TB_prev[[#This Row],[Synt]]&amp;TB_prev[[#This Row],[Line No. manual corr.]]</f>
        <v>#VALUE!</v>
      </c>
      <c r="AJ805" s="1064">
        <f t="shared" si="61"/>
        <v>0</v>
      </c>
      <c r="AK805" s="1064">
        <f t="shared" si="62"/>
        <v>0</v>
      </c>
      <c r="AL805" s="1064">
        <f t="shared" si="63"/>
        <v>0</v>
      </c>
      <c r="AM805" s="1064">
        <f t="shared" si="64"/>
        <v>0</v>
      </c>
      <c r="AN805" s="1064"/>
      <c r="AO805" s="1064">
        <f>TB_prev[[#This Row],[Closing balance]]+TB_prev[[#This Row],[Rounding]]</f>
        <v>0</v>
      </c>
    </row>
    <row r="806" spans="30:41" x14ac:dyDescent="0.25">
      <c r="AD806" s="1067" t="str">
        <f t="shared" si="60"/>
        <v/>
      </c>
      <c r="AE806" s="1063" t="str">
        <f>IF(ISNA(VLOOKUP(TB_prev[[#This Row],[Synt]],GL[[#Headers],[#Data],[subtotal label]],1,FALSE)),0,(VLOOKUP(TB_prev[[#This Row],[Synt]],GL[[#Headers],[#Data],[subtotal label]],1,FALSE)))</f>
        <v/>
      </c>
      <c r="AF806" s="1063" t="e">
        <f>IF((TB_prev[[#This Row],[Synt]]-TB_prev[[#This Row],[Subtotal Y/N]])=0,0,VLOOKUP(TB_prev[[#This Row],[Synt]],GL[[Account]:[Line]],3,FALSE))</f>
        <v>#VALUE!</v>
      </c>
      <c r="AG806" s="1063" t="e">
        <f>VLOOKUP(TB_prev[[#This Row],[Synt]],GL[[Account]:[B/P]],4,FALSE)</f>
        <v>#N/A</v>
      </c>
      <c r="AH806" s="1066" t="e">
        <v>#VALUE!</v>
      </c>
      <c r="AI806" s="1065" t="e">
        <f>TB_prev[[#This Row],[Synt]]&amp;TB_prev[[#This Row],[Line No. manual corr.]]</f>
        <v>#VALUE!</v>
      </c>
      <c r="AJ806" s="1064">
        <f t="shared" si="61"/>
        <v>0</v>
      </c>
      <c r="AK806" s="1064">
        <f t="shared" si="62"/>
        <v>0</v>
      </c>
      <c r="AL806" s="1064">
        <f t="shared" si="63"/>
        <v>0</v>
      </c>
      <c r="AM806" s="1064">
        <f t="shared" si="64"/>
        <v>0</v>
      </c>
      <c r="AN806" s="1064"/>
      <c r="AO806" s="1064">
        <f>TB_prev[[#This Row],[Closing balance]]+TB_prev[[#This Row],[Rounding]]</f>
        <v>0</v>
      </c>
    </row>
    <row r="807" spans="30:41" x14ac:dyDescent="0.25">
      <c r="AD807" s="1067" t="str">
        <f t="shared" si="60"/>
        <v/>
      </c>
      <c r="AE807" s="1063" t="str">
        <f>IF(ISNA(VLOOKUP(TB_prev[[#This Row],[Synt]],GL[[#Headers],[#Data],[subtotal label]],1,FALSE)),0,(VLOOKUP(TB_prev[[#This Row],[Synt]],GL[[#Headers],[#Data],[subtotal label]],1,FALSE)))</f>
        <v/>
      </c>
      <c r="AF807" s="1063" t="e">
        <f>IF((TB_prev[[#This Row],[Synt]]-TB_prev[[#This Row],[Subtotal Y/N]])=0,0,VLOOKUP(TB_prev[[#This Row],[Synt]],GL[[Account]:[Line]],3,FALSE))</f>
        <v>#VALUE!</v>
      </c>
      <c r="AG807" s="1063" t="e">
        <f>VLOOKUP(TB_prev[[#This Row],[Synt]],GL[[Account]:[B/P]],4,FALSE)</f>
        <v>#N/A</v>
      </c>
      <c r="AH807" s="1066" t="e">
        <v>#VALUE!</v>
      </c>
      <c r="AI807" s="1065" t="e">
        <f>TB_prev[[#This Row],[Synt]]&amp;TB_prev[[#This Row],[Line No. manual corr.]]</f>
        <v>#VALUE!</v>
      </c>
      <c r="AJ807" s="1064">
        <f t="shared" si="61"/>
        <v>0</v>
      </c>
      <c r="AK807" s="1064">
        <f t="shared" si="62"/>
        <v>0</v>
      </c>
      <c r="AL807" s="1064">
        <f t="shared" si="63"/>
        <v>0</v>
      </c>
      <c r="AM807" s="1064">
        <f t="shared" si="64"/>
        <v>0</v>
      </c>
      <c r="AN807" s="1064"/>
      <c r="AO807" s="1064">
        <f>TB_prev[[#This Row],[Closing balance]]+TB_prev[[#This Row],[Rounding]]</f>
        <v>0</v>
      </c>
    </row>
    <row r="808" spans="30:41" x14ac:dyDescent="0.25">
      <c r="AD808" s="1067" t="str">
        <f t="shared" si="60"/>
        <v/>
      </c>
      <c r="AE808" s="1063" t="str">
        <f>IF(ISNA(VLOOKUP(TB_prev[[#This Row],[Synt]],GL[[#Headers],[#Data],[subtotal label]],1,FALSE)),0,(VLOOKUP(TB_prev[[#This Row],[Synt]],GL[[#Headers],[#Data],[subtotal label]],1,FALSE)))</f>
        <v/>
      </c>
      <c r="AF808" s="1063" t="e">
        <f>IF((TB_prev[[#This Row],[Synt]]-TB_prev[[#This Row],[Subtotal Y/N]])=0,0,VLOOKUP(TB_prev[[#This Row],[Synt]],GL[[Account]:[Line]],3,FALSE))</f>
        <v>#VALUE!</v>
      </c>
      <c r="AG808" s="1063" t="e">
        <f>VLOOKUP(TB_prev[[#This Row],[Synt]],GL[[Account]:[B/P]],4,FALSE)</f>
        <v>#N/A</v>
      </c>
      <c r="AH808" s="1066" t="e">
        <v>#VALUE!</v>
      </c>
      <c r="AI808" s="1065" t="e">
        <f>TB_prev[[#This Row],[Synt]]&amp;TB_prev[[#This Row],[Line No. manual corr.]]</f>
        <v>#VALUE!</v>
      </c>
      <c r="AJ808" s="1064">
        <f t="shared" si="61"/>
        <v>0</v>
      </c>
      <c r="AK808" s="1064">
        <f t="shared" si="62"/>
        <v>0</v>
      </c>
      <c r="AL808" s="1064">
        <f t="shared" si="63"/>
        <v>0</v>
      </c>
      <c r="AM808" s="1064">
        <f t="shared" si="64"/>
        <v>0</v>
      </c>
      <c r="AN808" s="1064"/>
      <c r="AO808" s="1064">
        <f>TB_prev[[#This Row],[Closing balance]]+TB_prev[[#This Row],[Rounding]]</f>
        <v>0</v>
      </c>
    </row>
    <row r="809" spans="30:41" x14ac:dyDescent="0.25">
      <c r="AD809" s="1067" t="str">
        <f t="shared" si="60"/>
        <v/>
      </c>
      <c r="AE809" s="1063" t="str">
        <f>IF(ISNA(VLOOKUP(TB_prev[[#This Row],[Synt]],GL[[#Headers],[#Data],[subtotal label]],1,FALSE)),0,(VLOOKUP(TB_prev[[#This Row],[Synt]],GL[[#Headers],[#Data],[subtotal label]],1,FALSE)))</f>
        <v/>
      </c>
      <c r="AF809" s="1063" t="e">
        <f>IF((TB_prev[[#This Row],[Synt]]-TB_prev[[#This Row],[Subtotal Y/N]])=0,0,VLOOKUP(TB_prev[[#This Row],[Synt]],GL[[Account]:[Line]],3,FALSE))</f>
        <v>#VALUE!</v>
      </c>
      <c r="AG809" s="1063" t="e">
        <f>VLOOKUP(TB_prev[[#This Row],[Synt]],GL[[Account]:[B/P]],4,FALSE)</f>
        <v>#N/A</v>
      </c>
      <c r="AH809" s="1066" t="e">
        <v>#VALUE!</v>
      </c>
      <c r="AI809" s="1065" t="e">
        <f>TB_prev[[#This Row],[Synt]]&amp;TB_prev[[#This Row],[Line No. manual corr.]]</f>
        <v>#VALUE!</v>
      </c>
      <c r="AJ809" s="1064">
        <f t="shared" si="61"/>
        <v>0</v>
      </c>
      <c r="AK809" s="1064">
        <f t="shared" si="62"/>
        <v>0</v>
      </c>
      <c r="AL809" s="1064">
        <f t="shared" si="63"/>
        <v>0</v>
      </c>
      <c r="AM809" s="1064">
        <f t="shared" si="64"/>
        <v>0</v>
      </c>
      <c r="AN809" s="1064"/>
      <c r="AO809" s="1064">
        <f>TB_prev[[#This Row],[Closing balance]]+TB_prev[[#This Row],[Rounding]]</f>
        <v>0</v>
      </c>
    </row>
    <row r="810" spans="30:41" x14ac:dyDescent="0.25">
      <c r="AD810" s="1067" t="str">
        <f t="shared" si="60"/>
        <v/>
      </c>
      <c r="AE810" s="1063" t="str">
        <f>IF(ISNA(VLOOKUP(TB_prev[[#This Row],[Synt]],GL[[#Headers],[#Data],[subtotal label]],1,FALSE)),0,(VLOOKUP(TB_prev[[#This Row],[Synt]],GL[[#Headers],[#Data],[subtotal label]],1,FALSE)))</f>
        <v/>
      </c>
      <c r="AF810" s="1063" t="e">
        <f>IF((TB_prev[[#This Row],[Synt]]-TB_prev[[#This Row],[Subtotal Y/N]])=0,0,VLOOKUP(TB_prev[[#This Row],[Synt]],GL[[Account]:[Line]],3,FALSE))</f>
        <v>#VALUE!</v>
      </c>
      <c r="AG810" s="1063" t="e">
        <f>VLOOKUP(TB_prev[[#This Row],[Synt]],GL[[Account]:[B/P]],4,FALSE)</f>
        <v>#N/A</v>
      </c>
      <c r="AH810" s="1066" t="e">
        <v>#VALUE!</v>
      </c>
      <c r="AI810" s="1065" t="e">
        <f>TB_prev[[#This Row],[Synt]]&amp;TB_prev[[#This Row],[Line No. manual corr.]]</f>
        <v>#VALUE!</v>
      </c>
      <c r="AJ810" s="1064">
        <f t="shared" si="61"/>
        <v>0</v>
      </c>
      <c r="AK810" s="1064">
        <f t="shared" si="62"/>
        <v>0</v>
      </c>
      <c r="AL810" s="1064">
        <f t="shared" si="63"/>
        <v>0</v>
      </c>
      <c r="AM810" s="1064">
        <f t="shared" si="64"/>
        <v>0</v>
      </c>
      <c r="AN810" s="1064"/>
      <c r="AO810" s="1064">
        <f>TB_prev[[#This Row],[Closing balance]]+TB_prev[[#This Row],[Rounding]]</f>
        <v>0</v>
      </c>
    </row>
    <row r="811" spans="30:41" x14ac:dyDescent="0.25">
      <c r="AD811" s="1067" t="str">
        <f t="shared" si="60"/>
        <v/>
      </c>
      <c r="AE811" s="1063" t="str">
        <f>IF(ISNA(VLOOKUP(TB_prev[[#This Row],[Synt]],GL[[#Headers],[#Data],[subtotal label]],1,FALSE)),0,(VLOOKUP(TB_prev[[#This Row],[Synt]],GL[[#Headers],[#Data],[subtotal label]],1,FALSE)))</f>
        <v/>
      </c>
      <c r="AF811" s="1063" t="e">
        <f>IF((TB_prev[[#This Row],[Synt]]-TB_prev[[#This Row],[Subtotal Y/N]])=0,0,VLOOKUP(TB_prev[[#This Row],[Synt]],GL[[Account]:[Line]],3,FALSE))</f>
        <v>#VALUE!</v>
      </c>
      <c r="AG811" s="1063" t="e">
        <f>VLOOKUP(TB_prev[[#This Row],[Synt]],GL[[Account]:[B/P]],4,FALSE)</f>
        <v>#N/A</v>
      </c>
      <c r="AH811" s="1066" t="e">
        <v>#VALUE!</v>
      </c>
      <c r="AI811" s="1065" t="e">
        <f>TB_prev[[#This Row],[Synt]]&amp;TB_prev[[#This Row],[Line No. manual corr.]]</f>
        <v>#VALUE!</v>
      </c>
      <c r="AJ811" s="1064">
        <f t="shared" si="61"/>
        <v>0</v>
      </c>
      <c r="AK811" s="1064">
        <f t="shared" si="62"/>
        <v>0</v>
      </c>
      <c r="AL811" s="1064">
        <f t="shared" si="63"/>
        <v>0</v>
      </c>
      <c r="AM811" s="1064">
        <f t="shared" si="64"/>
        <v>0</v>
      </c>
      <c r="AN811" s="1064"/>
      <c r="AO811" s="1064">
        <f>TB_prev[[#This Row],[Closing balance]]+TB_prev[[#This Row],[Rounding]]</f>
        <v>0</v>
      </c>
    </row>
    <row r="812" spans="30:41" x14ac:dyDescent="0.25">
      <c r="AD812" s="1067" t="str">
        <f t="shared" si="60"/>
        <v/>
      </c>
      <c r="AE812" s="1063" t="str">
        <f>IF(ISNA(VLOOKUP(TB_prev[[#This Row],[Synt]],GL[[#Headers],[#Data],[subtotal label]],1,FALSE)),0,(VLOOKUP(TB_prev[[#This Row],[Synt]],GL[[#Headers],[#Data],[subtotal label]],1,FALSE)))</f>
        <v/>
      </c>
      <c r="AF812" s="1063" t="e">
        <f>IF((TB_prev[[#This Row],[Synt]]-TB_prev[[#This Row],[Subtotal Y/N]])=0,0,VLOOKUP(TB_prev[[#This Row],[Synt]],GL[[Account]:[Line]],3,FALSE))</f>
        <v>#VALUE!</v>
      </c>
      <c r="AG812" s="1063" t="e">
        <f>VLOOKUP(TB_prev[[#This Row],[Synt]],GL[[Account]:[B/P]],4,FALSE)</f>
        <v>#N/A</v>
      </c>
      <c r="AH812" s="1066" t="e">
        <v>#VALUE!</v>
      </c>
      <c r="AI812" s="1065" t="e">
        <f>TB_prev[[#This Row],[Synt]]&amp;TB_prev[[#This Row],[Line No. manual corr.]]</f>
        <v>#VALUE!</v>
      </c>
      <c r="AJ812" s="1064">
        <f t="shared" si="61"/>
        <v>0</v>
      </c>
      <c r="AK812" s="1064">
        <f t="shared" si="62"/>
        <v>0</v>
      </c>
      <c r="AL812" s="1064">
        <f t="shared" si="63"/>
        <v>0</v>
      </c>
      <c r="AM812" s="1064">
        <f t="shared" si="64"/>
        <v>0</v>
      </c>
      <c r="AN812" s="1064"/>
      <c r="AO812" s="1064">
        <f>TB_prev[[#This Row],[Closing balance]]+TB_prev[[#This Row],[Rounding]]</f>
        <v>0</v>
      </c>
    </row>
    <row r="813" spans="30:41" x14ac:dyDescent="0.25">
      <c r="AD813" s="1067" t="str">
        <f t="shared" si="60"/>
        <v/>
      </c>
      <c r="AE813" s="1063" t="str">
        <f>IF(ISNA(VLOOKUP(TB_prev[[#This Row],[Synt]],GL[[#Headers],[#Data],[subtotal label]],1,FALSE)),0,(VLOOKUP(TB_prev[[#This Row],[Synt]],GL[[#Headers],[#Data],[subtotal label]],1,FALSE)))</f>
        <v/>
      </c>
      <c r="AF813" s="1063" t="e">
        <f>IF((TB_prev[[#This Row],[Synt]]-TB_prev[[#This Row],[Subtotal Y/N]])=0,0,VLOOKUP(TB_prev[[#This Row],[Synt]],GL[[Account]:[Line]],3,FALSE))</f>
        <v>#VALUE!</v>
      </c>
      <c r="AG813" s="1063" t="e">
        <f>VLOOKUP(TB_prev[[#This Row],[Synt]],GL[[Account]:[B/P]],4,FALSE)</f>
        <v>#N/A</v>
      </c>
      <c r="AH813" s="1066" t="e">
        <v>#VALUE!</v>
      </c>
      <c r="AI813" s="1065" t="e">
        <f>TB_prev[[#This Row],[Synt]]&amp;TB_prev[[#This Row],[Line No. manual corr.]]</f>
        <v>#VALUE!</v>
      </c>
      <c r="AJ813" s="1064">
        <f t="shared" si="61"/>
        <v>0</v>
      </c>
      <c r="AK813" s="1064">
        <f t="shared" si="62"/>
        <v>0</v>
      </c>
      <c r="AL813" s="1064">
        <f t="shared" si="63"/>
        <v>0</v>
      </c>
      <c r="AM813" s="1064">
        <f t="shared" si="64"/>
        <v>0</v>
      </c>
      <c r="AN813" s="1064"/>
      <c r="AO813" s="1064">
        <f>TB_prev[[#This Row],[Closing balance]]+TB_prev[[#This Row],[Rounding]]</f>
        <v>0</v>
      </c>
    </row>
    <row r="814" spans="30:41" x14ac:dyDescent="0.25">
      <c r="AD814" s="1067" t="str">
        <f t="shared" si="60"/>
        <v/>
      </c>
      <c r="AE814" s="1063" t="str">
        <f>IF(ISNA(VLOOKUP(TB_prev[[#This Row],[Synt]],GL[[#Headers],[#Data],[subtotal label]],1,FALSE)),0,(VLOOKUP(TB_prev[[#This Row],[Synt]],GL[[#Headers],[#Data],[subtotal label]],1,FALSE)))</f>
        <v/>
      </c>
      <c r="AF814" s="1063" t="e">
        <f>IF((TB_prev[[#This Row],[Synt]]-TB_prev[[#This Row],[Subtotal Y/N]])=0,0,VLOOKUP(TB_prev[[#This Row],[Synt]],GL[[Account]:[Line]],3,FALSE))</f>
        <v>#VALUE!</v>
      </c>
      <c r="AG814" s="1063" t="e">
        <f>VLOOKUP(TB_prev[[#This Row],[Synt]],GL[[Account]:[B/P]],4,FALSE)</f>
        <v>#N/A</v>
      </c>
      <c r="AH814" s="1066" t="e">
        <v>#VALUE!</v>
      </c>
      <c r="AI814" s="1065" t="e">
        <f>TB_prev[[#This Row],[Synt]]&amp;TB_prev[[#This Row],[Line No. manual corr.]]</f>
        <v>#VALUE!</v>
      </c>
      <c r="AJ814" s="1064">
        <f t="shared" si="61"/>
        <v>0</v>
      </c>
      <c r="AK814" s="1064">
        <f t="shared" si="62"/>
        <v>0</v>
      </c>
      <c r="AL814" s="1064">
        <f t="shared" si="63"/>
        <v>0</v>
      </c>
      <c r="AM814" s="1064">
        <f t="shared" si="64"/>
        <v>0</v>
      </c>
      <c r="AN814" s="1064"/>
      <c r="AO814" s="1064">
        <f>TB_prev[[#This Row],[Closing balance]]+TB_prev[[#This Row],[Rounding]]</f>
        <v>0</v>
      </c>
    </row>
    <row r="815" spans="30:41" x14ac:dyDescent="0.25">
      <c r="AD815" s="1067" t="str">
        <f t="shared" si="60"/>
        <v/>
      </c>
      <c r="AE815" s="1063" t="str">
        <f>IF(ISNA(VLOOKUP(TB_prev[[#This Row],[Synt]],GL[[#Headers],[#Data],[subtotal label]],1,FALSE)),0,(VLOOKUP(TB_prev[[#This Row],[Synt]],GL[[#Headers],[#Data],[subtotal label]],1,FALSE)))</f>
        <v/>
      </c>
      <c r="AF815" s="1063" t="e">
        <f>IF((TB_prev[[#This Row],[Synt]]-TB_prev[[#This Row],[Subtotal Y/N]])=0,0,VLOOKUP(TB_prev[[#This Row],[Synt]],GL[[Account]:[Line]],3,FALSE))</f>
        <v>#VALUE!</v>
      </c>
      <c r="AG815" s="1063" t="e">
        <f>VLOOKUP(TB_prev[[#This Row],[Synt]],GL[[Account]:[B/P]],4,FALSE)</f>
        <v>#N/A</v>
      </c>
      <c r="AH815" s="1066" t="e">
        <v>#VALUE!</v>
      </c>
      <c r="AI815" s="1065" t="e">
        <f>TB_prev[[#This Row],[Synt]]&amp;TB_prev[[#This Row],[Line No. manual corr.]]</f>
        <v>#VALUE!</v>
      </c>
      <c r="AJ815" s="1064">
        <f t="shared" si="61"/>
        <v>0</v>
      </c>
      <c r="AK815" s="1064">
        <f t="shared" si="62"/>
        <v>0</v>
      </c>
      <c r="AL815" s="1064">
        <f t="shared" si="63"/>
        <v>0</v>
      </c>
      <c r="AM815" s="1064">
        <f t="shared" si="64"/>
        <v>0</v>
      </c>
      <c r="AN815" s="1064"/>
      <c r="AO815" s="1064">
        <f>TB_prev[[#This Row],[Closing balance]]+TB_prev[[#This Row],[Rounding]]</f>
        <v>0</v>
      </c>
    </row>
    <row r="816" spans="30:41" x14ac:dyDescent="0.25">
      <c r="AD816" s="1067" t="str">
        <f t="shared" si="60"/>
        <v/>
      </c>
      <c r="AE816" s="1063" t="str">
        <f>IF(ISNA(VLOOKUP(TB_prev[[#This Row],[Synt]],GL[[#Headers],[#Data],[subtotal label]],1,FALSE)),0,(VLOOKUP(TB_prev[[#This Row],[Synt]],GL[[#Headers],[#Data],[subtotal label]],1,FALSE)))</f>
        <v/>
      </c>
      <c r="AF816" s="1063" t="e">
        <f>IF((TB_prev[[#This Row],[Synt]]-TB_prev[[#This Row],[Subtotal Y/N]])=0,0,VLOOKUP(TB_prev[[#This Row],[Synt]],GL[[Account]:[Line]],3,FALSE))</f>
        <v>#VALUE!</v>
      </c>
      <c r="AG816" s="1063" t="e">
        <f>VLOOKUP(TB_prev[[#This Row],[Synt]],GL[[Account]:[B/P]],4,FALSE)</f>
        <v>#N/A</v>
      </c>
      <c r="AH816" s="1066" t="e">
        <v>#VALUE!</v>
      </c>
      <c r="AI816" s="1065" t="e">
        <f>TB_prev[[#This Row],[Synt]]&amp;TB_prev[[#This Row],[Line No. manual corr.]]</f>
        <v>#VALUE!</v>
      </c>
      <c r="AJ816" s="1064">
        <f t="shared" si="61"/>
        <v>0</v>
      </c>
      <c r="AK816" s="1064">
        <f t="shared" si="62"/>
        <v>0</v>
      </c>
      <c r="AL816" s="1064">
        <f t="shared" si="63"/>
        <v>0</v>
      </c>
      <c r="AM816" s="1064">
        <f t="shared" si="64"/>
        <v>0</v>
      </c>
      <c r="AN816" s="1064"/>
      <c r="AO816" s="1064">
        <f>TB_prev[[#This Row],[Closing balance]]+TB_prev[[#This Row],[Rounding]]</f>
        <v>0</v>
      </c>
    </row>
    <row r="817" spans="30:41" x14ac:dyDescent="0.25">
      <c r="AD817" s="1067" t="str">
        <f t="shared" si="60"/>
        <v/>
      </c>
      <c r="AE817" s="1063" t="str">
        <f>IF(ISNA(VLOOKUP(TB_prev[[#This Row],[Synt]],GL[[#Headers],[#Data],[subtotal label]],1,FALSE)),0,(VLOOKUP(TB_prev[[#This Row],[Synt]],GL[[#Headers],[#Data],[subtotal label]],1,FALSE)))</f>
        <v/>
      </c>
      <c r="AF817" s="1063" t="e">
        <f>IF((TB_prev[[#This Row],[Synt]]-TB_prev[[#This Row],[Subtotal Y/N]])=0,0,VLOOKUP(TB_prev[[#This Row],[Synt]],GL[[Account]:[Line]],3,FALSE))</f>
        <v>#VALUE!</v>
      </c>
      <c r="AG817" s="1063" t="e">
        <f>VLOOKUP(TB_prev[[#This Row],[Synt]],GL[[Account]:[B/P]],4,FALSE)</f>
        <v>#N/A</v>
      </c>
      <c r="AH817" s="1066" t="e">
        <v>#VALUE!</v>
      </c>
      <c r="AI817" s="1065" t="e">
        <f>TB_prev[[#This Row],[Synt]]&amp;TB_prev[[#This Row],[Line No. manual corr.]]</f>
        <v>#VALUE!</v>
      </c>
      <c r="AJ817" s="1064">
        <f t="shared" si="61"/>
        <v>0</v>
      </c>
      <c r="AK817" s="1064">
        <f t="shared" si="62"/>
        <v>0</v>
      </c>
      <c r="AL817" s="1064">
        <f t="shared" si="63"/>
        <v>0</v>
      </c>
      <c r="AM817" s="1064">
        <f t="shared" si="64"/>
        <v>0</v>
      </c>
      <c r="AN817" s="1064"/>
      <c r="AO817" s="1064">
        <f>TB_prev[[#This Row],[Closing balance]]+TB_prev[[#This Row],[Rounding]]</f>
        <v>0</v>
      </c>
    </row>
    <row r="818" spans="30:41" x14ac:dyDescent="0.25">
      <c r="AD818" s="1067" t="str">
        <f t="shared" si="60"/>
        <v/>
      </c>
      <c r="AE818" s="1063" t="str">
        <f>IF(ISNA(VLOOKUP(TB_prev[[#This Row],[Synt]],GL[[#Headers],[#Data],[subtotal label]],1,FALSE)),0,(VLOOKUP(TB_prev[[#This Row],[Synt]],GL[[#Headers],[#Data],[subtotal label]],1,FALSE)))</f>
        <v/>
      </c>
      <c r="AF818" s="1063" t="e">
        <f>IF((TB_prev[[#This Row],[Synt]]-TB_prev[[#This Row],[Subtotal Y/N]])=0,0,VLOOKUP(TB_prev[[#This Row],[Synt]],GL[[Account]:[Line]],3,FALSE))</f>
        <v>#VALUE!</v>
      </c>
      <c r="AG818" s="1063" t="e">
        <f>VLOOKUP(TB_prev[[#This Row],[Synt]],GL[[Account]:[B/P]],4,FALSE)</f>
        <v>#N/A</v>
      </c>
      <c r="AH818" s="1066" t="e">
        <v>#VALUE!</v>
      </c>
      <c r="AI818" s="1065" t="e">
        <f>TB_prev[[#This Row],[Synt]]&amp;TB_prev[[#This Row],[Line No. manual corr.]]</f>
        <v>#VALUE!</v>
      </c>
      <c r="AJ818" s="1064">
        <f t="shared" si="61"/>
        <v>0</v>
      </c>
      <c r="AK818" s="1064">
        <f t="shared" si="62"/>
        <v>0</v>
      </c>
      <c r="AL818" s="1064">
        <f t="shared" si="63"/>
        <v>0</v>
      </c>
      <c r="AM818" s="1064">
        <f t="shared" si="64"/>
        <v>0</v>
      </c>
      <c r="AN818" s="1064"/>
      <c r="AO818" s="1064">
        <f>TB_prev[[#This Row],[Closing balance]]+TB_prev[[#This Row],[Rounding]]</f>
        <v>0</v>
      </c>
    </row>
    <row r="819" spans="30:41" x14ac:dyDescent="0.25">
      <c r="AD819" s="1067" t="str">
        <f t="shared" si="60"/>
        <v/>
      </c>
      <c r="AE819" s="1063" t="str">
        <f>IF(ISNA(VLOOKUP(TB_prev[[#This Row],[Synt]],GL[[#Headers],[#Data],[subtotal label]],1,FALSE)),0,(VLOOKUP(TB_prev[[#This Row],[Synt]],GL[[#Headers],[#Data],[subtotal label]],1,FALSE)))</f>
        <v/>
      </c>
      <c r="AF819" s="1063" t="e">
        <f>IF((TB_prev[[#This Row],[Synt]]-TB_prev[[#This Row],[Subtotal Y/N]])=0,0,VLOOKUP(TB_prev[[#This Row],[Synt]],GL[[Account]:[Line]],3,FALSE))</f>
        <v>#VALUE!</v>
      </c>
      <c r="AG819" s="1063" t="e">
        <f>VLOOKUP(TB_prev[[#This Row],[Synt]],GL[[Account]:[B/P]],4,FALSE)</f>
        <v>#N/A</v>
      </c>
      <c r="AH819" s="1066" t="e">
        <v>#VALUE!</v>
      </c>
      <c r="AI819" s="1065" t="e">
        <f>TB_prev[[#This Row],[Synt]]&amp;TB_prev[[#This Row],[Line No. manual corr.]]</f>
        <v>#VALUE!</v>
      </c>
      <c r="AJ819" s="1064">
        <f t="shared" si="61"/>
        <v>0</v>
      </c>
      <c r="AK819" s="1064">
        <f t="shared" si="62"/>
        <v>0</v>
      </c>
      <c r="AL819" s="1064">
        <f t="shared" si="63"/>
        <v>0</v>
      </c>
      <c r="AM819" s="1064">
        <f t="shared" si="64"/>
        <v>0</v>
      </c>
      <c r="AN819" s="1064"/>
      <c r="AO819" s="1064">
        <f>TB_prev[[#This Row],[Closing balance]]+TB_prev[[#This Row],[Rounding]]</f>
        <v>0</v>
      </c>
    </row>
    <row r="820" spans="30:41" x14ac:dyDescent="0.25">
      <c r="AD820" s="1067" t="str">
        <f t="shared" si="60"/>
        <v/>
      </c>
      <c r="AE820" s="1063" t="str">
        <f>IF(ISNA(VLOOKUP(TB_prev[[#This Row],[Synt]],GL[[#Headers],[#Data],[subtotal label]],1,FALSE)),0,(VLOOKUP(TB_prev[[#This Row],[Synt]],GL[[#Headers],[#Data],[subtotal label]],1,FALSE)))</f>
        <v/>
      </c>
      <c r="AF820" s="1063" t="e">
        <f>IF((TB_prev[[#This Row],[Synt]]-TB_prev[[#This Row],[Subtotal Y/N]])=0,0,VLOOKUP(TB_prev[[#This Row],[Synt]],GL[[Account]:[Line]],3,FALSE))</f>
        <v>#VALUE!</v>
      </c>
      <c r="AG820" s="1063" t="e">
        <f>VLOOKUP(TB_prev[[#This Row],[Synt]],GL[[Account]:[B/P]],4,FALSE)</f>
        <v>#N/A</v>
      </c>
      <c r="AH820" s="1066" t="e">
        <v>#VALUE!</v>
      </c>
      <c r="AI820" s="1065" t="e">
        <f>TB_prev[[#This Row],[Synt]]&amp;TB_prev[[#This Row],[Line No. manual corr.]]</f>
        <v>#VALUE!</v>
      </c>
      <c r="AJ820" s="1064">
        <f t="shared" si="61"/>
        <v>0</v>
      </c>
      <c r="AK820" s="1064">
        <f t="shared" si="62"/>
        <v>0</v>
      </c>
      <c r="AL820" s="1064">
        <f t="shared" si="63"/>
        <v>0</v>
      </c>
      <c r="AM820" s="1064">
        <f t="shared" si="64"/>
        <v>0</v>
      </c>
      <c r="AN820" s="1064"/>
      <c r="AO820" s="1064">
        <f>TB_prev[[#This Row],[Closing balance]]+TB_prev[[#This Row],[Rounding]]</f>
        <v>0</v>
      </c>
    </row>
    <row r="821" spans="30:41" x14ac:dyDescent="0.25">
      <c r="AD821" s="1067" t="str">
        <f t="shared" si="60"/>
        <v/>
      </c>
      <c r="AE821" s="1063" t="str">
        <f>IF(ISNA(VLOOKUP(TB_prev[[#This Row],[Synt]],GL[[#Headers],[#Data],[subtotal label]],1,FALSE)),0,(VLOOKUP(TB_prev[[#This Row],[Synt]],GL[[#Headers],[#Data],[subtotal label]],1,FALSE)))</f>
        <v/>
      </c>
      <c r="AF821" s="1063" t="e">
        <f>IF((TB_prev[[#This Row],[Synt]]-TB_prev[[#This Row],[Subtotal Y/N]])=0,0,VLOOKUP(TB_prev[[#This Row],[Synt]],GL[[Account]:[Line]],3,FALSE))</f>
        <v>#VALUE!</v>
      </c>
      <c r="AG821" s="1063" t="e">
        <f>VLOOKUP(TB_prev[[#This Row],[Synt]],GL[[Account]:[B/P]],4,FALSE)</f>
        <v>#N/A</v>
      </c>
      <c r="AH821" s="1066" t="e">
        <v>#VALUE!</v>
      </c>
      <c r="AI821" s="1065" t="e">
        <f>TB_prev[[#This Row],[Synt]]&amp;TB_prev[[#This Row],[Line No. manual corr.]]</f>
        <v>#VALUE!</v>
      </c>
      <c r="AJ821" s="1064">
        <f t="shared" si="61"/>
        <v>0</v>
      </c>
      <c r="AK821" s="1064">
        <f t="shared" si="62"/>
        <v>0</v>
      </c>
      <c r="AL821" s="1064">
        <f t="shared" si="63"/>
        <v>0</v>
      </c>
      <c r="AM821" s="1064">
        <f t="shared" si="64"/>
        <v>0</v>
      </c>
      <c r="AN821" s="1064"/>
      <c r="AO821" s="1064">
        <f>TB_prev[[#This Row],[Closing balance]]+TB_prev[[#This Row],[Rounding]]</f>
        <v>0</v>
      </c>
    </row>
    <row r="822" spans="30:41" x14ac:dyDescent="0.25">
      <c r="AD822" s="1067" t="str">
        <f t="shared" si="60"/>
        <v/>
      </c>
      <c r="AE822" s="1063" t="str">
        <f>IF(ISNA(VLOOKUP(TB_prev[[#This Row],[Synt]],GL[[#Headers],[#Data],[subtotal label]],1,FALSE)),0,(VLOOKUP(TB_prev[[#This Row],[Synt]],GL[[#Headers],[#Data],[subtotal label]],1,FALSE)))</f>
        <v/>
      </c>
      <c r="AF822" s="1063" t="e">
        <f>IF((TB_prev[[#This Row],[Synt]]-TB_prev[[#This Row],[Subtotal Y/N]])=0,0,VLOOKUP(TB_prev[[#This Row],[Synt]],GL[[Account]:[Line]],3,FALSE))</f>
        <v>#VALUE!</v>
      </c>
      <c r="AG822" s="1063" t="e">
        <f>VLOOKUP(TB_prev[[#This Row],[Synt]],GL[[Account]:[B/P]],4,FALSE)</f>
        <v>#N/A</v>
      </c>
      <c r="AH822" s="1066" t="e">
        <v>#VALUE!</v>
      </c>
      <c r="AI822" s="1065" t="e">
        <f>TB_prev[[#This Row],[Synt]]&amp;TB_prev[[#This Row],[Line No. manual corr.]]</f>
        <v>#VALUE!</v>
      </c>
      <c r="AJ822" s="1064">
        <f t="shared" si="61"/>
        <v>0</v>
      </c>
      <c r="AK822" s="1064">
        <f t="shared" si="62"/>
        <v>0</v>
      </c>
      <c r="AL822" s="1064">
        <f t="shared" si="63"/>
        <v>0</v>
      </c>
      <c r="AM822" s="1064">
        <f t="shared" si="64"/>
        <v>0</v>
      </c>
      <c r="AN822" s="1064"/>
      <c r="AO822" s="1064">
        <f>TB_prev[[#This Row],[Closing balance]]+TB_prev[[#This Row],[Rounding]]</f>
        <v>0</v>
      </c>
    </row>
    <row r="823" spans="30:41" x14ac:dyDescent="0.25">
      <c r="AD823" s="1067" t="str">
        <f t="shared" si="60"/>
        <v/>
      </c>
      <c r="AE823" s="1063" t="str">
        <f>IF(ISNA(VLOOKUP(TB_prev[[#This Row],[Synt]],GL[[#Headers],[#Data],[subtotal label]],1,FALSE)),0,(VLOOKUP(TB_prev[[#This Row],[Synt]],GL[[#Headers],[#Data],[subtotal label]],1,FALSE)))</f>
        <v/>
      </c>
      <c r="AF823" s="1063" t="e">
        <f>IF((TB_prev[[#This Row],[Synt]]-TB_prev[[#This Row],[Subtotal Y/N]])=0,0,VLOOKUP(TB_prev[[#This Row],[Synt]],GL[[Account]:[Line]],3,FALSE))</f>
        <v>#VALUE!</v>
      </c>
      <c r="AG823" s="1063" t="e">
        <f>VLOOKUP(TB_prev[[#This Row],[Synt]],GL[[Account]:[B/P]],4,FALSE)</f>
        <v>#N/A</v>
      </c>
      <c r="AH823" s="1066" t="e">
        <v>#VALUE!</v>
      </c>
      <c r="AI823" s="1065" t="e">
        <f>TB_prev[[#This Row],[Synt]]&amp;TB_prev[[#This Row],[Line No. manual corr.]]</f>
        <v>#VALUE!</v>
      </c>
      <c r="AJ823" s="1064">
        <f t="shared" si="61"/>
        <v>0</v>
      </c>
      <c r="AK823" s="1064">
        <f t="shared" si="62"/>
        <v>0</v>
      </c>
      <c r="AL823" s="1064">
        <f t="shared" si="63"/>
        <v>0</v>
      </c>
      <c r="AM823" s="1064">
        <f t="shared" si="64"/>
        <v>0</v>
      </c>
      <c r="AN823" s="1064"/>
      <c r="AO823" s="1064">
        <f>TB_prev[[#This Row],[Closing balance]]+TB_prev[[#This Row],[Rounding]]</f>
        <v>0</v>
      </c>
    </row>
    <row r="824" spans="30:41" x14ac:dyDescent="0.25">
      <c r="AD824" s="1067" t="str">
        <f t="shared" si="60"/>
        <v/>
      </c>
      <c r="AE824" s="1063" t="str">
        <f>IF(ISNA(VLOOKUP(TB_prev[[#This Row],[Synt]],GL[[#Headers],[#Data],[subtotal label]],1,FALSE)),0,(VLOOKUP(TB_prev[[#This Row],[Synt]],GL[[#Headers],[#Data],[subtotal label]],1,FALSE)))</f>
        <v/>
      </c>
      <c r="AF824" s="1063" t="e">
        <f>IF((TB_prev[[#This Row],[Synt]]-TB_prev[[#This Row],[Subtotal Y/N]])=0,0,VLOOKUP(TB_prev[[#This Row],[Synt]],GL[[Account]:[Line]],3,FALSE))</f>
        <v>#VALUE!</v>
      </c>
      <c r="AG824" s="1063" t="e">
        <f>VLOOKUP(TB_prev[[#This Row],[Synt]],GL[[Account]:[B/P]],4,FALSE)</f>
        <v>#N/A</v>
      </c>
      <c r="AH824" s="1066" t="e">
        <v>#VALUE!</v>
      </c>
      <c r="AI824" s="1065" t="e">
        <f>TB_prev[[#This Row],[Synt]]&amp;TB_prev[[#This Row],[Line No. manual corr.]]</f>
        <v>#VALUE!</v>
      </c>
      <c r="AJ824" s="1064">
        <f t="shared" si="61"/>
        <v>0</v>
      </c>
      <c r="AK824" s="1064">
        <f t="shared" si="62"/>
        <v>0</v>
      </c>
      <c r="AL824" s="1064">
        <f t="shared" si="63"/>
        <v>0</v>
      </c>
      <c r="AM824" s="1064">
        <f t="shared" si="64"/>
        <v>0</v>
      </c>
      <c r="AN824" s="1064"/>
      <c r="AO824" s="1064">
        <f>TB_prev[[#This Row],[Closing balance]]+TB_prev[[#This Row],[Rounding]]</f>
        <v>0</v>
      </c>
    </row>
    <row r="825" spans="30:41" x14ac:dyDescent="0.25">
      <c r="AD825" s="1067" t="str">
        <f t="shared" si="60"/>
        <v/>
      </c>
      <c r="AE825" s="1063" t="str">
        <f>IF(ISNA(VLOOKUP(TB_prev[[#This Row],[Synt]],GL[[#Headers],[#Data],[subtotal label]],1,FALSE)),0,(VLOOKUP(TB_prev[[#This Row],[Synt]],GL[[#Headers],[#Data],[subtotal label]],1,FALSE)))</f>
        <v/>
      </c>
      <c r="AF825" s="1063" t="e">
        <f>IF((TB_prev[[#This Row],[Synt]]-TB_prev[[#This Row],[Subtotal Y/N]])=0,0,VLOOKUP(TB_prev[[#This Row],[Synt]],GL[[Account]:[Line]],3,FALSE))</f>
        <v>#VALUE!</v>
      </c>
      <c r="AG825" s="1063" t="e">
        <f>VLOOKUP(TB_prev[[#This Row],[Synt]],GL[[Account]:[B/P]],4,FALSE)</f>
        <v>#N/A</v>
      </c>
      <c r="AH825" s="1066" t="e">
        <v>#VALUE!</v>
      </c>
      <c r="AI825" s="1065" t="e">
        <f>TB_prev[[#This Row],[Synt]]&amp;TB_prev[[#This Row],[Line No. manual corr.]]</f>
        <v>#VALUE!</v>
      </c>
      <c r="AJ825" s="1064">
        <f t="shared" si="61"/>
        <v>0</v>
      </c>
      <c r="AK825" s="1064">
        <f t="shared" si="62"/>
        <v>0</v>
      </c>
      <c r="AL825" s="1064">
        <f t="shared" si="63"/>
        <v>0</v>
      </c>
      <c r="AM825" s="1064">
        <f t="shared" si="64"/>
        <v>0</v>
      </c>
      <c r="AN825" s="1064"/>
      <c r="AO825" s="1064">
        <f>TB_prev[[#This Row],[Closing balance]]+TB_prev[[#This Row],[Rounding]]</f>
        <v>0</v>
      </c>
    </row>
    <row r="826" spans="30:41" x14ac:dyDescent="0.25">
      <c r="AD826" s="1067" t="str">
        <f t="shared" si="60"/>
        <v/>
      </c>
      <c r="AE826" s="1063" t="str">
        <f>IF(ISNA(VLOOKUP(TB_prev[[#This Row],[Synt]],GL[[#Headers],[#Data],[subtotal label]],1,FALSE)),0,(VLOOKUP(TB_prev[[#This Row],[Synt]],GL[[#Headers],[#Data],[subtotal label]],1,FALSE)))</f>
        <v/>
      </c>
      <c r="AF826" s="1063" t="e">
        <f>IF((TB_prev[[#This Row],[Synt]]-TB_prev[[#This Row],[Subtotal Y/N]])=0,0,VLOOKUP(TB_prev[[#This Row],[Synt]],GL[[Account]:[Line]],3,FALSE))</f>
        <v>#VALUE!</v>
      </c>
      <c r="AG826" s="1063" t="e">
        <f>VLOOKUP(TB_prev[[#This Row],[Synt]],GL[[Account]:[B/P]],4,FALSE)</f>
        <v>#N/A</v>
      </c>
      <c r="AH826" s="1066" t="e">
        <v>#VALUE!</v>
      </c>
      <c r="AI826" s="1065" t="e">
        <f>TB_prev[[#This Row],[Synt]]&amp;TB_prev[[#This Row],[Line No. manual corr.]]</f>
        <v>#VALUE!</v>
      </c>
      <c r="AJ826" s="1064">
        <f t="shared" si="61"/>
        <v>0</v>
      </c>
      <c r="AK826" s="1064">
        <f t="shared" si="62"/>
        <v>0</v>
      </c>
      <c r="AL826" s="1064">
        <f t="shared" si="63"/>
        <v>0</v>
      </c>
      <c r="AM826" s="1064">
        <f t="shared" si="64"/>
        <v>0</v>
      </c>
      <c r="AN826" s="1064"/>
      <c r="AO826" s="1064">
        <f>TB_prev[[#This Row],[Closing balance]]+TB_prev[[#This Row],[Rounding]]</f>
        <v>0</v>
      </c>
    </row>
    <row r="827" spans="30:41" x14ac:dyDescent="0.25">
      <c r="AD827" s="1067" t="str">
        <f t="shared" si="60"/>
        <v/>
      </c>
      <c r="AE827" s="1063" t="str">
        <f>IF(ISNA(VLOOKUP(TB_prev[[#This Row],[Synt]],GL[[#Headers],[#Data],[subtotal label]],1,FALSE)),0,(VLOOKUP(TB_prev[[#This Row],[Synt]],GL[[#Headers],[#Data],[subtotal label]],1,FALSE)))</f>
        <v/>
      </c>
      <c r="AF827" s="1063" t="e">
        <f>IF((TB_prev[[#This Row],[Synt]]-TB_prev[[#This Row],[Subtotal Y/N]])=0,0,VLOOKUP(TB_prev[[#This Row],[Synt]],GL[[Account]:[Line]],3,FALSE))</f>
        <v>#VALUE!</v>
      </c>
      <c r="AG827" s="1063" t="e">
        <f>VLOOKUP(TB_prev[[#This Row],[Synt]],GL[[Account]:[B/P]],4,FALSE)</f>
        <v>#N/A</v>
      </c>
      <c r="AH827" s="1066" t="e">
        <v>#VALUE!</v>
      </c>
      <c r="AI827" s="1065" t="e">
        <f>TB_prev[[#This Row],[Synt]]&amp;TB_prev[[#This Row],[Line No. manual corr.]]</f>
        <v>#VALUE!</v>
      </c>
      <c r="AJ827" s="1064">
        <f t="shared" si="61"/>
        <v>0</v>
      </c>
      <c r="AK827" s="1064">
        <f t="shared" si="62"/>
        <v>0</v>
      </c>
      <c r="AL827" s="1064">
        <f t="shared" si="63"/>
        <v>0</v>
      </c>
      <c r="AM827" s="1064">
        <f t="shared" si="64"/>
        <v>0</v>
      </c>
      <c r="AN827" s="1064"/>
      <c r="AO827" s="1064">
        <f>TB_prev[[#This Row],[Closing balance]]+TB_prev[[#This Row],[Rounding]]</f>
        <v>0</v>
      </c>
    </row>
    <row r="828" spans="30:41" x14ac:dyDescent="0.25">
      <c r="AD828" s="1067" t="str">
        <f t="shared" si="60"/>
        <v/>
      </c>
      <c r="AE828" s="1063" t="str">
        <f>IF(ISNA(VLOOKUP(TB_prev[[#This Row],[Synt]],GL[[#Headers],[#Data],[subtotal label]],1,FALSE)),0,(VLOOKUP(TB_prev[[#This Row],[Synt]],GL[[#Headers],[#Data],[subtotal label]],1,FALSE)))</f>
        <v/>
      </c>
      <c r="AF828" s="1063" t="e">
        <f>IF((TB_prev[[#This Row],[Synt]]-TB_prev[[#This Row],[Subtotal Y/N]])=0,0,VLOOKUP(TB_prev[[#This Row],[Synt]],GL[[Account]:[Line]],3,FALSE))</f>
        <v>#VALUE!</v>
      </c>
      <c r="AG828" s="1063" t="e">
        <f>VLOOKUP(TB_prev[[#This Row],[Synt]],GL[[Account]:[B/P]],4,FALSE)</f>
        <v>#N/A</v>
      </c>
      <c r="AH828" s="1066" t="e">
        <v>#VALUE!</v>
      </c>
      <c r="AI828" s="1065" t="e">
        <f>TB_prev[[#This Row],[Synt]]&amp;TB_prev[[#This Row],[Line No. manual corr.]]</f>
        <v>#VALUE!</v>
      </c>
      <c r="AJ828" s="1064">
        <f t="shared" si="61"/>
        <v>0</v>
      </c>
      <c r="AK828" s="1064">
        <f t="shared" si="62"/>
        <v>0</v>
      </c>
      <c r="AL828" s="1064">
        <f t="shared" si="63"/>
        <v>0</v>
      </c>
      <c r="AM828" s="1064">
        <f t="shared" si="64"/>
        <v>0</v>
      </c>
      <c r="AN828" s="1064"/>
      <c r="AO828" s="1064">
        <f>TB_prev[[#This Row],[Closing balance]]+TB_prev[[#This Row],[Rounding]]</f>
        <v>0</v>
      </c>
    </row>
    <row r="829" spans="30:41" x14ac:dyDescent="0.25">
      <c r="AD829" s="1067" t="str">
        <f t="shared" si="60"/>
        <v/>
      </c>
      <c r="AE829" s="1063" t="str">
        <f>IF(ISNA(VLOOKUP(TB_prev[[#This Row],[Synt]],GL[[#Headers],[#Data],[subtotal label]],1,FALSE)),0,(VLOOKUP(TB_prev[[#This Row],[Synt]],GL[[#Headers],[#Data],[subtotal label]],1,FALSE)))</f>
        <v/>
      </c>
      <c r="AF829" s="1063" t="e">
        <f>IF((TB_prev[[#This Row],[Synt]]-TB_prev[[#This Row],[Subtotal Y/N]])=0,0,VLOOKUP(TB_prev[[#This Row],[Synt]],GL[[Account]:[Line]],3,FALSE))</f>
        <v>#VALUE!</v>
      </c>
      <c r="AG829" s="1063" t="e">
        <f>VLOOKUP(TB_prev[[#This Row],[Synt]],GL[[Account]:[B/P]],4,FALSE)</f>
        <v>#N/A</v>
      </c>
      <c r="AH829" s="1066" t="e">
        <v>#VALUE!</v>
      </c>
      <c r="AI829" s="1065" t="e">
        <f>TB_prev[[#This Row],[Synt]]&amp;TB_prev[[#This Row],[Line No. manual corr.]]</f>
        <v>#VALUE!</v>
      </c>
      <c r="AJ829" s="1064">
        <f t="shared" si="61"/>
        <v>0</v>
      </c>
      <c r="AK829" s="1064">
        <f t="shared" si="62"/>
        <v>0</v>
      </c>
      <c r="AL829" s="1064">
        <f t="shared" si="63"/>
        <v>0</v>
      </c>
      <c r="AM829" s="1064">
        <f t="shared" si="64"/>
        <v>0</v>
      </c>
      <c r="AN829" s="1064"/>
      <c r="AO829" s="1064">
        <f>TB_prev[[#This Row],[Closing balance]]+TB_prev[[#This Row],[Rounding]]</f>
        <v>0</v>
      </c>
    </row>
    <row r="830" spans="30:41" x14ac:dyDescent="0.25">
      <c r="AD830" s="1067" t="str">
        <f t="shared" si="60"/>
        <v/>
      </c>
      <c r="AE830" s="1063" t="str">
        <f>IF(ISNA(VLOOKUP(TB_prev[[#This Row],[Synt]],GL[[#Headers],[#Data],[subtotal label]],1,FALSE)),0,(VLOOKUP(TB_prev[[#This Row],[Synt]],GL[[#Headers],[#Data],[subtotal label]],1,FALSE)))</f>
        <v/>
      </c>
      <c r="AF830" s="1063" t="e">
        <f>IF((TB_prev[[#This Row],[Synt]]-TB_prev[[#This Row],[Subtotal Y/N]])=0,0,VLOOKUP(TB_prev[[#This Row],[Synt]],GL[[Account]:[Line]],3,FALSE))</f>
        <v>#VALUE!</v>
      </c>
      <c r="AG830" s="1063" t="e">
        <f>VLOOKUP(TB_prev[[#This Row],[Synt]],GL[[Account]:[B/P]],4,FALSE)</f>
        <v>#N/A</v>
      </c>
      <c r="AH830" s="1066" t="e">
        <v>#VALUE!</v>
      </c>
      <c r="AI830" s="1065" t="e">
        <f>TB_prev[[#This Row],[Synt]]&amp;TB_prev[[#This Row],[Line No. manual corr.]]</f>
        <v>#VALUE!</v>
      </c>
      <c r="AJ830" s="1064">
        <f t="shared" si="61"/>
        <v>0</v>
      </c>
      <c r="AK830" s="1064">
        <f t="shared" si="62"/>
        <v>0</v>
      </c>
      <c r="AL830" s="1064">
        <f t="shared" si="63"/>
        <v>0</v>
      </c>
      <c r="AM830" s="1064">
        <f t="shared" si="64"/>
        <v>0</v>
      </c>
      <c r="AN830" s="1064"/>
      <c r="AO830" s="1064">
        <f>TB_prev[[#This Row],[Closing balance]]+TB_prev[[#This Row],[Rounding]]</f>
        <v>0</v>
      </c>
    </row>
    <row r="831" spans="30:41" x14ac:dyDescent="0.25">
      <c r="AD831" s="1067" t="str">
        <f t="shared" si="60"/>
        <v/>
      </c>
      <c r="AE831" s="1063" t="str">
        <f>IF(ISNA(VLOOKUP(TB_prev[[#This Row],[Synt]],GL[[#Headers],[#Data],[subtotal label]],1,FALSE)),0,(VLOOKUP(TB_prev[[#This Row],[Synt]],GL[[#Headers],[#Data],[subtotal label]],1,FALSE)))</f>
        <v/>
      </c>
      <c r="AF831" s="1063" t="e">
        <f>IF((TB_prev[[#This Row],[Synt]]-TB_prev[[#This Row],[Subtotal Y/N]])=0,0,VLOOKUP(TB_prev[[#This Row],[Synt]],GL[[Account]:[Line]],3,FALSE))</f>
        <v>#VALUE!</v>
      </c>
      <c r="AG831" s="1063" t="e">
        <f>VLOOKUP(TB_prev[[#This Row],[Synt]],GL[[Account]:[B/P]],4,FALSE)</f>
        <v>#N/A</v>
      </c>
      <c r="AH831" s="1066" t="e">
        <v>#VALUE!</v>
      </c>
      <c r="AI831" s="1065" t="e">
        <f>TB_prev[[#This Row],[Synt]]&amp;TB_prev[[#This Row],[Line No. manual corr.]]</f>
        <v>#VALUE!</v>
      </c>
      <c r="AJ831" s="1064">
        <f t="shared" si="61"/>
        <v>0</v>
      </c>
      <c r="AK831" s="1064">
        <f t="shared" si="62"/>
        <v>0</v>
      </c>
      <c r="AL831" s="1064">
        <f t="shared" si="63"/>
        <v>0</v>
      </c>
      <c r="AM831" s="1064">
        <f t="shared" si="64"/>
        <v>0</v>
      </c>
      <c r="AN831" s="1064"/>
      <c r="AO831" s="1064">
        <f>TB_prev[[#This Row],[Closing balance]]+TB_prev[[#This Row],[Rounding]]</f>
        <v>0</v>
      </c>
    </row>
    <row r="832" spans="30:41" x14ac:dyDescent="0.25">
      <c r="AD832" s="1067" t="str">
        <f t="shared" si="60"/>
        <v/>
      </c>
      <c r="AE832" s="1063" t="str">
        <f>IF(ISNA(VLOOKUP(TB_prev[[#This Row],[Synt]],GL[[#Headers],[#Data],[subtotal label]],1,FALSE)),0,(VLOOKUP(TB_prev[[#This Row],[Synt]],GL[[#Headers],[#Data],[subtotal label]],1,FALSE)))</f>
        <v/>
      </c>
      <c r="AF832" s="1063" t="e">
        <f>IF((TB_prev[[#This Row],[Synt]]-TB_prev[[#This Row],[Subtotal Y/N]])=0,0,VLOOKUP(TB_prev[[#This Row],[Synt]],GL[[Account]:[Line]],3,FALSE))</f>
        <v>#VALUE!</v>
      </c>
      <c r="AG832" s="1063" t="e">
        <f>VLOOKUP(TB_prev[[#This Row],[Synt]],GL[[Account]:[B/P]],4,FALSE)</f>
        <v>#N/A</v>
      </c>
      <c r="AH832" s="1066" t="e">
        <v>#VALUE!</v>
      </c>
      <c r="AI832" s="1065" t="e">
        <f>TB_prev[[#This Row],[Synt]]&amp;TB_prev[[#This Row],[Line No. manual corr.]]</f>
        <v>#VALUE!</v>
      </c>
      <c r="AJ832" s="1064">
        <f t="shared" si="61"/>
        <v>0</v>
      </c>
      <c r="AK832" s="1064">
        <f t="shared" si="62"/>
        <v>0</v>
      </c>
      <c r="AL832" s="1064">
        <f t="shared" si="63"/>
        <v>0</v>
      </c>
      <c r="AM832" s="1064">
        <f t="shared" si="64"/>
        <v>0</v>
      </c>
      <c r="AN832" s="1064"/>
      <c r="AO832" s="1064">
        <f>TB_prev[[#This Row],[Closing balance]]+TB_prev[[#This Row],[Rounding]]</f>
        <v>0</v>
      </c>
    </row>
    <row r="833" spans="30:41" x14ac:dyDescent="0.25">
      <c r="AD833" s="1067" t="str">
        <f t="shared" si="60"/>
        <v/>
      </c>
      <c r="AE833" s="1063" t="str">
        <f>IF(ISNA(VLOOKUP(TB_prev[[#This Row],[Synt]],GL[[#Headers],[#Data],[subtotal label]],1,FALSE)),0,(VLOOKUP(TB_prev[[#This Row],[Synt]],GL[[#Headers],[#Data],[subtotal label]],1,FALSE)))</f>
        <v/>
      </c>
      <c r="AF833" s="1063" t="e">
        <f>IF((TB_prev[[#This Row],[Synt]]-TB_prev[[#This Row],[Subtotal Y/N]])=0,0,VLOOKUP(TB_prev[[#This Row],[Synt]],GL[[Account]:[Line]],3,FALSE))</f>
        <v>#VALUE!</v>
      </c>
      <c r="AG833" s="1063" t="e">
        <f>VLOOKUP(TB_prev[[#This Row],[Synt]],GL[[Account]:[B/P]],4,FALSE)</f>
        <v>#N/A</v>
      </c>
      <c r="AH833" s="1066" t="e">
        <v>#VALUE!</v>
      </c>
      <c r="AI833" s="1065" t="e">
        <f>TB_prev[[#This Row],[Synt]]&amp;TB_prev[[#This Row],[Line No. manual corr.]]</f>
        <v>#VALUE!</v>
      </c>
      <c r="AJ833" s="1064">
        <f t="shared" si="61"/>
        <v>0</v>
      </c>
      <c r="AK833" s="1064">
        <f t="shared" si="62"/>
        <v>0</v>
      </c>
      <c r="AL833" s="1064">
        <f t="shared" si="63"/>
        <v>0</v>
      </c>
      <c r="AM833" s="1064">
        <f t="shared" si="64"/>
        <v>0</v>
      </c>
      <c r="AN833" s="1064"/>
      <c r="AO833" s="1064">
        <f>TB_prev[[#This Row],[Closing balance]]+TB_prev[[#This Row],[Rounding]]</f>
        <v>0</v>
      </c>
    </row>
    <row r="834" spans="30:41" x14ac:dyDescent="0.25">
      <c r="AD834" s="1067" t="str">
        <f t="shared" si="60"/>
        <v/>
      </c>
      <c r="AE834" s="1063" t="str">
        <f>IF(ISNA(VLOOKUP(TB_prev[[#This Row],[Synt]],GL[[#Headers],[#Data],[subtotal label]],1,FALSE)),0,(VLOOKUP(TB_prev[[#This Row],[Synt]],GL[[#Headers],[#Data],[subtotal label]],1,FALSE)))</f>
        <v/>
      </c>
      <c r="AF834" s="1063" t="e">
        <f>IF((TB_prev[[#This Row],[Synt]]-TB_prev[[#This Row],[Subtotal Y/N]])=0,0,VLOOKUP(TB_prev[[#This Row],[Synt]],GL[[Account]:[Line]],3,FALSE))</f>
        <v>#VALUE!</v>
      </c>
      <c r="AG834" s="1063" t="e">
        <f>VLOOKUP(TB_prev[[#This Row],[Synt]],GL[[Account]:[B/P]],4,FALSE)</f>
        <v>#N/A</v>
      </c>
      <c r="AH834" s="1066" t="e">
        <v>#VALUE!</v>
      </c>
      <c r="AI834" s="1065" t="e">
        <f>TB_prev[[#This Row],[Synt]]&amp;TB_prev[[#This Row],[Line No. manual corr.]]</f>
        <v>#VALUE!</v>
      </c>
      <c r="AJ834" s="1064">
        <f t="shared" si="61"/>
        <v>0</v>
      </c>
      <c r="AK834" s="1064">
        <f t="shared" si="62"/>
        <v>0</v>
      </c>
      <c r="AL834" s="1064">
        <f t="shared" si="63"/>
        <v>0</v>
      </c>
      <c r="AM834" s="1064">
        <f t="shared" si="64"/>
        <v>0</v>
      </c>
      <c r="AN834" s="1064"/>
      <c r="AO834" s="1064">
        <f>TB_prev[[#This Row],[Closing balance]]+TB_prev[[#This Row],[Rounding]]</f>
        <v>0</v>
      </c>
    </row>
    <row r="835" spans="30:41" x14ac:dyDescent="0.25">
      <c r="AD835" s="1067" t="str">
        <f t="shared" si="60"/>
        <v/>
      </c>
      <c r="AE835" s="1063" t="str">
        <f>IF(ISNA(VLOOKUP(TB_prev[[#This Row],[Synt]],GL[[#Headers],[#Data],[subtotal label]],1,FALSE)),0,(VLOOKUP(TB_prev[[#This Row],[Synt]],GL[[#Headers],[#Data],[subtotal label]],1,FALSE)))</f>
        <v/>
      </c>
      <c r="AF835" s="1063" t="e">
        <f>IF((TB_prev[[#This Row],[Synt]]-TB_prev[[#This Row],[Subtotal Y/N]])=0,0,VLOOKUP(TB_prev[[#This Row],[Synt]],GL[[Account]:[Line]],3,FALSE))</f>
        <v>#VALUE!</v>
      </c>
      <c r="AG835" s="1063" t="e">
        <f>VLOOKUP(TB_prev[[#This Row],[Synt]],GL[[Account]:[B/P]],4,FALSE)</f>
        <v>#N/A</v>
      </c>
      <c r="AH835" s="1066" t="e">
        <v>#VALUE!</v>
      </c>
      <c r="AI835" s="1065" t="e">
        <f>TB_prev[[#This Row],[Synt]]&amp;TB_prev[[#This Row],[Line No. manual corr.]]</f>
        <v>#VALUE!</v>
      </c>
      <c r="AJ835" s="1064">
        <f t="shared" si="61"/>
        <v>0</v>
      </c>
      <c r="AK835" s="1064">
        <f t="shared" si="62"/>
        <v>0</v>
      </c>
      <c r="AL835" s="1064">
        <f t="shared" si="63"/>
        <v>0</v>
      </c>
      <c r="AM835" s="1064">
        <f t="shared" si="64"/>
        <v>0</v>
      </c>
      <c r="AN835" s="1064"/>
      <c r="AO835" s="1064">
        <f>TB_prev[[#This Row],[Closing balance]]+TB_prev[[#This Row],[Rounding]]</f>
        <v>0</v>
      </c>
    </row>
    <row r="836" spans="30:41" x14ac:dyDescent="0.25">
      <c r="AD836" s="1067" t="str">
        <f t="shared" si="60"/>
        <v/>
      </c>
      <c r="AE836" s="1063" t="str">
        <f>IF(ISNA(VLOOKUP(TB_prev[[#This Row],[Synt]],GL[[#Headers],[#Data],[subtotal label]],1,FALSE)),0,(VLOOKUP(TB_prev[[#This Row],[Synt]],GL[[#Headers],[#Data],[subtotal label]],1,FALSE)))</f>
        <v/>
      </c>
      <c r="AF836" s="1063" t="e">
        <f>IF((TB_prev[[#This Row],[Synt]]-TB_prev[[#This Row],[Subtotal Y/N]])=0,0,VLOOKUP(TB_prev[[#This Row],[Synt]],GL[[Account]:[Line]],3,FALSE))</f>
        <v>#VALUE!</v>
      </c>
      <c r="AG836" s="1063" t="e">
        <f>VLOOKUP(TB_prev[[#This Row],[Synt]],GL[[Account]:[B/P]],4,FALSE)</f>
        <v>#N/A</v>
      </c>
      <c r="AH836" s="1066" t="e">
        <v>#VALUE!</v>
      </c>
      <c r="AI836" s="1065" t="e">
        <f>TB_prev[[#This Row],[Synt]]&amp;TB_prev[[#This Row],[Line No. manual corr.]]</f>
        <v>#VALUE!</v>
      </c>
      <c r="AJ836" s="1064">
        <f t="shared" si="61"/>
        <v>0</v>
      </c>
      <c r="AK836" s="1064">
        <f t="shared" si="62"/>
        <v>0</v>
      </c>
      <c r="AL836" s="1064">
        <f t="shared" si="63"/>
        <v>0</v>
      </c>
      <c r="AM836" s="1064">
        <f t="shared" si="64"/>
        <v>0</v>
      </c>
      <c r="AN836" s="1064"/>
      <c r="AO836" s="1064">
        <f>TB_prev[[#This Row],[Closing balance]]+TB_prev[[#This Row],[Rounding]]</f>
        <v>0</v>
      </c>
    </row>
    <row r="837" spans="30:41" x14ac:dyDescent="0.25">
      <c r="AD837" s="1067" t="str">
        <f t="shared" si="60"/>
        <v/>
      </c>
      <c r="AE837" s="1063" t="str">
        <f>IF(ISNA(VLOOKUP(TB_prev[[#This Row],[Synt]],GL[[#Headers],[#Data],[subtotal label]],1,FALSE)),0,(VLOOKUP(TB_prev[[#This Row],[Synt]],GL[[#Headers],[#Data],[subtotal label]],1,FALSE)))</f>
        <v/>
      </c>
      <c r="AF837" s="1063" t="e">
        <f>IF((TB_prev[[#This Row],[Synt]]-TB_prev[[#This Row],[Subtotal Y/N]])=0,0,VLOOKUP(TB_prev[[#This Row],[Synt]],GL[[Account]:[Line]],3,FALSE))</f>
        <v>#VALUE!</v>
      </c>
      <c r="AG837" s="1063" t="e">
        <f>VLOOKUP(TB_prev[[#This Row],[Synt]],GL[[Account]:[B/P]],4,FALSE)</f>
        <v>#N/A</v>
      </c>
      <c r="AH837" s="1066" t="e">
        <v>#VALUE!</v>
      </c>
      <c r="AI837" s="1065" t="e">
        <f>TB_prev[[#This Row],[Synt]]&amp;TB_prev[[#This Row],[Line No. manual corr.]]</f>
        <v>#VALUE!</v>
      </c>
      <c r="AJ837" s="1064">
        <f t="shared" si="61"/>
        <v>0</v>
      </c>
      <c r="AK837" s="1064">
        <f t="shared" si="62"/>
        <v>0</v>
      </c>
      <c r="AL837" s="1064">
        <f t="shared" si="63"/>
        <v>0</v>
      </c>
      <c r="AM837" s="1064">
        <f t="shared" si="64"/>
        <v>0</v>
      </c>
      <c r="AN837" s="1064"/>
      <c r="AO837" s="1064">
        <f>TB_prev[[#This Row],[Closing balance]]+TB_prev[[#This Row],[Rounding]]</f>
        <v>0</v>
      </c>
    </row>
    <row r="838" spans="30:41" x14ac:dyDescent="0.25">
      <c r="AD838" s="1067" t="str">
        <f t="shared" si="60"/>
        <v/>
      </c>
      <c r="AE838" s="1063" t="str">
        <f>IF(ISNA(VLOOKUP(TB_prev[[#This Row],[Synt]],GL[[#Headers],[#Data],[subtotal label]],1,FALSE)),0,(VLOOKUP(TB_prev[[#This Row],[Synt]],GL[[#Headers],[#Data],[subtotal label]],1,FALSE)))</f>
        <v/>
      </c>
      <c r="AF838" s="1063" t="e">
        <f>IF((TB_prev[[#This Row],[Synt]]-TB_prev[[#This Row],[Subtotal Y/N]])=0,0,VLOOKUP(TB_prev[[#This Row],[Synt]],GL[[Account]:[Line]],3,FALSE))</f>
        <v>#VALUE!</v>
      </c>
      <c r="AG838" s="1063" t="e">
        <f>VLOOKUP(TB_prev[[#This Row],[Synt]],GL[[Account]:[B/P]],4,FALSE)</f>
        <v>#N/A</v>
      </c>
      <c r="AH838" s="1066" t="e">
        <v>#VALUE!</v>
      </c>
      <c r="AI838" s="1065" t="e">
        <f>TB_prev[[#This Row],[Synt]]&amp;TB_prev[[#This Row],[Line No. manual corr.]]</f>
        <v>#VALUE!</v>
      </c>
      <c r="AJ838" s="1064">
        <f t="shared" si="61"/>
        <v>0</v>
      </c>
      <c r="AK838" s="1064">
        <f t="shared" si="62"/>
        <v>0</v>
      </c>
      <c r="AL838" s="1064">
        <f t="shared" si="63"/>
        <v>0</v>
      </c>
      <c r="AM838" s="1064">
        <f t="shared" si="64"/>
        <v>0</v>
      </c>
      <c r="AN838" s="1064"/>
      <c r="AO838" s="1064">
        <f>TB_prev[[#This Row],[Closing balance]]+TB_prev[[#This Row],[Rounding]]</f>
        <v>0</v>
      </c>
    </row>
    <row r="839" spans="30:41" x14ac:dyDescent="0.25">
      <c r="AD839" s="1067" t="str">
        <f t="shared" si="60"/>
        <v/>
      </c>
      <c r="AE839" s="1063" t="str">
        <f>IF(ISNA(VLOOKUP(TB_prev[[#This Row],[Synt]],GL[[#Headers],[#Data],[subtotal label]],1,FALSE)),0,(VLOOKUP(TB_prev[[#This Row],[Synt]],GL[[#Headers],[#Data],[subtotal label]],1,FALSE)))</f>
        <v/>
      </c>
      <c r="AF839" s="1063" t="e">
        <f>IF((TB_prev[[#This Row],[Synt]]-TB_prev[[#This Row],[Subtotal Y/N]])=0,0,VLOOKUP(TB_prev[[#This Row],[Synt]],GL[[Account]:[Line]],3,FALSE))</f>
        <v>#VALUE!</v>
      </c>
      <c r="AG839" s="1063" t="e">
        <f>VLOOKUP(TB_prev[[#This Row],[Synt]],GL[[Account]:[B/P]],4,FALSE)</f>
        <v>#N/A</v>
      </c>
      <c r="AH839" s="1066" t="e">
        <v>#VALUE!</v>
      </c>
      <c r="AI839" s="1065" t="e">
        <f>TB_prev[[#This Row],[Synt]]&amp;TB_prev[[#This Row],[Line No. manual corr.]]</f>
        <v>#VALUE!</v>
      </c>
      <c r="AJ839" s="1064">
        <f t="shared" si="61"/>
        <v>0</v>
      </c>
      <c r="AK839" s="1064">
        <f t="shared" si="62"/>
        <v>0</v>
      </c>
      <c r="AL839" s="1064">
        <f t="shared" si="63"/>
        <v>0</v>
      </c>
      <c r="AM839" s="1064">
        <f t="shared" si="64"/>
        <v>0</v>
      </c>
      <c r="AN839" s="1064"/>
      <c r="AO839" s="1064">
        <f>TB_prev[[#This Row],[Closing balance]]+TB_prev[[#This Row],[Rounding]]</f>
        <v>0</v>
      </c>
    </row>
    <row r="840" spans="30:41" x14ac:dyDescent="0.25">
      <c r="AD840" s="1067" t="str">
        <f t="shared" ref="AD840:AD903" si="65">LEFT(B840,3)</f>
        <v/>
      </c>
      <c r="AE840" s="1063" t="str">
        <f>IF(ISNA(VLOOKUP(TB_prev[[#This Row],[Synt]],GL[[#Headers],[#Data],[subtotal label]],1,FALSE)),0,(VLOOKUP(TB_prev[[#This Row],[Synt]],GL[[#Headers],[#Data],[subtotal label]],1,FALSE)))</f>
        <v/>
      </c>
      <c r="AF840" s="1063" t="e">
        <f>IF((TB_prev[[#This Row],[Synt]]-TB_prev[[#This Row],[Subtotal Y/N]])=0,0,VLOOKUP(TB_prev[[#This Row],[Synt]],GL[[Account]:[Line]],3,FALSE))</f>
        <v>#VALUE!</v>
      </c>
      <c r="AG840" s="1063" t="e">
        <f>VLOOKUP(TB_prev[[#This Row],[Synt]],GL[[Account]:[B/P]],4,FALSE)</f>
        <v>#N/A</v>
      </c>
      <c r="AH840" s="1066" t="e">
        <v>#VALUE!</v>
      </c>
      <c r="AI840" s="1065" t="e">
        <f>TB_prev[[#This Row],[Synt]]&amp;TB_prev[[#This Row],[Line No. manual corr.]]</f>
        <v>#VALUE!</v>
      </c>
      <c r="AJ840" s="1064">
        <f t="shared" ref="AJ840:AJ903" si="66">K840-N840</f>
        <v>0</v>
      </c>
      <c r="AK840" s="1064">
        <f t="shared" ref="AK840:AK903" si="67">Q840</f>
        <v>0</v>
      </c>
      <c r="AL840" s="1064">
        <f t="shared" ref="AL840:AL903" si="68">U840</f>
        <v>0</v>
      </c>
      <c r="AM840" s="1064">
        <f t="shared" ref="AM840:AM903" si="69">X840-AB840</f>
        <v>0</v>
      </c>
      <c r="AN840" s="1064"/>
      <c r="AO840" s="1064">
        <f>TB_prev[[#This Row],[Closing balance]]+TB_prev[[#This Row],[Rounding]]</f>
        <v>0</v>
      </c>
    </row>
    <row r="841" spans="30:41" x14ac:dyDescent="0.25">
      <c r="AD841" s="1067" t="str">
        <f t="shared" si="65"/>
        <v/>
      </c>
      <c r="AE841" s="1063" t="str">
        <f>IF(ISNA(VLOOKUP(TB_prev[[#This Row],[Synt]],GL[[#Headers],[#Data],[subtotal label]],1,FALSE)),0,(VLOOKUP(TB_prev[[#This Row],[Synt]],GL[[#Headers],[#Data],[subtotal label]],1,FALSE)))</f>
        <v/>
      </c>
      <c r="AF841" s="1063" t="e">
        <f>IF((TB_prev[[#This Row],[Synt]]-TB_prev[[#This Row],[Subtotal Y/N]])=0,0,VLOOKUP(TB_prev[[#This Row],[Synt]],GL[[Account]:[Line]],3,FALSE))</f>
        <v>#VALUE!</v>
      </c>
      <c r="AG841" s="1063" t="e">
        <f>VLOOKUP(TB_prev[[#This Row],[Synt]],GL[[Account]:[B/P]],4,FALSE)</f>
        <v>#N/A</v>
      </c>
      <c r="AH841" s="1066" t="e">
        <v>#VALUE!</v>
      </c>
      <c r="AI841" s="1065" t="e">
        <f>TB_prev[[#This Row],[Synt]]&amp;TB_prev[[#This Row],[Line No. manual corr.]]</f>
        <v>#VALUE!</v>
      </c>
      <c r="AJ841" s="1064">
        <f t="shared" si="66"/>
        <v>0</v>
      </c>
      <c r="AK841" s="1064">
        <f t="shared" si="67"/>
        <v>0</v>
      </c>
      <c r="AL841" s="1064">
        <f t="shared" si="68"/>
        <v>0</v>
      </c>
      <c r="AM841" s="1064">
        <f t="shared" si="69"/>
        <v>0</v>
      </c>
      <c r="AN841" s="1064"/>
      <c r="AO841" s="1064">
        <f>TB_prev[[#This Row],[Closing balance]]+TB_prev[[#This Row],[Rounding]]</f>
        <v>0</v>
      </c>
    </row>
    <row r="842" spans="30:41" x14ac:dyDescent="0.25">
      <c r="AD842" s="1067" t="str">
        <f t="shared" si="65"/>
        <v/>
      </c>
      <c r="AE842" s="1063" t="str">
        <f>IF(ISNA(VLOOKUP(TB_prev[[#This Row],[Synt]],GL[[#Headers],[#Data],[subtotal label]],1,FALSE)),0,(VLOOKUP(TB_prev[[#This Row],[Synt]],GL[[#Headers],[#Data],[subtotal label]],1,FALSE)))</f>
        <v/>
      </c>
      <c r="AF842" s="1063" t="e">
        <f>IF((TB_prev[[#This Row],[Synt]]-TB_prev[[#This Row],[Subtotal Y/N]])=0,0,VLOOKUP(TB_prev[[#This Row],[Synt]],GL[[Account]:[Line]],3,FALSE))</f>
        <v>#VALUE!</v>
      </c>
      <c r="AG842" s="1063" t="e">
        <f>VLOOKUP(TB_prev[[#This Row],[Synt]],GL[[Account]:[B/P]],4,FALSE)</f>
        <v>#N/A</v>
      </c>
      <c r="AH842" s="1066" t="e">
        <v>#VALUE!</v>
      </c>
      <c r="AI842" s="1065" t="e">
        <f>TB_prev[[#This Row],[Synt]]&amp;TB_prev[[#This Row],[Line No. manual corr.]]</f>
        <v>#VALUE!</v>
      </c>
      <c r="AJ842" s="1064">
        <f t="shared" si="66"/>
        <v>0</v>
      </c>
      <c r="AK842" s="1064">
        <f t="shared" si="67"/>
        <v>0</v>
      </c>
      <c r="AL842" s="1064">
        <f t="shared" si="68"/>
        <v>0</v>
      </c>
      <c r="AM842" s="1064">
        <f t="shared" si="69"/>
        <v>0</v>
      </c>
      <c r="AN842" s="1064"/>
      <c r="AO842" s="1064">
        <f>TB_prev[[#This Row],[Closing balance]]+TB_prev[[#This Row],[Rounding]]</f>
        <v>0</v>
      </c>
    </row>
    <row r="843" spans="30:41" x14ac:dyDescent="0.25">
      <c r="AD843" s="1067" t="str">
        <f t="shared" si="65"/>
        <v/>
      </c>
      <c r="AE843" s="1063" t="str">
        <f>IF(ISNA(VLOOKUP(TB_prev[[#This Row],[Synt]],GL[[#Headers],[#Data],[subtotal label]],1,FALSE)),0,(VLOOKUP(TB_prev[[#This Row],[Synt]],GL[[#Headers],[#Data],[subtotal label]],1,FALSE)))</f>
        <v/>
      </c>
      <c r="AF843" s="1063" t="e">
        <f>IF((TB_prev[[#This Row],[Synt]]-TB_prev[[#This Row],[Subtotal Y/N]])=0,0,VLOOKUP(TB_prev[[#This Row],[Synt]],GL[[Account]:[Line]],3,FALSE))</f>
        <v>#VALUE!</v>
      </c>
      <c r="AG843" s="1063" t="e">
        <f>VLOOKUP(TB_prev[[#This Row],[Synt]],GL[[Account]:[B/P]],4,FALSE)</f>
        <v>#N/A</v>
      </c>
      <c r="AH843" s="1066" t="e">
        <v>#VALUE!</v>
      </c>
      <c r="AI843" s="1065" t="e">
        <f>TB_prev[[#This Row],[Synt]]&amp;TB_prev[[#This Row],[Line No. manual corr.]]</f>
        <v>#VALUE!</v>
      </c>
      <c r="AJ843" s="1064">
        <f t="shared" si="66"/>
        <v>0</v>
      </c>
      <c r="AK843" s="1064">
        <f t="shared" si="67"/>
        <v>0</v>
      </c>
      <c r="AL843" s="1064">
        <f t="shared" si="68"/>
        <v>0</v>
      </c>
      <c r="AM843" s="1064">
        <f t="shared" si="69"/>
        <v>0</v>
      </c>
      <c r="AN843" s="1064"/>
      <c r="AO843" s="1064">
        <f>TB_prev[[#This Row],[Closing balance]]+TB_prev[[#This Row],[Rounding]]</f>
        <v>0</v>
      </c>
    </row>
    <row r="844" spans="30:41" x14ac:dyDescent="0.25">
      <c r="AD844" s="1067" t="str">
        <f t="shared" si="65"/>
        <v/>
      </c>
      <c r="AE844" s="1063" t="str">
        <f>IF(ISNA(VLOOKUP(TB_prev[[#This Row],[Synt]],GL[[#Headers],[#Data],[subtotal label]],1,FALSE)),0,(VLOOKUP(TB_prev[[#This Row],[Synt]],GL[[#Headers],[#Data],[subtotal label]],1,FALSE)))</f>
        <v/>
      </c>
      <c r="AF844" s="1063" t="e">
        <f>IF((TB_prev[[#This Row],[Synt]]-TB_prev[[#This Row],[Subtotal Y/N]])=0,0,VLOOKUP(TB_prev[[#This Row],[Synt]],GL[[Account]:[Line]],3,FALSE))</f>
        <v>#VALUE!</v>
      </c>
      <c r="AG844" s="1063" t="e">
        <f>VLOOKUP(TB_prev[[#This Row],[Synt]],GL[[Account]:[B/P]],4,FALSE)</f>
        <v>#N/A</v>
      </c>
      <c r="AH844" s="1066" t="e">
        <v>#VALUE!</v>
      </c>
      <c r="AI844" s="1065" t="e">
        <f>TB_prev[[#This Row],[Synt]]&amp;TB_prev[[#This Row],[Line No. manual corr.]]</f>
        <v>#VALUE!</v>
      </c>
      <c r="AJ844" s="1064">
        <f t="shared" si="66"/>
        <v>0</v>
      </c>
      <c r="AK844" s="1064">
        <f t="shared" si="67"/>
        <v>0</v>
      </c>
      <c r="AL844" s="1064">
        <f t="shared" si="68"/>
        <v>0</v>
      </c>
      <c r="AM844" s="1064">
        <f t="shared" si="69"/>
        <v>0</v>
      </c>
      <c r="AN844" s="1064"/>
      <c r="AO844" s="1064">
        <f>TB_prev[[#This Row],[Closing balance]]+TB_prev[[#This Row],[Rounding]]</f>
        <v>0</v>
      </c>
    </row>
    <row r="845" spans="30:41" x14ac:dyDescent="0.25">
      <c r="AD845" s="1067" t="str">
        <f t="shared" si="65"/>
        <v/>
      </c>
      <c r="AE845" s="1063" t="str">
        <f>IF(ISNA(VLOOKUP(TB_prev[[#This Row],[Synt]],GL[[#Headers],[#Data],[subtotal label]],1,FALSE)),0,(VLOOKUP(TB_prev[[#This Row],[Synt]],GL[[#Headers],[#Data],[subtotal label]],1,FALSE)))</f>
        <v/>
      </c>
      <c r="AF845" s="1063" t="e">
        <f>IF((TB_prev[[#This Row],[Synt]]-TB_prev[[#This Row],[Subtotal Y/N]])=0,0,VLOOKUP(TB_prev[[#This Row],[Synt]],GL[[Account]:[Line]],3,FALSE))</f>
        <v>#VALUE!</v>
      </c>
      <c r="AG845" s="1063" t="e">
        <f>VLOOKUP(TB_prev[[#This Row],[Synt]],GL[[Account]:[B/P]],4,FALSE)</f>
        <v>#N/A</v>
      </c>
      <c r="AH845" s="1066" t="e">
        <v>#VALUE!</v>
      </c>
      <c r="AI845" s="1065" t="e">
        <f>TB_prev[[#This Row],[Synt]]&amp;TB_prev[[#This Row],[Line No. manual corr.]]</f>
        <v>#VALUE!</v>
      </c>
      <c r="AJ845" s="1064">
        <f t="shared" si="66"/>
        <v>0</v>
      </c>
      <c r="AK845" s="1064">
        <f t="shared" si="67"/>
        <v>0</v>
      </c>
      <c r="AL845" s="1064">
        <f t="shared" si="68"/>
        <v>0</v>
      </c>
      <c r="AM845" s="1064">
        <f t="shared" si="69"/>
        <v>0</v>
      </c>
      <c r="AN845" s="1064"/>
      <c r="AO845" s="1064">
        <f>TB_prev[[#This Row],[Closing balance]]+TB_prev[[#This Row],[Rounding]]</f>
        <v>0</v>
      </c>
    </row>
    <row r="846" spans="30:41" x14ac:dyDescent="0.25">
      <c r="AD846" s="1067" t="str">
        <f t="shared" si="65"/>
        <v/>
      </c>
      <c r="AE846" s="1063" t="str">
        <f>IF(ISNA(VLOOKUP(TB_prev[[#This Row],[Synt]],GL[[#Headers],[#Data],[subtotal label]],1,FALSE)),0,(VLOOKUP(TB_prev[[#This Row],[Synt]],GL[[#Headers],[#Data],[subtotal label]],1,FALSE)))</f>
        <v/>
      </c>
      <c r="AF846" s="1063" t="e">
        <f>IF((TB_prev[[#This Row],[Synt]]-TB_prev[[#This Row],[Subtotal Y/N]])=0,0,VLOOKUP(TB_prev[[#This Row],[Synt]],GL[[Account]:[Line]],3,FALSE))</f>
        <v>#VALUE!</v>
      </c>
      <c r="AG846" s="1063" t="e">
        <f>VLOOKUP(TB_prev[[#This Row],[Synt]],GL[[Account]:[B/P]],4,FALSE)</f>
        <v>#N/A</v>
      </c>
      <c r="AH846" s="1066" t="e">
        <v>#VALUE!</v>
      </c>
      <c r="AI846" s="1065" t="e">
        <f>TB_prev[[#This Row],[Synt]]&amp;TB_prev[[#This Row],[Line No. manual corr.]]</f>
        <v>#VALUE!</v>
      </c>
      <c r="AJ846" s="1064">
        <f t="shared" si="66"/>
        <v>0</v>
      </c>
      <c r="AK846" s="1064">
        <f t="shared" si="67"/>
        <v>0</v>
      </c>
      <c r="AL846" s="1064">
        <f t="shared" si="68"/>
        <v>0</v>
      </c>
      <c r="AM846" s="1064">
        <f t="shared" si="69"/>
        <v>0</v>
      </c>
      <c r="AN846" s="1064"/>
      <c r="AO846" s="1064">
        <f>TB_prev[[#This Row],[Closing balance]]+TB_prev[[#This Row],[Rounding]]</f>
        <v>0</v>
      </c>
    </row>
    <row r="847" spans="30:41" x14ac:dyDescent="0.25">
      <c r="AD847" s="1067" t="str">
        <f t="shared" si="65"/>
        <v/>
      </c>
      <c r="AE847" s="1063" t="str">
        <f>IF(ISNA(VLOOKUP(TB_prev[[#This Row],[Synt]],GL[[#Headers],[#Data],[subtotal label]],1,FALSE)),0,(VLOOKUP(TB_prev[[#This Row],[Synt]],GL[[#Headers],[#Data],[subtotal label]],1,FALSE)))</f>
        <v/>
      </c>
      <c r="AF847" s="1063" t="e">
        <f>IF((TB_prev[[#This Row],[Synt]]-TB_prev[[#This Row],[Subtotal Y/N]])=0,0,VLOOKUP(TB_prev[[#This Row],[Synt]],GL[[Account]:[Line]],3,FALSE))</f>
        <v>#VALUE!</v>
      </c>
      <c r="AG847" s="1063" t="e">
        <f>VLOOKUP(TB_prev[[#This Row],[Synt]],GL[[Account]:[B/P]],4,FALSE)</f>
        <v>#N/A</v>
      </c>
      <c r="AH847" s="1066" t="e">
        <v>#VALUE!</v>
      </c>
      <c r="AI847" s="1065" t="e">
        <f>TB_prev[[#This Row],[Synt]]&amp;TB_prev[[#This Row],[Line No. manual corr.]]</f>
        <v>#VALUE!</v>
      </c>
      <c r="AJ847" s="1064">
        <f t="shared" si="66"/>
        <v>0</v>
      </c>
      <c r="AK847" s="1064">
        <f t="shared" si="67"/>
        <v>0</v>
      </c>
      <c r="AL847" s="1064">
        <f t="shared" si="68"/>
        <v>0</v>
      </c>
      <c r="AM847" s="1064">
        <f t="shared" si="69"/>
        <v>0</v>
      </c>
      <c r="AN847" s="1064"/>
      <c r="AO847" s="1064">
        <f>TB_prev[[#This Row],[Closing balance]]+TB_prev[[#This Row],[Rounding]]</f>
        <v>0</v>
      </c>
    </row>
    <row r="848" spans="30:41" x14ac:dyDescent="0.25">
      <c r="AD848" s="1067" t="str">
        <f t="shared" si="65"/>
        <v/>
      </c>
      <c r="AE848" s="1063" t="str">
        <f>IF(ISNA(VLOOKUP(TB_prev[[#This Row],[Synt]],GL[[#Headers],[#Data],[subtotal label]],1,FALSE)),0,(VLOOKUP(TB_prev[[#This Row],[Synt]],GL[[#Headers],[#Data],[subtotal label]],1,FALSE)))</f>
        <v/>
      </c>
      <c r="AF848" s="1063" t="e">
        <f>IF((TB_prev[[#This Row],[Synt]]-TB_prev[[#This Row],[Subtotal Y/N]])=0,0,VLOOKUP(TB_prev[[#This Row],[Synt]],GL[[Account]:[Line]],3,FALSE))</f>
        <v>#VALUE!</v>
      </c>
      <c r="AG848" s="1063" t="e">
        <f>VLOOKUP(TB_prev[[#This Row],[Synt]],GL[[Account]:[B/P]],4,FALSE)</f>
        <v>#N/A</v>
      </c>
      <c r="AH848" s="1066" t="e">
        <v>#VALUE!</v>
      </c>
      <c r="AI848" s="1065" t="e">
        <f>TB_prev[[#This Row],[Synt]]&amp;TB_prev[[#This Row],[Line No. manual corr.]]</f>
        <v>#VALUE!</v>
      </c>
      <c r="AJ848" s="1064">
        <f t="shared" si="66"/>
        <v>0</v>
      </c>
      <c r="AK848" s="1064">
        <f t="shared" si="67"/>
        <v>0</v>
      </c>
      <c r="AL848" s="1064">
        <f t="shared" si="68"/>
        <v>0</v>
      </c>
      <c r="AM848" s="1064">
        <f t="shared" si="69"/>
        <v>0</v>
      </c>
      <c r="AN848" s="1064"/>
      <c r="AO848" s="1064">
        <f>TB_prev[[#This Row],[Closing balance]]+TB_prev[[#This Row],[Rounding]]</f>
        <v>0</v>
      </c>
    </row>
    <row r="849" spans="30:41" x14ac:dyDescent="0.25">
      <c r="AD849" s="1067" t="str">
        <f t="shared" si="65"/>
        <v/>
      </c>
      <c r="AE849" s="1063" t="str">
        <f>IF(ISNA(VLOOKUP(TB_prev[[#This Row],[Synt]],GL[[#Headers],[#Data],[subtotal label]],1,FALSE)),0,(VLOOKUP(TB_prev[[#This Row],[Synt]],GL[[#Headers],[#Data],[subtotal label]],1,FALSE)))</f>
        <v/>
      </c>
      <c r="AF849" s="1063" t="e">
        <f>IF((TB_prev[[#This Row],[Synt]]-TB_prev[[#This Row],[Subtotal Y/N]])=0,0,VLOOKUP(TB_prev[[#This Row],[Synt]],GL[[Account]:[Line]],3,FALSE))</f>
        <v>#VALUE!</v>
      </c>
      <c r="AG849" s="1063" t="e">
        <f>VLOOKUP(TB_prev[[#This Row],[Synt]],GL[[Account]:[B/P]],4,FALSE)</f>
        <v>#N/A</v>
      </c>
      <c r="AH849" s="1066" t="e">
        <v>#VALUE!</v>
      </c>
      <c r="AI849" s="1065" t="e">
        <f>TB_prev[[#This Row],[Synt]]&amp;TB_prev[[#This Row],[Line No. manual corr.]]</f>
        <v>#VALUE!</v>
      </c>
      <c r="AJ849" s="1064">
        <f t="shared" si="66"/>
        <v>0</v>
      </c>
      <c r="AK849" s="1064">
        <f t="shared" si="67"/>
        <v>0</v>
      </c>
      <c r="AL849" s="1064">
        <f t="shared" si="68"/>
        <v>0</v>
      </c>
      <c r="AM849" s="1064">
        <f t="shared" si="69"/>
        <v>0</v>
      </c>
      <c r="AN849" s="1064"/>
      <c r="AO849" s="1064">
        <f>TB_prev[[#This Row],[Closing balance]]+TB_prev[[#This Row],[Rounding]]</f>
        <v>0</v>
      </c>
    </row>
    <row r="850" spans="30:41" x14ac:dyDescent="0.25">
      <c r="AD850" s="1067" t="str">
        <f t="shared" si="65"/>
        <v/>
      </c>
      <c r="AE850" s="1063" t="str">
        <f>IF(ISNA(VLOOKUP(TB_prev[[#This Row],[Synt]],GL[[#Headers],[#Data],[subtotal label]],1,FALSE)),0,(VLOOKUP(TB_prev[[#This Row],[Synt]],GL[[#Headers],[#Data],[subtotal label]],1,FALSE)))</f>
        <v/>
      </c>
      <c r="AF850" s="1063" t="e">
        <f>IF((TB_prev[[#This Row],[Synt]]-TB_prev[[#This Row],[Subtotal Y/N]])=0,0,VLOOKUP(TB_prev[[#This Row],[Synt]],GL[[Account]:[Line]],3,FALSE))</f>
        <v>#VALUE!</v>
      </c>
      <c r="AG850" s="1063" t="e">
        <f>VLOOKUP(TB_prev[[#This Row],[Synt]],GL[[Account]:[B/P]],4,FALSE)</f>
        <v>#N/A</v>
      </c>
      <c r="AH850" s="1066" t="e">
        <v>#VALUE!</v>
      </c>
      <c r="AI850" s="1065" t="e">
        <f>TB_prev[[#This Row],[Synt]]&amp;TB_prev[[#This Row],[Line No. manual corr.]]</f>
        <v>#VALUE!</v>
      </c>
      <c r="AJ850" s="1064">
        <f t="shared" si="66"/>
        <v>0</v>
      </c>
      <c r="AK850" s="1064">
        <f t="shared" si="67"/>
        <v>0</v>
      </c>
      <c r="AL850" s="1064">
        <f t="shared" si="68"/>
        <v>0</v>
      </c>
      <c r="AM850" s="1064">
        <f t="shared" si="69"/>
        <v>0</v>
      </c>
      <c r="AN850" s="1064"/>
      <c r="AO850" s="1064">
        <f>TB_prev[[#This Row],[Closing balance]]+TB_prev[[#This Row],[Rounding]]</f>
        <v>0</v>
      </c>
    </row>
    <row r="851" spans="30:41" x14ac:dyDescent="0.25">
      <c r="AD851" s="1067" t="str">
        <f t="shared" si="65"/>
        <v/>
      </c>
      <c r="AE851" s="1063" t="str">
        <f>IF(ISNA(VLOOKUP(TB_prev[[#This Row],[Synt]],GL[[#Headers],[#Data],[subtotal label]],1,FALSE)),0,(VLOOKUP(TB_prev[[#This Row],[Synt]],GL[[#Headers],[#Data],[subtotal label]],1,FALSE)))</f>
        <v/>
      </c>
      <c r="AF851" s="1063" t="e">
        <f>IF((TB_prev[[#This Row],[Synt]]-TB_prev[[#This Row],[Subtotal Y/N]])=0,0,VLOOKUP(TB_prev[[#This Row],[Synt]],GL[[Account]:[Line]],3,FALSE))</f>
        <v>#VALUE!</v>
      </c>
      <c r="AG851" s="1063" t="e">
        <f>VLOOKUP(TB_prev[[#This Row],[Synt]],GL[[Account]:[B/P]],4,FALSE)</f>
        <v>#N/A</v>
      </c>
      <c r="AH851" s="1066" t="e">
        <v>#VALUE!</v>
      </c>
      <c r="AI851" s="1065" t="e">
        <f>TB_prev[[#This Row],[Synt]]&amp;TB_prev[[#This Row],[Line No. manual corr.]]</f>
        <v>#VALUE!</v>
      </c>
      <c r="AJ851" s="1064">
        <f t="shared" si="66"/>
        <v>0</v>
      </c>
      <c r="AK851" s="1064">
        <f t="shared" si="67"/>
        <v>0</v>
      </c>
      <c r="AL851" s="1064">
        <f t="shared" si="68"/>
        <v>0</v>
      </c>
      <c r="AM851" s="1064">
        <f t="shared" si="69"/>
        <v>0</v>
      </c>
      <c r="AN851" s="1064"/>
      <c r="AO851" s="1064">
        <f>TB_prev[[#This Row],[Closing balance]]+TB_prev[[#This Row],[Rounding]]</f>
        <v>0</v>
      </c>
    </row>
    <row r="852" spans="30:41" x14ac:dyDescent="0.25">
      <c r="AD852" s="1067" t="str">
        <f t="shared" si="65"/>
        <v/>
      </c>
      <c r="AE852" s="1063" t="str">
        <f>IF(ISNA(VLOOKUP(TB_prev[[#This Row],[Synt]],GL[[#Headers],[#Data],[subtotal label]],1,FALSE)),0,(VLOOKUP(TB_prev[[#This Row],[Synt]],GL[[#Headers],[#Data],[subtotal label]],1,FALSE)))</f>
        <v/>
      </c>
      <c r="AF852" s="1063" t="e">
        <f>IF((TB_prev[[#This Row],[Synt]]-TB_prev[[#This Row],[Subtotal Y/N]])=0,0,VLOOKUP(TB_prev[[#This Row],[Synt]],GL[[Account]:[Line]],3,FALSE))</f>
        <v>#VALUE!</v>
      </c>
      <c r="AG852" s="1063" t="e">
        <f>VLOOKUP(TB_prev[[#This Row],[Synt]],GL[[Account]:[B/P]],4,FALSE)</f>
        <v>#N/A</v>
      </c>
      <c r="AH852" s="1066" t="e">
        <v>#VALUE!</v>
      </c>
      <c r="AI852" s="1065" t="e">
        <f>TB_prev[[#This Row],[Synt]]&amp;TB_prev[[#This Row],[Line No. manual corr.]]</f>
        <v>#VALUE!</v>
      </c>
      <c r="AJ852" s="1064">
        <f t="shared" si="66"/>
        <v>0</v>
      </c>
      <c r="AK852" s="1064">
        <f t="shared" si="67"/>
        <v>0</v>
      </c>
      <c r="AL852" s="1064">
        <f t="shared" si="68"/>
        <v>0</v>
      </c>
      <c r="AM852" s="1064">
        <f t="shared" si="69"/>
        <v>0</v>
      </c>
      <c r="AN852" s="1064"/>
      <c r="AO852" s="1064">
        <f>TB_prev[[#This Row],[Closing balance]]+TB_prev[[#This Row],[Rounding]]</f>
        <v>0</v>
      </c>
    </row>
    <row r="853" spans="30:41" x14ac:dyDescent="0.25">
      <c r="AD853" s="1067" t="str">
        <f t="shared" si="65"/>
        <v/>
      </c>
      <c r="AE853" s="1063" t="str">
        <f>IF(ISNA(VLOOKUP(TB_prev[[#This Row],[Synt]],GL[[#Headers],[#Data],[subtotal label]],1,FALSE)),0,(VLOOKUP(TB_prev[[#This Row],[Synt]],GL[[#Headers],[#Data],[subtotal label]],1,FALSE)))</f>
        <v/>
      </c>
      <c r="AF853" s="1063" t="e">
        <f>IF((TB_prev[[#This Row],[Synt]]-TB_prev[[#This Row],[Subtotal Y/N]])=0,0,VLOOKUP(TB_prev[[#This Row],[Synt]],GL[[Account]:[Line]],3,FALSE))</f>
        <v>#VALUE!</v>
      </c>
      <c r="AG853" s="1063" t="e">
        <f>VLOOKUP(TB_prev[[#This Row],[Synt]],GL[[Account]:[B/P]],4,FALSE)</f>
        <v>#N/A</v>
      </c>
      <c r="AH853" s="1066" t="e">
        <v>#VALUE!</v>
      </c>
      <c r="AI853" s="1065" t="e">
        <f>TB_prev[[#This Row],[Synt]]&amp;TB_prev[[#This Row],[Line No. manual corr.]]</f>
        <v>#VALUE!</v>
      </c>
      <c r="AJ853" s="1064">
        <f t="shared" si="66"/>
        <v>0</v>
      </c>
      <c r="AK853" s="1064">
        <f t="shared" si="67"/>
        <v>0</v>
      </c>
      <c r="AL853" s="1064">
        <f t="shared" si="68"/>
        <v>0</v>
      </c>
      <c r="AM853" s="1064">
        <f t="shared" si="69"/>
        <v>0</v>
      </c>
      <c r="AN853" s="1064"/>
      <c r="AO853" s="1064">
        <f>TB_prev[[#This Row],[Closing balance]]+TB_prev[[#This Row],[Rounding]]</f>
        <v>0</v>
      </c>
    </row>
    <row r="854" spans="30:41" x14ac:dyDescent="0.25">
      <c r="AD854" s="1067" t="str">
        <f t="shared" si="65"/>
        <v/>
      </c>
      <c r="AE854" s="1063" t="str">
        <f>IF(ISNA(VLOOKUP(TB_prev[[#This Row],[Synt]],GL[[#Headers],[#Data],[subtotal label]],1,FALSE)),0,(VLOOKUP(TB_prev[[#This Row],[Synt]],GL[[#Headers],[#Data],[subtotal label]],1,FALSE)))</f>
        <v/>
      </c>
      <c r="AF854" s="1063" t="e">
        <f>IF((TB_prev[[#This Row],[Synt]]-TB_prev[[#This Row],[Subtotal Y/N]])=0,0,VLOOKUP(TB_prev[[#This Row],[Synt]],GL[[Account]:[Line]],3,FALSE))</f>
        <v>#VALUE!</v>
      </c>
      <c r="AG854" s="1063" t="e">
        <f>VLOOKUP(TB_prev[[#This Row],[Synt]],GL[[Account]:[B/P]],4,FALSE)</f>
        <v>#N/A</v>
      </c>
      <c r="AH854" s="1066" t="e">
        <v>#VALUE!</v>
      </c>
      <c r="AI854" s="1065" t="e">
        <f>TB_prev[[#This Row],[Synt]]&amp;TB_prev[[#This Row],[Line No. manual corr.]]</f>
        <v>#VALUE!</v>
      </c>
      <c r="AJ854" s="1064">
        <f t="shared" si="66"/>
        <v>0</v>
      </c>
      <c r="AK854" s="1064">
        <f t="shared" si="67"/>
        <v>0</v>
      </c>
      <c r="AL854" s="1064">
        <f t="shared" si="68"/>
        <v>0</v>
      </c>
      <c r="AM854" s="1064">
        <f t="shared" si="69"/>
        <v>0</v>
      </c>
      <c r="AN854" s="1064"/>
      <c r="AO854" s="1064">
        <f>TB_prev[[#This Row],[Closing balance]]+TB_prev[[#This Row],[Rounding]]</f>
        <v>0</v>
      </c>
    </row>
    <row r="855" spans="30:41" x14ac:dyDescent="0.25">
      <c r="AD855" s="1067" t="str">
        <f t="shared" si="65"/>
        <v/>
      </c>
      <c r="AE855" s="1063" t="str">
        <f>IF(ISNA(VLOOKUP(TB_prev[[#This Row],[Synt]],GL[[#Headers],[#Data],[subtotal label]],1,FALSE)),0,(VLOOKUP(TB_prev[[#This Row],[Synt]],GL[[#Headers],[#Data],[subtotal label]],1,FALSE)))</f>
        <v/>
      </c>
      <c r="AF855" s="1063" t="e">
        <f>IF((TB_prev[[#This Row],[Synt]]-TB_prev[[#This Row],[Subtotal Y/N]])=0,0,VLOOKUP(TB_prev[[#This Row],[Synt]],GL[[Account]:[Line]],3,FALSE))</f>
        <v>#VALUE!</v>
      </c>
      <c r="AG855" s="1063" t="e">
        <f>VLOOKUP(TB_prev[[#This Row],[Synt]],GL[[Account]:[B/P]],4,FALSE)</f>
        <v>#N/A</v>
      </c>
      <c r="AH855" s="1066" t="e">
        <v>#VALUE!</v>
      </c>
      <c r="AI855" s="1065" t="e">
        <f>TB_prev[[#This Row],[Synt]]&amp;TB_prev[[#This Row],[Line No. manual corr.]]</f>
        <v>#VALUE!</v>
      </c>
      <c r="AJ855" s="1064">
        <f t="shared" si="66"/>
        <v>0</v>
      </c>
      <c r="AK855" s="1064">
        <f t="shared" si="67"/>
        <v>0</v>
      </c>
      <c r="AL855" s="1064">
        <f t="shared" si="68"/>
        <v>0</v>
      </c>
      <c r="AM855" s="1064">
        <f t="shared" si="69"/>
        <v>0</v>
      </c>
      <c r="AN855" s="1064"/>
      <c r="AO855" s="1064">
        <f>TB_prev[[#This Row],[Closing balance]]+TB_prev[[#This Row],[Rounding]]</f>
        <v>0</v>
      </c>
    </row>
    <row r="856" spans="30:41" x14ac:dyDescent="0.25">
      <c r="AD856" s="1067" t="str">
        <f t="shared" si="65"/>
        <v/>
      </c>
      <c r="AE856" s="1063" t="str">
        <f>IF(ISNA(VLOOKUP(TB_prev[[#This Row],[Synt]],GL[[#Headers],[#Data],[subtotal label]],1,FALSE)),0,(VLOOKUP(TB_prev[[#This Row],[Synt]],GL[[#Headers],[#Data],[subtotal label]],1,FALSE)))</f>
        <v/>
      </c>
      <c r="AF856" s="1063" t="e">
        <f>IF((TB_prev[[#This Row],[Synt]]-TB_prev[[#This Row],[Subtotal Y/N]])=0,0,VLOOKUP(TB_prev[[#This Row],[Synt]],GL[[Account]:[Line]],3,FALSE))</f>
        <v>#VALUE!</v>
      </c>
      <c r="AG856" s="1063" t="e">
        <f>VLOOKUP(TB_prev[[#This Row],[Synt]],GL[[Account]:[B/P]],4,FALSE)</f>
        <v>#N/A</v>
      </c>
      <c r="AH856" s="1066" t="e">
        <v>#VALUE!</v>
      </c>
      <c r="AI856" s="1065" t="e">
        <f>TB_prev[[#This Row],[Synt]]&amp;TB_prev[[#This Row],[Line No. manual corr.]]</f>
        <v>#VALUE!</v>
      </c>
      <c r="AJ856" s="1064">
        <f t="shared" si="66"/>
        <v>0</v>
      </c>
      <c r="AK856" s="1064">
        <f t="shared" si="67"/>
        <v>0</v>
      </c>
      <c r="AL856" s="1064">
        <f t="shared" si="68"/>
        <v>0</v>
      </c>
      <c r="AM856" s="1064">
        <f t="shared" si="69"/>
        <v>0</v>
      </c>
      <c r="AN856" s="1064"/>
      <c r="AO856" s="1064">
        <f>TB_prev[[#This Row],[Closing balance]]+TB_prev[[#This Row],[Rounding]]</f>
        <v>0</v>
      </c>
    </row>
    <row r="857" spans="30:41" x14ac:dyDescent="0.25">
      <c r="AD857" s="1067" t="str">
        <f t="shared" si="65"/>
        <v/>
      </c>
      <c r="AE857" s="1063" t="str">
        <f>IF(ISNA(VLOOKUP(TB_prev[[#This Row],[Synt]],GL[[#Headers],[#Data],[subtotal label]],1,FALSE)),0,(VLOOKUP(TB_prev[[#This Row],[Synt]],GL[[#Headers],[#Data],[subtotal label]],1,FALSE)))</f>
        <v/>
      </c>
      <c r="AF857" s="1063" t="e">
        <f>IF((TB_prev[[#This Row],[Synt]]-TB_prev[[#This Row],[Subtotal Y/N]])=0,0,VLOOKUP(TB_prev[[#This Row],[Synt]],GL[[Account]:[Line]],3,FALSE))</f>
        <v>#VALUE!</v>
      </c>
      <c r="AG857" s="1063" t="e">
        <f>VLOOKUP(TB_prev[[#This Row],[Synt]],GL[[Account]:[B/P]],4,FALSE)</f>
        <v>#N/A</v>
      </c>
      <c r="AH857" s="1066" t="e">
        <v>#VALUE!</v>
      </c>
      <c r="AI857" s="1065" t="e">
        <f>TB_prev[[#This Row],[Synt]]&amp;TB_prev[[#This Row],[Line No. manual corr.]]</f>
        <v>#VALUE!</v>
      </c>
      <c r="AJ857" s="1064">
        <f t="shared" si="66"/>
        <v>0</v>
      </c>
      <c r="AK857" s="1064">
        <f t="shared" si="67"/>
        <v>0</v>
      </c>
      <c r="AL857" s="1064">
        <f t="shared" si="68"/>
        <v>0</v>
      </c>
      <c r="AM857" s="1064">
        <f t="shared" si="69"/>
        <v>0</v>
      </c>
      <c r="AN857" s="1064"/>
      <c r="AO857" s="1064">
        <f>TB_prev[[#This Row],[Closing balance]]+TB_prev[[#This Row],[Rounding]]</f>
        <v>0</v>
      </c>
    </row>
    <row r="858" spans="30:41" x14ac:dyDescent="0.25">
      <c r="AD858" s="1067" t="str">
        <f t="shared" si="65"/>
        <v/>
      </c>
      <c r="AE858" s="1063" t="str">
        <f>IF(ISNA(VLOOKUP(TB_prev[[#This Row],[Synt]],GL[[#Headers],[#Data],[subtotal label]],1,FALSE)),0,(VLOOKUP(TB_prev[[#This Row],[Synt]],GL[[#Headers],[#Data],[subtotal label]],1,FALSE)))</f>
        <v/>
      </c>
      <c r="AF858" s="1063" t="e">
        <f>IF((TB_prev[[#This Row],[Synt]]-TB_prev[[#This Row],[Subtotal Y/N]])=0,0,VLOOKUP(TB_prev[[#This Row],[Synt]],GL[[Account]:[Line]],3,FALSE))</f>
        <v>#VALUE!</v>
      </c>
      <c r="AG858" s="1063" t="e">
        <f>VLOOKUP(TB_prev[[#This Row],[Synt]],GL[[Account]:[B/P]],4,FALSE)</f>
        <v>#N/A</v>
      </c>
      <c r="AH858" s="1066" t="e">
        <v>#VALUE!</v>
      </c>
      <c r="AI858" s="1065" t="e">
        <f>TB_prev[[#This Row],[Synt]]&amp;TB_prev[[#This Row],[Line No. manual corr.]]</f>
        <v>#VALUE!</v>
      </c>
      <c r="AJ858" s="1064">
        <f t="shared" si="66"/>
        <v>0</v>
      </c>
      <c r="AK858" s="1064">
        <f t="shared" si="67"/>
        <v>0</v>
      </c>
      <c r="AL858" s="1064">
        <f t="shared" si="68"/>
        <v>0</v>
      </c>
      <c r="AM858" s="1064">
        <f t="shared" si="69"/>
        <v>0</v>
      </c>
      <c r="AN858" s="1064"/>
      <c r="AO858" s="1064">
        <f>TB_prev[[#This Row],[Closing balance]]+TB_prev[[#This Row],[Rounding]]</f>
        <v>0</v>
      </c>
    </row>
    <row r="859" spans="30:41" x14ac:dyDescent="0.25">
      <c r="AD859" s="1067" t="str">
        <f t="shared" si="65"/>
        <v/>
      </c>
      <c r="AE859" s="1063" t="str">
        <f>IF(ISNA(VLOOKUP(TB_prev[[#This Row],[Synt]],GL[[#Headers],[#Data],[subtotal label]],1,FALSE)),0,(VLOOKUP(TB_prev[[#This Row],[Synt]],GL[[#Headers],[#Data],[subtotal label]],1,FALSE)))</f>
        <v/>
      </c>
      <c r="AF859" s="1063" t="e">
        <f>IF((TB_prev[[#This Row],[Synt]]-TB_prev[[#This Row],[Subtotal Y/N]])=0,0,VLOOKUP(TB_prev[[#This Row],[Synt]],GL[[Account]:[Line]],3,FALSE))</f>
        <v>#VALUE!</v>
      </c>
      <c r="AG859" s="1063" t="e">
        <f>VLOOKUP(TB_prev[[#This Row],[Synt]],GL[[Account]:[B/P]],4,FALSE)</f>
        <v>#N/A</v>
      </c>
      <c r="AH859" s="1066" t="e">
        <v>#VALUE!</v>
      </c>
      <c r="AI859" s="1065" t="e">
        <f>TB_prev[[#This Row],[Synt]]&amp;TB_prev[[#This Row],[Line No. manual corr.]]</f>
        <v>#VALUE!</v>
      </c>
      <c r="AJ859" s="1064">
        <f t="shared" si="66"/>
        <v>0</v>
      </c>
      <c r="AK859" s="1064">
        <f t="shared" si="67"/>
        <v>0</v>
      </c>
      <c r="AL859" s="1064">
        <f t="shared" si="68"/>
        <v>0</v>
      </c>
      <c r="AM859" s="1064">
        <f t="shared" si="69"/>
        <v>0</v>
      </c>
      <c r="AN859" s="1064"/>
      <c r="AO859" s="1064">
        <f>TB_prev[[#This Row],[Closing balance]]+TB_prev[[#This Row],[Rounding]]</f>
        <v>0</v>
      </c>
    </row>
    <row r="860" spans="30:41" x14ac:dyDescent="0.25">
      <c r="AD860" s="1067" t="str">
        <f t="shared" si="65"/>
        <v/>
      </c>
      <c r="AE860" s="1063" t="str">
        <f>IF(ISNA(VLOOKUP(TB_prev[[#This Row],[Synt]],GL[[#Headers],[#Data],[subtotal label]],1,FALSE)),0,(VLOOKUP(TB_prev[[#This Row],[Synt]],GL[[#Headers],[#Data],[subtotal label]],1,FALSE)))</f>
        <v/>
      </c>
      <c r="AF860" s="1063" t="e">
        <f>IF((TB_prev[[#This Row],[Synt]]-TB_prev[[#This Row],[Subtotal Y/N]])=0,0,VLOOKUP(TB_prev[[#This Row],[Synt]],GL[[Account]:[Line]],3,FALSE))</f>
        <v>#VALUE!</v>
      </c>
      <c r="AG860" s="1063" t="e">
        <f>VLOOKUP(TB_prev[[#This Row],[Synt]],GL[[Account]:[B/P]],4,FALSE)</f>
        <v>#N/A</v>
      </c>
      <c r="AH860" s="1066" t="e">
        <v>#VALUE!</v>
      </c>
      <c r="AI860" s="1065" t="e">
        <f>TB_prev[[#This Row],[Synt]]&amp;TB_prev[[#This Row],[Line No. manual corr.]]</f>
        <v>#VALUE!</v>
      </c>
      <c r="AJ860" s="1064">
        <f t="shared" si="66"/>
        <v>0</v>
      </c>
      <c r="AK860" s="1064">
        <f t="shared" si="67"/>
        <v>0</v>
      </c>
      <c r="AL860" s="1064">
        <f t="shared" si="68"/>
        <v>0</v>
      </c>
      <c r="AM860" s="1064">
        <f t="shared" si="69"/>
        <v>0</v>
      </c>
      <c r="AN860" s="1064"/>
      <c r="AO860" s="1064">
        <f>TB_prev[[#This Row],[Closing balance]]+TB_prev[[#This Row],[Rounding]]</f>
        <v>0</v>
      </c>
    </row>
    <row r="861" spans="30:41" x14ac:dyDescent="0.25">
      <c r="AD861" s="1067" t="str">
        <f t="shared" si="65"/>
        <v/>
      </c>
      <c r="AE861" s="1063" t="str">
        <f>IF(ISNA(VLOOKUP(TB_prev[[#This Row],[Synt]],GL[[#Headers],[#Data],[subtotal label]],1,FALSE)),0,(VLOOKUP(TB_prev[[#This Row],[Synt]],GL[[#Headers],[#Data],[subtotal label]],1,FALSE)))</f>
        <v/>
      </c>
      <c r="AF861" s="1063" t="e">
        <f>IF((TB_prev[[#This Row],[Synt]]-TB_prev[[#This Row],[Subtotal Y/N]])=0,0,VLOOKUP(TB_prev[[#This Row],[Synt]],GL[[Account]:[Line]],3,FALSE))</f>
        <v>#VALUE!</v>
      </c>
      <c r="AG861" s="1063" t="e">
        <f>VLOOKUP(TB_prev[[#This Row],[Synt]],GL[[Account]:[B/P]],4,FALSE)</f>
        <v>#N/A</v>
      </c>
      <c r="AH861" s="1066" t="e">
        <v>#VALUE!</v>
      </c>
      <c r="AI861" s="1065" t="e">
        <f>TB_prev[[#This Row],[Synt]]&amp;TB_prev[[#This Row],[Line No. manual corr.]]</f>
        <v>#VALUE!</v>
      </c>
      <c r="AJ861" s="1064">
        <f t="shared" si="66"/>
        <v>0</v>
      </c>
      <c r="AK861" s="1064">
        <f t="shared" si="67"/>
        <v>0</v>
      </c>
      <c r="AL861" s="1064">
        <f t="shared" si="68"/>
        <v>0</v>
      </c>
      <c r="AM861" s="1064">
        <f t="shared" si="69"/>
        <v>0</v>
      </c>
      <c r="AN861" s="1064"/>
      <c r="AO861" s="1064">
        <f>TB_prev[[#This Row],[Closing balance]]+TB_prev[[#This Row],[Rounding]]</f>
        <v>0</v>
      </c>
    </row>
    <row r="862" spans="30:41" x14ac:dyDescent="0.25">
      <c r="AD862" s="1067" t="str">
        <f t="shared" si="65"/>
        <v/>
      </c>
      <c r="AE862" s="1063" t="str">
        <f>IF(ISNA(VLOOKUP(TB_prev[[#This Row],[Synt]],GL[[#Headers],[#Data],[subtotal label]],1,FALSE)),0,(VLOOKUP(TB_prev[[#This Row],[Synt]],GL[[#Headers],[#Data],[subtotal label]],1,FALSE)))</f>
        <v/>
      </c>
      <c r="AF862" s="1063" t="e">
        <f>IF((TB_prev[[#This Row],[Synt]]-TB_prev[[#This Row],[Subtotal Y/N]])=0,0,VLOOKUP(TB_prev[[#This Row],[Synt]],GL[[Account]:[Line]],3,FALSE))</f>
        <v>#VALUE!</v>
      </c>
      <c r="AG862" s="1063" t="e">
        <f>VLOOKUP(TB_prev[[#This Row],[Synt]],GL[[Account]:[B/P]],4,FALSE)</f>
        <v>#N/A</v>
      </c>
      <c r="AH862" s="1066" t="e">
        <v>#VALUE!</v>
      </c>
      <c r="AI862" s="1065" t="e">
        <f>TB_prev[[#This Row],[Synt]]&amp;TB_prev[[#This Row],[Line No. manual corr.]]</f>
        <v>#VALUE!</v>
      </c>
      <c r="AJ862" s="1064">
        <f t="shared" si="66"/>
        <v>0</v>
      </c>
      <c r="AK862" s="1064">
        <f t="shared" si="67"/>
        <v>0</v>
      </c>
      <c r="AL862" s="1064">
        <f t="shared" si="68"/>
        <v>0</v>
      </c>
      <c r="AM862" s="1064">
        <f t="shared" si="69"/>
        <v>0</v>
      </c>
      <c r="AN862" s="1064"/>
      <c r="AO862" s="1064">
        <f>TB_prev[[#This Row],[Closing balance]]+TB_prev[[#This Row],[Rounding]]</f>
        <v>0</v>
      </c>
    </row>
    <row r="863" spans="30:41" x14ac:dyDescent="0.25">
      <c r="AD863" s="1067" t="str">
        <f t="shared" si="65"/>
        <v/>
      </c>
      <c r="AE863" s="1063" t="str">
        <f>IF(ISNA(VLOOKUP(TB_prev[[#This Row],[Synt]],GL[[#Headers],[#Data],[subtotal label]],1,FALSE)),0,(VLOOKUP(TB_prev[[#This Row],[Synt]],GL[[#Headers],[#Data],[subtotal label]],1,FALSE)))</f>
        <v/>
      </c>
      <c r="AF863" s="1063" t="e">
        <f>IF((TB_prev[[#This Row],[Synt]]-TB_prev[[#This Row],[Subtotal Y/N]])=0,0,VLOOKUP(TB_prev[[#This Row],[Synt]],GL[[Account]:[Line]],3,FALSE))</f>
        <v>#VALUE!</v>
      </c>
      <c r="AG863" s="1063" t="e">
        <f>VLOOKUP(TB_prev[[#This Row],[Synt]],GL[[Account]:[B/P]],4,FALSE)</f>
        <v>#N/A</v>
      </c>
      <c r="AH863" s="1066" t="e">
        <v>#VALUE!</v>
      </c>
      <c r="AI863" s="1065" t="e">
        <f>TB_prev[[#This Row],[Synt]]&amp;TB_prev[[#This Row],[Line No. manual corr.]]</f>
        <v>#VALUE!</v>
      </c>
      <c r="AJ863" s="1064">
        <f t="shared" si="66"/>
        <v>0</v>
      </c>
      <c r="AK863" s="1064">
        <f t="shared" si="67"/>
        <v>0</v>
      </c>
      <c r="AL863" s="1064">
        <f t="shared" si="68"/>
        <v>0</v>
      </c>
      <c r="AM863" s="1064">
        <f t="shared" si="69"/>
        <v>0</v>
      </c>
      <c r="AN863" s="1064"/>
      <c r="AO863" s="1064">
        <f>TB_prev[[#This Row],[Closing balance]]+TB_prev[[#This Row],[Rounding]]</f>
        <v>0</v>
      </c>
    </row>
    <row r="864" spans="30:41" x14ac:dyDescent="0.25">
      <c r="AD864" s="1067" t="str">
        <f t="shared" si="65"/>
        <v/>
      </c>
      <c r="AE864" s="1063" t="str">
        <f>IF(ISNA(VLOOKUP(TB_prev[[#This Row],[Synt]],GL[[#Headers],[#Data],[subtotal label]],1,FALSE)),0,(VLOOKUP(TB_prev[[#This Row],[Synt]],GL[[#Headers],[#Data],[subtotal label]],1,FALSE)))</f>
        <v/>
      </c>
      <c r="AF864" s="1063" t="e">
        <f>IF((TB_prev[[#This Row],[Synt]]-TB_prev[[#This Row],[Subtotal Y/N]])=0,0,VLOOKUP(TB_prev[[#This Row],[Synt]],GL[[Account]:[Line]],3,FALSE))</f>
        <v>#VALUE!</v>
      </c>
      <c r="AG864" s="1063" t="e">
        <f>VLOOKUP(TB_prev[[#This Row],[Synt]],GL[[Account]:[B/P]],4,FALSE)</f>
        <v>#N/A</v>
      </c>
      <c r="AH864" s="1066" t="e">
        <v>#VALUE!</v>
      </c>
      <c r="AI864" s="1065" t="e">
        <f>TB_prev[[#This Row],[Synt]]&amp;TB_prev[[#This Row],[Line No. manual corr.]]</f>
        <v>#VALUE!</v>
      </c>
      <c r="AJ864" s="1064">
        <f t="shared" si="66"/>
        <v>0</v>
      </c>
      <c r="AK864" s="1064">
        <f t="shared" si="67"/>
        <v>0</v>
      </c>
      <c r="AL864" s="1064">
        <f t="shared" si="68"/>
        <v>0</v>
      </c>
      <c r="AM864" s="1064">
        <f t="shared" si="69"/>
        <v>0</v>
      </c>
      <c r="AN864" s="1064"/>
      <c r="AO864" s="1064">
        <f>TB_prev[[#This Row],[Closing balance]]+TB_prev[[#This Row],[Rounding]]</f>
        <v>0</v>
      </c>
    </row>
    <row r="865" spans="30:41" x14ac:dyDescent="0.25">
      <c r="AD865" s="1067" t="str">
        <f t="shared" si="65"/>
        <v/>
      </c>
      <c r="AE865" s="1063" t="str">
        <f>IF(ISNA(VLOOKUP(TB_prev[[#This Row],[Synt]],GL[[#Headers],[#Data],[subtotal label]],1,FALSE)),0,(VLOOKUP(TB_prev[[#This Row],[Synt]],GL[[#Headers],[#Data],[subtotal label]],1,FALSE)))</f>
        <v/>
      </c>
      <c r="AF865" s="1063" t="e">
        <f>IF((TB_prev[[#This Row],[Synt]]-TB_prev[[#This Row],[Subtotal Y/N]])=0,0,VLOOKUP(TB_prev[[#This Row],[Synt]],GL[[Account]:[Line]],3,FALSE))</f>
        <v>#VALUE!</v>
      </c>
      <c r="AG865" s="1063" t="e">
        <f>VLOOKUP(TB_prev[[#This Row],[Synt]],GL[[Account]:[B/P]],4,FALSE)</f>
        <v>#N/A</v>
      </c>
      <c r="AH865" s="1066" t="e">
        <v>#VALUE!</v>
      </c>
      <c r="AI865" s="1065" t="e">
        <f>TB_prev[[#This Row],[Synt]]&amp;TB_prev[[#This Row],[Line No. manual corr.]]</f>
        <v>#VALUE!</v>
      </c>
      <c r="AJ865" s="1064">
        <f t="shared" si="66"/>
        <v>0</v>
      </c>
      <c r="AK865" s="1064">
        <f t="shared" si="67"/>
        <v>0</v>
      </c>
      <c r="AL865" s="1064">
        <f t="shared" si="68"/>
        <v>0</v>
      </c>
      <c r="AM865" s="1064">
        <f t="shared" si="69"/>
        <v>0</v>
      </c>
      <c r="AN865" s="1064"/>
      <c r="AO865" s="1064">
        <f>TB_prev[[#This Row],[Closing balance]]+TB_prev[[#This Row],[Rounding]]</f>
        <v>0</v>
      </c>
    </row>
    <row r="866" spans="30:41" x14ac:dyDescent="0.25">
      <c r="AD866" s="1067" t="str">
        <f t="shared" si="65"/>
        <v/>
      </c>
      <c r="AE866" s="1063" t="str">
        <f>IF(ISNA(VLOOKUP(TB_prev[[#This Row],[Synt]],GL[[#Headers],[#Data],[subtotal label]],1,FALSE)),0,(VLOOKUP(TB_prev[[#This Row],[Synt]],GL[[#Headers],[#Data],[subtotal label]],1,FALSE)))</f>
        <v/>
      </c>
      <c r="AF866" s="1063" t="e">
        <f>IF((TB_prev[[#This Row],[Synt]]-TB_prev[[#This Row],[Subtotal Y/N]])=0,0,VLOOKUP(TB_prev[[#This Row],[Synt]],GL[[Account]:[Line]],3,FALSE))</f>
        <v>#VALUE!</v>
      </c>
      <c r="AG866" s="1063" t="e">
        <f>VLOOKUP(TB_prev[[#This Row],[Synt]],GL[[Account]:[B/P]],4,FALSE)</f>
        <v>#N/A</v>
      </c>
      <c r="AH866" s="1066" t="e">
        <v>#VALUE!</v>
      </c>
      <c r="AI866" s="1065" t="e">
        <f>TB_prev[[#This Row],[Synt]]&amp;TB_prev[[#This Row],[Line No. manual corr.]]</f>
        <v>#VALUE!</v>
      </c>
      <c r="AJ866" s="1064">
        <f t="shared" si="66"/>
        <v>0</v>
      </c>
      <c r="AK866" s="1064">
        <f t="shared" si="67"/>
        <v>0</v>
      </c>
      <c r="AL866" s="1064">
        <f t="shared" si="68"/>
        <v>0</v>
      </c>
      <c r="AM866" s="1064">
        <f t="shared" si="69"/>
        <v>0</v>
      </c>
      <c r="AN866" s="1064"/>
      <c r="AO866" s="1064">
        <f>TB_prev[[#This Row],[Closing balance]]+TB_prev[[#This Row],[Rounding]]</f>
        <v>0</v>
      </c>
    </row>
    <row r="867" spans="30:41" x14ac:dyDescent="0.25">
      <c r="AD867" s="1067" t="str">
        <f t="shared" si="65"/>
        <v/>
      </c>
      <c r="AE867" s="1063" t="str">
        <f>IF(ISNA(VLOOKUP(TB_prev[[#This Row],[Synt]],GL[[#Headers],[#Data],[subtotal label]],1,FALSE)),0,(VLOOKUP(TB_prev[[#This Row],[Synt]],GL[[#Headers],[#Data],[subtotal label]],1,FALSE)))</f>
        <v/>
      </c>
      <c r="AF867" s="1063" t="e">
        <f>IF((TB_prev[[#This Row],[Synt]]-TB_prev[[#This Row],[Subtotal Y/N]])=0,0,VLOOKUP(TB_prev[[#This Row],[Synt]],GL[[Account]:[Line]],3,FALSE))</f>
        <v>#VALUE!</v>
      </c>
      <c r="AG867" s="1063" t="e">
        <f>VLOOKUP(TB_prev[[#This Row],[Synt]],GL[[Account]:[B/P]],4,FALSE)</f>
        <v>#N/A</v>
      </c>
      <c r="AH867" s="1066" t="e">
        <v>#VALUE!</v>
      </c>
      <c r="AI867" s="1065" t="e">
        <f>TB_prev[[#This Row],[Synt]]&amp;TB_prev[[#This Row],[Line No. manual corr.]]</f>
        <v>#VALUE!</v>
      </c>
      <c r="AJ867" s="1064">
        <f t="shared" si="66"/>
        <v>0</v>
      </c>
      <c r="AK867" s="1064">
        <f t="shared" si="67"/>
        <v>0</v>
      </c>
      <c r="AL867" s="1064">
        <f t="shared" si="68"/>
        <v>0</v>
      </c>
      <c r="AM867" s="1064">
        <f t="shared" si="69"/>
        <v>0</v>
      </c>
      <c r="AN867" s="1064"/>
      <c r="AO867" s="1064">
        <f>TB_prev[[#This Row],[Closing balance]]+TB_prev[[#This Row],[Rounding]]</f>
        <v>0</v>
      </c>
    </row>
    <row r="868" spans="30:41" x14ac:dyDescent="0.25">
      <c r="AD868" s="1067" t="str">
        <f t="shared" si="65"/>
        <v/>
      </c>
      <c r="AE868" s="1063" t="str">
        <f>IF(ISNA(VLOOKUP(TB_prev[[#This Row],[Synt]],GL[[#Headers],[#Data],[subtotal label]],1,FALSE)),0,(VLOOKUP(TB_prev[[#This Row],[Synt]],GL[[#Headers],[#Data],[subtotal label]],1,FALSE)))</f>
        <v/>
      </c>
      <c r="AF868" s="1063" t="e">
        <f>IF((TB_prev[[#This Row],[Synt]]-TB_prev[[#This Row],[Subtotal Y/N]])=0,0,VLOOKUP(TB_prev[[#This Row],[Synt]],GL[[Account]:[Line]],3,FALSE))</f>
        <v>#VALUE!</v>
      </c>
      <c r="AG868" s="1063" t="e">
        <f>VLOOKUP(TB_prev[[#This Row],[Synt]],GL[[Account]:[B/P]],4,FALSE)</f>
        <v>#N/A</v>
      </c>
      <c r="AH868" s="1066" t="e">
        <v>#VALUE!</v>
      </c>
      <c r="AI868" s="1065" t="e">
        <f>TB_prev[[#This Row],[Synt]]&amp;TB_prev[[#This Row],[Line No. manual corr.]]</f>
        <v>#VALUE!</v>
      </c>
      <c r="AJ868" s="1064">
        <f t="shared" si="66"/>
        <v>0</v>
      </c>
      <c r="AK868" s="1064">
        <f t="shared" si="67"/>
        <v>0</v>
      </c>
      <c r="AL868" s="1064">
        <f t="shared" si="68"/>
        <v>0</v>
      </c>
      <c r="AM868" s="1064">
        <f t="shared" si="69"/>
        <v>0</v>
      </c>
      <c r="AN868" s="1064"/>
      <c r="AO868" s="1064">
        <f>TB_prev[[#This Row],[Closing balance]]+TB_prev[[#This Row],[Rounding]]</f>
        <v>0</v>
      </c>
    </row>
    <row r="869" spans="30:41" x14ac:dyDescent="0.25">
      <c r="AD869" s="1067" t="str">
        <f t="shared" si="65"/>
        <v/>
      </c>
      <c r="AE869" s="1063" t="str">
        <f>IF(ISNA(VLOOKUP(TB_prev[[#This Row],[Synt]],GL[[#Headers],[#Data],[subtotal label]],1,FALSE)),0,(VLOOKUP(TB_prev[[#This Row],[Synt]],GL[[#Headers],[#Data],[subtotal label]],1,FALSE)))</f>
        <v/>
      </c>
      <c r="AF869" s="1063" t="e">
        <f>IF((TB_prev[[#This Row],[Synt]]-TB_prev[[#This Row],[Subtotal Y/N]])=0,0,VLOOKUP(TB_prev[[#This Row],[Synt]],GL[[Account]:[Line]],3,FALSE))</f>
        <v>#VALUE!</v>
      </c>
      <c r="AG869" s="1063" t="e">
        <f>VLOOKUP(TB_prev[[#This Row],[Synt]],GL[[Account]:[B/P]],4,FALSE)</f>
        <v>#N/A</v>
      </c>
      <c r="AH869" s="1066" t="e">
        <v>#VALUE!</v>
      </c>
      <c r="AI869" s="1065" t="e">
        <f>TB_prev[[#This Row],[Synt]]&amp;TB_prev[[#This Row],[Line No. manual corr.]]</f>
        <v>#VALUE!</v>
      </c>
      <c r="AJ869" s="1064">
        <f t="shared" si="66"/>
        <v>0</v>
      </c>
      <c r="AK869" s="1064">
        <f t="shared" si="67"/>
        <v>0</v>
      </c>
      <c r="AL869" s="1064">
        <f t="shared" si="68"/>
        <v>0</v>
      </c>
      <c r="AM869" s="1064">
        <f t="shared" si="69"/>
        <v>0</v>
      </c>
      <c r="AN869" s="1064"/>
      <c r="AO869" s="1064">
        <f>TB_prev[[#This Row],[Closing balance]]+TB_prev[[#This Row],[Rounding]]</f>
        <v>0</v>
      </c>
    </row>
    <row r="870" spans="30:41" x14ac:dyDescent="0.25">
      <c r="AD870" s="1067" t="str">
        <f t="shared" si="65"/>
        <v/>
      </c>
      <c r="AE870" s="1063" t="str">
        <f>IF(ISNA(VLOOKUP(TB_prev[[#This Row],[Synt]],GL[[#Headers],[#Data],[subtotal label]],1,FALSE)),0,(VLOOKUP(TB_prev[[#This Row],[Synt]],GL[[#Headers],[#Data],[subtotal label]],1,FALSE)))</f>
        <v/>
      </c>
      <c r="AF870" s="1063" t="e">
        <f>IF((TB_prev[[#This Row],[Synt]]-TB_prev[[#This Row],[Subtotal Y/N]])=0,0,VLOOKUP(TB_prev[[#This Row],[Synt]],GL[[Account]:[Line]],3,FALSE))</f>
        <v>#VALUE!</v>
      </c>
      <c r="AG870" s="1063" t="e">
        <f>VLOOKUP(TB_prev[[#This Row],[Synt]],GL[[Account]:[B/P]],4,FALSE)</f>
        <v>#N/A</v>
      </c>
      <c r="AH870" s="1066" t="e">
        <v>#VALUE!</v>
      </c>
      <c r="AI870" s="1065" t="e">
        <f>TB_prev[[#This Row],[Synt]]&amp;TB_prev[[#This Row],[Line No. manual corr.]]</f>
        <v>#VALUE!</v>
      </c>
      <c r="AJ870" s="1064">
        <f t="shared" si="66"/>
        <v>0</v>
      </c>
      <c r="AK870" s="1064">
        <f t="shared" si="67"/>
        <v>0</v>
      </c>
      <c r="AL870" s="1064">
        <f t="shared" si="68"/>
        <v>0</v>
      </c>
      <c r="AM870" s="1064">
        <f t="shared" si="69"/>
        <v>0</v>
      </c>
      <c r="AN870" s="1064"/>
      <c r="AO870" s="1064">
        <f>TB_prev[[#This Row],[Closing balance]]+TB_prev[[#This Row],[Rounding]]</f>
        <v>0</v>
      </c>
    </row>
    <row r="871" spans="30:41" x14ac:dyDescent="0.25">
      <c r="AD871" s="1067" t="str">
        <f t="shared" si="65"/>
        <v/>
      </c>
      <c r="AE871" s="1063" t="str">
        <f>IF(ISNA(VLOOKUP(TB_prev[[#This Row],[Synt]],GL[[#Headers],[#Data],[subtotal label]],1,FALSE)),0,(VLOOKUP(TB_prev[[#This Row],[Synt]],GL[[#Headers],[#Data],[subtotal label]],1,FALSE)))</f>
        <v/>
      </c>
      <c r="AF871" s="1063" t="e">
        <f>IF((TB_prev[[#This Row],[Synt]]-TB_prev[[#This Row],[Subtotal Y/N]])=0,0,VLOOKUP(TB_prev[[#This Row],[Synt]],GL[[Account]:[Line]],3,FALSE))</f>
        <v>#VALUE!</v>
      </c>
      <c r="AG871" s="1063" t="e">
        <f>VLOOKUP(TB_prev[[#This Row],[Synt]],GL[[Account]:[B/P]],4,FALSE)</f>
        <v>#N/A</v>
      </c>
      <c r="AH871" s="1066" t="e">
        <v>#VALUE!</v>
      </c>
      <c r="AI871" s="1065" t="e">
        <f>TB_prev[[#This Row],[Synt]]&amp;TB_prev[[#This Row],[Line No. manual corr.]]</f>
        <v>#VALUE!</v>
      </c>
      <c r="AJ871" s="1064">
        <f t="shared" si="66"/>
        <v>0</v>
      </c>
      <c r="AK871" s="1064">
        <f t="shared" si="67"/>
        <v>0</v>
      </c>
      <c r="AL871" s="1064">
        <f t="shared" si="68"/>
        <v>0</v>
      </c>
      <c r="AM871" s="1064">
        <f t="shared" si="69"/>
        <v>0</v>
      </c>
      <c r="AN871" s="1064"/>
      <c r="AO871" s="1064">
        <f>TB_prev[[#This Row],[Closing balance]]+TB_prev[[#This Row],[Rounding]]</f>
        <v>0</v>
      </c>
    </row>
    <row r="872" spans="30:41" x14ac:dyDescent="0.25">
      <c r="AD872" s="1067" t="str">
        <f t="shared" si="65"/>
        <v/>
      </c>
      <c r="AE872" s="1063" t="str">
        <f>IF(ISNA(VLOOKUP(TB_prev[[#This Row],[Synt]],GL[[#Headers],[#Data],[subtotal label]],1,FALSE)),0,(VLOOKUP(TB_prev[[#This Row],[Synt]],GL[[#Headers],[#Data],[subtotal label]],1,FALSE)))</f>
        <v/>
      </c>
      <c r="AF872" s="1063" t="e">
        <f>IF((TB_prev[[#This Row],[Synt]]-TB_prev[[#This Row],[Subtotal Y/N]])=0,0,VLOOKUP(TB_prev[[#This Row],[Synt]],GL[[Account]:[Line]],3,FALSE))</f>
        <v>#VALUE!</v>
      </c>
      <c r="AG872" s="1063" t="e">
        <f>VLOOKUP(TB_prev[[#This Row],[Synt]],GL[[Account]:[B/P]],4,FALSE)</f>
        <v>#N/A</v>
      </c>
      <c r="AH872" s="1066" t="e">
        <v>#VALUE!</v>
      </c>
      <c r="AI872" s="1065" t="e">
        <f>TB_prev[[#This Row],[Synt]]&amp;TB_prev[[#This Row],[Line No. manual corr.]]</f>
        <v>#VALUE!</v>
      </c>
      <c r="AJ872" s="1064">
        <f t="shared" si="66"/>
        <v>0</v>
      </c>
      <c r="AK872" s="1064">
        <f t="shared" si="67"/>
        <v>0</v>
      </c>
      <c r="AL872" s="1064">
        <f t="shared" si="68"/>
        <v>0</v>
      </c>
      <c r="AM872" s="1064">
        <f t="shared" si="69"/>
        <v>0</v>
      </c>
      <c r="AN872" s="1064"/>
      <c r="AO872" s="1064">
        <f>TB_prev[[#This Row],[Closing balance]]+TB_prev[[#This Row],[Rounding]]</f>
        <v>0</v>
      </c>
    </row>
    <row r="873" spans="30:41" x14ac:dyDescent="0.25">
      <c r="AD873" s="1067" t="str">
        <f t="shared" si="65"/>
        <v/>
      </c>
      <c r="AE873" s="1063" t="str">
        <f>IF(ISNA(VLOOKUP(TB_prev[[#This Row],[Synt]],GL[[#Headers],[#Data],[subtotal label]],1,FALSE)),0,(VLOOKUP(TB_prev[[#This Row],[Synt]],GL[[#Headers],[#Data],[subtotal label]],1,FALSE)))</f>
        <v/>
      </c>
      <c r="AF873" s="1063" t="e">
        <f>IF((TB_prev[[#This Row],[Synt]]-TB_prev[[#This Row],[Subtotal Y/N]])=0,0,VLOOKUP(TB_prev[[#This Row],[Synt]],GL[[Account]:[Line]],3,FALSE))</f>
        <v>#VALUE!</v>
      </c>
      <c r="AG873" s="1063" t="e">
        <f>VLOOKUP(TB_prev[[#This Row],[Synt]],GL[[Account]:[B/P]],4,FALSE)</f>
        <v>#N/A</v>
      </c>
      <c r="AH873" s="1066" t="e">
        <v>#VALUE!</v>
      </c>
      <c r="AI873" s="1065" t="e">
        <f>TB_prev[[#This Row],[Synt]]&amp;TB_prev[[#This Row],[Line No. manual corr.]]</f>
        <v>#VALUE!</v>
      </c>
      <c r="AJ873" s="1064">
        <f t="shared" si="66"/>
        <v>0</v>
      </c>
      <c r="AK873" s="1064">
        <f t="shared" si="67"/>
        <v>0</v>
      </c>
      <c r="AL873" s="1064">
        <f t="shared" si="68"/>
        <v>0</v>
      </c>
      <c r="AM873" s="1064">
        <f t="shared" si="69"/>
        <v>0</v>
      </c>
      <c r="AN873" s="1064"/>
      <c r="AO873" s="1064">
        <f>TB_prev[[#This Row],[Closing balance]]+TB_prev[[#This Row],[Rounding]]</f>
        <v>0</v>
      </c>
    </row>
    <row r="874" spans="30:41" x14ac:dyDescent="0.25">
      <c r="AD874" s="1067" t="str">
        <f t="shared" si="65"/>
        <v/>
      </c>
      <c r="AE874" s="1063" t="str">
        <f>IF(ISNA(VLOOKUP(TB_prev[[#This Row],[Synt]],GL[[#Headers],[#Data],[subtotal label]],1,FALSE)),0,(VLOOKUP(TB_prev[[#This Row],[Synt]],GL[[#Headers],[#Data],[subtotal label]],1,FALSE)))</f>
        <v/>
      </c>
      <c r="AF874" s="1063" t="e">
        <f>IF((TB_prev[[#This Row],[Synt]]-TB_prev[[#This Row],[Subtotal Y/N]])=0,0,VLOOKUP(TB_prev[[#This Row],[Synt]],GL[[Account]:[Line]],3,FALSE))</f>
        <v>#VALUE!</v>
      </c>
      <c r="AG874" s="1063" t="e">
        <f>VLOOKUP(TB_prev[[#This Row],[Synt]],GL[[Account]:[B/P]],4,FALSE)</f>
        <v>#N/A</v>
      </c>
      <c r="AH874" s="1066" t="e">
        <v>#VALUE!</v>
      </c>
      <c r="AI874" s="1065" t="e">
        <f>TB_prev[[#This Row],[Synt]]&amp;TB_prev[[#This Row],[Line No. manual corr.]]</f>
        <v>#VALUE!</v>
      </c>
      <c r="AJ874" s="1064">
        <f t="shared" si="66"/>
        <v>0</v>
      </c>
      <c r="AK874" s="1064">
        <f t="shared" si="67"/>
        <v>0</v>
      </c>
      <c r="AL874" s="1064">
        <f t="shared" si="68"/>
        <v>0</v>
      </c>
      <c r="AM874" s="1064">
        <f t="shared" si="69"/>
        <v>0</v>
      </c>
      <c r="AN874" s="1064"/>
      <c r="AO874" s="1064">
        <f>TB_prev[[#This Row],[Closing balance]]+TB_prev[[#This Row],[Rounding]]</f>
        <v>0</v>
      </c>
    </row>
    <row r="875" spans="30:41" x14ac:dyDescent="0.25">
      <c r="AD875" s="1067" t="str">
        <f t="shared" si="65"/>
        <v/>
      </c>
      <c r="AE875" s="1063" t="str">
        <f>IF(ISNA(VLOOKUP(TB_prev[[#This Row],[Synt]],GL[[#Headers],[#Data],[subtotal label]],1,FALSE)),0,(VLOOKUP(TB_prev[[#This Row],[Synt]],GL[[#Headers],[#Data],[subtotal label]],1,FALSE)))</f>
        <v/>
      </c>
      <c r="AF875" s="1063" t="e">
        <f>IF((TB_prev[[#This Row],[Synt]]-TB_prev[[#This Row],[Subtotal Y/N]])=0,0,VLOOKUP(TB_prev[[#This Row],[Synt]],GL[[Account]:[Line]],3,FALSE))</f>
        <v>#VALUE!</v>
      </c>
      <c r="AG875" s="1063" t="e">
        <f>VLOOKUP(TB_prev[[#This Row],[Synt]],GL[[Account]:[B/P]],4,FALSE)</f>
        <v>#N/A</v>
      </c>
      <c r="AH875" s="1066" t="e">
        <v>#VALUE!</v>
      </c>
      <c r="AI875" s="1065" t="e">
        <f>TB_prev[[#This Row],[Synt]]&amp;TB_prev[[#This Row],[Line No. manual corr.]]</f>
        <v>#VALUE!</v>
      </c>
      <c r="AJ875" s="1064">
        <f t="shared" si="66"/>
        <v>0</v>
      </c>
      <c r="AK875" s="1064">
        <f t="shared" si="67"/>
        <v>0</v>
      </c>
      <c r="AL875" s="1064">
        <f t="shared" si="68"/>
        <v>0</v>
      </c>
      <c r="AM875" s="1064">
        <f t="shared" si="69"/>
        <v>0</v>
      </c>
      <c r="AN875" s="1064"/>
      <c r="AO875" s="1064">
        <f>TB_prev[[#This Row],[Closing balance]]+TB_prev[[#This Row],[Rounding]]</f>
        <v>0</v>
      </c>
    </row>
    <row r="876" spans="30:41" x14ac:dyDescent="0.25">
      <c r="AD876" s="1067" t="str">
        <f t="shared" si="65"/>
        <v/>
      </c>
      <c r="AE876" s="1063" t="str">
        <f>IF(ISNA(VLOOKUP(TB_prev[[#This Row],[Synt]],GL[[#Headers],[#Data],[subtotal label]],1,FALSE)),0,(VLOOKUP(TB_prev[[#This Row],[Synt]],GL[[#Headers],[#Data],[subtotal label]],1,FALSE)))</f>
        <v/>
      </c>
      <c r="AF876" s="1063" t="e">
        <f>IF((TB_prev[[#This Row],[Synt]]-TB_prev[[#This Row],[Subtotal Y/N]])=0,0,VLOOKUP(TB_prev[[#This Row],[Synt]],GL[[Account]:[Line]],3,FALSE))</f>
        <v>#VALUE!</v>
      </c>
      <c r="AG876" s="1063" t="e">
        <f>VLOOKUP(TB_prev[[#This Row],[Synt]],GL[[Account]:[B/P]],4,FALSE)</f>
        <v>#N/A</v>
      </c>
      <c r="AH876" s="1066" t="e">
        <v>#VALUE!</v>
      </c>
      <c r="AI876" s="1065" t="e">
        <f>TB_prev[[#This Row],[Synt]]&amp;TB_prev[[#This Row],[Line No. manual corr.]]</f>
        <v>#VALUE!</v>
      </c>
      <c r="AJ876" s="1064">
        <f t="shared" si="66"/>
        <v>0</v>
      </c>
      <c r="AK876" s="1064">
        <f t="shared" si="67"/>
        <v>0</v>
      </c>
      <c r="AL876" s="1064">
        <f t="shared" si="68"/>
        <v>0</v>
      </c>
      <c r="AM876" s="1064">
        <f t="shared" si="69"/>
        <v>0</v>
      </c>
      <c r="AN876" s="1064"/>
      <c r="AO876" s="1064">
        <f>TB_prev[[#This Row],[Closing balance]]+TB_prev[[#This Row],[Rounding]]</f>
        <v>0</v>
      </c>
    </row>
    <row r="877" spans="30:41" x14ac:dyDescent="0.25">
      <c r="AD877" s="1067" t="str">
        <f t="shared" si="65"/>
        <v/>
      </c>
      <c r="AE877" s="1063" t="str">
        <f>IF(ISNA(VLOOKUP(TB_prev[[#This Row],[Synt]],GL[[#Headers],[#Data],[subtotal label]],1,FALSE)),0,(VLOOKUP(TB_prev[[#This Row],[Synt]],GL[[#Headers],[#Data],[subtotal label]],1,FALSE)))</f>
        <v/>
      </c>
      <c r="AF877" s="1063" t="e">
        <f>IF((TB_prev[[#This Row],[Synt]]-TB_prev[[#This Row],[Subtotal Y/N]])=0,0,VLOOKUP(TB_prev[[#This Row],[Synt]],GL[[Account]:[Line]],3,FALSE))</f>
        <v>#VALUE!</v>
      </c>
      <c r="AG877" s="1063" t="e">
        <f>VLOOKUP(TB_prev[[#This Row],[Synt]],GL[[Account]:[B/P]],4,FALSE)</f>
        <v>#N/A</v>
      </c>
      <c r="AH877" s="1066" t="e">
        <v>#VALUE!</v>
      </c>
      <c r="AI877" s="1065" t="e">
        <f>TB_prev[[#This Row],[Synt]]&amp;TB_prev[[#This Row],[Line No. manual corr.]]</f>
        <v>#VALUE!</v>
      </c>
      <c r="AJ877" s="1064">
        <f t="shared" si="66"/>
        <v>0</v>
      </c>
      <c r="AK877" s="1064">
        <f t="shared" si="67"/>
        <v>0</v>
      </c>
      <c r="AL877" s="1064">
        <f t="shared" si="68"/>
        <v>0</v>
      </c>
      <c r="AM877" s="1064">
        <f t="shared" si="69"/>
        <v>0</v>
      </c>
      <c r="AN877" s="1064"/>
      <c r="AO877" s="1064">
        <f>TB_prev[[#This Row],[Closing balance]]+TB_prev[[#This Row],[Rounding]]</f>
        <v>0</v>
      </c>
    </row>
    <row r="878" spans="30:41" x14ac:dyDescent="0.25">
      <c r="AD878" s="1067" t="str">
        <f t="shared" si="65"/>
        <v/>
      </c>
      <c r="AE878" s="1063" t="str">
        <f>IF(ISNA(VLOOKUP(TB_prev[[#This Row],[Synt]],GL[[#Headers],[#Data],[subtotal label]],1,FALSE)),0,(VLOOKUP(TB_prev[[#This Row],[Synt]],GL[[#Headers],[#Data],[subtotal label]],1,FALSE)))</f>
        <v/>
      </c>
      <c r="AF878" s="1063" t="e">
        <f>IF((TB_prev[[#This Row],[Synt]]-TB_prev[[#This Row],[Subtotal Y/N]])=0,0,VLOOKUP(TB_prev[[#This Row],[Synt]],GL[[Account]:[Line]],3,FALSE))</f>
        <v>#VALUE!</v>
      </c>
      <c r="AG878" s="1063" t="e">
        <f>VLOOKUP(TB_prev[[#This Row],[Synt]],GL[[Account]:[B/P]],4,FALSE)</f>
        <v>#N/A</v>
      </c>
      <c r="AH878" s="1066" t="e">
        <v>#VALUE!</v>
      </c>
      <c r="AI878" s="1065" t="e">
        <f>TB_prev[[#This Row],[Synt]]&amp;TB_prev[[#This Row],[Line No. manual corr.]]</f>
        <v>#VALUE!</v>
      </c>
      <c r="AJ878" s="1064">
        <f t="shared" si="66"/>
        <v>0</v>
      </c>
      <c r="AK878" s="1064">
        <f t="shared" si="67"/>
        <v>0</v>
      </c>
      <c r="AL878" s="1064">
        <f t="shared" si="68"/>
        <v>0</v>
      </c>
      <c r="AM878" s="1064">
        <f t="shared" si="69"/>
        <v>0</v>
      </c>
      <c r="AN878" s="1064"/>
      <c r="AO878" s="1064">
        <f>TB_prev[[#This Row],[Closing balance]]+TB_prev[[#This Row],[Rounding]]</f>
        <v>0</v>
      </c>
    </row>
    <row r="879" spans="30:41" x14ac:dyDescent="0.25">
      <c r="AD879" s="1067" t="str">
        <f t="shared" si="65"/>
        <v/>
      </c>
      <c r="AE879" s="1063" t="str">
        <f>IF(ISNA(VLOOKUP(TB_prev[[#This Row],[Synt]],GL[[#Headers],[#Data],[subtotal label]],1,FALSE)),0,(VLOOKUP(TB_prev[[#This Row],[Synt]],GL[[#Headers],[#Data],[subtotal label]],1,FALSE)))</f>
        <v/>
      </c>
      <c r="AF879" s="1063" t="e">
        <f>IF((TB_prev[[#This Row],[Synt]]-TB_prev[[#This Row],[Subtotal Y/N]])=0,0,VLOOKUP(TB_prev[[#This Row],[Synt]],GL[[Account]:[Line]],3,FALSE))</f>
        <v>#VALUE!</v>
      </c>
      <c r="AG879" s="1063" t="e">
        <f>VLOOKUP(TB_prev[[#This Row],[Synt]],GL[[Account]:[B/P]],4,FALSE)</f>
        <v>#N/A</v>
      </c>
      <c r="AH879" s="1066" t="e">
        <v>#VALUE!</v>
      </c>
      <c r="AI879" s="1065" t="e">
        <f>TB_prev[[#This Row],[Synt]]&amp;TB_prev[[#This Row],[Line No. manual corr.]]</f>
        <v>#VALUE!</v>
      </c>
      <c r="AJ879" s="1064">
        <f t="shared" si="66"/>
        <v>0</v>
      </c>
      <c r="AK879" s="1064">
        <f t="shared" si="67"/>
        <v>0</v>
      </c>
      <c r="AL879" s="1064">
        <f t="shared" si="68"/>
        <v>0</v>
      </c>
      <c r="AM879" s="1064">
        <f t="shared" si="69"/>
        <v>0</v>
      </c>
      <c r="AN879" s="1064"/>
      <c r="AO879" s="1064">
        <f>TB_prev[[#This Row],[Closing balance]]+TB_prev[[#This Row],[Rounding]]</f>
        <v>0</v>
      </c>
    </row>
    <row r="880" spans="30:41" x14ac:dyDescent="0.25">
      <c r="AD880" s="1067" t="str">
        <f t="shared" si="65"/>
        <v/>
      </c>
      <c r="AE880" s="1063" t="str">
        <f>IF(ISNA(VLOOKUP(TB_prev[[#This Row],[Synt]],GL[[#Headers],[#Data],[subtotal label]],1,FALSE)),0,(VLOOKUP(TB_prev[[#This Row],[Synt]],GL[[#Headers],[#Data],[subtotal label]],1,FALSE)))</f>
        <v/>
      </c>
      <c r="AF880" s="1063" t="e">
        <f>IF((TB_prev[[#This Row],[Synt]]-TB_prev[[#This Row],[Subtotal Y/N]])=0,0,VLOOKUP(TB_prev[[#This Row],[Synt]],GL[[Account]:[Line]],3,FALSE))</f>
        <v>#VALUE!</v>
      </c>
      <c r="AG880" s="1063" t="e">
        <f>VLOOKUP(TB_prev[[#This Row],[Synt]],GL[[Account]:[B/P]],4,FALSE)</f>
        <v>#N/A</v>
      </c>
      <c r="AH880" s="1066" t="e">
        <v>#VALUE!</v>
      </c>
      <c r="AI880" s="1065" t="e">
        <f>TB_prev[[#This Row],[Synt]]&amp;TB_prev[[#This Row],[Line No. manual corr.]]</f>
        <v>#VALUE!</v>
      </c>
      <c r="AJ880" s="1064">
        <f t="shared" si="66"/>
        <v>0</v>
      </c>
      <c r="AK880" s="1064">
        <f t="shared" si="67"/>
        <v>0</v>
      </c>
      <c r="AL880" s="1064">
        <f t="shared" si="68"/>
        <v>0</v>
      </c>
      <c r="AM880" s="1064">
        <f t="shared" si="69"/>
        <v>0</v>
      </c>
      <c r="AN880" s="1064"/>
      <c r="AO880" s="1064">
        <f>TB_prev[[#This Row],[Closing balance]]+TB_prev[[#This Row],[Rounding]]</f>
        <v>0</v>
      </c>
    </row>
    <row r="881" spans="30:41" x14ac:dyDescent="0.25">
      <c r="AD881" s="1067" t="str">
        <f t="shared" si="65"/>
        <v/>
      </c>
      <c r="AE881" s="1063" t="str">
        <f>IF(ISNA(VLOOKUP(TB_prev[[#This Row],[Synt]],GL[[#Headers],[#Data],[subtotal label]],1,FALSE)),0,(VLOOKUP(TB_prev[[#This Row],[Synt]],GL[[#Headers],[#Data],[subtotal label]],1,FALSE)))</f>
        <v/>
      </c>
      <c r="AF881" s="1063" t="e">
        <f>IF((TB_prev[[#This Row],[Synt]]-TB_prev[[#This Row],[Subtotal Y/N]])=0,0,VLOOKUP(TB_prev[[#This Row],[Synt]],GL[[Account]:[Line]],3,FALSE))</f>
        <v>#VALUE!</v>
      </c>
      <c r="AG881" s="1063" t="e">
        <f>VLOOKUP(TB_prev[[#This Row],[Synt]],GL[[Account]:[B/P]],4,FALSE)</f>
        <v>#N/A</v>
      </c>
      <c r="AH881" s="1066" t="e">
        <v>#VALUE!</v>
      </c>
      <c r="AI881" s="1065" t="e">
        <f>TB_prev[[#This Row],[Synt]]&amp;TB_prev[[#This Row],[Line No. manual corr.]]</f>
        <v>#VALUE!</v>
      </c>
      <c r="AJ881" s="1064">
        <f t="shared" si="66"/>
        <v>0</v>
      </c>
      <c r="AK881" s="1064">
        <f t="shared" si="67"/>
        <v>0</v>
      </c>
      <c r="AL881" s="1064">
        <f t="shared" si="68"/>
        <v>0</v>
      </c>
      <c r="AM881" s="1064">
        <f t="shared" si="69"/>
        <v>0</v>
      </c>
      <c r="AN881" s="1064"/>
      <c r="AO881" s="1064">
        <f>TB_prev[[#This Row],[Closing balance]]+TB_prev[[#This Row],[Rounding]]</f>
        <v>0</v>
      </c>
    </row>
    <row r="882" spans="30:41" x14ac:dyDescent="0.25">
      <c r="AD882" s="1067" t="str">
        <f t="shared" si="65"/>
        <v/>
      </c>
      <c r="AE882" s="1063" t="str">
        <f>IF(ISNA(VLOOKUP(TB_prev[[#This Row],[Synt]],GL[[#Headers],[#Data],[subtotal label]],1,FALSE)),0,(VLOOKUP(TB_prev[[#This Row],[Synt]],GL[[#Headers],[#Data],[subtotal label]],1,FALSE)))</f>
        <v/>
      </c>
      <c r="AF882" s="1063" t="e">
        <f>IF((TB_prev[[#This Row],[Synt]]-TB_prev[[#This Row],[Subtotal Y/N]])=0,0,VLOOKUP(TB_prev[[#This Row],[Synt]],GL[[Account]:[Line]],3,FALSE))</f>
        <v>#VALUE!</v>
      </c>
      <c r="AG882" s="1063" t="e">
        <f>VLOOKUP(TB_prev[[#This Row],[Synt]],GL[[Account]:[B/P]],4,FALSE)</f>
        <v>#N/A</v>
      </c>
      <c r="AH882" s="1066" t="e">
        <v>#VALUE!</v>
      </c>
      <c r="AI882" s="1065" t="e">
        <f>TB_prev[[#This Row],[Synt]]&amp;TB_prev[[#This Row],[Line No. manual corr.]]</f>
        <v>#VALUE!</v>
      </c>
      <c r="AJ882" s="1064">
        <f t="shared" si="66"/>
        <v>0</v>
      </c>
      <c r="AK882" s="1064">
        <f t="shared" si="67"/>
        <v>0</v>
      </c>
      <c r="AL882" s="1064">
        <f t="shared" si="68"/>
        <v>0</v>
      </c>
      <c r="AM882" s="1064">
        <f t="shared" si="69"/>
        <v>0</v>
      </c>
      <c r="AN882" s="1064"/>
      <c r="AO882" s="1064">
        <f>TB_prev[[#This Row],[Closing balance]]+TB_prev[[#This Row],[Rounding]]</f>
        <v>0</v>
      </c>
    </row>
    <row r="883" spans="30:41" x14ac:dyDescent="0.25">
      <c r="AD883" s="1067" t="str">
        <f t="shared" si="65"/>
        <v/>
      </c>
      <c r="AE883" s="1063" t="str">
        <f>IF(ISNA(VLOOKUP(TB_prev[[#This Row],[Synt]],GL[[#Headers],[#Data],[subtotal label]],1,FALSE)),0,(VLOOKUP(TB_prev[[#This Row],[Synt]],GL[[#Headers],[#Data],[subtotal label]],1,FALSE)))</f>
        <v/>
      </c>
      <c r="AF883" s="1063" t="e">
        <f>IF((TB_prev[[#This Row],[Synt]]-TB_prev[[#This Row],[Subtotal Y/N]])=0,0,VLOOKUP(TB_prev[[#This Row],[Synt]],GL[[Account]:[Line]],3,FALSE))</f>
        <v>#VALUE!</v>
      </c>
      <c r="AG883" s="1063" t="e">
        <f>VLOOKUP(TB_prev[[#This Row],[Synt]],GL[[Account]:[B/P]],4,FALSE)</f>
        <v>#N/A</v>
      </c>
      <c r="AH883" s="1066" t="e">
        <v>#VALUE!</v>
      </c>
      <c r="AI883" s="1065" t="e">
        <f>TB_prev[[#This Row],[Synt]]&amp;TB_prev[[#This Row],[Line No. manual corr.]]</f>
        <v>#VALUE!</v>
      </c>
      <c r="AJ883" s="1064">
        <f t="shared" si="66"/>
        <v>0</v>
      </c>
      <c r="AK883" s="1064">
        <f t="shared" si="67"/>
        <v>0</v>
      </c>
      <c r="AL883" s="1064">
        <f t="shared" si="68"/>
        <v>0</v>
      </c>
      <c r="AM883" s="1064">
        <f t="shared" si="69"/>
        <v>0</v>
      </c>
      <c r="AN883" s="1064"/>
      <c r="AO883" s="1064">
        <f>TB_prev[[#This Row],[Closing balance]]+TB_prev[[#This Row],[Rounding]]</f>
        <v>0</v>
      </c>
    </row>
    <row r="884" spans="30:41" x14ac:dyDescent="0.25">
      <c r="AD884" s="1067" t="str">
        <f t="shared" si="65"/>
        <v/>
      </c>
      <c r="AE884" s="1063" t="str">
        <f>IF(ISNA(VLOOKUP(TB_prev[[#This Row],[Synt]],GL[[#Headers],[#Data],[subtotal label]],1,FALSE)),0,(VLOOKUP(TB_prev[[#This Row],[Synt]],GL[[#Headers],[#Data],[subtotal label]],1,FALSE)))</f>
        <v/>
      </c>
      <c r="AF884" s="1063" t="e">
        <f>IF((TB_prev[[#This Row],[Synt]]-TB_prev[[#This Row],[Subtotal Y/N]])=0,0,VLOOKUP(TB_prev[[#This Row],[Synt]],GL[[Account]:[Line]],3,FALSE))</f>
        <v>#VALUE!</v>
      </c>
      <c r="AG884" s="1063" t="e">
        <f>VLOOKUP(TB_prev[[#This Row],[Synt]],GL[[Account]:[B/P]],4,FALSE)</f>
        <v>#N/A</v>
      </c>
      <c r="AH884" s="1066" t="e">
        <v>#VALUE!</v>
      </c>
      <c r="AI884" s="1065" t="e">
        <f>TB_prev[[#This Row],[Synt]]&amp;TB_prev[[#This Row],[Line No. manual corr.]]</f>
        <v>#VALUE!</v>
      </c>
      <c r="AJ884" s="1064">
        <f t="shared" si="66"/>
        <v>0</v>
      </c>
      <c r="AK884" s="1064">
        <f t="shared" si="67"/>
        <v>0</v>
      </c>
      <c r="AL884" s="1064">
        <f t="shared" si="68"/>
        <v>0</v>
      </c>
      <c r="AM884" s="1064">
        <f t="shared" si="69"/>
        <v>0</v>
      </c>
      <c r="AN884" s="1064"/>
      <c r="AO884" s="1064">
        <f>TB_prev[[#This Row],[Closing balance]]+TB_prev[[#This Row],[Rounding]]</f>
        <v>0</v>
      </c>
    </row>
    <row r="885" spans="30:41" x14ac:dyDescent="0.25">
      <c r="AD885" s="1067" t="str">
        <f t="shared" si="65"/>
        <v/>
      </c>
      <c r="AE885" s="1063" t="str">
        <f>IF(ISNA(VLOOKUP(TB_prev[[#This Row],[Synt]],GL[[#Headers],[#Data],[subtotal label]],1,FALSE)),0,(VLOOKUP(TB_prev[[#This Row],[Synt]],GL[[#Headers],[#Data],[subtotal label]],1,FALSE)))</f>
        <v/>
      </c>
      <c r="AF885" s="1063" t="e">
        <f>IF((TB_prev[[#This Row],[Synt]]-TB_prev[[#This Row],[Subtotal Y/N]])=0,0,VLOOKUP(TB_prev[[#This Row],[Synt]],GL[[Account]:[Line]],3,FALSE))</f>
        <v>#VALUE!</v>
      </c>
      <c r="AG885" s="1063" t="e">
        <f>VLOOKUP(TB_prev[[#This Row],[Synt]],GL[[Account]:[B/P]],4,FALSE)</f>
        <v>#N/A</v>
      </c>
      <c r="AH885" s="1066" t="e">
        <v>#VALUE!</v>
      </c>
      <c r="AI885" s="1065" t="e">
        <f>TB_prev[[#This Row],[Synt]]&amp;TB_prev[[#This Row],[Line No. manual corr.]]</f>
        <v>#VALUE!</v>
      </c>
      <c r="AJ885" s="1064">
        <f t="shared" si="66"/>
        <v>0</v>
      </c>
      <c r="AK885" s="1064">
        <f t="shared" si="67"/>
        <v>0</v>
      </c>
      <c r="AL885" s="1064">
        <f t="shared" si="68"/>
        <v>0</v>
      </c>
      <c r="AM885" s="1064">
        <f t="shared" si="69"/>
        <v>0</v>
      </c>
      <c r="AN885" s="1064"/>
      <c r="AO885" s="1064">
        <f>TB_prev[[#This Row],[Closing balance]]+TB_prev[[#This Row],[Rounding]]</f>
        <v>0</v>
      </c>
    </row>
    <row r="886" spans="30:41" x14ac:dyDescent="0.25">
      <c r="AD886" s="1067" t="str">
        <f t="shared" si="65"/>
        <v/>
      </c>
      <c r="AE886" s="1063" t="str">
        <f>IF(ISNA(VLOOKUP(TB_prev[[#This Row],[Synt]],GL[[#Headers],[#Data],[subtotal label]],1,FALSE)),0,(VLOOKUP(TB_prev[[#This Row],[Synt]],GL[[#Headers],[#Data],[subtotal label]],1,FALSE)))</f>
        <v/>
      </c>
      <c r="AF886" s="1063" t="e">
        <f>IF((TB_prev[[#This Row],[Synt]]-TB_prev[[#This Row],[Subtotal Y/N]])=0,0,VLOOKUP(TB_prev[[#This Row],[Synt]],GL[[Account]:[Line]],3,FALSE))</f>
        <v>#VALUE!</v>
      </c>
      <c r="AG886" s="1063" t="e">
        <f>VLOOKUP(TB_prev[[#This Row],[Synt]],GL[[Account]:[B/P]],4,FALSE)</f>
        <v>#N/A</v>
      </c>
      <c r="AH886" s="1066" t="e">
        <v>#VALUE!</v>
      </c>
      <c r="AI886" s="1065" t="e">
        <f>TB_prev[[#This Row],[Synt]]&amp;TB_prev[[#This Row],[Line No. manual corr.]]</f>
        <v>#VALUE!</v>
      </c>
      <c r="AJ886" s="1064">
        <f t="shared" si="66"/>
        <v>0</v>
      </c>
      <c r="AK886" s="1064">
        <f t="shared" si="67"/>
        <v>0</v>
      </c>
      <c r="AL886" s="1064">
        <f t="shared" si="68"/>
        <v>0</v>
      </c>
      <c r="AM886" s="1064">
        <f t="shared" si="69"/>
        <v>0</v>
      </c>
      <c r="AN886" s="1064"/>
      <c r="AO886" s="1064">
        <f>TB_prev[[#This Row],[Closing balance]]+TB_prev[[#This Row],[Rounding]]</f>
        <v>0</v>
      </c>
    </row>
    <row r="887" spans="30:41" x14ac:dyDescent="0.25">
      <c r="AD887" s="1067" t="str">
        <f t="shared" si="65"/>
        <v/>
      </c>
      <c r="AE887" s="1063" t="str">
        <f>IF(ISNA(VLOOKUP(TB_prev[[#This Row],[Synt]],GL[[#Headers],[#Data],[subtotal label]],1,FALSE)),0,(VLOOKUP(TB_prev[[#This Row],[Synt]],GL[[#Headers],[#Data],[subtotal label]],1,FALSE)))</f>
        <v/>
      </c>
      <c r="AF887" s="1063" t="e">
        <f>IF((TB_prev[[#This Row],[Synt]]-TB_prev[[#This Row],[Subtotal Y/N]])=0,0,VLOOKUP(TB_prev[[#This Row],[Synt]],GL[[Account]:[Line]],3,FALSE))</f>
        <v>#VALUE!</v>
      </c>
      <c r="AG887" s="1063" t="e">
        <f>VLOOKUP(TB_prev[[#This Row],[Synt]],GL[[Account]:[B/P]],4,FALSE)</f>
        <v>#N/A</v>
      </c>
      <c r="AH887" s="1066" t="e">
        <v>#VALUE!</v>
      </c>
      <c r="AI887" s="1065" t="e">
        <f>TB_prev[[#This Row],[Synt]]&amp;TB_prev[[#This Row],[Line No. manual corr.]]</f>
        <v>#VALUE!</v>
      </c>
      <c r="AJ887" s="1064">
        <f t="shared" si="66"/>
        <v>0</v>
      </c>
      <c r="AK887" s="1064">
        <f t="shared" si="67"/>
        <v>0</v>
      </c>
      <c r="AL887" s="1064">
        <f t="shared" si="68"/>
        <v>0</v>
      </c>
      <c r="AM887" s="1064">
        <f t="shared" si="69"/>
        <v>0</v>
      </c>
      <c r="AN887" s="1064"/>
      <c r="AO887" s="1064">
        <f>TB_prev[[#This Row],[Closing balance]]+TB_prev[[#This Row],[Rounding]]</f>
        <v>0</v>
      </c>
    </row>
    <row r="888" spans="30:41" x14ac:dyDescent="0.25">
      <c r="AD888" s="1067" t="str">
        <f t="shared" si="65"/>
        <v/>
      </c>
      <c r="AE888" s="1063" t="str">
        <f>IF(ISNA(VLOOKUP(TB_prev[[#This Row],[Synt]],GL[[#Headers],[#Data],[subtotal label]],1,FALSE)),0,(VLOOKUP(TB_prev[[#This Row],[Synt]],GL[[#Headers],[#Data],[subtotal label]],1,FALSE)))</f>
        <v/>
      </c>
      <c r="AF888" s="1063" t="e">
        <f>IF((TB_prev[[#This Row],[Synt]]-TB_prev[[#This Row],[Subtotal Y/N]])=0,0,VLOOKUP(TB_prev[[#This Row],[Synt]],GL[[Account]:[Line]],3,FALSE))</f>
        <v>#VALUE!</v>
      </c>
      <c r="AG888" s="1063" t="e">
        <f>VLOOKUP(TB_prev[[#This Row],[Synt]],GL[[Account]:[B/P]],4,FALSE)</f>
        <v>#N/A</v>
      </c>
      <c r="AH888" s="1066" t="e">
        <v>#VALUE!</v>
      </c>
      <c r="AI888" s="1065" t="e">
        <f>TB_prev[[#This Row],[Synt]]&amp;TB_prev[[#This Row],[Line No. manual corr.]]</f>
        <v>#VALUE!</v>
      </c>
      <c r="AJ888" s="1064">
        <f t="shared" si="66"/>
        <v>0</v>
      </c>
      <c r="AK888" s="1064">
        <f t="shared" si="67"/>
        <v>0</v>
      </c>
      <c r="AL888" s="1064">
        <f t="shared" si="68"/>
        <v>0</v>
      </c>
      <c r="AM888" s="1064">
        <f t="shared" si="69"/>
        <v>0</v>
      </c>
      <c r="AN888" s="1064"/>
      <c r="AO888" s="1064">
        <f>TB_prev[[#This Row],[Closing balance]]+TB_prev[[#This Row],[Rounding]]</f>
        <v>0</v>
      </c>
    </row>
    <row r="889" spans="30:41" x14ac:dyDescent="0.25">
      <c r="AD889" s="1067" t="str">
        <f t="shared" si="65"/>
        <v/>
      </c>
      <c r="AE889" s="1063" t="str">
        <f>IF(ISNA(VLOOKUP(TB_prev[[#This Row],[Synt]],GL[[#Headers],[#Data],[subtotal label]],1,FALSE)),0,(VLOOKUP(TB_prev[[#This Row],[Synt]],GL[[#Headers],[#Data],[subtotal label]],1,FALSE)))</f>
        <v/>
      </c>
      <c r="AF889" s="1063" t="e">
        <f>IF((TB_prev[[#This Row],[Synt]]-TB_prev[[#This Row],[Subtotal Y/N]])=0,0,VLOOKUP(TB_prev[[#This Row],[Synt]],GL[[Account]:[Line]],3,FALSE))</f>
        <v>#VALUE!</v>
      </c>
      <c r="AG889" s="1063" t="e">
        <f>VLOOKUP(TB_prev[[#This Row],[Synt]],GL[[Account]:[B/P]],4,FALSE)</f>
        <v>#N/A</v>
      </c>
      <c r="AH889" s="1066" t="e">
        <v>#VALUE!</v>
      </c>
      <c r="AI889" s="1065" t="e">
        <f>TB_prev[[#This Row],[Synt]]&amp;TB_prev[[#This Row],[Line No. manual corr.]]</f>
        <v>#VALUE!</v>
      </c>
      <c r="AJ889" s="1064">
        <f t="shared" si="66"/>
        <v>0</v>
      </c>
      <c r="AK889" s="1064">
        <f t="shared" si="67"/>
        <v>0</v>
      </c>
      <c r="AL889" s="1064">
        <f t="shared" si="68"/>
        <v>0</v>
      </c>
      <c r="AM889" s="1064">
        <f t="shared" si="69"/>
        <v>0</v>
      </c>
      <c r="AN889" s="1064"/>
      <c r="AO889" s="1064">
        <f>TB_prev[[#This Row],[Closing balance]]+TB_prev[[#This Row],[Rounding]]</f>
        <v>0</v>
      </c>
    </row>
    <row r="890" spans="30:41" x14ac:dyDescent="0.25">
      <c r="AD890" s="1067" t="str">
        <f t="shared" si="65"/>
        <v/>
      </c>
      <c r="AE890" s="1063" t="str">
        <f>IF(ISNA(VLOOKUP(TB_prev[[#This Row],[Synt]],GL[[#Headers],[#Data],[subtotal label]],1,FALSE)),0,(VLOOKUP(TB_prev[[#This Row],[Synt]],GL[[#Headers],[#Data],[subtotal label]],1,FALSE)))</f>
        <v/>
      </c>
      <c r="AF890" s="1063" t="e">
        <f>IF((TB_prev[[#This Row],[Synt]]-TB_prev[[#This Row],[Subtotal Y/N]])=0,0,VLOOKUP(TB_prev[[#This Row],[Synt]],GL[[Account]:[Line]],3,FALSE))</f>
        <v>#VALUE!</v>
      </c>
      <c r="AG890" s="1063" t="e">
        <f>VLOOKUP(TB_prev[[#This Row],[Synt]],GL[[Account]:[B/P]],4,FALSE)</f>
        <v>#N/A</v>
      </c>
      <c r="AH890" s="1066" t="e">
        <v>#VALUE!</v>
      </c>
      <c r="AI890" s="1065" t="e">
        <f>TB_prev[[#This Row],[Synt]]&amp;TB_prev[[#This Row],[Line No. manual corr.]]</f>
        <v>#VALUE!</v>
      </c>
      <c r="AJ890" s="1064">
        <f t="shared" si="66"/>
        <v>0</v>
      </c>
      <c r="AK890" s="1064">
        <f t="shared" si="67"/>
        <v>0</v>
      </c>
      <c r="AL890" s="1064">
        <f t="shared" si="68"/>
        <v>0</v>
      </c>
      <c r="AM890" s="1064">
        <f t="shared" si="69"/>
        <v>0</v>
      </c>
      <c r="AN890" s="1064"/>
      <c r="AO890" s="1064">
        <f>TB_prev[[#This Row],[Closing balance]]+TB_prev[[#This Row],[Rounding]]</f>
        <v>0</v>
      </c>
    </row>
    <row r="891" spans="30:41" x14ac:dyDescent="0.25">
      <c r="AD891" s="1067" t="str">
        <f t="shared" si="65"/>
        <v/>
      </c>
      <c r="AE891" s="1063" t="str">
        <f>IF(ISNA(VLOOKUP(TB_prev[[#This Row],[Synt]],GL[[#Headers],[#Data],[subtotal label]],1,FALSE)),0,(VLOOKUP(TB_prev[[#This Row],[Synt]],GL[[#Headers],[#Data],[subtotal label]],1,FALSE)))</f>
        <v/>
      </c>
      <c r="AF891" s="1063" t="e">
        <f>IF((TB_prev[[#This Row],[Synt]]-TB_prev[[#This Row],[Subtotal Y/N]])=0,0,VLOOKUP(TB_prev[[#This Row],[Synt]],GL[[Account]:[Line]],3,FALSE))</f>
        <v>#VALUE!</v>
      </c>
      <c r="AG891" s="1063" t="e">
        <f>VLOOKUP(TB_prev[[#This Row],[Synt]],GL[[Account]:[B/P]],4,FALSE)</f>
        <v>#N/A</v>
      </c>
      <c r="AH891" s="1066" t="e">
        <v>#VALUE!</v>
      </c>
      <c r="AI891" s="1065" t="e">
        <f>TB_prev[[#This Row],[Synt]]&amp;TB_prev[[#This Row],[Line No. manual corr.]]</f>
        <v>#VALUE!</v>
      </c>
      <c r="AJ891" s="1064">
        <f t="shared" si="66"/>
        <v>0</v>
      </c>
      <c r="AK891" s="1064">
        <f t="shared" si="67"/>
        <v>0</v>
      </c>
      <c r="AL891" s="1064">
        <f t="shared" si="68"/>
        <v>0</v>
      </c>
      <c r="AM891" s="1064">
        <f t="shared" si="69"/>
        <v>0</v>
      </c>
      <c r="AN891" s="1064"/>
      <c r="AO891" s="1064">
        <f>TB_prev[[#This Row],[Closing balance]]+TB_prev[[#This Row],[Rounding]]</f>
        <v>0</v>
      </c>
    </row>
    <row r="892" spans="30:41" x14ac:dyDescent="0.25">
      <c r="AD892" s="1067" t="str">
        <f t="shared" si="65"/>
        <v/>
      </c>
      <c r="AE892" s="1063" t="str">
        <f>IF(ISNA(VLOOKUP(TB_prev[[#This Row],[Synt]],GL[[#Headers],[#Data],[subtotal label]],1,FALSE)),0,(VLOOKUP(TB_prev[[#This Row],[Synt]],GL[[#Headers],[#Data],[subtotal label]],1,FALSE)))</f>
        <v/>
      </c>
      <c r="AF892" s="1063" t="e">
        <f>IF((TB_prev[[#This Row],[Synt]]-TB_prev[[#This Row],[Subtotal Y/N]])=0,0,VLOOKUP(TB_prev[[#This Row],[Synt]],GL[[Account]:[Line]],3,FALSE))</f>
        <v>#VALUE!</v>
      </c>
      <c r="AG892" s="1063" t="e">
        <f>VLOOKUP(TB_prev[[#This Row],[Synt]],GL[[Account]:[B/P]],4,FALSE)</f>
        <v>#N/A</v>
      </c>
      <c r="AH892" s="1066" t="e">
        <v>#VALUE!</v>
      </c>
      <c r="AI892" s="1065" t="e">
        <f>TB_prev[[#This Row],[Synt]]&amp;TB_prev[[#This Row],[Line No. manual corr.]]</f>
        <v>#VALUE!</v>
      </c>
      <c r="AJ892" s="1064">
        <f t="shared" si="66"/>
        <v>0</v>
      </c>
      <c r="AK892" s="1064">
        <f t="shared" si="67"/>
        <v>0</v>
      </c>
      <c r="AL892" s="1064">
        <f t="shared" si="68"/>
        <v>0</v>
      </c>
      <c r="AM892" s="1064">
        <f t="shared" si="69"/>
        <v>0</v>
      </c>
      <c r="AN892" s="1064"/>
      <c r="AO892" s="1064">
        <f>TB_prev[[#This Row],[Closing balance]]+TB_prev[[#This Row],[Rounding]]</f>
        <v>0</v>
      </c>
    </row>
    <row r="893" spans="30:41" x14ac:dyDescent="0.25">
      <c r="AD893" s="1067" t="str">
        <f t="shared" si="65"/>
        <v/>
      </c>
      <c r="AE893" s="1063" t="str">
        <f>IF(ISNA(VLOOKUP(TB_prev[[#This Row],[Synt]],GL[[#Headers],[#Data],[subtotal label]],1,FALSE)),0,(VLOOKUP(TB_prev[[#This Row],[Synt]],GL[[#Headers],[#Data],[subtotal label]],1,FALSE)))</f>
        <v/>
      </c>
      <c r="AF893" s="1063" t="e">
        <f>IF((TB_prev[[#This Row],[Synt]]-TB_prev[[#This Row],[Subtotal Y/N]])=0,0,VLOOKUP(TB_prev[[#This Row],[Synt]],GL[[Account]:[Line]],3,FALSE))</f>
        <v>#VALUE!</v>
      </c>
      <c r="AG893" s="1063" t="e">
        <f>VLOOKUP(TB_prev[[#This Row],[Synt]],GL[[Account]:[B/P]],4,FALSE)</f>
        <v>#N/A</v>
      </c>
      <c r="AH893" s="1066" t="e">
        <v>#VALUE!</v>
      </c>
      <c r="AI893" s="1065" t="e">
        <f>TB_prev[[#This Row],[Synt]]&amp;TB_prev[[#This Row],[Line No. manual corr.]]</f>
        <v>#VALUE!</v>
      </c>
      <c r="AJ893" s="1064">
        <f t="shared" si="66"/>
        <v>0</v>
      </c>
      <c r="AK893" s="1064">
        <f t="shared" si="67"/>
        <v>0</v>
      </c>
      <c r="AL893" s="1064">
        <f t="shared" si="68"/>
        <v>0</v>
      </c>
      <c r="AM893" s="1064">
        <f t="shared" si="69"/>
        <v>0</v>
      </c>
      <c r="AN893" s="1064"/>
      <c r="AO893" s="1064">
        <f>TB_prev[[#This Row],[Closing balance]]+TB_prev[[#This Row],[Rounding]]</f>
        <v>0</v>
      </c>
    </row>
    <row r="894" spans="30:41" x14ac:dyDescent="0.25">
      <c r="AD894" s="1067" t="str">
        <f t="shared" si="65"/>
        <v/>
      </c>
      <c r="AE894" s="1063" t="str">
        <f>IF(ISNA(VLOOKUP(TB_prev[[#This Row],[Synt]],GL[[#Headers],[#Data],[subtotal label]],1,FALSE)),0,(VLOOKUP(TB_prev[[#This Row],[Synt]],GL[[#Headers],[#Data],[subtotal label]],1,FALSE)))</f>
        <v/>
      </c>
      <c r="AF894" s="1063" t="e">
        <f>IF((TB_prev[[#This Row],[Synt]]-TB_prev[[#This Row],[Subtotal Y/N]])=0,0,VLOOKUP(TB_prev[[#This Row],[Synt]],GL[[Account]:[Line]],3,FALSE))</f>
        <v>#VALUE!</v>
      </c>
      <c r="AG894" s="1063" t="e">
        <f>VLOOKUP(TB_prev[[#This Row],[Synt]],GL[[Account]:[B/P]],4,FALSE)</f>
        <v>#N/A</v>
      </c>
      <c r="AH894" s="1066" t="e">
        <v>#VALUE!</v>
      </c>
      <c r="AI894" s="1065" t="e">
        <f>TB_prev[[#This Row],[Synt]]&amp;TB_prev[[#This Row],[Line No. manual corr.]]</f>
        <v>#VALUE!</v>
      </c>
      <c r="AJ894" s="1064">
        <f t="shared" si="66"/>
        <v>0</v>
      </c>
      <c r="AK894" s="1064">
        <f t="shared" si="67"/>
        <v>0</v>
      </c>
      <c r="AL894" s="1064">
        <f t="shared" si="68"/>
        <v>0</v>
      </c>
      <c r="AM894" s="1064">
        <f t="shared" si="69"/>
        <v>0</v>
      </c>
      <c r="AN894" s="1064"/>
      <c r="AO894" s="1064">
        <f>TB_prev[[#This Row],[Closing balance]]+TB_prev[[#This Row],[Rounding]]</f>
        <v>0</v>
      </c>
    </row>
    <row r="895" spans="30:41" x14ac:dyDescent="0.25">
      <c r="AD895" s="1067" t="str">
        <f t="shared" si="65"/>
        <v/>
      </c>
      <c r="AE895" s="1063" t="str">
        <f>IF(ISNA(VLOOKUP(TB_prev[[#This Row],[Synt]],GL[[#Headers],[#Data],[subtotal label]],1,FALSE)),0,(VLOOKUP(TB_prev[[#This Row],[Synt]],GL[[#Headers],[#Data],[subtotal label]],1,FALSE)))</f>
        <v/>
      </c>
      <c r="AF895" s="1063" t="e">
        <f>IF((TB_prev[[#This Row],[Synt]]-TB_prev[[#This Row],[Subtotal Y/N]])=0,0,VLOOKUP(TB_prev[[#This Row],[Synt]],GL[[Account]:[Line]],3,FALSE))</f>
        <v>#VALUE!</v>
      </c>
      <c r="AG895" s="1063" t="e">
        <f>VLOOKUP(TB_prev[[#This Row],[Synt]],GL[[Account]:[B/P]],4,FALSE)</f>
        <v>#N/A</v>
      </c>
      <c r="AH895" s="1066" t="e">
        <v>#VALUE!</v>
      </c>
      <c r="AI895" s="1065" t="e">
        <f>TB_prev[[#This Row],[Synt]]&amp;TB_prev[[#This Row],[Line No. manual corr.]]</f>
        <v>#VALUE!</v>
      </c>
      <c r="AJ895" s="1064">
        <f t="shared" si="66"/>
        <v>0</v>
      </c>
      <c r="AK895" s="1064">
        <f t="shared" si="67"/>
        <v>0</v>
      </c>
      <c r="AL895" s="1064">
        <f t="shared" si="68"/>
        <v>0</v>
      </c>
      <c r="AM895" s="1064">
        <f t="shared" si="69"/>
        <v>0</v>
      </c>
      <c r="AN895" s="1064"/>
      <c r="AO895" s="1064">
        <f>TB_prev[[#This Row],[Closing balance]]+TB_prev[[#This Row],[Rounding]]</f>
        <v>0</v>
      </c>
    </row>
    <row r="896" spans="30:41" x14ac:dyDescent="0.25">
      <c r="AD896" s="1067" t="str">
        <f t="shared" si="65"/>
        <v/>
      </c>
      <c r="AE896" s="1063" t="str">
        <f>IF(ISNA(VLOOKUP(TB_prev[[#This Row],[Synt]],GL[[#Headers],[#Data],[subtotal label]],1,FALSE)),0,(VLOOKUP(TB_prev[[#This Row],[Synt]],GL[[#Headers],[#Data],[subtotal label]],1,FALSE)))</f>
        <v/>
      </c>
      <c r="AF896" s="1063" t="e">
        <f>IF((TB_prev[[#This Row],[Synt]]-TB_prev[[#This Row],[Subtotal Y/N]])=0,0,VLOOKUP(TB_prev[[#This Row],[Synt]],GL[[Account]:[Line]],3,FALSE))</f>
        <v>#VALUE!</v>
      </c>
      <c r="AG896" s="1063" t="e">
        <f>VLOOKUP(TB_prev[[#This Row],[Synt]],GL[[Account]:[B/P]],4,FALSE)</f>
        <v>#N/A</v>
      </c>
      <c r="AH896" s="1066" t="e">
        <v>#VALUE!</v>
      </c>
      <c r="AI896" s="1065" t="e">
        <f>TB_prev[[#This Row],[Synt]]&amp;TB_prev[[#This Row],[Line No. manual corr.]]</f>
        <v>#VALUE!</v>
      </c>
      <c r="AJ896" s="1064">
        <f t="shared" si="66"/>
        <v>0</v>
      </c>
      <c r="AK896" s="1064">
        <f t="shared" si="67"/>
        <v>0</v>
      </c>
      <c r="AL896" s="1064">
        <f t="shared" si="68"/>
        <v>0</v>
      </c>
      <c r="AM896" s="1064">
        <f t="shared" si="69"/>
        <v>0</v>
      </c>
      <c r="AN896" s="1064"/>
      <c r="AO896" s="1064">
        <f>TB_prev[[#This Row],[Closing balance]]+TB_prev[[#This Row],[Rounding]]</f>
        <v>0</v>
      </c>
    </row>
    <row r="897" spans="30:41" x14ac:dyDescent="0.25">
      <c r="AD897" s="1067" t="str">
        <f t="shared" si="65"/>
        <v/>
      </c>
      <c r="AE897" s="1063" t="str">
        <f>IF(ISNA(VLOOKUP(TB_prev[[#This Row],[Synt]],GL[[#Headers],[#Data],[subtotal label]],1,FALSE)),0,(VLOOKUP(TB_prev[[#This Row],[Synt]],GL[[#Headers],[#Data],[subtotal label]],1,FALSE)))</f>
        <v/>
      </c>
      <c r="AF897" s="1063" t="e">
        <f>IF((TB_prev[[#This Row],[Synt]]-TB_prev[[#This Row],[Subtotal Y/N]])=0,0,VLOOKUP(TB_prev[[#This Row],[Synt]],GL[[Account]:[Line]],3,FALSE))</f>
        <v>#VALUE!</v>
      </c>
      <c r="AG897" s="1063" t="e">
        <f>VLOOKUP(TB_prev[[#This Row],[Synt]],GL[[Account]:[B/P]],4,FALSE)</f>
        <v>#N/A</v>
      </c>
      <c r="AH897" s="1066" t="e">
        <v>#VALUE!</v>
      </c>
      <c r="AI897" s="1065" t="e">
        <f>TB_prev[[#This Row],[Synt]]&amp;TB_prev[[#This Row],[Line No. manual corr.]]</f>
        <v>#VALUE!</v>
      </c>
      <c r="AJ897" s="1064">
        <f t="shared" si="66"/>
        <v>0</v>
      </c>
      <c r="AK897" s="1064">
        <f t="shared" si="67"/>
        <v>0</v>
      </c>
      <c r="AL897" s="1064">
        <f t="shared" si="68"/>
        <v>0</v>
      </c>
      <c r="AM897" s="1064">
        <f t="shared" si="69"/>
        <v>0</v>
      </c>
      <c r="AN897" s="1064"/>
      <c r="AO897" s="1064">
        <f>TB_prev[[#This Row],[Closing balance]]+TB_prev[[#This Row],[Rounding]]</f>
        <v>0</v>
      </c>
    </row>
    <row r="898" spans="30:41" x14ac:dyDescent="0.25">
      <c r="AD898" s="1067" t="str">
        <f t="shared" si="65"/>
        <v/>
      </c>
      <c r="AE898" s="1063" t="str">
        <f>IF(ISNA(VLOOKUP(TB_prev[[#This Row],[Synt]],GL[[#Headers],[#Data],[subtotal label]],1,FALSE)),0,(VLOOKUP(TB_prev[[#This Row],[Synt]],GL[[#Headers],[#Data],[subtotal label]],1,FALSE)))</f>
        <v/>
      </c>
      <c r="AF898" s="1063" t="e">
        <f>IF((TB_prev[[#This Row],[Synt]]-TB_prev[[#This Row],[Subtotal Y/N]])=0,0,VLOOKUP(TB_prev[[#This Row],[Synt]],GL[[Account]:[Line]],3,FALSE))</f>
        <v>#VALUE!</v>
      </c>
      <c r="AG898" s="1063" t="e">
        <f>VLOOKUP(TB_prev[[#This Row],[Synt]],GL[[Account]:[B/P]],4,FALSE)</f>
        <v>#N/A</v>
      </c>
      <c r="AH898" s="1066" t="e">
        <v>#VALUE!</v>
      </c>
      <c r="AI898" s="1065" t="e">
        <f>TB_prev[[#This Row],[Synt]]&amp;TB_prev[[#This Row],[Line No. manual corr.]]</f>
        <v>#VALUE!</v>
      </c>
      <c r="AJ898" s="1064">
        <f t="shared" si="66"/>
        <v>0</v>
      </c>
      <c r="AK898" s="1064">
        <f t="shared" si="67"/>
        <v>0</v>
      </c>
      <c r="AL898" s="1064">
        <f t="shared" si="68"/>
        <v>0</v>
      </c>
      <c r="AM898" s="1064">
        <f t="shared" si="69"/>
        <v>0</v>
      </c>
      <c r="AN898" s="1064"/>
      <c r="AO898" s="1064">
        <f>TB_prev[[#This Row],[Closing balance]]+TB_prev[[#This Row],[Rounding]]</f>
        <v>0</v>
      </c>
    </row>
    <row r="899" spans="30:41" x14ac:dyDescent="0.25">
      <c r="AD899" s="1067" t="str">
        <f t="shared" si="65"/>
        <v/>
      </c>
      <c r="AE899" s="1063" t="str">
        <f>IF(ISNA(VLOOKUP(TB_prev[[#This Row],[Synt]],GL[[#Headers],[#Data],[subtotal label]],1,FALSE)),0,(VLOOKUP(TB_prev[[#This Row],[Synt]],GL[[#Headers],[#Data],[subtotal label]],1,FALSE)))</f>
        <v/>
      </c>
      <c r="AF899" s="1063" t="e">
        <f>IF((TB_prev[[#This Row],[Synt]]-TB_prev[[#This Row],[Subtotal Y/N]])=0,0,VLOOKUP(TB_prev[[#This Row],[Synt]],GL[[Account]:[Line]],3,FALSE))</f>
        <v>#VALUE!</v>
      </c>
      <c r="AG899" s="1063" t="e">
        <f>VLOOKUP(TB_prev[[#This Row],[Synt]],GL[[Account]:[B/P]],4,FALSE)</f>
        <v>#N/A</v>
      </c>
      <c r="AH899" s="1066" t="e">
        <v>#VALUE!</v>
      </c>
      <c r="AI899" s="1065" t="e">
        <f>TB_prev[[#This Row],[Synt]]&amp;TB_prev[[#This Row],[Line No. manual corr.]]</f>
        <v>#VALUE!</v>
      </c>
      <c r="AJ899" s="1064">
        <f t="shared" si="66"/>
        <v>0</v>
      </c>
      <c r="AK899" s="1064">
        <f t="shared" si="67"/>
        <v>0</v>
      </c>
      <c r="AL899" s="1064">
        <f t="shared" si="68"/>
        <v>0</v>
      </c>
      <c r="AM899" s="1064">
        <f t="shared" si="69"/>
        <v>0</v>
      </c>
      <c r="AN899" s="1064"/>
      <c r="AO899" s="1064">
        <f>TB_prev[[#This Row],[Closing balance]]+TB_prev[[#This Row],[Rounding]]</f>
        <v>0</v>
      </c>
    </row>
    <row r="900" spans="30:41" x14ac:dyDescent="0.25">
      <c r="AD900" s="1067" t="str">
        <f t="shared" si="65"/>
        <v/>
      </c>
      <c r="AE900" s="1063" t="str">
        <f>IF(ISNA(VLOOKUP(TB_prev[[#This Row],[Synt]],GL[[#Headers],[#Data],[subtotal label]],1,FALSE)),0,(VLOOKUP(TB_prev[[#This Row],[Synt]],GL[[#Headers],[#Data],[subtotal label]],1,FALSE)))</f>
        <v/>
      </c>
      <c r="AF900" s="1063" t="e">
        <f>IF((TB_prev[[#This Row],[Synt]]-TB_prev[[#This Row],[Subtotal Y/N]])=0,0,VLOOKUP(TB_prev[[#This Row],[Synt]],GL[[Account]:[Line]],3,FALSE))</f>
        <v>#VALUE!</v>
      </c>
      <c r="AG900" s="1063" t="e">
        <f>VLOOKUP(TB_prev[[#This Row],[Synt]],GL[[Account]:[B/P]],4,FALSE)</f>
        <v>#N/A</v>
      </c>
      <c r="AH900" s="1066" t="e">
        <v>#VALUE!</v>
      </c>
      <c r="AI900" s="1065" t="e">
        <f>TB_prev[[#This Row],[Synt]]&amp;TB_prev[[#This Row],[Line No. manual corr.]]</f>
        <v>#VALUE!</v>
      </c>
      <c r="AJ900" s="1064">
        <f t="shared" si="66"/>
        <v>0</v>
      </c>
      <c r="AK900" s="1064">
        <f t="shared" si="67"/>
        <v>0</v>
      </c>
      <c r="AL900" s="1064">
        <f t="shared" si="68"/>
        <v>0</v>
      </c>
      <c r="AM900" s="1064">
        <f t="shared" si="69"/>
        <v>0</v>
      </c>
      <c r="AN900" s="1064"/>
      <c r="AO900" s="1064">
        <f>TB_prev[[#This Row],[Closing balance]]+TB_prev[[#This Row],[Rounding]]</f>
        <v>0</v>
      </c>
    </row>
    <row r="901" spans="30:41" x14ac:dyDescent="0.25">
      <c r="AD901" s="1067" t="str">
        <f t="shared" si="65"/>
        <v/>
      </c>
      <c r="AE901" s="1063" t="str">
        <f>IF(ISNA(VLOOKUP(TB_prev[[#This Row],[Synt]],GL[[#Headers],[#Data],[subtotal label]],1,FALSE)),0,(VLOOKUP(TB_prev[[#This Row],[Synt]],GL[[#Headers],[#Data],[subtotal label]],1,FALSE)))</f>
        <v/>
      </c>
      <c r="AF901" s="1063" t="e">
        <f>IF((TB_prev[[#This Row],[Synt]]-TB_prev[[#This Row],[Subtotal Y/N]])=0,0,VLOOKUP(TB_prev[[#This Row],[Synt]],GL[[Account]:[Line]],3,FALSE))</f>
        <v>#VALUE!</v>
      </c>
      <c r="AG901" s="1063" t="e">
        <f>VLOOKUP(TB_prev[[#This Row],[Synt]],GL[[Account]:[B/P]],4,FALSE)</f>
        <v>#N/A</v>
      </c>
      <c r="AH901" s="1066" t="e">
        <v>#VALUE!</v>
      </c>
      <c r="AI901" s="1065" t="e">
        <f>TB_prev[[#This Row],[Synt]]&amp;TB_prev[[#This Row],[Line No. manual corr.]]</f>
        <v>#VALUE!</v>
      </c>
      <c r="AJ901" s="1064">
        <f t="shared" si="66"/>
        <v>0</v>
      </c>
      <c r="AK901" s="1064">
        <f t="shared" si="67"/>
        <v>0</v>
      </c>
      <c r="AL901" s="1064">
        <f t="shared" si="68"/>
        <v>0</v>
      </c>
      <c r="AM901" s="1064">
        <f t="shared" si="69"/>
        <v>0</v>
      </c>
      <c r="AN901" s="1064"/>
      <c r="AO901" s="1064">
        <f>TB_prev[[#This Row],[Closing balance]]+TB_prev[[#This Row],[Rounding]]</f>
        <v>0</v>
      </c>
    </row>
    <row r="902" spans="30:41" x14ac:dyDescent="0.25">
      <c r="AD902" s="1067" t="str">
        <f t="shared" si="65"/>
        <v/>
      </c>
      <c r="AE902" s="1063" t="str">
        <f>IF(ISNA(VLOOKUP(TB_prev[[#This Row],[Synt]],GL[[#Headers],[#Data],[subtotal label]],1,FALSE)),0,(VLOOKUP(TB_prev[[#This Row],[Synt]],GL[[#Headers],[#Data],[subtotal label]],1,FALSE)))</f>
        <v/>
      </c>
      <c r="AF902" s="1063" t="e">
        <f>IF((TB_prev[[#This Row],[Synt]]-TB_prev[[#This Row],[Subtotal Y/N]])=0,0,VLOOKUP(TB_prev[[#This Row],[Synt]],GL[[Account]:[Line]],3,FALSE))</f>
        <v>#VALUE!</v>
      </c>
      <c r="AG902" s="1063" t="e">
        <f>VLOOKUP(TB_prev[[#This Row],[Synt]],GL[[Account]:[B/P]],4,FALSE)</f>
        <v>#N/A</v>
      </c>
      <c r="AH902" s="1066" t="e">
        <v>#VALUE!</v>
      </c>
      <c r="AI902" s="1065" t="e">
        <f>TB_prev[[#This Row],[Synt]]&amp;TB_prev[[#This Row],[Line No. manual corr.]]</f>
        <v>#VALUE!</v>
      </c>
      <c r="AJ902" s="1064">
        <f t="shared" si="66"/>
        <v>0</v>
      </c>
      <c r="AK902" s="1064">
        <f t="shared" si="67"/>
        <v>0</v>
      </c>
      <c r="AL902" s="1064">
        <f t="shared" si="68"/>
        <v>0</v>
      </c>
      <c r="AM902" s="1064">
        <f t="shared" si="69"/>
        <v>0</v>
      </c>
      <c r="AN902" s="1064"/>
      <c r="AO902" s="1064">
        <f>TB_prev[[#This Row],[Closing balance]]+TB_prev[[#This Row],[Rounding]]</f>
        <v>0</v>
      </c>
    </row>
    <row r="903" spans="30:41" x14ac:dyDescent="0.25">
      <c r="AD903" s="1067" t="str">
        <f t="shared" si="65"/>
        <v/>
      </c>
      <c r="AE903" s="1063" t="str">
        <f>IF(ISNA(VLOOKUP(TB_prev[[#This Row],[Synt]],GL[[#Headers],[#Data],[subtotal label]],1,FALSE)),0,(VLOOKUP(TB_prev[[#This Row],[Synt]],GL[[#Headers],[#Data],[subtotal label]],1,FALSE)))</f>
        <v/>
      </c>
      <c r="AF903" s="1063" t="e">
        <f>IF((TB_prev[[#This Row],[Synt]]-TB_prev[[#This Row],[Subtotal Y/N]])=0,0,VLOOKUP(TB_prev[[#This Row],[Synt]],GL[[Account]:[Line]],3,FALSE))</f>
        <v>#VALUE!</v>
      </c>
      <c r="AG903" s="1063" t="e">
        <f>VLOOKUP(TB_prev[[#This Row],[Synt]],GL[[Account]:[B/P]],4,FALSE)</f>
        <v>#N/A</v>
      </c>
      <c r="AH903" s="1066" t="e">
        <v>#VALUE!</v>
      </c>
      <c r="AI903" s="1065" t="e">
        <f>TB_prev[[#This Row],[Synt]]&amp;TB_prev[[#This Row],[Line No. manual corr.]]</f>
        <v>#VALUE!</v>
      </c>
      <c r="AJ903" s="1064">
        <f t="shared" si="66"/>
        <v>0</v>
      </c>
      <c r="AK903" s="1064">
        <f t="shared" si="67"/>
        <v>0</v>
      </c>
      <c r="AL903" s="1064">
        <f t="shared" si="68"/>
        <v>0</v>
      </c>
      <c r="AM903" s="1064">
        <f t="shared" si="69"/>
        <v>0</v>
      </c>
      <c r="AN903" s="1064"/>
      <c r="AO903" s="1064">
        <f>TB_prev[[#This Row],[Closing balance]]+TB_prev[[#This Row],[Rounding]]</f>
        <v>0</v>
      </c>
    </row>
    <row r="904" spans="30:41" x14ac:dyDescent="0.25">
      <c r="AD904" s="1067" t="str">
        <f t="shared" ref="AD904:AD967" si="70">LEFT(B904,3)</f>
        <v/>
      </c>
      <c r="AE904" s="1063" t="str">
        <f>IF(ISNA(VLOOKUP(TB_prev[[#This Row],[Synt]],GL[[#Headers],[#Data],[subtotal label]],1,FALSE)),0,(VLOOKUP(TB_prev[[#This Row],[Synt]],GL[[#Headers],[#Data],[subtotal label]],1,FALSE)))</f>
        <v/>
      </c>
      <c r="AF904" s="1063" t="e">
        <f>IF((TB_prev[[#This Row],[Synt]]-TB_prev[[#This Row],[Subtotal Y/N]])=0,0,VLOOKUP(TB_prev[[#This Row],[Synt]],GL[[Account]:[Line]],3,FALSE))</f>
        <v>#VALUE!</v>
      </c>
      <c r="AG904" s="1063" t="e">
        <f>VLOOKUP(TB_prev[[#This Row],[Synt]],GL[[Account]:[B/P]],4,FALSE)</f>
        <v>#N/A</v>
      </c>
      <c r="AH904" s="1066" t="e">
        <v>#VALUE!</v>
      </c>
      <c r="AI904" s="1065" t="e">
        <f>TB_prev[[#This Row],[Synt]]&amp;TB_prev[[#This Row],[Line No. manual corr.]]</f>
        <v>#VALUE!</v>
      </c>
      <c r="AJ904" s="1064">
        <f t="shared" ref="AJ904:AJ967" si="71">K904-N904</f>
        <v>0</v>
      </c>
      <c r="AK904" s="1064">
        <f t="shared" ref="AK904:AK967" si="72">Q904</f>
        <v>0</v>
      </c>
      <c r="AL904" s="1064">
        <f t="shared" ref="AL904:AL967" si="73">U904</f>
        <v>0</v>
      </c>
      <c r="AM904" s="1064">
        <f t="shared" ref="AM904:AM967" si="74">X904-AB904</f>
        <v>0</v>
      </c>
      <c r="AN904" s="1064"/>
      <c r="AO904" s="1064">
        <f>TB_prev[[#This Row],[Closing balance]]+TB_prev[[#This Row],[Rounding]]</f>
        <v>0</v>
      </c>
    </row>
    <row r="905" spans="30:41" x14ac:dyDescent="0.25">
      <c r="AD905" s="1067" t="str">
        <f t="shared" si="70"/>
        <v/>
      </c>
      <c r="AE905" s="1063" t="str">
        <f>IF(ISNA(VLOOKUP(TB_prev[[#This Row],[Synt]],GL[[#Headers],[#Data],[subtotal label]],1,FALSE)),0,(VLOOKUP(TB_prev[[#This Row],[Synt]],GL[[#Headers],[#Data],[subtotal label]],1,FALSE)))</f>
        <v/>
      </c>
      <c r="AF905" s="1063" t="e">
        <f>IF((TB_prev[[#This Row],[Synt]]-TB_prev[[#This Row],[Subtotal Y/N]])=0,0,VLOOKUP(TB_prev[[#This Row],[Synt]],GL[[Account]:[Line]],3,FALSE))</f>
        <v>#VALUE!</v>
      </c>
      <c r="AG905" s="1063" t="e">
        <f>VLOOKUP(TB_prev[[#This Row],[Synt]],GL[[Account]:[B/P]],4,FALSE)</f>
        <v>#N/A</v>
      </c>
      <c r="AH905" s="1066" t="e">
        <v>#VALUE!</v>
      </c>
      <c r="AI905" s="1065" t="e">
        <f>TB_prev[[#This Row],[Synt]]&amp;TB_prev[[#This Row],[Line No. manual corr.]]</f>
        <v>#VALUE!</v>
      </c>
      <c r="AJ905" s="1064">
        <f t="shared" si="71"/>
        <v>0</v>
      </c>
      <c r="AK905" s="1064">
        <f t="shared" si="72"/>
        <v>0</v>
      </c>
      <c r="AL905" s="1064">
        <f t="shared" si="73"/>
        <v>0</v>
      </c>
      <c r="AM905" s="1064">
        <f t="shared" si="74"/>
        <v>0</v>
      </c>
      <c r="AN905" s="1064"/>
      <c r="AO905" s="1064">
        <f>TB_prev[[#This Row],[Closing balance]]+TB_prev[[#This Row],[Rounding]]</f>
        <v>0</v>
      </c>
    </row>
    <row r="906" spans="30:41" x14ac:dyDescent="0.25">
      <c r="AD906" s="1067" t="str">
        <f t="shared" si="70"/>
        <v/>
      </c>
      <c r="AE906" s="1063" t="str">
        <f>IF(ISNA(VLOOKUP(TB_prev[[#This Row],[Synt]],GL[[#Headers],[#Data],[subtotal label]],1,FALSE)),0,(VLOOKUP(TB_prev[[#This Row],[Synt]],GL[[#Headers],[#Data],[subtotal label]],1,FALSE)))</f>
        <v/>
      </c>
      <c r="AF906" s="1063" t="e">
        <f>IF((TB_prev[[#This Row],[Synt]]-TB_prev[[#This Row],[Subtotal Y/N]])=0,0,VLOOKUP(TB_prev[[#This Row],[Synt]],GL[[Account]:[Line]],3,FALSE))</f>
        <v>#VALUE!</v>
      </c>
      <c r="AG906" s="1063" t="e">
        <f>VLOOKUP(TB_prev[[#This Row],[Synt]],GL[[Account]:[B/P]],4,FALSE)</f>
        <v>#N/A</v>
      </c>
      <c r="AH906" s="1066" t="e">
        <v>#VALUE!</v>
      </c>
      <c r="AI906" s="1065" t="e">
        <f>TB_prev[[#This Row],[Synt]]&amp;TB_prev[[#This Row],[Line No. manual corr.]]</f>
        <v>#VALUE!</v>
      </c>
      <c r="AJ906" s="1064">
        <f t="shared" si="71"/>
        <v>0</v>
      </c>
      <c r="AK906" s="1064">
        <f t="shared" si="72"/>
        <v>0</v>
      </c>
      <c r="AL906" s="1064">
        <f t="shared" si="73"/>
        <v>0</v>
      </c>
      <c r="AM906" s="1064">
        <f t="shared" si="74"/>
        <v>0</v>
      </c>
      <c r="AN906" s="1064"/>
      <c r="AO906" s="1064">
        <f>TB_prev[[#This Row],[Closing balance]]+TB_prev[[#This Row],[Rounding]]</f>
        <v>0</v>
      </c>
    </row>
    <row r="907" spans="30:41" x14ac:dyDescent="0.25">
      <c r="AD907" s="1067" t="str">
        <f t="shared" si="70"/>
        <v/>
      </c>
      <c r="AE907" s="1063" t="str">
        <f>IF(ISNA(VLOOKUP(TB_prev[[#This Row],[Synt]],GL[[#Headers],[#Data],[subtotal label]],1,FALSE)),0,(VLOOKUP(TB_prev[[#This Row],[Synt]],GL[[#Headers],[#Data],[subtotal label]],1,FALSE)))</f>
        <v/>
      </c>
      <c r="AF907" s="1063" t="e">
        <f>IF((TB_prev[[#This Row],[Synt]]-TB_prev[[#This Row],[Subtotal Y/N]])=0,0,VLOOKUP(TB_prev[[#This Row],[Synt]],GL[[Account]:[Line]],3,FALSE))</f>
        <v>#VALUE!</v>
      </c>
      <c r="AG907" s="1063" t="e">
        <f>VLOOKUP(TB_prev[[#This Row],[Synt]],GL[[Account]:[B/P]],4,FALSE)</f>
        <v>#N/A</v>
      </c>
      <c r="AH907" s="1066" t="e">
        <v>#VALUE!</v>
      </c>
      <c r="AI907" s="1065" t="e">
        <f>TB_prev[[#This Row],[Synt]]&amp;TB_prev[[#This Row],[Line No. manual corr.]]</f>
        <v>#VALUE!</v>
      </c>
      <c r="AJ907" s="1064">
        <f t="shared" si="71"/>
        <v>0</v>
      </c>
      <c r="AK907" s="1064">
        <f t="shared" si="72"/>
        <v>0</v>
      </c>
      <c r="AL907" s="1064">
        <f t="shared" si="73"/>
        <v>0</v>
      </c>
      <c r="AM907" s="1064">
        <f t="shared" si="74"/>
        <v>0</v>
      </c>
      <c r="AN907" s="1064"/>
      <c r="AO907" s="1064">
        <f>TB_prev[[#This Row],[Closing balance]]+TB_prev[[#This Row],[Rounding]]</f>
        <v>0</v>
      </c>
    </row>
    <row r="908" spans="30:41" x14ac:dyDescent="0.25">
      <c r="AD908" s="1067" t="str">
        <f t="shared" si="70"/>
        <v/>
      </c>
      <c r="AE908" s="1063" t="str">
        <f>IF(ISNA(VLOOKUP(TB_prev[[#This Row],[Synt]],GL[[#Headers],[#Data],[subtotal label]],1,FALSE)),0,(VLOOKUP(TB_prev[[#This Row],[Synt]],GL[[#Headers],[#Data],[subtotal label]],1,FALSE)))</f>
        <v/>
      </c>
      <c r="AF908" s="1063" t="e">
        <f>IF((TB_prev[[#This Row],[Synt]]-TB_prev[[#This Row],[Subtotal Y/N]])=0,0,VLOOKUP(TB_prev[[#This Row],[Synt]],GL[[Account]:[Line]],3,FALSE))</f>
        <v>#VALUE!</v>
      </c>
      <c r="AG908" s="1063" t="e">
        <f>VLOOKUP(TB_prev[[#This Row],[Synt]],GL[[Account]:[B/P]],4,FALSE)</f>
        <v>#N/A</v>
      </c>
      <c r="AH908" s="1066" t="e">
        <v>#VALUE!</v>
      </c>
      <c r="AI908" s="1065" t="e">
        <f>TB_prev[[#This Row],[Synt]]&amp;TB_prev[[#This Row],[Line No. manual corr.]]</f>
        <v>#VALUE!</v>
      </c>
      <c r="AJ908" s="1064">
        <f t="shared" si="71"/>
        <v>0</v>
      </c>
      <c r="AK908" s="1064">
        <f t="shared" si="72"/>
        <v>0</v>
      </c>
      <c r="AL908" s="1064">
        <f t="shared" si="73"/>
        <v>0</v>
      </c>
      <c r="AM908" s="1064">
        <f t="shared" si="74"/>
        <v>0</v>
      </c>
      <c r="AN908" s="1064"/>
      <c r="AO908" s="1064">
        <f>TB_prev[[#This Row],[Closing balance]]+TB_prev[[#This Row],[Rounding]]</f>
        <v>0</v>
      </c>
    </row>
    <row r="909" spans="30:41" x14ac:dyDescent="0.25">
      <c r="AD909" s="1067" t="str">
        <f t="shared" si="70"/>
        <v/>
      </c>
      <c r="AE909" s="1063" t="str">
        <f>IF(ISNA(VLOOKUP(TB_prev[[#This Row],[Synt]],GL[[#Headers],[#Data],[subtotal label]],1,FALSE)),0,(VLOOKUP(TB_prev[[#This Row],[Synt]],GL[[#Headers],[#Data],[subtotal label]],1,FALSE)))</f>
        <v/>
      </c>
      <c r="AF909" s="1063" t="e">
        <f>IF((TB_prev[[#This Row],[Synt]]-TB_prev[[#This Row],[Subtotal Y/N]])=0,0,VLOOKUP(TB_prev[[#This Row],[Synt]],GL[[Account]:[Line]],3,FALSE))</f>
        <v>#VALUE!</v>
      </c>
      <c r="AG909" s="1063" t="e">
        <f>VLOOKUP(TB_prev[[#This Row],[Synt]],GL[[Account]:[B/P]],4,FALSE)</f>
        <v>#N/A</v>
      </c>
      <c r="AH909" s="1066" t="e">
        <v>#VALUE!</v>
      </c>
      <c r="AI909" s="1065" t="e">
        <f>TB_prev[[#This Row],[Synt]]&amp;TB_prev[[#This Row],[Line No. manual corr.]]</f>
        <v>#VALUE!</v>
      </c>
      <c r="AJ909" s="1064">
        <f t="shared" si="71"/>
        <v>0</v>
      </c>
      <c r="AK909" s="1064">
        <f t="shared" si="72"/>
        <v>0</v>
      </c>
      <c r="AL909" s="1064">
        <f t="shared" si="73"/>
        <v>0</v>
      </c>
      <c r="AM909" s="1064">
        <f t="shared" si="74"/>
        <v>0</v>
      </c>
      <c r="AN909" s="1064"/>
      <c r="AO909" s="1064">
        <f>TB_prev[[#This Row],[Closing balance]]+TB_prev[[#This Row],[Rounding]]</f>
        <v>0</v>
      </c>
    </row>
    <row r="910" spans="30:41" x14ac:dyDescent="0.25">
      <c r="AD910" s="1067" t="str">
        <f t="shared" si="70"/>
        <v/>
      </c>
      <c r="AE910" s="1063" t="str">
        <f>IF(ISNA(VLOOKUP(TB_prev[[#This Row],[Synt]],GL[[#Headers],[#Data],[subtotal label]],1,FALSE)),0,(VLOOKUP(TB_prev[[#This Row],[Synt]],GL[[#Headers],[#Data],[subtotal label]],1,FALSE)))</f>
        <v/>
      </c>
      <c r="AF910" s="1063" t="e">
        <f>IF((TB_prev[[#This Row],[Synt]]-TB_prev[[#This Row],[Subtotal Y/N]])=0,0,VLOOKUP(TB_prev[[#This Row],[Synt]],GL[[Account]:[Line]],3,FALSE))</f>
        <v>#VALUE!</v>
      </c>
      <c r="AG910" s="1063" t="e">
        <f>VLOOKUP(TB_prev[[#This Row],[Synt]],GL[[Account]:[B/P]],4,FALSE)</f>
        <v>#N/A</v>
      </c>
      <c r="AH910" s="1066" t="e">
        <v>#VALUE!</v>
      </c>
      <c r="AI910" s="1065" t="e">
        <f>TB_prev[[#This Row],[Synt]]&amp;TB_prev[[#This Row],[Line No. manual corr.]]</f>
        <v>#VALUE!</v>
      </c>
      <c r="AJ910" s="1064">
        <f t="shared" si="71"/>
        <v>0</v>
      </c>
      <c r="AK910" s="1064">
        <f t="shared" si="72"/>
        <v>0</v>
      </c>
      <c r="AL910" s="1064">
        <f t="shared" si="73"/>
        <v>0</v>
      </c>
      <c r="AM910" s="1064">
        <f t="shared" si="74"/>
        <v>0</v>
      </c>
      <c r="AN910" s="1064"/>
      <c r="AO910" s="1064">
        <f>TB_prev[[#This Row],[Closing balance]]+TB_prev[[#This Row],[Rounding]]</f>
        <v>0</v>
      </c>
    </row>
    <row r="911" spans="30:41" x14ac:dyDescent="0.25">
      <c r="AD911" s="1067" t="str">
        <f t="shared" si="70"/>
        <v/>
      </c>
      <c r="AE911" s="1063" t="str">
        <f>IF(ISNA(VLOOKUP(TB_prev[[#This Row],[Synt]],GL[[#Headers],[#Data],[subtotal label]],1,FALSE)),0,(VLOOKUP(TB_prev[[#This Row],[Synt]],GL[[#Headers],[#Data],[subtotal label]],1,FALSE)))</f>
        <v/>
      </c>
      <c r="AF911" s="1063" t="e">
        <f>IF((TB_prev[[#This Row],[Synt]]-TB_prev[[#This Row],[Subtotal Y/N]])=0,0,VLOOKUP(TB_prev[[#This Row],[Synt]],GL[[Account]:[Line]],3,FALSE))</f>
        <v>#VALUE!</v>
      </c>
      <c r="AG911" s="1063" t="e">
        <f>VLOOKUP(TB_prev[[#This Row],[Synt]],GL[[Account]:[B/P]],4,FALSE)</f>
        <v>#N/A</v>
      </c>
      <c r="AH911" s="1066" t="e">
        <v>#VALUE!</v>
      </c>
      <c r="AI911" s="1065" t="e">
        <f>TB_prev[[#This Row],[Synt]]&amp;TB_prev[[#This Row],[Line No. manual corr.]]</f>
        <v>#VALUE!</v>
      </c>
      <c r="AJ911" s="1064">
        <f t="shared" si="71"/>
        <v>0</v>
      </c>
      <c r="AK911" s="1064">
        <f t="shared" si="72"/>
        <v>0</v>
      </c>
      <c r="AL911" s="1064">
        <f t="shared" si="73"/>
        <v>0</v>
      </c>
      <c r="AM911" s="1064">
        <f t="shared" si="74"/>
        <v>0</v>
      </c>
      <c r="AN911" s="1064"/>
      <c r="AO911" s="1064">
        <f>TB_prev[[#This Row],[Closing balance]]+TB_prev[[#This Row],[Rounding]]</f>
        <v>0</v>
      </c>
    </row>
    <row r="912" spans="30:41" x14ac:dyDescent="0.25">
      <c r="AD912" s="1067" t="str">
        <f t="shared" si="70"/>
        <v/>
      </c>
      <c r="AE912" s="1063" t="str">
        <f>IF(ISNA(VLOOKUP(TB_prev[[#This Row],[Synt]],GL[[#Headers],[#Data],[subtotal label]],1,FALSE)),0,(VLOOKUP(TB_prev[[#This Row],[Synt]],GL[[#Headers],[#Data],[subtotal label]],1,FALSE)))</f>
        <v/>
      </c>
      <c r="AF912" s="1063" t="e">
        <f>IF((TB_prev[[#This Row],[Synt]]-TB_prev[[#This Row],[Subtotal Y/N]])=0,0,VLOOKUP(TB_prev[[#This Row],[Synt]],GL[[Account]:[Line]],3,FALSE))</f>
        <v>#VALUE!</v>
      </c>
      <c r="AG912" s="1063" t="e">
        <f>VLOOKUP(TB_prev[[#This Row],[Synt]],GL[[Account]:[B/P]],4,FALSE)</f>
        <v>#N/A</v>
      </c>
      <c r="AH912" s="1066" t="e">
        <v>#VALUE!</v>
      </c>
      <c r="AI912" s="1065" t="e">
        <f>TB_prev[[#This Row],[Synt]]&amp;TB_prev[[#This Row],[Line No. manual corr.]]</f>
        <v>#VALUE!</v>
      </c>
      <c r="AJ912" s="1064">
        <f t="shared" si="71"/>
        <v>0</v>
      </c>
      <c r="AK912" s="1064">
        <f t="shared" si="72"/>
        <v>0</v>
      </c>
      <c r="AL912" s="1064">
        <f t="shared" si="73"/>
        <v>0</v>
      </c>
      <c r="AM912" s="1064">
        <f t="shared" si="74"/>
        <v>0</v>
      </c>
      <c r="AN912" s="1064"/>
      <c r="AO912" s="1064">
        <f>TB_prev[[#This Row],[Closing balance]]+TB_prev[[#This Row],[Rounding]]</f>
        <v>0</v>
      </c>
    </row>
    <row r="913" spans="30:41" x14ac:dyDescent="0.25">
      <c r="AD913" s="1067" t="str">
        <f t="shared" si="70"/>
        <v/>
      </c>
      <c r="AE913" s="1063" t="str">
        <f>IF(ISNA(VLOOKUP(TB_prev[[#This Row],[Synt]],GL[[#Headers],[#Data],[subtotal label]],1,FALSE)),0,(VLOOKUP(TB_prev[[#This Row],[Synt]],GL[[#Headers],[#Data],[subtotal label]],1,FALSE)))</f>
        <v/>
      </c>
      <c r="AF913" s="1063" t="e">
        <f>IF((TB_prev[[#This Row],[Synt]]-TB_prev[[#This Row],[Subtotal Y/N]])=0,0,VLOOKUP(TB_prev[[#This Row],[Synt]],GL[[Account]:[Line]],3,FALSE))</f>
        <v>#VALUE!</v>
      </c>
      <c r="AG913" s="1063" t="e">
        <f>VLOOKUP(TB_prev[[#This Row],[Synt]],GL[[Account]:[B/P]],4,FALSE)</f>
        <v>#N/A</v>
      </c>
      <c r="AH913" s="1066" t="e">
        <v>#VALUE!</v>
      </c>
      <c r="AI913" s="1065" t="e">
        <f>TB_prev[[#This Row],[Synt]]&amp;TB_prev[[#This Row],[Line No. manual corr.]]</f>
        <v>#VALUE!</v>
      </c>
      <c r="AJ913" s="1064">
        <f t="shared" si="71"/>
        <v>0</v>
      </c>
      <c r="AK913" s="1064">
        <f t="shared" si="72"/>
        <v>0</v>
      </c>
      <c r="AL913" s="1064">
        <f t="shared" si="73"/>
        <v>0</v>
      </c>
      <c r="AM913" s="1064">
        <f t="shared" si="74"/>
        <v>0</v>
      </c>
      <c r="AN913" s="1064"/>
      <c r="AO913" s="1064">
        <f>TB_prev[[#This Row],[Closing balance]]+TB_prev[[#This Row],[Rounding]]</f>
        <v>0</v>
      </c>
    </row>
    <row r="914" spans="30:41" x14ac:dyDescent="0.25">
      <c r="AD914" s="1067" t="str">
        <f t="shared" si="70"/>
        <v/>
      </c>
      <c r="AE914" s="1063" t="str">
        <f>IF(ISNA(VLOOKUP(TB_prev[[#This Row],[Synt]],GL[[#Headers],[#Data],[subtotal label]],1,FALSE)),0,(VLOOKUP(TB_prev[[#This Row],[Synt]],GL[[#Headers],[#Data],[subtotal label]],1,FALSE)))</f>
        <v/>
      </c>
      <c r="AF914" s="1063" t="e">
        <f>IF((TB_prev[[#This Row],[Synt]]-TB_prev[[#This Row],[Subtotal Y/N]])=0,0,VLOOKUP(TB_prev[[#This Row],[Synt]],GL[[Account]:[Line]],3,FALSE))</f>
        <v>#VALUE!</v>
      </c>
      <c r="AG914" s="1063" t="e">
        <f>VLOOKUP(TB_prev[[#This Row],[Synt]],GL[[Account]:[B/P]],4,FALSE)</f>
        <v>#N/A</v>
      </c>
      <c r="AH914" s="1066" t="e">
        <v>#VALUE!</v>
      </c>
      <c r="AI914" s="1065" t="e">
        <f>TB_prev[[#This Row],[Synt]]&amp;TB_prev[[#This Row],[Line No. manual corr.]]</f>
        <v>#VALUE!</v>
      </c>
      <c r="AJ914" s="1064">
        <f t="shared" si="71"/>
        <v>0</v>
      </c>
      <c r="AK914" s="1064">
        <f t="shared" si="72"/>
        <v>0</v>
      </c>
      <c r="AL914" s="1064">
        <f t="shared" si="73"/>
        <v>0</v>
      </c>
      <c r="AM914" s="1064">
        <f t="shared" si="74"/>
        <v>0</v>
      </c>
      <c r="AN914" s="1064"/>
      <c r="AO914" s="1064">
        <f>TB_prev[[#This Row],[Closing balance]]+TB_prev[[#This Row],[Rounding]]</f>
        <v>0</v>
      </c>
    </row>
    <row r="915" spans="30:41" x14ac:dyDescent="0.25">
      <c r="AD915" s="1067" t="str">
        <f t="shared" si="70"/>
        <v/>
      </c>
      <c r="AE915" s="1063" t="str">
        <f>IF(ISNA(VLOOKUP(TB_prev[[#This Row],[Synt]],GL[[#Headers],[#Data],[subtotal label]],1,FALSE)),0,(VLOOKUP(TB_prev[[#This Row],[Synt]],GL[[#Headers],[#Data],[subtotal label]],1,FALSE)))</f>
        <v/>
      </c>
      <c r="AF915" s="1063" t="e">
        <f>IF((TB_prev[[#This Row],[Synt]]-TB_prev[[#This Row],[Subtotal Y/N]])=0,0,VLOOKUP(TB_prev[[#This Row],[Synt]],GL[[Account]:[Line]],3,FALSE))</f>
        <v>#VALUE!</v>
      </c>
      <c r="AG915" s="1063" t="e">
        <f>VLOOKUP(TB_prev[[#This Row],[Synt]],GL[[Account]:[B/P]],4,FALSE)</f>
        <v>#N/A</v>
      </c>
      <c r="AH915" s="1066" t="e">
        <v>#VALUE!</v>
      </c>
      <c r="AI915" s="1065" t="e">
        <f>TB_prev[[#This Row],[Synt]]&amp;TB_prev[[#This Row],[Line No. manual corr.]]</f>
        <v>#VALUE!</v>
      </c>
      <c r="AJ915" s="1064">
        <f t="shared" si="71"/>
        <v>0</v>
      </c>
      <c r="AK915" s="1064">
        <f t="shared" si="72"/>
        <v>0</v>
      </c>
      <c r="AL915" s="1064">
        <f t="shared" si="73"/>
        <v>0</v>
      </c>
      <c r="AM915" s="1064">
        <f t="shared" si="74"/>
        <v>0</v>
      </c>
      <c r="AN915" s="1064"/>
      <c r="AO915" s="1064">
        <f>TB_prev[[#This Row],[Closing balance]]+TB_prev[[#This Row],[Rounding]]</f>
        <v>0</v>
      </c>
    </row>
    <row r="916" spans="30:41" x14ac:dyDescent="0.25">
      <c r="AD916" s="1067" t="str">
        <f t="shared" si="70"/>
        <v/>
      </c>
      <c r="AE916" s="1063" t="str">
        <f>IF(ISNA(VLOOKUP(TB_prev[[#This Row],[Synt]],GL[[#Headers],[#Data],[subtotal label]],1,FALSE)),0,(VLOOKUP(TB_prev[[#This Row],[Synt]],GL[[#Headers],[#Data],[subtotal label]],1,FALSE)))</f>
        <v/>
      </c>
      <c r="AF916" s="1063" t="e">
        <f>IF((TB_prev[[#This Row],[Synt]]-TB_prev[[#This Row],[Subtotal Y/N]])=0,0,VLOOKUP(TB_prev[[#This Row],[Synt]],GL[[Account]:[Line]],3,FALSE))</f>
        <v>#VALUE!</v>
      </c>
      <c r="AG916" s="1063" t="e">
        <f>VLOOKUP(TB_prev[[#This Row],[Synt]],GL[[Account]:[B/P]],4,FALSE)</f>
        <v>#N/A</v>
      </c>
      <c r="AH916" s="1066" t="e">
        <v>#VALUE!</v>
      </c>
      <c r="AI916" s="1065" t="e">
        <f>TB_prev[[#This Row],[Synt]]&amp;TB_prev[[#This Row],[Line No. manual corr.]]</f>
        <v>#VALUE!</v>
      </c>
      <c r="AJ916" s="1064">
        <f t="shared" si="71"/>
        <v>0</v>
      </c>
      <c r="AK916" s="1064">
        <f t="shared" si="72"/>
        <v>0</v>
      </c>
      <c r="AL916" s="1064">
        <f t="shared" si="73"/>
        <v>0</v>
      </c>
      <c r="AM916" s="1064">
        <f t="shared" si="74"/>
        <v>0</v>
      </c>
      <c r="AN916" s="1064"/>
      <c r="AO916" s="1064">
        <f>TB_prev[[#This Row],[Closing balance]]+TB_prev[[#This Row],[Rounding]]</f>
        <v>0</v>
      </c>
    </row>
    <row r="917" spans="30:41" x14ac:dyDescent="0.25">
      <c r="AD917" s="1067" t="str">
        <f t="shared" si="70"/>
        <v/>
      </c>
      <c r="AE917" s="1063" t="str">
        <f>IF(ISNA(VLOOKUP(TB_prev[[#This Row],[Synt]],GL[[#Headers],[#Data],[subtotal label]],1,FALSE)),0,(VLOOKUP(TB_prev[[#This Row],[Synt]],GL[[#Headers],[#Data],[subtotal label]],1,FALSE)))</f>
        <v/>
      </c>
      <c r="AF917" s="1063" t="e">
        <f>IF((TB_prev[[#This Row],[Synt]]-TB_prev[[#This Row],[Subtotal Y/N]])=0,0,VLOOKUP(TB_prev[[#This Row],[Synt]],GL[[Account]:[Line]],3,FALSE))</f>
        <v>#VALUE!</v>
      </c>
      <c r="AG917" s="1063" t="e">
        <f>VLOOKUP(TB_prev[[#This Row],[Synt]],GL[[Account]:[B/P]],4,FALSE)</f>
        <v>#N/A</v>
      </c>
      <c r="AH917" s="1066" t="e">
        <v>#VALUE!</v>
      </c>
      <c r="AI917" s="1065" t="e">
        <f>TB_prev[[#This Row],[Synt]]&amp;TB_prev[[#This Row],[Line No. manual corr.]]</f>
        <v>#VALUE!</v>
      </c>
      <c r="AJ917" s="1064">
        <f t="shared" si="71"/>
        <v>0</v>
      </c>
      <c r="AK917" s="1064">
        <f t="shared" si="72"/>
        <v>0</v>
      </c>
      <c r="AL917" s="1064">
        <f t="shared" si="73"/>
        <v>0</v>
      </c>
      <c r="AM917" s="1064">
        <f t="shared" si="74"/>
        <v>0</v>
      </c>
      <c r="AN917" s="1064"/>
      <c r="AO917" s="1064">
        <f>TB_prev[[#This Row],[Closing balance]]+TB_prev[[#This Row],[Rounding]]</f>
        <v>0</v>
      </c>
    </row>
    <row r="918" spans="30:41" x14ac:dyDescent="0.25">
      <c r="AD918" s="1067" t="str">
        <f t="shared" si="70"/>
        <v/>
      </c>
      <c r="AE918" s="1063" t="str">
        <f>IF(ISNA(VLOOKUP(TB_prev[[#This Row],[Synt]],GL[[#Headers],[#Data],[subtotal label]],1,FALSE)),0,(VLOOKUP(TB_prev[[#This Row],[Synt]],GL[[#Headers],[#Data],[subtotal label]],1,FALSE)))</f>
        <v/>
      </c>
      <c r="AF918" s="1063" t="e">
        <f>IF((TB_prev[[#This Row],[Synt]]-TB_prev[[#This Row],[Subtotal Y/N]])=0,0,VLOOKUP(TB_prev[[#This Row],[Synt]],GL[[Account]:[Line]],3,FALSE))</f>
        <v>#VALUE!</v>
      </c>
      <c r="AG918" s="1063" t="e">
        <f>VLOOKUP(TB_prev[[#This Row],[Synt]],GL[[Account]:[B/P]],4,FALSE)</f>
        <v>#N/A</v>
      </c>
      <c r="AH918" s="1066" t="e">
        <v>#VALUE!</v>
      </c>
      <c r="AI918" s="1065" t="e">
        <f>TB_prev[[#This Row],[Synt]]&amp;TB_prev[[#This Row],[Line No. manual corr.]]</f>
        <v>#VALUE!</v>
      </c>
      <c r="AJ918" s="1064">
        <f t="shared" si="71"/>
        <v>0</v>
      </c>
      <c r="AK918" s="1064">
        <f t="shared" si="72"/>
        <v>0</v>
      </c>
      <c r="AL918" s="1064">
        <f t="shared" si="73"/>
        <v>0</v>
      </c>
      <c r="AM918" s="1064">
        <f t="shared" si="74"/>
        <v>0</v>
      </c>
      <c r="AN918" s="1064"/>
      <c r="AO918" s="1064">
        <f>TB_prev[[#This Row],[Closing balance]]+TB_prev[[#This Row],[Rounding]]</f>
        <v>0</v>
      </c>
    </row>
    <row r="919" spans="30:41" x14ac:dyDescent="0.25">
      <c r="AD919" s="1067" t="str">
        <f t="shared" si="70"/>
        <v/>
      </c>
      <c r="AE919" s="1063" t="str">
        <f>IF(ISNA(VLOOKUP(TB_prev[[#This Row],[Synt]],GL[[#Headers],[#Data],[subtotal label]],1,FALSE)),0,(VLOOKUP(TB_prev[[#This Row],[Synt]],GL[[#Headers],[#Data],[subtotal label]],1,FALSE)))</f>
        <v/>
      </c>
      <c r="AF919" s="1063" t="e">
        <f>IF((TB_prev[[#This Row],[Synt]]-TB_prev[[#This Row],[Subtotal Y/N]])=0,0,VLOOKUP(TB_prev[[#This Row],[Synt]],GL[[Account]:[Line]],3,FALSE))</f>
        <v>#VALUE!</v>
      </c>
      <c r="AG919" s="1063" t="e">
        <f>VLOOKUP(TB_prev[[#This Row],[Synt]],GL[[Account]:[B/P]],4,FALSE)</f>
        <v>#N/A</v>
      </c>
      <c r="AH919" s="1066" t="e">
        <v>#VALUE!</v>
      </c>
      <c r="AI919" s="1065" t="e">
        <f>TB_prev[[#This Row],[Synt]]&amp;TB_prev[[#This Row],[Line No. manual corr.]]</f>
        <v>#VALUE!</v>
      </c>
      <c r="AJ919" s="1064">
        <f t="shared" si="71"/>
        <v>0</v>
      </c>
      <c r="AK919" s="1064">
        <f t="shared" si="72"/>
        <v>0</v>
      </c>
      <c r="AL919" s="1064">
        <f t="shared" si="73"/>
        <v>0</v>
      </c>
      <c r="AM919" s="1064">
        <f t="shared" si="74"/>
        <v>0</v>
      </c>
      <c r="AN919" s="1064"/>
      <c r="AO919" s="1064">
        <f>TB_prev[[#This Row],[Closing balance]]+TB_prev[[#This Row],[Rounding]]</f>
        <v>0</v>
      </c>
    </row>
    <row r="920" spans="30:41" x14ac:dyDescent="0.25">
      <c r="AD920" s="1067" t="str">
        <f t="shared" si="70"/>
        <v/>
      </c>
      <c r="AE920" s="1063" t="str">
        <f>IF(ISNA(VLOOKUP(TB_prev[[#This Row],[Synt]],GL[[#Headers],[#Data],[subtotal label]],1,FALSE)),0,(VLOOKUP(TB_prev[[#This Row],[Synt]],GL[[#Headers],[#Data],[subtotal label]],1,FALSE)))</f>
        <v/>
      </c>
      <c r="AF920" s="1063" t="e">
        <f>IF((TB_prev[[#This Row],[Synt]]-TB_prev[[#This Row],[Subtotal Y/N]])=0,0,VLOOKUP(TB_prev[[#This Row],[Synt]],GL[[Account]:[Line]],3,FALSE))</f>
        <v>#VALUE!</v>
      </c>
      <c r="AG920" s="1063" t="e">
        <f>VLOOKUP(TB_prev[[#This Row],[Synt]],GL[[Account]:[B/P]],4,FALSE)</f>
        <v>#N/A</v>
      </c>
      <c r="AH920" s="1066" t="e">
        <v>#VALUE!</v>
      </c>
      <c r="AI920" s="1065" t="e">
        <f>TB_prev[[#This Row],[Synt]]&amp;TB_prev[[#This Row],[Line No. manual corr.]]</f>
        <v>#VALUE!</v>
      </c>
      <c r="AJ920" s="1064">
        <f t="shared" si="71"/>
        <v>0</v>
      </c>
      <c r="AK920" s="1064">
        <f t="shared" si="72"/>
        <v>0</v>
      </c>
      <c r="AL920" s="1064">
        <f t="shared" si="73"/>
        <v>0</v>
      </c>
      <c r="AM920" s="1064">
        <f t="shared" si="74"/>
        <v>0</v>
      </c>
      <c r="AN920" s="1064"/>
      <c r="AO920" s="1064">
        <f>TB_prev[[#This Row],[Closing balance]]+TB_prev[[#This Row],[Rounding]]</f>
        <v>0</v>
      </c>
    </row>
    <row r="921" spans="30:41" x14ac:dyDescent="0.25">
      <c r="AD921" s="1067" t="str">
        <f t="shared" si="70"/>
        <v/>
      </c>
      <c r="AE921" s="1063" t="str">
        <f>IF(ISNA(VLOOKUP(TB_prev[[#This Row],[Synt]],GL[[#Headers],[#Data],[subtotal label]],1,FALSE)),0,(VLOOKUP(TB_prev[[#This Row],[Synt]],GL[[#Headers],[#Data],[subtotal label]],1,FALSE)))</f>
        <v/>
      </c>
      <c r="AF921" s="1063" t="e">
        <f>IF((TB_prev[[#This Row],[Synt]]-TB_prev[[#This Row],[Subtotal Y/N]])=0,0,VLOOKUP(TB_prev[[#This Row],[Synt]],GL[[Account]:[Line]],3,FALSE))</f>
        <v>#VALUE!</v>
      </c>
      <c r="AG921" s="1063" t="e">
        <f>VLOOKUP(TB_prev[[#This Row],[Synt]],GL[[Account]:[B/P]],4,FALSE)</f>
        <v>#N/A</v>
      </c>
      <c r="AH921" s="1066" t="e">
        <v>#VALUE!</v>
      </c>
      <c r="AI921" s="1065" t="e">
        <f>TB_prev[[#This Row],[Synt]]&amp;TB_prev[[#This Row],[Line No. manual corr.]]</f>
        <v>#VALUE!</v>
      </c>
      <c r="AJ921" s="1064">
        <f t="shared" si="71"/>
        <v>0</v>
      </c>
      <c r="AK921" s="1064">
        <f t="shared" si="72"/>
        <v>0</v>
      </c>
      <c r="AL921" s="1064">
        <f t="shared" si="73"/>
        <v>0</v>
      </c>
      <c r="AM921" s="1064">
        <f t="shared" si="74"/>
        <v>0</v>
      </c>
      <c r="AN921" s="1064"/>
      <c r="AO921" s="1064">
        <f>TB_prev[[#This Row],[Closing balance]]+TB_prev[[#This Row],[Rounding]]</f>
        <v>0</v>
      </c>
    </row>
    <row r="922" spans="30:41" x14ac:dyDescent="0.25">
      <c r="AD922" s="1067" t="str">
        <f t="shared" si="70"/>
        <v/>
      </c>
      <c r="AE922" s="1063" t="str">
        <f>IF(ISNA(VLOOKUP(TB_prev[[#This Row],[Synt]],GL[[#Headers],[#Data],[subtotal label]],1,FALSE)),0,(VLOOKUP(TB_prev[[#This Row],[Synt]],GL[[#Headers],[#Data],[subtotal label]],1,FALSE)))</f>
        <v/>
      </c>
      <c r="AF922" s="1063" t="e">
        <f>IF((TB_prev[[#This Row],[Synt]]-TB_prev[[#This Row],[Subtotal Y/N]])=0,0,VLOOKUP(TB_prev[[#This Row],[Synt]],GL[[Account]:[Line]],3,FALSE))</f>
        <v>#VALUE!</v>
      </c>
      <c r="AG922" s="1063" t="e">
        <f>VLOOKUP(TB_prev[[#This Row],[Synt]],GL[[Account]:[B/P]],4,FALSE)</f>
        <v>#N/A</v>
      </c>
      <c r="AH922" s="1066" t="e">
        <v>#VALUE!</v>
      </c>
      <c r="AI922" s="1065" t="e">
        <f>TB_prev[[#This Row],[Synt]]&amp;TB_prev[[#This Row],[Line No. manual corr.]]</f>
        <v>#VALUE!</v>
      </c>
      <c r="AJ922" s="1064">
        <f t="shared" si="71"/>
        <v>0</v>
      </c>
      <c r="AK922" s="1064">
        <f t="shared" si="72"/>
        <v>0</v>
      </c>
      <c r="AL922" s="1064">
        <f t="shared" si="73"/>
        <v>0</v>
      </c>
      <c r="AM922" s="1064">
        <f t="shared" si="74"/>
        <v>0</v>
      </c>
      <c r="AN922" s="1064"/>
      <c r="AO922" s="1064">
        <f>TB_prev[[#This Row],[Closing balance]]+TB_prev[[#This Row],[Rounding]]</f>
        <v>0</v>
      </c>
    </row>
    <row r="923" spans="30:41" x14ac:dyDescent="0.25">
      <c r="AD923" s="1067" t="str">
        <f t="shared" si="70"/>
        <v/>
      </c>
      <c r="AE923" s="1063" t="str">
        <f>IF(ISNA(VLOOKUP(TB_prev[[#This Row],[Synt]],GL[[#Headers],[#Data],[subtotal label]],1,FALSE)),0,(VLOOKUP(TB_prev[[#This Row],[Synt]],GL[[#Headers],[#Data],[subtotal label]],1,FALSE)))</f>
        <v/>
      </c>
      <c r="AF923" s="1063" t="e">
        <f>IF((TB_prev[[#This Row],[Synt]]-TB_prev[[#This Row],[Subtotal Y/N]])=0,0,VLOOKUP(TB_prev[[#This Row],[Synt]],GL[[Account]:[Line]],3,FALSE))</f>
        <v>#VALUE!</v>
      </c>
      <c r="AG923" s="1063" t="e">
        <f>VLOOKUP(TB_prev[[#This Row],[Synt]],GL[[Account]:[B/P]],4,FALSE)</f>
        <v>#N/A</v>
      </c>
      <c r="AH923" s="1066" t="e">
        <v>#VALUE!</v>
      </c>
      <c r="AI923" s="1065" t="e">
        <f>TB_prev[[#This Row],[Synt]]&amp;TB_prev[[#This Row],[Line No. manual corr.]]</f>
        <v>#VALUE!</v>
      </c>
      <c r="AJ923" s="1064">
        <f t="shared" si="71"/>
        <v>0</v>
      </c>
      <c r="AK923" s="1064">
        <f t="shared" si="72"/>
        <v>0</v>
      </c>
      <c r="AL923" s="1064">
        <f t="shared" si="73"/>
        <v>0</v>
      </c>
      <c r="AM923" s="1064">
        <f t="shared" si="74"/>
        <v>0</v>
      </c>
      <c r="AN923" s="1064"/>
      <c r="AO923" s="1064">
        <f>TB_prev[[#This Row],[Closing balance]]+TB_prev[[#This Row],[Rounding]]</f>
        <v>0</v>
      </c>
    </row>
    <row r="924" spans="30:41" x14ac:dyDescent="0.25">
      <c r="AD924" s="1067" t="str">
        <f t="shared" si="70"/>
        <v/>
      </c>
      <c r="AE924" s="1063" t="str">
        <f>IF(ISNA(VLOOKUP(TB_prev[[#This Row],[Synt]],GL[[#Headers],[#Data],[subtotal label]],1,FALSE)),0,(VLOOKUP(TB_prev[[#This Row],[Synt]],GL[[#Headers],[#Data],[subtotal label]],1,FALSE)))</f>
        <v/>
      </c>
      <c r="AF924" s="1063" t="e">
        <f>IF((TB_prev[[#This Row],[Synt]]-TB_prev[[#This Row],[Subtotal Y/N]])=0,0,VLOOKUP(TB_prev[[#This Row],[Synt]],GL[[Account]:[Line]],3,FALSE))</f>
        <v>#VALUE!</v>
      </c>
      <c r="AG924" s="1063" t="e">
        <f>VLOOKUP(TB_prev[[#This Row],[Synt]],GL[[Account]:[B/P]],4,FALSE)</f>
        <v>#N/A</v>
      </c>
      <c r="AH924" s="1066" t="e">
        <v>#VALUE!</v>
      </c>
      <c r="AI924" s="1065" t="e">
        <f>TB_prev[[#This Row],[Synt]]&amp;TB_prev[[#This Row],[Line No. manual corr.]]</f>
        <v>#VALUE!</v>
      </c>
      <c r="AJ924" s="1064">
        <f t="shared" si="71"/>
        <v>0</v>
      </c>
      <c r="AK924" s="1064">
        <f t="shared" si="72"/>
        <v>0</v>
      </c>
      <c r="AL924" s="1064">
        <f t="shared" si="73"/>
        <v>0</v>
      </c>
      <c r="AM924" s="1064">
        <f t="shared" si="74"/>
        <v>0</v>
      </c>
      <c r="AN924" s="1064"/>
      <c r="AO924" s="1064">
        <f>TB_prev[[#This Row],[Closing balance]]+TB_prev[[#This Row],[Rounding]]</f>
        <v>0</v>
      </c>
    </row>
    <row r="925" spans="30:41" x14ac:dyDescent="0.25">
      <c r="AD925" s="1067" t="str">
        <f t="shared" si="70"/>
        <v/>
      </c>
      <c r="AE925" s="1063" t="str">
        <f>IF(ISNA(VLOOKUP(TB_prev[[#This Row],[Synt]],GL[[#Headers],[#Data],[subtotal label]],1,FALSE)),0,(VLOOKUP(TB_prev[[#This Row],[Synt]],GL[[#Headers],[#Data],[subtotal label]],1,FALSE)))</f>
        <v/>
      </c>
      <c r="AF925" s="1063" t="e">
        <f>IF((TB_prev[[#This Row],[Synt]]-TB_prev[[#This Row],[Subtotal Y/N]])=0,0,VLOOKUP(TB_prev[[#This Row],[Synt]],GL[[Account]:[Line]],3,FALSE))</f>
        <v>#VALUE!</v>
      </c>
      <c r="AG925" s="1063" t="e">
        <f>VLOOKUP(TB_prev[[#This Row],[Synt]],GL[[Account]:[B/P]],4,FALSE)</f>
        <v>#N/A</v>
      </c>
      <c r="AH925" s="1066" t="e">
        <v>#VALUE!</v>
      </c>
      <c r="AI925" s="1065" t="e">
        <f>TB_prev[[#This Row],[Synt]]&amp;TB_prev[[#This Row],[Line No. manual corr.]]</f>
        <v>#VALUE!</v>
      </c>
      <c r="AJ925" s="1064">
        <f t="shared" si="71"/>
        <v>0</v>
      </c>
      <c r="AK925" s="1064">
        <f t="shared" si="72"/>
        <v>0</v>
      </c>
      <c r="AL925" s="1064">
        <f t="shared" si="73"/>
        <v>0</v>
      </c>
      <c r="AM925" s="1064">
        <f t="shared" si="74"/>
        <v>0</v>
      </c>
      <c r="AN925" s="1064"/>
      <c r="AO925" s="1064">
        <f>TB_prev[[#This Row],[Closing balance]]+TB_prev[[#This Row],[Rounding]]</f>
        <v>0</v>
      </c>
    </row>
    <row r="926" spans="30:41" x14ac:dyDescent="0.25">
      <c r="AD926" s="1067" t="str">
        <f t="shared" si="70"/>
        <v/>
      </c>
      <c r="AE926" s="1063" t="str">
        <f>IF(ISNA(VLOOKUP(TB_prev[[#This Row],[Synt]],GL[[#Headers],[#Data],[subtotal label]],1,FALSE)),0,(VLOOKUP(TB_prev[[#This Row],[Synt]],GL[[#Headers],[#Data],[subtotal label]],1,FALSE)))</f>
        <v/>
      </c>
      <c r="AF926" s="1063" t="e">
        <f>IF((TB_prev[[#This Row],[Synt]]-TB_prev[[#This Row],[Subtotal Y/N]])=0,0,VLOOKUP(TB_prev[[#This Row],[Synt]],GL[[Account]:[Line]],3,FALSE))</f>
        <v>#VALUE!</v>
      </c>
      <c r="AG926" s="1063" t="e">
        <f>VLOOKUP(TB_prev[[#This Row],[Synt]],GL[[Account]:[B/P]],4,FALSE)</f>
        <v>#N/A</v>
      </c>
      <c r="AH926" s="1066" t="e">
        <v>#VALUE!</v>
      </c>
      <c r="AI926" s="1065" t="e">
        <f>TB_prev[[#This Row],[Synt]]&amp;TB_prev[[#This Row],[Line No. manual corr.]]</f>
        <v>#VALUE!</v>
      </c>
      <c r="AJ926" s="1064">
        <f t="shared" si="71"/>
        <v>0</v>
      </c>
      <c r="AK926" s="1064">
        <f t="shared" si="72"/>
        <v>0</v>
      </c>
      <c r="AL926" s="1064">
        <f t="shared" si="73"/>
        <v>0</v>
      </c>
      <c r="AM926" s="1064">
        <f t="shared" si="74"/>
        <v>0</v>
      </c>
      <c r="AN926" s="1064"/>
      <c r="AO926" s="1064">
        <f>TB_prev[[#This Row],[Closing balance]]+TB_prev[[#This Row],[Rounding]]</f>
        <v>0</v>
      </c>
    </row>
    <row r="927" spans="30:41" x14ac:dyDescent="0.25">
      <c r="AD927" s="1067" t="str">
        <f t="shared" si="70"/>
        <v/>
      </c>
      <c r="AE927" s="1063" t="str">
        <f>IF(ISNA(VLOOKUP(TB_prev[[#This Row],[Synt]],GL[[#Headers],[#Data],[subtotal label]],1,FALSE)),0,(VLOOKUP(TB_prev[[#This Row],[Synt]],GL[[#Headers],[#Data],[subtotal label]],1,FALSE)))</f>
        <v/>
      </c>
      <c r="AF927" s="1063" t="e">
        <f>IF((TB_prev[[#This Row],[Synt]]-TB_prev[[#This Row],[Subtotal Y/N]])=0,0,VLOOKUP(TB_prev[[#This Row],[Synt]],GL[[Account]:[Line]],3,FALSE))</f>
        <v>#VALUE!</v>
      </c>
      <c r="AG927" s="1063" t="e">
        <f>VLOOKUP(TB_prev[[#This Row],[Synt]],GL[[Account]:[B/P]],4,FALSE)</f>
        <v>#N/A</v>
      </c>
      <c r="AH927" s="1066" t="e">
        <v>#VALUE!</v>
      </c>
      <c r="AI927" s="1065" t="e">
        <f>TB_prev[[#This Row],[Synt]]&amp;TB_prev[[#This Row],[Line No. manual corr.]]</f>
        <v>#VALUE!</v>
      </c>
      <c r="AJ927" s="1064">
        <f t="shared" si="71"/>
        <v>0</v>
      </c>
      <c r="AK927" s="1064">
        <f t="shared" si="72"/>
        <v>0</v>
      </c>
      <c r="AL927" s="1064">
        <f t="shared" si="73"/>
        <v>0</v>
      </c>
      <c r="AM927" s="1064">
        <f t="shared" si="74"/>
        <v>0</v>
      </c>
      <c r="AN927" s="1064"/>
      <c r="AO927" s="1064">
        <f>TB_prev[[#This Row],[Closing balance]]+TB_prev[[#This Row],[Rounding]]</f>
        <v>0</v>
      </c>
    </row>
    <row r="928" spans="30:41" x14ac:dyDescent="0.25">
      <c r="AD928" s="1067" t="str">
        <f t="shared" si="70"/>
        <v/>
      </c>
      <c r="AE928" s="1063" t="str">
        <f>IF(ISNA(VLOOKUP(TB_prev[[#This Row],[Synt]],GL[[#Headers],[#Data],[subtotal label]],1,FALSE)),0,(VLOOKUP(TB_prev[[#This Row],[Synt]],GL[[#Headers],[#Data],[subtotal label]],1,FALSE)))</f>
        <v/>
      </c>
      <c r="AF928" s="1063" t="e">
        <f>IF((TB_prev[[#This Row],[Synt]]-TB_prev[[#This Row],[Subtotal Y/N]])=0,0,VLOOKUP(TB_prev[[#This Row],[Synt]],GL[[Account]:[Line]],3,FALSE))</f>
        <v>#VALUE!</v>
      </c>
      <c r="AG928" s="1063" t="e">
        <f>VLOOKUP(TB_prev[[#This Row],[Synt]],GL[[Account]:[B/P]],4,FALSE)</f>
        <v>#N/A</v>
      </c>
      <c r="AH928" s="1066" t="e">
        <v>#VALUE!</v>
      </c>
      <c r="AI928" s="1065" t="e">
        <f>TB_prev[[#This Row],[Synt]]&amp;TB_prev[[#This Row],[Line No. manual corr.]]</f>
        <v>#VALUE!</v>
      </c>
      <c r="AJ928" s="1064">
        <f t="shared" si="71"/>
        <v>0</v>
      </c>
      <c r="AK928" s="1064">
        <f t="shared" si="72"/>
        <v>0</v>
      </c>
      <c r="AL928" s="1064">
        <f t="shared" si="73"/>
        <v>0</v>
      </c>
      <c r="AM928" s="1064">
        <f t="shared" si="74"/>
        <v>0</v>
      </c>
      <c r="AN928" s="1064"/>
      <c r="AO928" s="1064">
        <f>TB_prev[[#This Row],[Closing balance]]+TB_prev[[#This Row],[Rounding]]</f>
        <v>0</v>
      </c>
    </row>
    <row r="929" spans="30:41" x14ac:dyDescent="0.25">
      <c r="AD929" s="1067" t="str">
        <f t="shared" si="70"/>
        <v/>
      </c>
      <c r="AE929" s="1063" t="str">
        <f>IF(ISNA(VLOOKUP(TB_prev[[#This Row],[Synt]],GL[[#Headers],[#Data],[subtotal label]],1,FALSE)),0,(VLOOKUP(TB_prev[[#This Row],[Synt]],GL[[#Headers],[#Data],[subtotal label]],1,FALSE)))</f>
        <v/>
      </c>
      <c r="AF929" s="1063" t="e">
        <f>IF((TB_prev[[#This Row],[Synt]]-TB_prev[[#This Row],[Subtotal Y/N]])=0,0,VLOOKUP(TB_prev[[#This Row],[Synt]],GL[[Account]:[Line]],3,FALSE))</f>
        <v>#VALUE!</v>
      </c>
      <c r="AG929" s="1063" t="e">
        <f>VLOOKUP(TB_prev[[#This Row],[Synt]],GL[[Account]:[B/P]],4,FALSE)</f>
        <v>#N/A</v>
      </c>
      <c r="AH929" s="1066" t="e">
        <v>#VALUE!</v>
      </c>
      <c r="AI929" s="1065" t="e">
        <f>TB_prev[[#This Row],[Synt]]&amp;TB_prev[[#This Row],[Line No. manual corr.]]</f>
        <v>#VALUE!</v>
      </c>
      <c r="AJ929" s="1064">
        <f t="shared" si="71"/>
        <v>0</v>
      </c>
      <c r="AK929" s="1064">
        <f t="shared" si="72"/>
        <v>0</v>
      </c>
      <c r="AL929" s="1064">
        <f t="shared" si="73"/>
        <v>0</v>
      </c>
      <c r="AM929" s="1064">
        <f t="shared" si="74"/>
        <v>0</v>
      </c>
      <c r="AN929" s="1064"/>
      <c r="AO929" s="1064">
        <f>TB_prev[[#This Row],[Closing balance]]+TB_prev[[#This Row],[Rounding]]</f>
        <v>0</v>
      </c>
    </row>
    <row r="930" spans="30:41" x14ac:dyDescent="0.25">
      <c r="AD930" s="1067" t="str">
        <f t="shared" si="70"/>
        <v/>
      </c>
      <c r="AE930" s="1063" t="str">
        <f>IF(ISNA(VLOOKUP(TB_prev[[#This Row],[Synt]],GL[[#Headers],[#Data],[subtotal label]],1,FALSE)),0,(VLOOKUP(TB_prev[[#This Row],[Synt]],GL[[#Headers],[#Data],[subtotal label]],1,FALSE)))</f>
        <v/>
      </c>
      <c r="AF930" s="1063" t="e">
        <f>IF((TB_prev[[#This Row],[Synt]]-TB_prev[[#This Row],[Subtotal Y/N]])=0,0,VLOOKUP(TB_prev[[#This Row],[Synt]],GL[[Account]:[Line]],3,FALSE))</f>
        <v>#VALUE!</v>
      </c>
      <c r="AG930" s="1063" t="e">
        <f>VLOOKUP(TB_prev[[#This Row],[Synt]],GL[[Account]:[B/P]],4,FALSE)</f>
        <v>#N/A</v>
      </c>
      <c r="AH930" s="1066" t="e">
        <v>#VALUE!</v>
      </c>
      <c r="AI930" s="1065" t="e">
        <f>TB_prev[[#This Row],[Synt]]&amp;TB_prev[[#This Row],[Line No. manual corr.]]</f>
        <v>#VALUE!</v>
      </c>
      <c r="AJ930" s="1064">
        <f t="shared" si="71"/>
        <v>0</v>
      </c>
      <c r="AK930" s="1064">
        <f t="shared" si="72"/>
        <v>0</v>
      </c>
      <c r="AL930" s="1064">
        <f t="shared" si="73"/>
        <v>0</v>
      </c>
      <c r="AM930" s="1064">
        <f t="shared" si="74"/>
        <v>0</v>
      </c>
      <c r="AN930" s="1064"/>
      <c r="AO930" s="1064">
        <f>TB_prev[[#This Row],[Closing balance]]+TB_prev[[#This Row],[Rounding]]</f>
        <v>0</v>
      </c>
    </row>
    <row r="931" spans="30:41" x14ac:dyDescent="0.25">
      <c r="AD931" s="1067" t="str">
        <f t="shared" si="70"/>
        <v/>
      </c>
      <c r="AE931" s="1063" t="str">
        <f>IF(ISNA(VLOOKUP(TB_prev[[#This Row],[Synt]],GL[[#Headers],[#Data],[subtotal label]],1,FALSE)),0,(VLOOKUP(TB_prev[[#This Row],[Synt]],GL[[#Headers],[#Data],[subtotal label]],1,FALSE)))</f>
        <v/>
      </c>
      <c r="AF931" s="1063" t="e">
        <f>IF((TB_prev[[#This Row],[Synt]]-TB_prev[[#This Row],[Subtotal Y/N]])=0,0,VLOOKUP(TB_prev[[#This Row],[Synt]],GL[[Account]:[Line]],3,FALSE))</f>
        <v>#VALUE!</v>
      </c>
      <c r="AG931" s="1063" t="e">
        <f>VLOOKUP(TB_prev[[#This Row],[Synt]],GL[[Account]:[B/P]],4,FALSE)</f>
        <v>#N/A</v>
      </c>
      <c r="AH931" s="1066" t="e">
        <v>#VALUE!</v>
      </c>
      <c r="AI931" s="1065" t="e">
        <f>TB_prev[[#This Row],[Synt]]&amp;TB_prev[[#This Row],[Line No. manual corr.]]</f>
        <v>#VALUE!</v>
      </c>
      <c r="AJ931" s="1064">
        <f t="shared" si="71"/>
        <v>0</v>
      </c>
      <c r="AK931" s="1064">
        <f t="shared" si="72"/>
        <v>0</v>
      </c>
      <c r="AL931" s="1064">
        <f t="shared" si="73"/>
        <v>0</v>
      </c>
      <c r="AM931" s="1064">
        <f t="shared" si="74"/>
        <v>0</v>
      </c>
      <c r="AN931" s="1064"/>
      <c r="AO931" s="1064">
        <f>TB_prev[[#This Row],[Closing balance]]+TB_prev[[#This Row],[Rounding]]</f>
        <v>0</v>
      </c>
    </row>
    <row r="932" spans="30:41" x14ac:dyDescent="0.25">
      <c r="AD932" s="1067" t="str">
        <f t="shared" si="70"/>
        <v/>
      </c>
      <c r="AE932" s="1063" t="str">
        <f>IF(ISNA(VLOOKUP(TB_prev[[#This Row],[Synt]],GL[[#Headers],[#Data],[subtotal label]],1,FALSE)),0,(VLOOKUP(TB_prev[[#This Row],[Synt]],GL[[#Headers],[#Data],[subtotal label]],1,FALSE)))</f>
        <v/>
      </c>
      <c r="AF932" s="1063" t="e">
        <f>IF((TB_prev[[#This Row],[Synt]]-TB_prev[[#This Row],[Subtotal Y/N]])=0,0,VLOOKUP(TB_prev[[#This Row],[Synt]],GL[[Account]:[Line]],3,FALSE))</f>
        <v>#VALUE!</v>
      </c>
      <c r="AG932" s="1063" t="e">
        <f>VLOOKUP(TB_prev[[#This Row],[Synt]],GL[[Account]:[B/P]],4,FALSE)</f>
        <v>#N/A</v>
      </c>
      <c r="AH932" s="1066" t="e">
        <v>#VALUE!</v>
      </c>
      <c r="AI932" s="1065" t="e">
        <f>TB_prev[[#This Row],[Synt]]&amp;TB_prev[[#This Row],[Line No. manual corr.]]</f>
        <v>#VALUE!</v>
      </c>
      <c r="AJ932" s="1064">
        <f t="shared" si="71"/>
        <v>0</v>
      </c>
      <c r="AK932" s="1064">
        <f t="shared" si="72"/>
        <v>0</v>
      </c>
      <c r="AL932" s="1064">
        <f t="shared" si="73"/>
        <v>0</v>
      </c>
      <c r="AM932" s="1064">
        <f t="shared" si="74"/>
        <v>0</v>
      </c>
      <c r="AN932" s="1064"/>
      <c r="AO932" s="1064">
        <f>TB_prev[[#This Row],[Closing balance]]+TB_prev[[#This Row],[Rounding]]</f>
        <v>0</v>
      </c>
    </row>
    <row r="933" spans="30:41" x14ac:dyDescent="0.25">
      <c r="AD933" s="1067" t="str">
        <f t="shared" si="70"/>
        <v/>
      </c>
      <c r="AE933" s="1063" t="str">
        <f>IF(ISNA(VLOOKUP(TB_prev[[#This Row],[Synt]],GL[[#Headers],[#Data],[subtotal label]],1,FALSE)),0,(VLOOKUP(TB_prev[[#This Row],[Synt]],GL[[#Headers],[#Data],[subtotal label]],1,FALSE)))</f>
        <v/>
      </c>
      <c r="AF933" s="1063" t="e">
        <f>IF((TB_prev[[#This Row],[Synt]]-TB_prev[[#This Row],[Subtotal Y/N]])=0,0,VLOOKUP(TB_prev[[#This Row],[Synt]],GL[[Account]:[Line]],3,FALSE))</f>
        <v>#VALUE!</v>
      </c>
      <c r="AG933" s="1063" t="e">
        <f>VLOOKUP(TB_prev[[#This Row],[Synt]],GL[[Account]:[B/P]],4,FALSE)</f>
        <v>#N/A</v>
      </c>
      <c r="AH933" s="1066" t="e">
        <v>#VALUE!</v>
      </c>
      <c r="AI933" s="1065" t="e">
        <f>TB_prev[[#This Row],[Synt]]&amp;TB_prev[[#This Row],[Line No. manual corr.]]</f>
        <v>#VALUE!</v>
      </c>
      <c r="AJ933" s="1064">
        <f t="shared" si="71"/>
        <v>0</v>
      </c>
      <c r="AK933" s="1064">
        <f t="shared" si="72"/>
        <v>0</v>
      </c>
      <c r="AL933" s="1064">
        <f t="shared" si="73"/>
        <v>0</v>
      </c>
      <c r="AM933" s="1064">
        <f t="shared" si="74"/>
        <v>0</v>
      </c>
      <c r="AN933" s="1064"/>
      <c r="AO933" s="1064">
        <f>TB_prev[[#This Row],[Closing balance]]+TB_prev[[#This Row],[Rounding]]</f>
        <v>0</v>
      </c>
    </row>
    <row r="934" spans="30:41" x14ac:dyDescent="0.25">
      <c r="AD934" s="1067" t="str">
        <f t="shared" si="70"/>
        <v/>
      </c>
      <c r="AE934" s="1063" t="str">
        <f>IF(ISNA(VLOOKUP(TB_prev[[#This Row],[Synt]],GL[[#Headers],[#Data],[subtotal label]],1,FALSE)),0,(VLOOKUP(TB_prev[[#This Row],[Synt]],GL[[#Headers],[#Data],[subtotal label]],1,FALSE)))</f>
        <v/>
      </c>
      <c r="AF934" s="1063" t="e">
        <f>IF((TB_prev[[#This Row],[Synt]]-TB_prev[[#This Row],[Subtotal Y/N]])=0,0,VLOOKUP(TB_prev[[#This Row],[Synt]],GL[[Account]:[Line]],3,FALSE))</f>
        <v>#VALUE!</v>
      </c>
      <c r="AG934" s="1063" t="e">
        <f>VLOOKUP(TB_prev[[#This Row],[Synt]],GL[[Account]:[B/P]],4,FALSE)</f>
        <v>#N/A</v>
      </c>
      <c r="AH934" s="1066" t="e">
        <v>#VALUE!</v>
      </c>
      <c r="AI934" s="1065" t="e">
        <f>TB_prev[[#This Row],[Synt]]&amp;TB_prev[[#This Row],[Line No. manual corr.]]</f>
        <v>#VALUE!</v>
      </c>
      <c r="AJ934" s="1064">
        <f t="shared" si="71"/>
        <v>0</v>
      </c>
      <c r="AK934" s="1064">
        <f t="shared" si="72"/>
        <v>0</v>
      </c>
      <c r="AL934" s="1064">
        <f t="shared" si="73"/>
        <v>0</v>
      </c>
      <c r="AM934" s="1064">
        <f t="shared" si="74"/>
        <v>0</v>
      </c>
      <c r="AN934" s="1064"/>
      <c r="AO934" s="1064">
        <f>TB_prev[[#This Row],[Closing balance]]+TB_prev[[#This Row],[Rounding]]</f>
        <v>0</v>
      </c>
    </row>
    <row r="935" spans="30:41" x14ac:dyDescent="0.25">
      <c r="AD935" s="1067" t="str">
        <f t="shared" si="70"/>
        <v/>
      </c>
      <c r="AE935" s="1063" t="str">
        <f>IF(ISNA(VLOOKUP(TB_prev[[#This Row],[Synt]],GL[[#Headers],[#Data],[subtotal label]],1,FALSE)),0,(VLOOKUP(TB_prev[[#This Row],[Synt]],GL[[#Headers],[#Data],[subtotal label]],1,FALSE)))</f>
        <v/>
      </c>
      <c r="AF935" s="1063" t="e">
        <f>IF((TB_prev[[#This Row],[Synt]]-TB_prev[[#This Row],[Subtotal Y/N]])=0,0,VLOOKUP(TB_prev[[#This Row],[Synt]],GL[[Account]:[Line]],3,FALSE))</f>
        <v>#VALUE!</v>
      </c>
      <c r="AG935" s="1063" t="e">
        <f>VLOOKUP(TB_prev[[#This Row],[Synt]],GL[[Account]:[B/P]],4,FALSE)</f>
        <v>#N/A</v>
      </c>
      <c r="AH935" s="1066" t="e">
        <v>#VALUE!</v>
      </c>
      <c r="AI935" s="1065" t="e">
        <f>TB_prev[[#This Row],[Synt]]&amp;TB_prev[[#This Row],[Line No. manual corr.]]</f>
        <v>#VALUE!</v>
      </c>
      <c r="AJ935" s="1064">
        <f t="shared" si="71"/>
        <v>0</v>
      </c>
      <c r="AK935" s="1064">
        <f t="shared" si="72"/>
        <v>0</v>
      </c>
      <c r="AL935" s="1064">
        <f t="shared" si="73"/>
        <v>0</v>
      </c>
      <c r="AM935" s="1064">
        <f t="shared" si="74"/>
        <v>0</v>
      </c>
      <c r="AN935" s="1064"/>
      <c r="AO935" s="1064">
        <f>TB_prev[[#This Row],[Closing balance]]+TB_prev[[#This Row],[Rounding]]</f>
        <v>0</v>
      </c>
    </row>
    <row r="936" spans="30:41" x14ac:dyDescent="0.25">
      <c r="AD936" s="1067" t="str">
        <f t="shared" si="70"/>
        <v/>
      </c>
      <c r="AE936" s="1063" t="str">
        <f>IF(ISNA(VLOOKUP(TB_prev[[#This Row],[Synt]],GL[[#Headers],[#Data],[subtotal label]],1,FALSE)),0,(VLOOKUP(TB_prev[[#This Row],[Synt]],GL[[#Headers],[#Data],[subtotal label]],1,FALSE)))</f>
        <v/>
      </c>
      <c r="AF936" s="1063" t="e">
        <f>IF((TB_prev[[#This Row],[Synt]]-TB_prev[[#This Row],[Subtotal Y/N]])=0,0,VLOOKUP(TB_prev[[#This Row],[Synt]],GL[[Account]:[Line]],3,FALSE))</f>
        <v>#VALUE!</v>
      </c>
      <c r="AG936" s="1063" t="e">
        <f>VLOOKUP(TB_prev[[#This Row],[Synt]],GL[[Account]:[B/P]],4,FALSE)</f>
        <v>#N/A</v>
      </c>
      <c r="AH936" s="1066" t="e">
        <v>#VALUE!</v>
      </c>
      <c r="AI936" s="1065" t="e">
        <f>TB_prev[[#This Row],[Synt]]&amp;TB_prev[[#This Row],[Line No. manual corr.]]</f>
        <v>#VALUE!</v>
      </c>
      <c r="AJ936" s="1064">
        <f t="shared" si="71"/>
        <v>0</v>
      </c>
      <c r="AK936" s="1064">
        <f t="shared" si="72"/>
        <v>0</v>
      </c>
      <c r="AL936" s="1064">
        <f t="shared" si="73"/>
        <v>0</v>
      </c>
      <c r="AM936" s="1064">
        <f t="shared" si="74"/>
        <v>0</v>
      </c>
      <c r="AN936" s="1064"/>
      <c r="AO936" s="1064">
        <f>TB_prev[[#This Row],[Closing balance]]+TB_prev[[#This Row],[Rounding]]</f>
        <v>0</v>
      </c>
    </row>
    <row r="937" spans="30:41" x14ac:dyDescent="0.25">
      <c r="AD937" s="1067" t="str">
        <f t="shared" si="70"/>
        <v/>
      </c>
      <c r="AE937" s="1063" t="str">
        <f>IF(ISNA(VLOOKUP(TB_prev[[#This Row],[Synt]],GL[[#Headers],[#Data],[subtotal label]],1,FALSE)),0,(VLOOKUP(TB_prev[[#This Row],[Synt]],GL[[#Headers],[#Data],[subtotal label]],1,FALSE)))</f>
        <v/>
      </c>
      <c r="AF937" s="1063" t="e">
        <f>IF((TB_prev[[#This Row],[Synt]]-TB_prev[[#This Row],[Subtotal Y/N]])=0,0,VLOOKUP(TB_prev[[#This Row],[Synt]],GL[[Account]:[Line]],3,FALSE))</f>
        <v>#VALUE!</v>
      </c>
      <c r="AG937" s="1063" t="e">
        <f>VLOOKUP(TB_prev[[#This Row],[Synt]],GL[[Account]:[B/P]],4,FALSE)</f>
        <v>#N/A</v>
      </c>
      <c r="AH937" s="1066" t="e">
        <v>#VALUE!</v>
      </c>
      <c r="AI937" s="1065" t="e">
        <f>TB_prev[[#This Row],[Synt]]&amp;TB_prev[[#This Row],[Line No. manual corr.]]</f>
        <v>#VALUE!</v>
      </c>
      <c r="AJ937" s="1064">
        <f t="shared" si="71"/>
        <v>0</v>
      </c>
      <c r="AK937" s="1064">
        <f t="shared" si="72"/>
        <v>0</v>
      </c>
      <c r="AL937" s="1064">
        <f t="shared" si="73"/>
        <v>0</v>
      </c>
      <c r="AM937" s="1064">
        <f t="shared" si="74"/>
        <v>0</v>
      </c>
      <c r="AN937" s="1064"/>
      <c r="AO937" s="1064">
        <f>TB_prev[[#This Row],[Closing balance]]+TB_prev[[#This Row],[Rounding]]</f>
        <v>0</v>
      </c>
    </row>
    <row r="938" spans="30:41" x14ac:dyDescent="0.25">
      <c r="AD938" s="1067" t="str">
        <f t="shared" si="70"/>
        <v/>
      </c>
      <c r="AE938" s="1063" t="str">
        <f>IF(ISNA(VLOOKUP(TB_prev[[#This Row],[Synt]],GL[[#Headers],[#Data],[subtotal label]],1,FALSE)),0,(VLOOKUP(TB_prev[[#This Row],[Synt]],GL[[#Headers],[#Data],[subtotal label]],1,FALSE)))</f>
        <v/>
      </c>
      <c r="AF938" s="1063" t="e">
        <f>IF((TB_prev[[#This Row],[Synt]]-TB_prev[[#This Row],[Subtotal Y/N]])=0,0,VLOOKUP(TB_prev[[#This Row],[Synt]],GL[[Account]:[Line]],3,FALSE))</f>
        <v>#VALUE!</v>
      </c>
      <c r="AG938" s="1063" t="e">
        <f>VLOOKUP(TB_prev[[#This Row],[Synt]],GL[[Account]:[B/P]],4,FALSE)</f>
        <v>#N/A</v>
      </c>
      <c r="AH938" s="1066" t="e">
        <v>#VALUE!</v>
      </c>
      <c r="AI938" s="1065" t="e">
        <f>TB_prev[[#This Row],[Synt]]&amp;TB_prev[[#This Row],[Line No. manual corr.]]</f>
        <v>#VALUE!</v>
      </c>
      <c r="AJ938" s="1064">
        <f t="shared" si="71"/>
        <v>0</v>
      </c>
      <c r="AK938" s="1064">
        <f t="shared" si="72"/>
        <v>0</v>
      </c>
      <c r="AL938" s="1064">
        <f t="shared" si="73"/>
        <v>0</v>
      </c>
      <c r="AM938" s="1064">
        <f t="shared" si="74"/>
        <v>0</v>
      </c>
      <c r="AN938" s="1064"/>
      <c r="AO938" s="1064">
        <f>TB_prev[[#This Row],[Closing balance]]+TB_prev[[#This Row],[Rounding]]</f>
        <v>0</v>
      </c>
    </row>
    <row r="939" spans="30:41" x14ac:dyDescent="0.25">
      <c r="AD939" s="1067" t="str">
        <f t="shared" si="70"/>
        <v/>
      </c>
      <c r="AE939" s="1063" t="str">
        <f>IF(ISNA(VLOOKUP(TB_prev[[#This Row],[Synt]],GL[[#Headers],[#Data],[subtotal label]],1,FALSE)),0,(VLOOKUP(TB_prev[[#This Row],[Synt]],GL[[#Headers],[#Data],[subtotal label]],1,FALSE)))</f>
        <v/>
      </c>
      <c r="AF939" s="1063" t="e">
        <f>IF((TB_prev[[#This Row],[Synt]]-TB_prev[[#This Row],[Subtotal Y/N]])=0,0,VLOOKUP(TB_prev[[#This Row],[Synt]],GL[[Account]:[Line]],3,FALSE))</f>
        <v>#VALUE!</v>
      </c>
      <c r="AG939" s="1063" t="e">
        <f>VLOOKUP(TB_prev[[#This Row],[Synt]],GL[[Account]:[B/P]],4,FALSE)</f>
        <v>#N/A</v>
      </c>
      <c r="AH939" s="1066" t="e">
        <v>#VALUE!</v>
      </c>
      <c r="AI939" s="1065" t="e">
        <f>TB_prev[[#This Row],[Synt]]&amp;TB_prev[[#This Row],[Line No. manual corr.]]</f>
        <v>#VALUE!</v>
      </c>
      <c r="AJ939" s="1064">
        <f t="shared" si="71"/>
        <v>0</v>
      </c>
      <c r="AK939" s="1064">
        <f t="shared" si="72"/>
        <v>0</v>
      </c>
      <c r="AL939" s="1064">
        <f t="shared" si="73"/>
        <v>0</v>
      </c>
      <c r="AM939" s="1064">
        <f t="shared" si="74"/>
        <v>0</v>
      </c>
      <c r="AN939" s="1064"/>
      <c r="AO939" s="1064">
        <f>TB_prev[[#This Row],[Closing balance]]+TB_prev[[#This Row],[Rounding]]</f>
        <v>0</v>
      </c>
    </row>
    <row r="940" spans="30:41" x14ac:dyDescent="0.25">
      <c r="AD940" s="1067" t="str">
        <f t="shared" si="70"/>
        <v/>
      </c>
      <c r="AE940" s="1063" t="str">
        <f>IF(ISNA(VLOOKUP(TB_prev[[#This Row],[Synt]],GL[[#Headers],[#Data],[subtotal label]],1,FALSE)),0,(VLOOKUP(TB_prev[[#This Row],[Synt]],GL[[#Headers],[#Data],[subtotal label]],1,FALSE)))</f>
        <v/>
      </c>
      <c r="AF940" s="1063" t="e">
        <f>IF((TB_prev[[#This Row],[Synt]]-TB_prev[[#This Row],[Subtotal Y/N]])=0,0,VLOOKUP(TB_prev[[#This Row],[Synt]],GL[[Account]:[Line]],3,FALSE))</f>
        <v>#VALUE!</v>
      </c>
      <c r="AG940" s="1063" t="e">
        <f>VLOOKUP(TB_prev[[#This Row],[Synt]],GL[[Account]:[B/P]],4,FALSE)</f>
        <v>#N/A</v>
      </c>
      <c r="AH940" s="1066" t="e">
        <v>#VALUE!</v>
      </c>
      <c r="AI940" s="1065" t="e">
        <f>TB_prev[[#This Row],[Synt]]&amp;TB_prev[[#This Row],[Line No. manual corr.]]</f>
        <v>#VALUE!</v>
      </c>
      <c r="AJ940" s="1064">
        <f t="shared" si="71"/>
        <v>0</v>
      </c>
      <c r="AK940" s="1064">
        <f t="shared" si="72"/>
        <v>0</v>
      </c>
      <c r="AL940" s="1064">
        <f t="shared" si="73"/>
        <v>0</v>
      </c>
      <c r="AM940" s="1064">
        <f t="shared" si="74"/>
        <v>0</v>
      </c>
      <c r="AN940" s="1064"/>
      <c r="AO940" s="1064">
        <f>TB_prev[[#This Row],[Closing balance]]+TB_prev[[#This Row],[Rounding]]</f>
        <v>0</v>
      </c>
    </row>
    <row r="941" spans="30:41" x14ac:dyDescent="0.25">
      <c r="AD941" s="1067" t="str">
        <f t="shared" si="70"/>
        <v/>
      </c>
      <c r="AE941" s="1063" t="str">
        <f>IF(ISNA(VLOOKUP(TB_prev[[#This Row],[Synt]],GL[[#Headers],[#Data],[subtotal label]],1,FALSE)),0,(VLOOKUP(TB_prev[[#This Row],[Synt]],GL[[#Headers],[#Data],[subtotal label]],1,FALSE)))</f>
        <v/>
      </c>
      <c r="AF941" s="1063" t="e">
        <f>IF((TB_prev[[#This Row],[Synt]]-TB_prev[[#This Row],[Subtotal Y/N]])=0,0,VLOOKUP(TB_prev[[#This Row],[Synt]],GL[[Account]:[Line]],3,FALSE))</f>
        <v>#VALUE!</v>
      </c>
      <c r="AG941" s="1063" t="e">
        <f>VLOOKUP(TB_prev[[#This Row],[Synt]],GL[[Account]:[B/P]],4,FALSE)</f>
        <v>#N/A</v>
      </c>
      <c r="AH941" s="1066" t="e">
        <v>#VALUE!</v>
      </c>
      <c r="AI941" s="1065" t="e">
        <f>TB_prev[[#This Row],[Synt]]&amp;TB_prev[[#This Row],[Line No. manual corr.]]</f>
        <v>#VALUE!</v>
      </c>
      <c r="AJ941" s="1064">
        <f t="shared" si="71"/>
        <v>0</v>
      </c>
      <c r="AK941" s="1064">
        <f t="shared" si="72"/>
        <v>0</v>
      </c>
      <c r="AL941" s="1064">
        <f t="shared" si="73"/>
        <v>0</v>
      </c>
      <c r="AM941" s="1064">
        <f t="shared" si="74"/>
        <v>0</v>
      </c>
      <c r="AN941" s="1064"/>
      <c r="AO941" s="1064">
        <f>TB_prev[[#This Row],[Closing balance]]+TB_prev[[#This Row],[Rounding]]</f>
        <v>0</v>
      </c>
    </row>
    <row r="942" spans="30:41" x14ac:dyDescent="0.25">
      <c r="AD942" s="1067" t="str">
        <f t="shared" si="70"/>
        <v/>
      </c>
      <c r="AE942" s="1063" t="str">
        <f>IF(ISNA(VLOOKUP(TB_prev[[#This Row],[Synt]],GL[[#Headers],[#Data],[subtotal label]],1,FALSE)),0,(VLOOKUP(TB_prev[[#This Row],[Synt]],GL[[#Headers],[#Data],[subtotal label]],1,FALSE)))</f>
        <v/>
      </c>
      <c r="AF942" s="1063" t="e">
        <f>IF((TB_prev[[#This Row],[Synt]]-TB_prev[[#This Row],[Subtotal Y/N]])=0,0,VLOOKUP(TB_prev[[#This Row],[Synt]],GL[[Account]:[Line]],3,FALSE))</f>
        <v>#VALUE!</v>
      </c>
      <c r="AG942" s="1063" t="e">
        <f>VLOOKUP(TB_prev[[#This Row],[Synt]],GL[[Account]:[B/P]],4,FALSE)</f>
        <v>#N/A</v>
      </c>
      <c r="AH942" s="1066" t="e">
        <v>#VALUE!</v>
      </c>
      <c r="AI942" s="1065" t="e">
        <f>TB_prev[[#This Row],[Synt]]&amp;TB_prev[[#This Row],[Line No. manual corr.]]</f>
        <v>#VALUE!</v>
      </c>
      <c r="AJ942" s="1064">
        <f t="shared" si="71"/>
        <v>0</v>
      </c>
      <c r="AK942" s="1064">
        <f t="shared" si="72"/>
        <v>0</v>
      </c>
      <c r="AL942" s="1064">
        <f t="shared" si="73"/>
        <v>0</v>
      </c>
      <c r="AM942" s="1064">
        <f t="shared" si="74"/>
        <v>0</v>
      </c>
      <c r="AN942" s="1064"/>
      <c r="AO942" s="1064">
        <f>TB_prev[[#This Row],[Closing balance]]+TB_prev[[#This Row],[Rounding]]</f>
        <v>0</v>
      </c>
    </row>
    <row r="943" spans="30:41" x14ac:dyDescent="0.25">
      <c r="AD943" s="1067" t="str">
        <f t="shared" si="70"/>
        <v/>
      </c>
      <c r="AE943" s="1063" t="str">
        <f>IF(ISNA(VLOOKUP(TB_prev[[#This Row],[Synt]],GL[[#Headers],[#Data],[subtotal label]],1,FALSE)),0,(VLOOKUP(TB_prev[[#This Row],[Synt]],GL[[#Headers],[#Data],[subtotal label]],1,FALSE)))</f>
        <v/>
      </c>
      <c r="AF943" s="1063" t="e">
        <f>IF((TB_prev[[#This Row],[Synt]]-TB_prev[[#This Row],[Subtotal Y/N]])=0,0,VLOOKUP(TB_prev[[#This Row],[Synt]],GL[[Account]:[Line]],3,FALSE))</f>
        <v>#VALUE!</v>
      </c>
      <c r="AG943" s="1063" t="e">
        <f>VLOOKUP(TB_prev[[#This Row],[Synt]],GL[[Account]:[B/P]],4,FALSE)</f>
        <v>#N/A</v>
      </c>
      <c r="AH943" s="1066" t="e">
        <v>#VALUE!</v>
      </c>
      <c r="AI943" s="1065" t="e">
        <f>TB_prev[[#This Row],[Synt]]&amp;TB_prev[[#This Row],[Line No. manual corr.]]</f>
        <v>#VALUE!</v>
      </c>
      <c r="AJ943" s="1064">
        <f t="shared" si="71"/>
        <v>0</v>
      </c>
      <c r="AK943" s="1064">
        <f t="shared" si="72"/>
        <v>0</v>
      </c>
      <c r="AL943" s="1064">
        <f t="shared" si="73"/>
        <v>0</v>
      </c>
      <c r="AM943" s="1064">
        <f t="shared" si="74"/>
        <v>0</v>
      </c>
      <c r="AN943" s="1064"/>
      <c r="AO943" s="1064">
        <f>TB_prev[[#This Row],[Closing balance]]+TB_prev[[#This Row],[Rounding]]</f>
        <v>0</v>
      </c>
    </row>
    <row r="944" spans="30:41" x14ac:dyDescent="0.25">
      <c r="AD944" s="1067" t="str">
        <f t="shared" si="70"/>
        <v/>
      </c>
      <c r="AE944" s="1063" t="str">
        <f>IF(ISNA(VLOOKUP(TB_prev[[#This Row],[Synt]],GL[[#Headers],[#Data],[subtotal label]],1,FALSE)),0,(VLOOKUP(TB_prev[[#This Row],[Synt]],GL[[#Headers],[#Data],[subtotal label]],1,FALSE)))</f>
        <v/>
      </c>
      <c r="AF944" s="1063" t="e">
        <f>IF((TB_prev[[#This Row],[Synt]]-TB_prev[[#This Row],[Subtotal Y/N]])=0,0,VLOOKUP(TB_prev[[#This Row],[Synt]],GL[[Account]:[Line]],3,FALSE))</f>
        <v>#VALUE!</v>
      </c>
      <c r="AG944" s="1063" t="e">
        <f>VLOOKUP(TB_prev[[#This Row],[Synt]],GL[[Account]:[B/P]],4,FALSE)</f>
        <v>#N/A</v>
      </c>
      <c r="AH944" s="1066" t="e">
        <v>#VALUE!</v>
      </c>
      <c r="AI944" s="1065" t="e">
        <f>TB_prev[[#This Row],[Synt]]&amp;TB_prev[[#This Row],[Line No. manual corr.]]</f>
        <v>#VALUE!</v>
      </c>
      <c r="AJ944" s="1064">
        <f t="shared" si="71"/>
        <v>0</v>
      </c>
      <c r="AK944" s="1064">
        <f t="shared" si="72"/>
        <v>0</v>
      </c>
      <c r="AL944" s="1064">
        <f t="shared" si="73"/>
        <v>0</v>
      </c>
      <c r="AM944" s="1064">
        <f t="shared" si="74"/>
        <v>0</v>
      </c>
      <c r="AN944" s="1064"/>
      <c r="AO944" s="1064">
        <f>TB_prev[[#This Row],[Closing balance]]+TB_prev[[#This Row],[Rounding]]</f>
        <v>0</v>
      </c>
    </row>
    <row r="945" spans="30:41" x14ac:dyDescent="0.25">
      <c r="AD945" s="1067" t="str">
        <f t="shared" si="70"/>
        <v/>
      </c>
      <c r="AE945" s="1063" t="str">
        <f>IF(ISNA(VLOOKUP(TB_prev[[#This Row],[Synt]],GL[[#Headers],[#Data],[subtotal label]],1,FALSE)),0,(VLOOKUP(TB_prev[[#This Row],[Synt]],GL[[#Headers],[#Data],[subtotal label]],1,FALSE)))</f>
        <v/>
      </c>
      <c r="AF945" s="1063" t="e">
        <f>IF((TB_prev[[#This Row],[Synt]]-TB_prev[[#This Row],[Subtotal Y/N]])=0,0,VLOOKUP(TB_prev[[#This Row],[Synt]],GL[[Account]:[Line]],3,FALSE))</f>
        <v>#VALUE!</v>
      </c>
      <c r="AG945" s="1063" t="e">
        <f>VLOOKUP(TB_prev[[#This Row],[Synt]],GL[[Account]:[B/P]],4,FALSE)</f>
        <v>#N/A</v>
      </c>
      <c r="AH945" s="1066" t="e">
        <v>#VALUE!</v>
      </c>
      <c r="AI945" s="1065" t="e">
        <f>TB_prev[[#This Row],[Synt]]&amp;TB_prev[[#This Row],[Line No. manual corr.]]</f>
        <v>#VALUE!</v>
      </c>
      <c r="AJ945" s="1064">
        <f t="shared" si="71"/>
        <v>0</v>
      </c>
      <c r="AK945" s="1064">
        <f t="shared" si="72"/>
        <v>0</v>
      </c>
      <c r="AL945" s="1064">
        <f t="shared" si="73"/>
        <v>0</v>
      </c>
      <c r="AM945" s="1064">
        <f t="shared" si="74"/>
        <v>0</v>
      </c>
      <c r="AN945" s="1064"/>
      <c r="AO945" s="1064">
        <f>TB_prev[[#This Row],[Closing balance]]+TB_prev[[#This Row],[Rounding]]</f>
        <v>0</v>
      </c>
    </row>
    <row r="946" spans="30:41" x14ac:dyDescent="0.25">
      <c r="AD946" s="1067" t="str">
        <f t="shared" si="70"/>
        <v/>
      </c>
      <c r="AE946" s="1063" t="str">
        <f>IF(ISNA(VLOOKUP(TB_prev[[#This Row],[Synt]],GL[[#Headers],[#Data],[subtotal label]],1,FALSE)),0,(VLOOKUP(TB_prev[[#This Row],[Synt]],GL[[#Headers],[#Data],[subtotal label]],1,FALSE)))</f>
        <v/>
      </c>
      <c r="AF946" s="1063" t="e">
        <f>IF((TB_prev[[#This Row],[Synt]]-TB_prev[[#This Row],[Subtotal Y/N]])=0,0,VLOOKUP(TB_prev[[#This Row],[Synt]],GL[[Account]:[Line]],3,FALSE))</f>
        <v>#VALUE!</v>
      </c>
      <c r="AG946" s="1063" t="e">
        <f>VLOOKUP(TB_prev[[#This Row],[Synt]],GL[[Account]:[B/P]],4,FALSE)</f>
        <v>#N/A</v>
      </c>
      <c r="AH946" s="1066" t="e">
        <v>#VALUE!</v>
      </c>
      <c r="AI946" s="1065" t="e">
        <f>TB_prev[[#This Row],[Synt]]&amp;TB_prev[[#This Row],[Line No. manual corr.]]</f>
        <v>#VALUE!</v>
      </c>
      <c r="AJ946" s="1064">
        <f t="shared" si="71"/>
        <v>0</v>
      </c>
      <c r="AK946" s="1064">
        <f t="shared" si="72"/>
        <v>0</v>
      </c>
      <c r="AL946" s="1064">
        <f t="shared" si="73"/>
        <v>0</v>
      </c>
      <c r="AM946" s="1064">
        <f t="shared" si="74"/>
        <v>0</v>
      </c>
      <c r="AN946" s="1064"/>
      <c r="AO946" s="1064">
        <f>TB_prev[[#This Row],[Closing balance]]+TB_prev[[#This Row],[Rounding]]</f>
        <v>0</v>
      </c>
    </row>
    <row r="947" spans="30:41" x14ac:dyDescent="0.25">
      <c r="AD947" s="1067" t="str">
        <f t="shared" si="70"/>
        <v/>
      </c>
      <c r="AE947" s="1063" t="str">
        <f>IF(ISNA(VLOOKUP(TB_prev[[#This Row],[Synt]],GL[[#Headers],[#Data],[subtotal label]],1,FALSE)),0,(VLOOKUP(TB_prev[[#This Row],[Synt]],GL[[#Headers],[#Data],[subtotal label]],1,FALSE)))</f>
        <v/>
      </c>
      <c r="AF947" s="1063" t="e">
        <f>IF((TB_prev[[#This Row],[Synt]]-TB_prev[[#This Row],[Subtotal Y/N]])=0,0,VLOOKUP(TB_prev[[#This Row],[Synt]],GL[[Account]:[Line]],3,FALSE))</f>
        <v>#VALUE!</v>
      </c>
      <c r="AG947" s="1063" t="e">
        <f>VLOOKUP(TB_prev[[#This Row],[Synt]],GL[[Account]:[B/P]],4,FALSE)</f>
        <v>#N/A</v>
      </c>
      <c r="AH947" s="1066" t="e">
        <v>#VALUE!</v>
      </c>
      <c r="AI947" s="1065" t="e">
        <f>TB_prev[[#This Row],[Synt]]&amp;TB_prev[[#This Row],[Line No. manual corr.]]</f>
        <v>#VALUE!</v>
      </c>
      <c r="AJ947" s="1064">
        <f t="shared" si="71"/>
        <v>0</v>
      </c>
      <c r="AK947" s="1064">
        <f t="shared" si="72"/>
        <v>0</v>
      </c>
      <c r="AL947" s="1064">
        <f t="shared" si="73"/>
        <v>0</v>
      </c>
      <c r="AM947" s="1064">
        <f t="shared" si="74"/>
        <v>0</v>
      </c>
      <c r="AN947" s="1064"/>
      <c r="AO947" s="1064">
        <f>TB_prev[[#This Row],[Closing balance]]+TB_prev[[#This Row],[Rounding]]</f>
        <v>0</v>
      </c>
    </row>
    <row r="948" spans="30:41" x14ac:dyDescent="0.25">
      <c r="AD948" s="1067" t="str">
        <f t="shared" si="70"/>
        <v/>
      </c>
      <c r="AE948" s="1063" t="str">
        <f>IF(ISNA(VLOOKUP(TB_prev[[#This Row],[Synt]],GL[[#Headers],[#Data],[subtotal label]],1,FALSE)),0,(VLOOKUP(TB_prev[[#This Row],[Synt]],GL[[#Headers],[#Data],[subtotal label]],1,FALSE)))</f>
        <v/>
      </c>
      <c r="AF948" s="1063" t="e">
        <f>IF((TB_prev[[#This Row],[Synt]]-TB_prev[[#This Row],[Subtotal Y/N]])=0,0,VLOOKUP(TB_prev[[#This Row],[Synt]],GL[[Account]:[Line]],3,FALSE))</f>
        <v>#VALUE!</v>
      </c>
      <c r="AG948" s="1063" t="e">
        <f>VLOOKUP(TB_prev[[#This Row],[Synt]],GL[[Account]:[B/P]],4,FALSE)</f>
        <v>#N/A</v>
      </c>
      <c r="AH948" s="1066" t="e">
        <v>#VALUE!</v>
      </c>
      <c r="AI948" s="1065" t="e">
        <f>TB_prev[[#This Row],[Synt]]&amp;TB_prev[[#This Row],[Line No. manual corr.]]</f>
        <v>#VALUE!</v>
      </c>
      <c r="AJ948" s="1064">
        <f t="shared" si="71"/>
        <v>0</v>
      </c>
      <c r="AK948" s="1064">
        <f t="shared" si="72"/>
        <v>0</v>
      </c>
      <c r="AL948" s="1064">
        <f t="shared" si="73"/>
        <v>0</v>
      </c>
      <c r="AM948" s="1064">
        <f t="shared" si="74"/>
        <v>0</v>
      </c>
      <c r="AN948" s="1064"/>
      <c r="AO948" s="1064">
        <f>TB_prev[[#This Row],[Closing balance]]+TB_prev[[#This Row],[Rounding]]</f>
        <v>0</v>
      </c>
    </row>
    <row r="949" spans="30:41" x14ac:dyDescent="0.25">
      <c r="AD949" s="1067" t="str">
        <f t="shared" si="70"/>
        <v/>
      </c>
      <c r="AE949" s="1063" t="str">
        <f>IF(ISNA(VLOOKUP(TB_prev[[#This Row],[Synt]],GL[[#Headers],[#Data],[subtotal label]],1,FALSE)),0,(VLOOKUP(TB_prev[[#This Row],[Synt]],GL[[#Headers],[#Data],[subtotal label]],1,FALSE)))</f>
        <v/>
      </c>
      <c r="AF949" s="1063" t="e">
        <f>IF((TB_prev[[#This Row],[Synt]]-TB_prev[[#This Row],[Subtotal Y/N]])=0,0,VLOOKUP(TB_prev[[#This Row],[Synt]],GL[[Account]:[Line]],3,FALSE))</f>
        <v>#VALUE!</v>
      </c>
      <c r="AG949" s="1063" t="e">
        <f>VLOOKUP(TB_prev[[#This Row],[Synt]],GL[[Account]:[B/P]],4,FALSE)</f>
        <v>#N/A</v>
      </c>
      <c r="AH949" s="1066" t="e">
        <v>#VALUE!</v>
      </c>
      <c r="AI949" s="1065" t="e">
        <f>TB_prev[[#This Row],[Synt]]&amp;TB_prev[[#This Row],[Line No. manual corr.]]</f>
        <v>#VALUE!</v>
      </c>
      <c r="AJ949" s="1064">
        <f t="shared" si="71"/>
        <v>0</v>
      </c>
      <c r="AK949" s="1064">
        <f t="shared" si="72"/>
        <v>0</v>
      </c>
      <c r="AL949" s="1064">
        <f t="shared" si="73"/>
        <v>0</v>
      </c>
      <c r="AM949" s="1064">
        <f t="shared" si="74"/>
        <v>0</v>
      </c>
      <c r="AN949" s="1064"/>
      <c r="AO949" s="1064">
        <f>TB_prev[[#This Row],[Closing balance]]+TB_prev[[#This Row],[Rounding]]</f>
        <v>0</v>
      </c>
    </row>
    <row r="950" spans="30:41" x14ac:dyDescent="0.25">
      <c r="AD950" s="1067" t="str">
        <f t="shared" si="70"/>
        <v/>
      </c>
      <c r="AE950" s="1063" t="str">
        <f>IF(ISNA(VLOOKUP(TB_prev[[#This Row],[Synt]],GL[[#Headers],[#Data],[subtotal label]],1,FALSE)),0,(VLOOKUP(TB_prev[[#This Row],[Synt]],GL[[#Headers],[#Data],[subtotal label]],1,FALSE)))</f>
        <v/>
      </c>
      <c r="AF950" s="1063" t="e">
        <f>IF((TB_prev[[#This Row],[Synt]]-TB_prev[[#This Row],[Subtotal Y/N]])=0,0,VLOOKUP(TB_prev[[#This Row],[Synt]],GL[[Account]:[Line]],3,FALSE))</f>
        <v>#VALUE!</v>
      </c>
      <c r="AG950" s="1063" t="e">
        <f>VLOOKUP(TB_prev[[#This Row],[Synt]],GL[[Account]:[B/P]],4,FALSE)</f>
        <v>#N/A</v>
      </c>
      <c r="AH950" s="1066" t="e">
        <v>#VALUE!</v>
      </c>
      <c r="AI950" s="1065" t="e">
        <f>TB_prev[[#This Row],[Synt]]&amp;TB_prev[[#This Row],[Line No. manual corr.]]</f>
        <v>#VALUE!</v>
      </c>
      <c r="AJ950" s="1064">
        <f t="shared" si="71"/>
        <v>0</v>
      </c>
      <c r="AK950" s="1064">
        <f t="shared" si="72"/>
        <v>0</v>
      </c>
      <c r="AL950" s="1064">
        <f t="shared" si="73"/>
        <v>0</v>
      </c>
      <c r="AM950" s="1064">
        <f t="shared" si="74"/>
        <v>0</v>
      </c>
      <c r="AN950" s="1064"/>
      <c r="AO950" s="1064">
        <f>TB_prev[[#This Row],[Closing balance]]+TB_prev[[#This Row],[Rounding]]</f>
        <v>0</v>
      </c>
    </row>
    <row r="951" spans="30:41" x14ac:dyDescent="0.25">
      <c r="AD951" s="1067" t="str">
        <f t="shared" si="70"/>
        <v/>
      </c>
      <c r="AE951" s="1063" t="str">
        <f>IF(ISNA(VLOOKUP(TB_prev[[#This Row],[Synt]],GL[[#Headers],[#Data],[subtotal label]],1,FALSE)),0,(VLOOKUP(TB_prev[[#This Row],[Synt]],GL[[#Headers],[#Data],[subtotal label]],1,FALSE)))</f>
        <v/>
      </c>
      <c r="AF951" s="1063" t="e">
        <f>IF((TB_prev[[#This Row],[Synt]]-TB_prev[[#This Row],[Subtotal Y/N]])=0,0,VLOOKUP(TB_prev[[#This Row],[Synt]],GL[[Account]:[Line]],3,FALSE))</f>
        <v>#VALUE!</v>
      </c>
      <c r="AG951" s="1063" t="e">
        <f>VLOOKUP(TB_prev[[#This Row],[Synt]],GL[[Account]:[B/P]],4,FALSE)</f>
        <v>#N/A</v>
      </c>
      <c r="AH951" s="1066" t="e">
        <v>#VALUE!</v>
      </c>
      <c r="AI951" s="1065" t="e">
        <f>TB_prev[[#This Row],[Synt]]&amp;TB_prev[[#This Row],[Line No. manual corr.]]</f>
        <v>#VALUE!</v>
      </c>
      <c r="AJ951" s="1064">
        <f t="shared" si="71"/>
        <v>0</v>
      </c>
      <c r="AK951" s="1064">
        <f t="shared" si="72"/>
        <v>0</v>
      </c>
      <c r="AL951" s="1064">
        <f t="shared" si="73"/>
        <v>0</v>
      </c>
      <c r="AM951" s="1064">
        <f t="shared" si="74"/>
        <v>0</v>
      </c>
      <c r="AN951" s="1064"/>
      <c r="AO951" s="1064">
        <f>TB_prev[[#This Row],[Closing balance]]+TB_prev[[#This Row],[Rounding]]</f>
        <v>0</v>
      </c>
    </row>
    <row r="952" spans="30:41" x14ac:dyDescent="0.25">
      <c r="AD952" s="1067" t="str">
        <f t="shared" si="70"/>
        <v/>
      </c>
      <c r="AE952" s="1063" t="str">
        <f>IF(ISNA(VLOOKUP(TB_prev[[#This Row],[Synt]],GL[[#Headers],[#Data],[subtotal label]],1,FALSE)),0,(VLOOKUP(TB_prev[[#This Row],[Synt]],GL[[#Headers],[#Data],[subtotal label]],1,FALSE)))</f>
        <v/>
      </c>
      <c r="AF952" s="1063" t="e">
        <f>IF((TB_prev[[#This Row],[Synt]]-TB_prev[[#This Row],[Subtotal Y/N]])=0,0,VLOOKUP(TB_prev[[#This Row],[Synt]],GL[[Account]:[Line]],3,FALSE))</f>
        <v>#VALUE!</v>
      </c>
      <c r="AG952" s="1063" t="e">
        <f>VLOOKUP(TB_prev[[#This Row],[Synt]],GL[[Account]:[B/P]],4,FALSE)</f>
        <v>#N/A</v>
      </c>
      <c r="AH952" s="1066" t="e">
        <v>#VALUE!</v>
      </c>
      <c r="AI952" s="1065" t="e">
        <f>TB_prev[[#This Row],[Synt]]&amp;TB_prev[[#This Row],[Line No. manual corr.]]</f>
        <v>#VALUE!</v>
      </c>
      <c r="AJ952" s="1064">
        <f t="shared" si="71"/>
        <v>0</v>
      </c>
      <c r="AK952" s="1064">
        <f t="shared" si="72"/>
        <v>0</v>
      </c>
      <c r="AL952" s="1064">
        <f t="shared" si="73"/>
        <v>0</v>
      </c>
      <c r="AM952" s="1064">
        <f t="shared" si="74"/>
        <v>0</v>
      </c>
      <c r="AN952" s="1064"/>
      <c r="AO952" s="1064">
        <f>TB_prev[[#This Row],[Closing balance]]+TB_prev[[#This Row],[Rounding]]</f>
        <v>0</v>
      </c>
    </row>
    <row r="953" spans="30:41" x14ac:dyDescent="0.25">
      <c r="AD953" s="1067" t="str">
        <f t="shared" si="70"/>
        <v/>
      </c>
      <c r="AE953" s="1063" t="str">
        <f>IF(ISNA(VLOOKUP(TB_prev[[#This Row],[Synt]],GL[[#Headers],[#Data],[subtotal label]],1,FALSE)),0,(VLOOKUP(TB_prev[[#This Row],[Synt]],GL[[#Headers],[#Data],[subtotal label]],1,FALSE)))</f>
        <v/>
      </c>
      <c r="AF953" s="1063" t="e">
        <f>IF((TB_prev[[#This Row],[Synt]]-TB_prev[[#This Row],[Subtotal Y/N]])=0,0,VLOOKUP(TB_prev[[#This Row],[Synt]],GL[[Account]:[Line]],3,FALSE))</f>
        <v>#VALUE!</v>
      </c>
      <c r="AG953" s="1063" t="e">
        <f>VLOOKUP(TB_prev[[#This Row],[Synt]],GL[[Account]:[B/P]],4,FALSE)</f>
        <v>#N/A</v>
      </c>
      <c r="AH953" s="1066" t="e">
        <v>#VALUE!</v>
      </c>
      <c r="AI953" s="1065" t="e">
        <f>TB_prev[[#This Row],[Synt]]&amp;TB_prev[[#This Row],[Line No. manual corr.]]</f>
        <v>#VALUE!</v>
      </c>
      <c r="AJ953" s="1064">
        <f t="shared" si="71"/>
        <v>0</v>
      </c>
      <c r="AK953" s="1064">
        <f t="shared" si="72"/>
        <v>0</v>
      </c>
      <c r="AL953" s="1064">
        <f t="shared" si="73"/>
        <v>0</v>
      </c>
      <c r="AM953" s="1064">
        <f t="shared" si="74"/>
        <v>0</v>
      </c>
      <c r="AN953" s="1064"/>
      <c r="AO953" s="1064">
        <f>TB_prev[[#This Row],[Closing balance]]+TB_prev[[#This Row],[Rounding]]</f>
        <v>0</v>
      </c>
    </row>
    <row r="954" spans="30:41" x14ac:dyDescent="0.25">
      <c r="AD954" s="1067" t="str">
        <f t="shared" si="70"/>
        <v/>
      </c>
      <c r="AE954" s="1063" t="str">
        <f>IF(ISNA(VLOOKUP(TB_prev[[#This Row],[Synt]],GL[[#Headers],[#Data],[subtotal label]],1,FALSE)),0,(VLOOKUP(TB_prev[[#This Row],[Synt]],GL[[#Headers],[#Data],[subtotal label]],1,FALSE)))</f>
        <v/>
      </c>
      <c r="AF954" s="1063" t="e">
        <f>IF((TB_prev[[#This Row],[Synt]]-TB_prev[[#This Row],[Subtotal Y/N]])=0,0,VLOOKUP(TB_prev[[#This Row],[Synt]],GL[[Account]:[Line]],3,FALSE))</f>
        <v>#VALUE!</v>
      </c>
      <c r="AG954" s="1063" t="e">
        <f>VLOOKUP(TB_prev[[#This Row],[Synt]],GL[[Account]:[B/P]],4,FALSE)</f>
        <v>#N/A</v>
      </c>
      <c r="AH954" s="1066" t="e">
        <v>#VALUE!</v>
      </c>
      <c r="AI954" s="1065" t="e">
        <f>TB_prev[[#This Row],[Synt]]&amp;TB_prev[[#This Row],[Line No. manual corr.]]</f>
        <v>#VALUE!</v>
      </c>
      <c r="AJ954" s="1064">
        <f t="shared" si="71"/>
        <v>0</v>
      </c>
      <c r="AK954" s="1064">
        <f t="shared" si="72"/>
        <v>0</v>
      </c>
      <c r="AL954" s="1064">
        <f t="shared" si="73"/>
        <v>0</v>
      </c>
      <c r="AM954" s="1064">
        <f t="shared" si="74"/>
        <v>0</v>
      </c>
      <c r="AN954" s="1064"/>
      <c r="AO954" s="1064">
        <f>TB_prev[[#This Row],[Closing balance]]+TB_prev[[#This Row],[Rounding]]</f>
        <v>0</v>
      </c>
    </row>
    <row r="955" spans="30:41" x14ac:dyDescent="0.25">
      <c r="AD955" s="1067" t="str">
        <f t="shared" si="70"/>
        <v/>
      </c>
      <c r="AE955" s="1063" t="str">
        <f>IF(ISNA(VLOOKUP(TB_prev[[#This Row],[Synt]],GL[[#Headers],[#Data],[subtotal label]],1,FALSE)),0,(VLOOKUP(TB_prev[[#This Row],[Synt]],GL[[#Headers],[#Data],[subtotal label]],1,FALSE)))</f>
        <v/>
      </c>
      <c r="AF955" s="1063" t="e">
        <f>IF((TB_prev[[#This Row],[Synt]]-TB_prev[[#This Row],[Subtotal Y/N]])=0,0,VLOOKUP(TB_prev[[#This Row],[Synt]],GL[[Account]:[Line]],3,FALSE))</f>
        <v>#VALUE!</v>
      </c>
      <c r="AG955" s="1063" t="e">
        <f>VLOOKUP(TB_prev[[#This Row],[Synt]],GL[[Account]:[B/P]],4,FALSE)</f>
        <v>#N/A</v>
      </c>
      <c r="AH955" s="1066" t="e">
        <v>#VALUE!</v>
      </c>
      <c r="AI955" s="1065" t="e">
        <f>TB_prev[[#This Row],[Synt]]&amp;TB_prev[[#This Row],[Line No. manual corr.]]</f>
        <v>#VALUE!</v>
      </c>
      <c r="AJ955" s="1064">
        <f t="shared" si="71"/>
        <v>0</v>
      </c>
      <c r="AK955" s="1064">
        <f t="shared" si="72"/>
        <v>0</v>
      </c>
      <c r="AL955" s="1064">
        <f t="shared" si="73"/>
        <v>0</v>
      </c>
      <c r="AM955" s="1064">
        <f t="shared" si="74"/>
        <v>0</v>
      </c>
      <c r="AN955" s="1064"/>
      <c r="AO955" s="1064">
        <f>TB_prev[[#This Row],[Closing balance]]+TB_prev[[#This Row],[Rounding]]</f>
        <v>0</v>
      </c>
    </row>
    <row r="956" spans="30:41" x14ac:dyDescent="0.25">
      <c r="AD956" s="1067" t="str">
        <f t="shared" si="70"/>
        <v/>
      </c>
      <c r="AE956" s="1063" t="str">
        <f>IF(ISNA(VLOOKUP(TB_prev[[#This Row],[Synt]],GL[[#Headers],[#Data],[subtotal label]],1,FALSE)),0,(VLOOKUP(TB_prev[[#This Row],[Synt]],GL[[#Headers],[#Data],[subtotal label]],1,FALSE)))</f>
        <v/>
      </c>
      <c r="AF956" s="1063" t="e">
        <f>IF((TB_prev[[#This Row],[Synt]]-TB_prev[[#This Row],[Subtotal Y/N]])=0,0,VLOOKUP(TB_prev[[#This Row],[Synt]],GL[[Account]:[Line]],3,FALSE))</f>
        <v>#VALUE!</v>
      </c>
      <c r="AG956" s="1063" t="e">
        <f>VLOOKUP(TB_prev[[#This Row],[Synt]],GL[[Account]:[B/P]],4,FALSE)</f>
        <v>#N/A</v>
      </c>
      <c r="AH956" s="1066" t="e">
        <v>#VALUE!</v>
      </c>
      <c r="AI956" s="1065" t="e">
        <f>TB_prev[[#This Row],[Synt]]&amp;TB_prev[[#This Row],[Line No. manual corr.]]</f>
        <v>#VALUE!</v>
      </c>
      <c r="AJ956" s="1064">
        <f t="shared" si="71"/>
        <v>0</v>
      </c>
      <c r="AK956" s="1064">
        <f t="shared" si="72"/>
        <v>0</v>
      </c>
      <c r="AL956" s="1064">
        <f t="shared" si="73"/>
        <v>0</v>
      </c>
      <c r="AM956" s="1064">
        <f t="shared" si="74"/>
        <v>0</v>
      </c>
      <c r="AN956" s="1064"/>
      <c r="AO956" s="1064">
        <f>TB_prev[[#This Row],[Closing balance]]+TB_prev[[#This Row],[Rounding]]</f>
        <v>0</v>
      </c>
    </row>
    <row r="957" spans="30:41" x14ac:dyDescent="0.25">
      <c r="AD957" s="1067" t="str">
        <f t="shared" si="70"/>
        <v/>
      </c>
      <c r="AE957" s="1063" t="str">
        <f>IF(ISNA(VLOOKUP(TB_prev[[#This Row],[Synt]],GL[[#Headers],[#Data],[subtotal label]],1,FALSE)),0,(VLOOKUP(TB_prev[[#This Row],[Synt]],GL[[#Headers],[#Data],[subtotal label]],1,FALSE)))</f>
        <v/>
      </c>
      <c r="AF957" s="1063" t="e">
        <f>IF((TB_prev[[#This Row],[Synt]]-TB_prev[[#This Row],[Subtotal Y/N]])=0,0,VLOOKUP(TB_prev[[#This Row],[Synt]],GL[[Account]:[Line]],3,FALSE))</f>
        <v>#VALUE!</v>
      </c>
      <c r="AG957" s="1063" t="e">
        <f>VLOOKUP(TB_prev[[#This Row],[Synt]],GL[[Account]:[B/P]],4,FALSE)</f>
        <v>#N/A</v>
      </c>
      <c r="AH957" s="1066" t="e">
        <v>#VALUE!</v>
      </c>
      <c r="AI957" s="1065" t="e">
        <f>TB_prev[[#This Row],[Synt]]&amp;TB_prev[[#This Row],[Line No. manual corr.]]</f>
        <v>#VALUE!</v>
      </c>
      <c r="AJ957" s="1064">
        <f t="shared" si="71"/>
        <v>0</v>
      </c>
      <c r="AK957" s="1064">
        <f t="shared" si="72"/>
        <v>0</v>
      </c>
      <c r="AL957" s="1064">
        <f t="shared" si="73"/>
        <v>0</v>
      </c>
      <c r="AM957" s="1064">
        <f t="shared" si="74"/>
        <v>0</v>
      </c>
      <c r="AN957" s="1064"/>
      <c r="AO957" s="1064">
        <f>TB_prev[[#This Row],[Closing balance]]+TB_prev[[#This Row],[Rounding]]</f>
        <v>0</v>
      </c>
    </row>
    <row r="958" spans="30:41" x14ac:dyDescent="0.25">
      <c r="AD958" s="1067" t="str">
        <f t="shared" si="70"/>
        <v/>
      </c>
      <c r="AE958" s="1063" t="str">
        <f>IF(ISNA(VLOOKUP(TB_prev[[#This Row],[Synt]],GL[[#Headers],[#Data],[subtotal label]],1,FALSE)),0,(VLOOKUP(TB_prev[[#This Row],[Synt]],GL[[#Headers],[#Data],[subtotal label]],1,FALSE)))</f>
        <v/>
      </c>
      <c r="AF958" s="1063" t="e">
        <f>IF((TB_prev[[#This Row],[Synt]]-TB_prev[[#This Row],[Subtotal Y/N]])=0,0,VLOOKUP(TB_prev[[#This Row],[Synt]],GL[[Account]:[Line]],3,FALSE))</f>
        <v>#VALUE!</v>
      </c>
      <c r="AG958" s="1063" t="e">
        <f>VLOOKUP(TB_prev[[#This Row],[Synt]],GL[[Account]:[B/P]],4,FALSE)</f>
        <v>#N/A</v>
      </c>
      <c r="AH958" s="1066" t="e">
        <v>#VALUE!</v>
      </c>
      <c r="AI958" s="1065" t="e">
        <f>TB_prev[[#This Row],[Synt]]&amp;TB_prev[[#This Row],[Line No. manual corr.]]</f>
        <v>#VALUE!</v>
      </c>
      <c r="AJ958" s="1064">
        <f t="shared" si="71"/>
        <v>0</v>
      </c>
      <c r="AK958" s="1064">
        <f t="shared" si="72"/>
        <v>0</v>
      </c>
      <c r="AL958" s="1064">
        <f t="shared" si="73"/>
        <v>0</v>
      </c>
      <c r="AM958" s="1064">
        <f t="shared" si="74"/>
        <v>0</v>
      </c>
      <c r="AN958" s="1064"/>
      <c r="AO958" s="1064">
        <f>TB_prev[[#This Row],[Closing balance]]+TB_prev[[#This Row],[Rounding]]</f>
        <v>0</v>
      </c>
    </row>
    <row r="959" spans="30:41" x14ac:dyDescent="0.25">
      <c r="AD959" s="1067" t="str">
        <f t="shared" si="70"/>
        <v/>
      </c>
      <c r="AE959" s="1063" t="str">
        <f>IF(ISNA(VLOOKUP(TB_prev[[#This Row],[Synt]],GL[[#Headers],[#Data],[subtotal label]],1,FALSE)),0,(VLOOKUP(TB_prev[[#This Row],[Synt]],GL[[#Headers],[#Data],[subtotal label]],1,FALSE)))</f>
        <v/>
      </c>
      <c r="AF959" s="1063" t="e">
        <f>IF((TB_prev[[#This Row],[Synt]]-TB_prev[[#This Row],[Subtotal Y/N]])=0,0,VLOOKUP(TB_prev[[#This Row],[Synt]],GL[[Account]:[Line]],3,FALSE))</f>
        <v>#VALUE!</v>
      </c>
      <c r="AG959" s="1063" t="e">
        <f>VLOOKUP(TB_prev[[#This Row],[Synt]],GL[[Account]:[B/P]],4,FALSE)</f>
        <v>#N/A</v>
      </c>
      <c r="AH959" s="1066" t="e">
        <v>#VALUE!</v>
      </c>
      <c r="AI959" s="1065" t="e">
        <f>TB_prev[[#This Row],[Synt]]&amp;TB_prev[[#This Row],[Line No. manual corr.]]</f>
        <v>#VALUE!</v>
      </c>
      <c r="AJ959" s="1064">
        <f t="shared" si="71"/>
        <v>0</v>
      </c>
      <c r="AK959" s="1064">
        <f t="shared" si="72"/>
        <v>0</v>
      </c>
      <c r="AL959" s="1064">
        <f t="shared" si="73"/>
        <v>0</v>
      </c>
      <c r="AM959" s="1064">
        <f t="shared" si="74"/>
        <v>0</v>
      </c>
      <c r="AN959" s="1064"/>
      <c r="AO959" s="1064">
        <f>TB_prev[[#This Row],[Closing balance]]+TB_prev[[#This Row],[Rounding]]</f>
        <v>0</v>
      </c>
    </row>
    <row r="960" spans="30:41" x14ac:dyDescent="0.25">
      <c r="AD960" s="1067" t="str">
        <f t="shared" si="70"/>
        <v/>
      </c>
      <c r="AE960" s="1063" t="str">
        <f>IF(ISNA(VLOOKUP(TB_prev[[#This Row],[Synt]],GL[[#Headers],[#Data],[subtotal label]],1,FALSE)),0,(VLOOKUP(TB_prev[[#This Row],[Synt]],GL[[#Headers],[#Data],[subtotal label]],1,FALSE)))</f>
        <v/>
      </c>
      <c r="AF960" s="1063" t="e">
        <f>IF((TB_prev[[#This Row],[Synt]]-TB_prev[[#This Row],[Subtotal Y/N]])=0,0,VLOOKUP(TB_prev[[#This Row],[Synt]],GL[[Account]:[Line]],3,FALSE))</f>
        <v>#VALUE!</v>
      </c>
      <c r="AG960" s="1063" t="e">
        <f>VLOOKUP(TB_prev[[#This Row],[Synt]],GL[[Account]:[B/P]],4,FALSE)</f>
        <v>#N/A</v>
      </c>
      <c r="AH960" s="1066" t="e">
        <v>#VALUE!</v>
      </c>
      <c r="AI960" s="1065" t="e">
        <f>TB_prev[[#This Row],[Synt]]&amp;TB_prev[[#This Row],[Line No. manual corr.]]</f>
        <v>#VALUE!</v>
      </c>
      <c r="AJ960" s="1064">
        <f t="shared" si="71"/>
        <v>0</v>
      </c>
      <c r="AK960" s="1064">
        <f t="shared" si="72"/>
        <v>0</v>
      </c>
      <c r="AL960" s="1064">
        <f t="shared" si="73"/>
        <v>0</v>
      </c>
      <c r="AM960" s="1064">
        <f t="shared" si="74"/>
        <v>0</v>
      </c>
      <c r="AN960" s="1064"/>
      <c r="AO960" s="1064">
        <f>TB_prev[[#This Row],[Closing balance]]+TB_prev[[#This Row],[Rounding]]</f>
        <v>0</v>
      </c>
    </row>
    <row r="961" spans="30:41" x14ac:dyDescent="0.25">
      <c r="AD961" s="1067" t="str">
        <f t="shared" si="70"/>
        <v/>
      </c>
      <c r="AE961" s="1063" t="str">
        <f>IF(ISNA(VLOOKUP(TB_prev[[#This Row],[Synt]],GL[[#Headers],[#Data],[subtotal label]],1,FALSE)),0,(VLOOKUP(TB_prev[[#This Row],[Synt]],GL[[#Headers],[#Data],[subtotal label]],1,FALSE)))</f>
        <v/>
      </c>
      <c r="AF961" s="1063" t="e">
        <f>IF((TB_prev[[#This Row],[Synt]]-TB_prev[[#This Row],[Subtotal Y/N]])=0,0,VLOOKUP(TB_prev[[#This Row],[Synt]],GL[[Account]:[Line]],3,FALSE))</f>
        <v>#VALUE!</v>
      </c>
      <c r="AG961" s="1063" t="e">
        <f>VLOOKUP(TB_prev[[#This Row],[Synt]],GL[[Account]:[B/P]],4,FALSE)</f>
        <v>#N/A</v>
      </c>
      <c r="AH961" s="1066" t="e">
        <v>#VALUE!</v>
      </c>
      <c r="AI961" s="1065" t="e">
        <f>TB_prev[[#This Row],[Synt]]&amp;TB_prev[[#This Row],[Line No. manual corr.]]</f>
        <v>#VALUE!</v>
      </c>
      <c r="AJ961" s="1064">
        <f t="shared" si="71"/>
        <v>0</v>
      </c>
      <c r="AK961" s="1064">
        <f t="shared" si="72"/>
        <v>0</v>
      </c>
      <c r="AL961" s="1064">
        <f t="shared" si="73"/>
        <v>0</v>
      </c>
      <c r="AM961" s="1064">
        <f t="shared" si="74"/>
        <v>0</v>
      </c>
      <c r="AN961" s="1064"/>
      <c r="AO961" s="1064">
        <f>TB_prev[[#This Row],[Closing balance]]+TB_prev[[#This Row],[Rounding]]</f>
        <v>0</v>
      </c>
    </row>
    <row r="962" spans="30:41" x14ac:dyDescent="0.25">
      <c r="AD962" s="1067" t="str">
        <f t="shared" si="70"/>
        <v/>
      </c>
      <c r="AE962" s="1063" t="str">
        <f>IF(ISNA(VLOOKUP(TB_prev[[#This Row],[Synt]],GL[[#Headers],[#Data],[subtotal label]],1,FALSE)),0,(VLOOKUP(TB_prev[[#This Row],[Synt]],GL[[#Headers],[#Data],[subtotal label]],1,FALSE)))</f>
        <v/>
      </c>
      <c r="AF962" s="1063" t="e">
        <f>IF((TB_prev[[#This Row],[Synt]]-TB_prev[[#This Row],[Subtotal Y/N]])=0,0,VLOOKUP(TB_prev[[#This Row],[Synt]],GL[[Account]:[Line]],3,FALSE))</f>
        <v>#VALUE!</v>
      </c>
      <c r="AG962" s="1063" t="e">
        <f>VLOOKUP(TB_prev[[#This Row],[Synt]],GL[[Account]:[B/P]],4,FALSE)</f>
        <v>#N/A</v>
      </c>
      <c r="AH962" s="1066" t="e">
        <v>#VALUE!</v>
      </c>
      <c r="AI962" s="1065" t="e">
        <f>TB_prev[[#This Row],[Synt]]&amp;TB_prev[[#This Row],[Line No. manual corr.]]</f>
        <v>#VALUE!</v>
      </c>
      <c r="AJ962" s="1064">
        <f t="shared" si="71"/>
        <v>0</v>
      </c>
      <c r="AK962" s="1064">
        <f t="shared" si="72"/>
        <v>0</v>
      </c>
      <c r="AL962" s="1064">
        <f t="shared" si="73"/>
        <v>0</v>
      </c>
      <c r="AM962" s="1064">
        <f t="shared" si="74"/>
        <v>0</v>
      </c>
      <c r="AN962" s="1064"/>
      <c r="AO962" s="1064">
        <f>TB_prev[[#This Row],[Closing balance]]+TB_prev[[#This Row],[Rounding]]</f>
        <v>0</v>
      </c>
    </row>
    <row r="963" spans="30:41" x14ac:dyDescent="0.25">
      <c r="AD963" s="1067" t="str">
        <f t="shared" si="70"/>
        <v/>
      </c>
      <c r="AE963" s="1063" t="str">
        <f>IF(ISNA(VLOOKUP(TB_prev[[#This Row],[Synt]],GL[[#Headers],[#Data],[subtotal label]],1,FALSE)),0,(VLOOKUP(TB_prev[[#This Row],[Synt]],GL[[#Headers],[#Data],[subtotal label]],1,FALSE)))</f>
        <v/>
      </c>
      <c r="AF963" s="1063" t="e">
        <f>IF((TB_prev[[#This Row],[Synt]]-TB_prev[[#This Row],[Subtotal Y/N]])=0,0,VLOOKUP(TB_prev[[#This Row],[Synt]],GL[[Account]:[Line]],3,FALSE))</f>
        <v>#VALUE!</v>
      </c>
      <c r="AG963" s="1063" t="e">
        <f>VLOOKUP(TB_prev[[#This Row],[Synt]],GL[[Account]:[B/P]],4,FALSE)</f>
        <v>#N/A</v>
      </c>
      <c r="AH963" s="1066" t="e">
        <v>#VALUE!</v>
      </c>
      <c r="AI963" s="1065" t="e">
        <f>TB_prev[[#This Row],[Synt]]&amp;TB_prev[[#This Row],[Line No. manual corr.]]</f>
        <v>#VALUE!</v>
      </c>
      <c r="AJ963" s="1064">
        <f t="shared" si="71"/>
        <v>0</v>
      </c>
      <c r="AK963" s="1064">
        <f t="shared" si="72"/>
        <v>0</v>
      </c>
      <c r="AL963" s="1064">
        <f t="shared" si="73"/>
        <v>0</v>
      </c>
      <c r="AM963" s="1064">
        <f t="shared" si="74"/>
        <v>0</v>
      </c>
      <c r="AN963" s="1064"/>
      <c r="AO963" s="1064">
        <f>TB_prev[[#This Row],[Closing balance]]+TB_prev[[#This Row],[Rounding]]</f>
        <v>0</v>
      </c>
    </row>
    <row r="964" spans="30:41" x14ac:dyDescent="0.25">
      <c r="AD964" s="1067" t="str">
        <f t="shared" si="70"/>
        <v/>
      </c>
      <c r="AE964" s="1063" t="str">
        <f>IF(ISNA(VLOOKUP(TB_prev[[#This Row],[Synt]],GL[[#Headers],[#Data],[subtotal label]],1,FALSE)),0,(VLOOKUP(TB_prev[[#This Row],[Synt]],GL[[#Headers],[#Data],[subtotal label]],1,FALSE)))</f>
        <v/>
      </c>
      <c r="AF964" s="1063" t="e">
        <f>IF((TB_prev[[#This Row],[Synt]]-TB_prev[[#This Row],[Subtotal Y/N]])=0,0,VLOOKUP(TB_prev[[#This Row],[Synt]],GL[[Account]:[Line]],3,FALSE))</f>
        <v>#VALUE!</v>
      </c>
      <c r="AG964" s="1063" t="e">
        <f>VLOOKUP(TB_prev[[#This Row],[Synt]],GL[[Account]:[B/P]],4,FALSE)</f>
        <v>#N/A</v>
      </c>
      <c r="AH964" s="1066" t="e">
        <v>#VALUE!</v>
      </c>
      <c r="AI964" s="1065" t="e">
        <f>TB_prev[[#This Row],[Synt]]&amp;TB_prev[[#This Row],[Line No. manual corr.]]</f>
        <v>#VALUE!</v>
      </c>
      <c r="AJ964" s="1064">
        <f t="shared" si="71"/>
        <v>0</v>
      </c>
      <c r="AK964" s="1064">
        <f t="shared" si="72"/>
        <v>0</v>
      </c>
      <c r="AL964" s="1064">
        <f t="shared" si="73"/>
        <v>0</v>
      </c>
      <c r="AM964" s="1064">
        <f t="shared" si="74"/>
        <v>0</v>
      </c>
      <c r="AN964" s="1064"/>
      <c r="AO964" s="1064">
        <f>TB_prev[[#This Row],[Closing balance]]+TB_prev[[#This Row],[Rounding]]</f>
        <v>0</v>
      </c>
    </row>
    <row r="965" spans="30:41" x14ac:dyDescent="0.25">
      <c r="AD965" s="1067" t="str">
        <f t="shared" si="70"/>
        <v/>
      </c>
      <c r="AE965" s="1063" t="str">
        <f>IF(ISNA(VLOOKUP(TB_prev[[#This Row],[Synt]],GL[[#Headers],[#Data],[subtotal label]],1,FALSE)),0,(VLOOKUP(TB_prev[[#This Row],[Synt]],GL[[#Headers],[#Data],[subtotal label]],1,FALSE)))</f>
        <v/>
      </c>
      <c r="AF965" s="1063" t="e">
        <f>IF((TB_prev[[#This Row],[Synt]]-TB_prev[[#This Row],[Subtotal Y/N]])=0,0,VLOOKUP(TB_prev[[#This Row],[Synt]],GL[[Account]:[Line]],3,FALSE))</f>
        <v>#VALUE!</v>
      </c>
      <c r="AG965" s="1063" t="e">
        <f>VLOOKUP(TB_prev[[#This Row],[Synt]],GL[[Account]:[B/P]],4,FALSE)</f>
        <v>#N/A</v>
      </c>
      <c r="AH965" s="1066" t="e">
        <v>#VALUE!</v>
      </c>
      <c r="AI965" s="1065" t="e">
        <f>TB_prev[[#This Row],[Synt]]&amp;TB_prev[[#This Row],[Line No. manual corr.]]</f>
        <v>#VALUE!</v>
      </c>
      <c r="AJ965" s="1064">
        <f t="shared" si="71"/>
        <v>0</v>
      </c>
      <c r="AK965" s="1064">
        <f t="shared" si="72"/>
        <v>0</v>
      </c>
      <c r="AL965" s="1064">
        <f t="shared" si="73"/>
        <v>0</v>
      </c>
      <c r="AM965" s="1064">
        <f t="shared" si="74"/>
        <v>0</v>
      </c>
      <c r="AN965" s="1064"/>
      <c r="AO965" s="1064">
        <f>TB_prev[[#This Row],[Closing balance]]+TB_prev[[#This Row],[Rounding]]</f>
        <v>0</v>
      </c>
    </row>
    <row r="966" spans="30:41" x14ac:dyDescent="0.25">
      <c r="AD966" s="1067" t="str">
        <f t="shared" si="70"/>
        <v/>
      </c>
      <c r="AE966" s="1063" t="str">
        <f>IF(ISNA(VLOOKUP(TB_prev[[#This Row],[Synt]],GL[[#Headers],[#Data],[subtotal label]],1,FALSE)),0,(VLOOKUP(TB_prev[[#This Row],[Synt]],GL[[#Headers],[#Data],[subtotal label]],1,FALSE)))</f>
        <v/>
      </c>
      <c r="AF966" s="1063" t="e">
        <f>IF((TB_prev[[#This Row],[Synt]]-TB_prev[[#This Row],[Subtotal Y/N]])=0,0,VLOOKUP(TB_prev[[#This Row],[Synt]],GL[[Account]:[Line]],3,FALSE))</f>
        <v>#VALUE!</v>
      </c>
      <c r="AG966" s="1063" t="e">
        <f>VLOOKUP(TB_prev[[#This Row],[Synt]],GL[[Account]:[B/P]],4,FALSE)</f>
        <v>#N/A</v>
      </c>
      <c r="AH966" s="1066" t="e">
        <v>#VALUE!</v>
      </c>
      <c r="AI966" s="1065" t="e">
        <f>TB_prev[[#This Row],[Synt]]&amp;TB_prev[[#This Row],[Line No. manual corr.]]</f>
        <v>#VALUE!</v>
      </c>
      <c r="AJ966" s="1064">
        <f t="shared" si="71"/>
        <v>0</v>
      </c>
      <c r="AK966" s="1064">
        <f t="shared" si="72"/>
        <v>0</v>
      </c>
      <c r="AL966" s="1064">
        <f t="shared" si="73"/>
        <v>0</v>
      </c>
      <c r="AM966" s="1064">
        <f t="shared" si="74"/>
        <v>0</v>
      </c>
      <c r="AN966" s="1064"/>
      <c r="AO966" s="1064">
        <f>TB_prev[[#This Row],[Closing balance]]+TB_prev[[#This Row],[Rounding]]</f>
        <v>0</v>
      </c>
    </row>
    <row r="967" spans="30:41" x14ac:dyDescent="0.25">
      <c r="AD967" s="1067" t="str">
        <f t="shared" si="70"/>
        <v/>
      </c>
      <c r="AE967" s="1063" t="str">
        <f>IF(ISNA(VLOOKUP(TB_prev[[#This Row],[Synt]],GL[[#Headers],[#Data],[subtotal label]],1,FALSE)),0,(VLOOKUP(TB_prev[[#This Row],[Synt]],GL[[#Headers],[#Data],[subtotal label]],1,FALSE)))</f>
        <v/>
      </c>
      <c r="AF967" s="1063" t="e">
        <f>IF((TB_prev[[#This Row],[Synt]]-TB_prev[[#This Row],[Subtotal Y/N]])=0,0,VLOOKUP(TB_prev[[#This Row],[Synt]],GL[[Account]:[Line]],3,FALSE))</f>
        <v>#VALUE!</v>
      </c>
      <c r="AG967" s="1063" t="e">
        <f>VLOOKUP(TB_prev[[#This Row],[Synt]],GL[[Account]:[B/P]],4,FALSE)</f>
        <v>#N/A</v>
      </c>
      <c r="AH967" s="1066" t="e">
        <v>#VALUE!</v>
      </c>
      <c r="AI967" s="1065" t="e">
        <f>TB_prev[[#This Row],[Synt]]&amp;TB_prev[[#This Row],[Line No. manual corr.]]</f>
        <v>#VALUE!</v>
      </c>
      <c r="AJ967" s="1064">
        <f t="shared" si="71"/>
        <v>0</v>
      </c>
      <c r="AK967" s="1064">
        <f t="shared" si="72"/>
        <v>0</v>
      </c>
      <c r="AL967" s="1064">
        <f t="shared" si="73"/>
        <v>0</v>
      </c>
      <c r="AM967" s="1064">
        <f t="shared" si="74"/>
        <v>0</v>
      </c>
      <c r="AN967" s="1064"/>
      <c r="AO967" s="1064">
        <f>TB_prev[[#This Row],[Closing balance]]+TB_prev[[#This Row],[Rounding]]</f>
        <v>0</v>
      </c>
    </row>
    <row r="968" spans="30:41" x14ac:dyDescent="0.25">
      <c r="AD968" s="1067" t="str">
        <f t="shared" ref="AD968:AD1031" si="75">LEFT(B968,3)</f>
        <v/>
      </c>
      <c r="AE968" s="1063" t="str">
        <f>IF(ISNA(VLOOKUP(TB_prev[[#This Row],[Synt]],GL[[#Headers],[#Data],[subtotal label]],1,FALSE)),0,(VLOOKUP(TB_prev[[#This Row],[Synt]],GL[[#Headers],[#Data],[subtotal label]],1,FALSE)))</f>
        <v/>
      </c>
      <c r="AF968" s="1063" t="e">
        <f>IF((TB_prev[[#This Row],[Synt]]-TB_prev[[#This Row],[Subtotal Y/N]])=0,0,VLOOKUP(TB_prev[[#This Row],[Synt]],GL[[Account]:[Line]],3,FALSE))</f>
        <v>#VALUE!</v>
      </c>
      <c r="AG968" s="1063" t="e">
        <f>VLOOKUP(TB_prev[[#This Row],[Synt]],GL[[Account]:[B/P]],4,FALSE)</f>
        <v>#N/A</v>
      </c>
      <c r="AH968" s="1066" t="e">
        <v>#VALUE!</v>
      </c>
      <c r="AI968" s="1065" t="e">
        <f>TB_prev[[#This Row],[Synt]]&amp;TB_prev[[#This Row],[Line No. manual corr.]]</f>
        <v>#VALUE!</v>
      </c>
      <c r="AJ968" s="1064">
        <f t="shared" ref="AJ968:AJ1031" si="76">K968-N968</f>
        <v>0</v>
      </c>
      <c r="AK968" s="1064">
        <f t="shared" ref="AK968:AK1031" si="77">Q968</f>
        <v>0</v>
      </c>
      <c r="AL968" s="1064">
        <f t="shared" ref="AL968:AL1031" si="78">U968</f>
        <v>0</v>
      </c>
      <c r="AM968" s="1064">
        <f t="shared" ref="AM968:AM1031" si="79">X968-AB968</f>
        <v>0</v>
      </c>
      <c r="AN968" s="1064"/>
      <c r="AO968" s="1064">
        <f>TB_prev[[#This Row],[Closing balance]]+TB_prev[[#This Row],[Rounding]]</f>
        <v>0</v>
      </c>
    </row>
    <row r="969" spans="30:41" x14ac:dyDescent="0.25">
      <c r="AD969" s="1067" t="str">
        <f t="shared" si="75"/>
        <v/>
      </c>
      <c r="AE969" s="1063" t="str">
        <f>IF(ISNA(VLOOKUP(TB_prev[[#This Row],[Synt]],GL[[#Headers],[#Data],[subtotal label]],1,FALSE)),0,(VLOOKUP(TB_prev[[#This Row],[Synt]],GL[[#Headers],[#Data],[subtotal label]],1,FALSE)))</f>
        <v/>
      </c>
      <c r="AF969" s="1063" t="e">
        <f>IF((TB_prev[[#This Row],[Synt]]-TB_prev[[#This Row],[Subtotal Y/N]])=0,0,VLOOKUP(TB_prev[[#This Row],[Synt]],GL[[Account]:[Line]],3,FALSE))</f>
        <v>#VALUE!</v>
      </c>
      <c r="AG969" s="1063" t="e">
        <f>VLOOKUP(TB_prev[[#This Row],[Synt]],GL[[Account]:[B/P]],4,FALSE)</f>
        <v>#N/A</v>
      </c>
      <c r="AH969" s="1066" t="e">
        <v>#VALUE!</v>
      </c>
      <c r="AI969" s="1065" t="e">
        <f>TB_prev[[#This Row],[Synt]]&amp;TB_prev[[#This Row],[Line No. manual corr.]]</f>
        <v>#VALUE!</v>
      </c>
      <c r="AJ969" s="1064">
        <f t="shared" si="76"/>
        <v>0</v>
      </c>
      <c r="AK969" s="1064">
        <f t="shared" si="77"/>
        <v>0</v>
      </c>
      <c r="AL969" s="1064">
        <f t="shared" si="78"/>
        <v>0</v>
      </c>
      <c r="AM969" s="1064">
        <f t="shared" si="79"/>
        <v>0</v>
      </c>
      <c r="AN969" s="1064"/>
      <c r="AO969" s="1064">
        <f>TB_prev[[#This Row],[Closing balance]]+TB_prev[[#This Row],[Rounding]]</f>
        <v>0</v>
      </c>
    </row>
    <row r="970" spans="30:41" x14ac:dyDescent="0.25">
      <c r="AD970" s="1067" t="str">
        <f t="shared" si="75"/>
        <v/>
      </c>
      <c r="AE970" s="1063" t="str">
        <f>IF(ISNA(VLOOKUP(TB_prev[[#This Row],[Synt]],GL[[#Headers],[#Data],[subtotal label]],1,FALSE)),0,(VLOOKUP(TB_prev[[#This Row],[Synt]],GL[[#Headers],[#Data],[subtotal label]],1,FALSE)))</f>
        <v/>
      </c>
      <c r="AF970" s="1063" t="e">
        <f>IF((TB_prev[[#This Row],[Synt]]-TB_prev[[#This Row],[Subtotal Y/N]])=0,0,VLOOKUP(TB_prev[[#This Row],[Synt]],GL[[Account]:[Line]],3,FALSE))</f>
        <v>#VALUE!</v>
      </c>
      <c r="AG970" s="1063" t="e">
        <f>VLOOKUP(TB_prev[[#This Row],[Synt]],GL[[Account]:[B/P]],4,FALSE)</f>
        <v>#N/A</v>
      </c>
      <c r="AH970" s="1066" t="e">
        <v>#VALUE!</v>
      </c>
      <c r="AI970" s="1065" t="e">
        <f>TB_prev[[#This Row],[Synt]]&amp;TB_prev[[#This Row],[Line No. manual corr.]]</f>
        <v>#VALUE!</v>
      </c>
      <c r="AJ970" s="1064">
        <f t="shared" si="76"/>
        <v>0</v>
      </c>
      <c r="AK970" s="1064">
        <f t="shared" si="77"/>
        <v>0</v>
      </c>
      <c r="AL970" s="1064">
        <f t="shared" si="78"/>
        <v>0</v>
      </c>
      <c r="AM970" s="1064">
        <f t="shared" si="79"/>
        <v>0</v>
      </c>
      <c r="AN970" s="1064"/>
      <c r="AO970" s="1064">
        <f>TB_prev[[#This Row],[Closing balance]]+TB_prev[[#This Row],[Rounding]]</f>
        <v>0</v>
      </c>
    </row>
    <row r="971" spans="30:41" x14ac:dyDescent="0.25">
      <c r="AD971" s="1067" t="str">
        <f t="shared" si="75"/>
        <v/>
      </c>
      <c r="AE971" s="1063" t="str">
        <f>IF(ISNA(VLOOKUP(TB_prev[[#This Row],[Synt]],GL[[#Headers],[#Data],[subtotal label]],1,FALSE)),0,(VLOOKUP(TB_prev[[#This Row],[Synt]],GL[[#Headers],[#Data],[subtotal label]],1,FALSE)))</f>
        <v/>
      </c>
      <c r="AF971" s="1063" t="e">
        <f>IF((TB_prev[[#This Row],[Synt]]-TB_prev[[#This Row],[Subtotal Y/N]])=0,0,VLOOKUP(TB_prev[[#This Row],[Synt]],GL[[Account]:[Line]],3,FALSE))</f>
        <v>#VALUE!</v>
      </c>
      <c r="AG971" s="1063" t="e">
        <f>VLOOKUP(TB_prev[[#This Row],[Synt]],GL[[Account]:[B/P]],4,FALSE)</f>
        <v>#N/A</v>
      </c>
      <c r="AH971" s="1066" t="e">
        <v>#VALUE!</v>
      </c>
      <c r="AI971" s="1065" t="e">
        <f>TB_prev[[#This Row],[Synt]]&amp;TB_prev[[#This Row],[Line No. manual corr.]]</f>
        <v>#VALUE!</v>
      </c>
      <c r="AJ971" s="1064">
        <f t="shared" si="76"/>
        <v>0</v>
      </c>
      <c r="AK971" s="1064">
        <f t="shared" si="77"/>
        <v>0</v>
      </c>
      <c r="AL971" s="1064">
        <f t="shared" si="78"/>
        <v>0</v>
      </c>
      <c r="AM971" s="1064">
        <f t="shared" si="79"/>
        <v>0</v>
      </c>
      <c r="AN971" s="1064"/>
      <c r="AO971" s="1064">
        <f>TB_prev[[#This Row],[Closing balance]]+TB_prev[[#This Row],[Rounding]]</f>
        <v>0</v>
      </c>
    </row>
    <row r="972" spans="30:41" x14ac:dyDescent="0.25">
      <c r="AD972" s="1067" t="str">
        <f t="shared" si="75"/>
        <v/>
      </c>
      <c r="AE972" s="1063" t="str">
        <f>IF(ISNA(VLOOKUP(TB_prev[[#This Row],[Synt]],GL[[#Headers],[#Data],[subtotal label]],1,FALSE)),0,(VLOOKUP(TB_prev[[#This Row],[Synt]],GL[[#Headers],[#Data],[subtotal label]],1,FALSE)))</f>
        <v/>
      </c>
      <c r="AF972" s="1063" t="e">
        <f>IF((TB_prev[[#This Row],[Synt]]-TB_prev[[#This Row],[Subtotal Y/N]])=0,0,VLOOKUP(TB_prev[[#This Row],[Synt]],GL[[Account]:[Line]],3,FALSE))</f>
        <v>#VALUE!</v>
      </c>
      <c r="AG972" s="1063" t="e">
        <f>VLOOKUP(TB_prev[[#This Row],[Synt]],GL[[Account]:[B/P]],4,FALSE)</f>
        <v>#N/A</v>
      </c>
      <c r="AH972" s="1066" t="e">
        <v>#VALUE!</v>
      </c>
      <c r="AI972" s="1065" t="e">
        <f>TB_prev[[#This Row],[Synt]]&amp;TB_prev[[#This Row],[Line No. manual corr.]]</f>
        <v>#VALUE!</v>
      </c>
      <c r="AJ972" s="1064">
        <f t="shared" si="76"/>
        <v>0</v>
      </c>
      <c r="AK972" s="1064">
        <f t="shared" si="77"/>
        <v>0</v>
      </c>
      <c r="AL972" s="1064">
        <f t="shared" si="78"/>
        <v>0</v>
      </c>
      <c r="AM972" s="1064">
        <f t="shared" si="79"/>
        <v>0</v>
      </c>
      <c r="AN972" s="1064"/>
      <c r="AO972" s="1064">
        <f>TB_prev[[#This Row],[Closing balance]]+TB_prev[[#This Row],[Rounding]]</f>
        <v>0</v>
      </c>
    </row>
    <row r="973" spans="30:41" x14ac:dyDescent="0.25">
      <c r="AD973" s="1067" t="str">
        <f t="shared" si="75"/>
        <v/>
      </c>
      <c r="AE973" s="1063" t="str">
        <f>IF(ISNA(VLOOKUP(TB_prev[[#This Row],[Synt]],GL[[#Headers],[#Data],[subtotal label]],1,FALSE)),0,(VLOOKUP(TB_prev[[#This Row],[Synt]],GL[[#Headers],[#Data],[subtotal label]],1,FALSE)))</f>
        <v/>
      </c>
      <c r="AF973" s="1063" t="e">
        <f>IF((TB_prev[[#This Row],[Synt]]-TB_prev[[#This Row],[Subtotal Y/N]])=0,0,VLOOKUP(TB_prev[[#This Row],[Synt]],GL[[Account]:[Line]],3,FALSE))</f>
        <v>#VALUE!</v>
      </c>
      <c r="AG973" s="1063" t="e">
        <f>VLOOKUP(TB_prev[[#This Row],[Synt]],GL[[Account]:[B/P]],4,FALSE)</f>
        <v>#N/A</v>
      </c>
      <c r="AH973" s="1066" t="e">
        <v>#VALUE!</v>
      </c>
      <c r="AI973" s="1065" t="e">
        <f>TB_prev[[#This Row],[Synt]]&amp;TB_prev[[#This Row],[Line No. manual corr.]]</f>
        <v>#VALUE!</v>
      </c>
      <c r="AJ973" s="1064">
        <f t="shared" si="76"/>
        <v>0</v>
      </c>
      <c r="AK973" s="1064">
        <f t="shared" si="77"/>
        <v>0</v>
      </c>
      <c r="AL973" s="1064">
        <f t="shared" si="78"/>
        <v>0</v>
      </c>
      <c r="AM973" s="1064">
        <f t="shared" si="79"/>
        <v>0</v>
      </c>
      <c r="AN973" s="1064"/>
      <c r="AO973" s="1064">
        <f>TB_prev[[#This Row],[Closing balance]]+TB_prev[[#This Row],[Rounding]]</f>
        <v>0</v>
      </c>
    </row>
    <row r="974" spans="30:41" x14ac:dyDescent="0.25">
      <c r="AD974" s="1067" t="str">
        <f t="shared" si="75"/>
        <v/>
      </c>
      <c r="AE974" s="1063" t="str">
        <f>IF(ISNA(VLOOKUP(TB_prev[[#This Row],[Synt]],GL[[#Headers],[#Data],[subtotal label]],1,FALSE)),0,(VLOOKUP(TB_prev[[#This Row],[Synt]],GL[[#Headers],[#Data],[subtotal label]],1,FALSE)))</f>
        <v/>
      </c>
      <c r="AF974" s="1063" t="e">
        <f>IF((TB_prev[[#This Row],[Synt]]-TB_prev[[#This Row],[Subtotal Y/N]])=0,0,VLOOKUP(TB_prev[[#This Row],[Synt]],GL[[Account]:[Line]],3,FALSE))</f>
        <v>#VALUE!</v>
      </c>
      <c r="AG974" s="1063" t="e">
        <f>VLOOKUP(TB_prev[[#This Row],[Synt]],GL[[Account]:[B/P]],4,FALSE)</f>
        <v>#N/A</v>
      </c>
      <c r="AH974" s="1066" t="e">
        <v>#VALUE!</v>
      </c>
      <c r="AI974" s="1065" t="e">
        <f>TB_prev[[#This Row],[Synt]]&amp;TB_prev[[#This Row],[Line No. manual corr.]]</f>
        <v>#VALUE!</v>
      </c>
      <c r="AJ974" s="1064">
        <f t="shared" si="76"/>
        <v>0</v>
      </c>
      <c r="AK974" s="1064">
        <f t="shared" si="77"/>
        <v>0</v>
      </c>
      <c r="AL974" s="1064">
        <f t="shared" si="78"/>
        <v>0</v>
      </c>
      <c r="AM974" s="1064">
        <f t="shared" si="79"/>
        <v>0</v>
      </c>
      <c r="AN974" s="1064"/>
      <c r="AO974" s="1064">
        <f>TB_prev[[#This Row],[Closing balance]]+TB_prev[[#This Row],[Rounding]]</f>
        <v>0</v>
      </c>
    </row>
    <row r="975" spans="30:41" x14ac:dyDescent="0.25">
      <c r="AD975" s="1067" t="str">
        <f t="shared" si="75"/>
        <v/>
      </c>
      <c r="AE975" s="1063" t="str">
        <f>IF(ISNA(VLOOKUP(TB_prev[[#This Row],[Synt]],GL[[#Headers],[#Data],[subtotal label]],1,FALSE)),0,(VLOOKUP(TB_prev[[#This Row],[Synt]],GL[[#Headers],[#Data],[subtotal label]],1,FALSE)))</f>
        <v/>
      </c>
      <c r="AF975" s="1063" t="e">
        <f>IF((TB_prev[[#This Row],[Synt]]-TB_prev[[#This Row],[Subtotal Y/N]])=0,0,VLOOKUP(TB_prev[[#This Row],[Synt]],GL[[Account]:[Line]],3,FALSE))</f>
        <v>#VALUE!</v>
      </c>
      <c r="AG975" s="1063" t="e">
        <f>VLOOKUP(TB_prev[[#This Row],[Synt]],GL[[Account]:[B/P]],4,FALSE)</f>
        <v>#N/A</v>
      </c>
      <c r="AH975" s="1066" t="e">
        <v>#VALUE!</v>
      </c>
      <c r="AI975" s="1065" t="e">
        <f>TB_prev[[#This Row],[Synt]]&amp;TB_prev[[#This Row],[Line No. manual corr.]]</f>
        <v>#VALUE!</v>
      </c>
      <c r="AJ975" s="1064">
        <f t="shared" si="76"/>
        <v>0</v>
      </c>
      <c r="AK975" s="1064">
        <f t="shared" si="77"/>
        <v>0</v>
      </c>
      <c r="AL975" s="1064">
        <f t="shared" si="78"/>
        <v>0</v>
      </c>
      <c r="AM975" s="1064">
        <f t="shared" si="79"/>
        <v>0</v>
      </c>
      <c r="AN975" s="1064"/>
      <c r="AO975" s="1064">
        <f>TB_prev[[#This Row],[Closing balance]]+TB_prev[[#This Row],[Rounding]]</f>
        <v>0</v>
      </c>
    </row>
    <row r="976" spans="30:41" x14ac:dyDescent="0.25">
      <c r="AD976" s="1067" t="str">
        <f t="shared" si="75"/>
        <v/>
      </c>
      <c r="AE976" s="1063" t="str">
        <f>IF(ISNA(VLOOKUP(TB_prev[[#This Row],[Synt]],GL[[#Headers],[#Data],[subtotal label]],1,FALSE)),0,(VLOOKUP(TB_prev[[#This Row],[Synt]],GL[[#Headers],[#Data],[subtotal label]],1,FALSE)))</f>
        <v/>
      </c>
      <c r="AF976" s="1063" t="e">
        <f>IF((TB_prev[[#This Row],[Synt]]-TB_prev[[#This Row],[Subtotal Y/N]])=0,0,VLOOKUP(TB_prev[[#This Row],[Synt]],GL[[Account]:[Line]],3,FALSE))</f>
        <v>#VALUE!</v>
      </c>
      <c r="AG976" s="1063" t="e">
        <f>VLOOKUP(TB_prev[[#This Row],[Synt]],GL[[Account]:[B/P]],4,FALSE)</f>
        <v>#N/A</v>
      </c>
      <c r="AH976" s="1066" t="e">
        <v>#VALUE!</v>
      </c>
      <c r="AI976" s="1065" t="e">
        <f>TB_prev[[#This Row],[Synt]]&amp;TB_prev[[#This Row],[Line No. manual corr.]]</f>
        <v>#VALUE!</v>
      </c>
      <c r="AJ976" s="1064">
        <f t="shared" si="76"/>
        <v>0</v>
      </c>
      <c r="AK976" s="1064">
        <f t="shared" si="77"/>
        <v>0</v>
      </c>
      <c r="AL976" s="1064">
        <f t="shared" si="78"/>
        <v>0</v>
      </c>
      <c r="AM976" s="1064">
        <f t="shared" si="79"/>
        <v>0</v>
      </c>
      <c r="AN976" s="1064"/>
      <c r="AO976" s="1064">
        <f>TB_prev[[#This Row],[Closing balance]]+TB_prev[[#This Row],[Rounding]]</f>
        <v>0</v>
      </c>
    </row>
    <row r="977" spans="30:41" x14ac:dyDescent="0.25">
      <c r="AD977" s="1067" t="str">
        <f t="shared" si="75"/>
        <v/>
      </c>
      <c r="AE977" s="1063" t="str">
        <f>IF(ISNA(VLOOKUP(TB_prev[[#This Row],[Synt]],GL[[#Headers],[#Data],[subtotal label]],1,FALSE)),0,(VLOOKUP(TB_prev[[#This Row],[Synt]],GL[[#Headers],[#Data],[subtotal label]],1,FALSE)))</f>
        <v/>
      </c>
      <c r="AF977" s="1063" t="e">
        <f>IF((TB_prev[[#This Row],[Synt]]-TB_prev[[#This Row],[Subtotal Y/N]])=0,0,VLOOKUP(TB_prev[[#This Row],[Synt]],GL[[Account]:[Line]],3,FALSE))</f>
        <v>#VALUE!</v>
      </c>
      <c r="AG977" s="1063" t="e">
        <f>VLOOKUP(TB_prev[[#This Row],[Synt]],GL[[Account]:[B/P]],4,FALSE)</f>
        <v>#N/A</v>
      </c>
      <c r="AH977" s="1066" t="e">
        <v>#VALUE!</v>
      </c>
      <c r="AI977" s="1065" t="e">
        <f>TB_prev[[#This Row],[Synt]]&amp;TB_prev[[#This Row],[Line No. manual corr.]]</f>
        <v>#VALUE!</v>
      </c>
      <c r="AJ977" s="1064">
        <f t="shared" si="76"/>
        <v>0</v>
      </c>
      <c r="AK977" s="1064">
        <f t="shared" si="77"/>
        <v>0</v>
      </c>
      <c r="AL977" s="1064">
        <f t="shared" si="78"/>
        <v>0</v>
      </c>
      <c r="AM977" s="1064">
        <f t="shared" si="79"/>
        <v>0</v>
      </c>
      <c r="AN977" s="1064"/>
      <c r="AO977" s="1064">
        <f>TB_prev[[#This Row],[Closing balance]]+TB_prev[[#This Row],[Rounding]]</f>
        <v>0</v>
      </c>
    </row>
    <row r="978" spans="30:41" x14ac:dyDescent="0.25">
      <c r="AD978" s="1067" t="str">
        <f t="shared" si="75"/>
        <v/>
      </c>
      <c r="AE978" s="1063" t="str">
        <f>IF(ISNA(VLOOKUP(TB_prev[[#This Row],[Synt]],GL[[#Headers],[#Data],[subtotal label]],1,FALSE)),0,(VLOOKUP(TB_prev[[#This Row],[Synt]],GL[[#Headers],[#Data],[subtotal label]],1,FALSE)))</f>
        <v/>
      </c>
      <c r="AF978" s="1063" t="e">
        <f>IF((TB_prev[[#This Row],[Synt]]-TB_prev[[#This Row],[Subtotal Y/N]])=0,0,VLOOKUP(TB_prev[[#This Row],[Synt]],GL[[Account]:[Line]],3,FALSE))</f>
        <v>#VALUE!</v>
      </c>
      <c r="AG978" s="1063" t="e">
        <f>VLOOKUP(TB_prev[[#This Row],[Synt]],GL[[Account]:[B/P]],4,FALSE)</f>
        <v>#N/A</v>
      </c>
      <c r="AH978" s="1066" t="e">
        <v>#VALUE!</v>
      </c>
      <c r="AI978" s="1065" t="e">
        <f>TB_prev[[#This Row],[Synt]]&amp;TB_prev[[#This Row],[Line No. manual corr.]]</f>
        <v>#VALUE!</v>
      </c>
      <c r="AJ978" s="1064">
        <f t="shared" si="76"/>
        <v>0</v>
      </c>
      <c r="AK978" s="1064">
        <f t="shared" si="77"/>
        <v>0</v>
      </c>
      <c r="AL978" s="1064">
        <f t="shared" si="78"/>
        <v>0</v>
      </c>
      <c r="AM978" s="1064">
        <f t="shared" si="79"/>
        <v>0</v>
      </c>
      <c r="AN978" s="1064"/>
      <c r="AO978" s="1064">
        <f>TB_prev[[#This Row],[Closing balance]]+TB_prev[[#This Row],[Rounding]]</f>
        <v>0</v>
      </c>
    </row>
    <row r="979" spans="30:41" x14ac:dyDescent="0.25">
      <c r="AD979" s="1067" t="str">
        <f t="shared" si="75"/>
        <v/>
      </c>
      <c r="AE979" s="1063" t="str">
        <f>IF(ISNA(VLOOKUP(TB_prev[[#This Row],[Synt]],GL[[#Headers],[#Data],[subtotal label]],1,FALSE)),0,(VLOOKUP(TB_prev[[#This Row],[Synt]],GL[[#Headers],[#Data],[subtotal label]],1,FALSE)))</f>
        <v/>
      </c>
      <c r="AF979" s="1063" t="e">
        <f>IF((TB_prev[[#This Row],[Synt]]-TB_prev[[#This Row],[Subtotal Y/N]])=0,0,VLOOKUP(TB_prev[[#This Row],[Synt]],GL[[Account]:[Line]],3,FALSE))</f>
        <v>#VALUE!</v>
      </c>
      <c r="AG979" s="1063" t="e">
        <f>VLOOKUP(TB_prev[[#This Row],[Synt]],GL[[Account]:[B/P]],4,FALSE)</f>
        <v>#N/A</v>
      </c>
      <c r="AH979" s="1066" t="e">
        <v>#VALUE!</v>
      </c>
      <c r="AI979" s="1065" t="e">
        <f>TB_prev[[#This Row],[Synt]]&amp;TB_prev[[#This Row],[Line No. manual corr.]]</f>
        <v>#VALUE!</v>
      </c>
      <c r="AJ979" s="1064">
        <f t="shared" si="76"/>
        <v>0</v>
      </c>
      <c r="AK979" s="1064">
        <f t="shared" si="77"/>
        <v>0</v>
      </c>
      <c r="AL979" s="1064">
        <f t="shared" si="78"/>
        <v>0</v>
      </c>
      <c r="AM979" s="1064">
        <f t="shared" si="79"/>
        <v>0</v>
      </c>
      <c r="AN979" s="1064"/>
      <c r="AO979" s="1064">
        <f>TB_prev[[#This Row],[Closing balance]]+TB_prev[[#This Row],[Rounding]]</f>
        <v>0</v>
      </c>
    </row>
    <row r="980" spans="30:41" x14ac:dyDescent="0.25">
      <c r="AD980" s="1067" t="str">
        <f t="shared" si="75"/>
        <v/>
      </c>
      <c r="AE980" s="1063" t="str">
        <f>IF(ISNA(VLOOKUP(TB_prev[[#This Row],[Synt]],GL[[#Headers],[#Data],[subtotal label]],1,FALSE)),0,(VLOOKUP(TB_prev[[#This Row],[Synt]],GL[[#Headers],[#Data],[subtotal label]],1,FALSE)))</f>
        <v/>
      </c>
      <c r="AF980" s="1063" t="e">
        <f>IF((TB_prev[[#This Row],[Synt]]-TB_prev[[#This Row],[Subtotal Y/N]])=0,0,VLOOKUP(TB_prev[[#This Row],[Synt]],GL[[Account]:[Line]],3,FALSE))</f>
        <v>#VALUE!</v>
      </c>
      <c r="AG980" s="1063" t="e">
        <f>VLOOKUP(TB_prev[[#This Row],[Synt]],GL[[Account]:[B/P]],4,FALSE)</f>
        <v>#N/A</v>
      </c>
      <c r="AH980" s="1066" t="e">
        <v>#VALUE!</v>
      </c>
      <c r="AI980" s="1065" t="e">
        <f>TB_prev[[#This Row],[Synt]]&amp;TB_prev[[#This Row],[Line No. manual corr.]]</f>
        <v>#VALUE!</v>
      </c>
      <c r="AJ980" s="1064">
        <f t="shared" si="76"/>
        <v>0</v>
      </c>
      <c r="AK980" s="1064">
        <f t="shared" si="77"/>
        <v>0</v>
      </c>
      <c r="AL980" s="1064">
        <f t="shared" si="78"/>
        <v>0</v>
      </c>
      <c r="AM980" s="1064">
        <f t="shared" si="79"/>
        <v>0</v>
      </c>
      <c r="AN980" s="1064"/>
      <c r="AO980" s="1064">
        <f>TB_prev[[#This Row],[Closing balance]]+TB_prev[[#This Row],[Rounding]]</f>
        <v>0</v>
      </c>
    </row>
    <row r="981" spans="30:41" x14ac:dyDescent="0.25">
      <c r="AD981" s="1067" t="str">
        <f t="shared" si="75"/>
        <v/>
      </c>
      <c r="AE981" s="1063" t="str">
        <f>IF(ISNA(VLOOKUP(TB_prev[[#This Row],[Synt]],GL[[#Headers],[#Data],[subtotal label]],1,FALSE)),0,(VLOOKUP(TB_prev[[#This Row],[Synt]],GL[[#Headers],[#Data],[subtotal label]],1,FALSE)))</f>
        <v/>
      </c>
      <c r="AF981" s="1063" t="e">
        <f>IF((TB_prev[[#This Row],[Synt]]-TB_prev[[#This Row],[Subtotal Y/N]])=0,0,VLOOKUP(TB_prev[[#This Row],[Synt]],GL[[Account]:[Line]],3,FALSE))</f>
        <v>#VALUE!</v>
      </c>
      <c r="AG981" s="1063" t="e">
        <f>VLOOKUP(TB_prev[[#This Row],[Synt]],GL[[Account]:[B/P]],4,FALSE)</f>
        <v>#N/A</v>
      </c>
      <c r="AH981" s="1066" t="e">
        <v>#VALUE!</v>
      </c>
      <c r="AI981" s="1065" t="e">
        <f>TB_prev[[#This Row],[Synt]]&amp;TB_prev[[#This Row],[Line No. manual corr.]]</f>
        <v>#VALUE!</v>
      </c>
      <c r="AJ981" s="1064">
        <f t="shared" si="76"/>
        <v>0</v>
      </c>
      <c r="AK981" s="1064">
        <f t="shared" si="77"/>
        <v>0</v>
      </c>
      <c r="AL981" s="1064">
        <f t="shared" si="78"/>
        <v>0</v>
      </c>
      <c r="AM981" s="1064">
        <f t="shared" si="79"/>
        <v>0</v>
      </c>
      <c r="AN981" s="1064"/>
      <c r="AO981" s="1064">
        <f>TB_prev[[#This Row],[Closing balance]]+TB_prev[[#This Row],[Rounding]]</f>
        <v>0</v>
      </c>
    </row>
    <row r="982" spans="30:41" x14ac:dyDescent="0.25">
      <c r="AD982" s="1067" t="str">
        <f t="shared" si="75"/>
        <v/>
      </c>
      <c r="AE982" s="1063" t="str">
        <f>IF(ISNA(VLOOKUP(TB_prev[[#This Row],[Synt]],GL[[#Headers],[#Data],[subtotal label]],1,FALSE)),0,(VLOOKUP(TB_prev[[#This Row],[Synt]],GL[[#Headers],[#Data],[subtotal label]],1,FALSE)))</f>
        <v/>
      </c>
      <c r="AF982" s="1063" t="e">
        <f>IF((TB_prev[[#This Row],[Synt]]-TB_prev[[#This Row],[Subtotal Y/N]])=0,0,VLOOKUP(TB_prev[[#This Row],[Synt]],GL[[Account]:[Line]],3,FALSE))</f>
        <v>#VALUE!</v>
      </c>
      <c r="AG982" s="1063" t="e">
        <f>VLOOKUP(TB_prev[[#This Row],[Synt]],GL[[Account]:[B/P]],4,FALSE)</f>
        <v>#N/A</v>
      </c>
      <c r="AH982" s="1066" t="e">
        <v>#VALUE!</v>
      </c>
      <c r="AI982" s="1065" t="e">
        <f>TB_prev[[#This Row],[Synt]]&amp;TB_prev[[#This Row],[Line No. manual corr.]]</f>
        <v>#VALUE!</v>
      </c>
      <c r="AJ982" s="1064">
        <f t="shared" si="76"/>
        <v>0</v>
      </c>
      <c r="AK982" s="1064">
        <f t="shared" si="77"/>
        <v>0</v>
      </c>
      <c r="AL982" s="1064">
        <f t="shared" si="78"/>
        <v>0</v>
      </c>
      <c r="AM982" s="1064">
        <f t="shared" si="79"/>
        <v>0</v>
      </c>
      <c r="AN982" s="1064"/>
      <c r="AO982" s="1064">
        <f>TB_prev[[#This Row],[Closing balance]]+TB_prev[[#This Row],[Rounding]]</f>
        <v>0</v>
      </c>
    </row>
    <row r="983" spans="30:41" x14ac:dyDescent="0.25">
      <c r="AD983" s="1067" t="str">
        <f t="shared" si="75"/>
        <v/>
      </c>
      <c r="AE983" s="1063" t="str">
        <f>IF(ISNA(VLOOKUP(TB_prev[[#This Row],[Synt]],GL[[#Headers],[#Data],[subtotal label]],1,FALSE)),0,(VLOOKUP(TB_prev[[#This Row],[Synt]],GL[[#Headers],[#Data],[subtotal label]],1,FALSE)))</f>
        <v/>
      </c>
      <c r="AF983" s="1063" t="e">
        <f>IF((TB_prev[[#This Row],[Synt]]-TB_prev[[#This Row],[Subtotal Y/N]])=0,0,VLOOKUP(TB_prev[[#This Row],[Synt]],GL[[Account]:[Line]],3,FALSE))</f>
        <v>#VALUE!</v>
      </c>
      <c r="AG983" s="1063" t="e">
        <f>VLOOKUP(TB_prev[[#This Row],[Synt]],GL[[Account]:[B/P]],4,FALSE)</f>
        <v>#N/A</v>
      </c>
      <c r="AH983" s="1066" t="e">
        <v>#VALUE!</v>
      </c>
      <c r="AI983" s="1065" t="e">
        <f>TB_prev[[#This Row],[Synt]]&amp;TB_prev[[#This Row],[Line No. manual corr.]]</f>
        <v>#VALUE!</v>
      </c>
      <c r="AJ983" s="1064">
        <f t="shared" si="76"/>
        <v>0</v>
      </c>
      <c r="AK983" s="1064">
        <f t="shared" si="77"/>
        <v>0</v>
      </c>
      <c r="AL983" s="1064">
        <f t="shared" si="78"/>
        <v>0</v>
      </c>
      <c r="AM983" s="1064">
        <f t="shared" si="79"/>
        <v>0</v>
      </c>
      <c r="AN983" s="1064"/>
      <c r="AO983" s="1064">
        <f>TB_prev[[#This Row],[Closing balance]]+TB_prev[[#This Row],[Rounding]]</f>
        <v>0</v>
      </c>
    </row>
    <row r="984" spans="30:41" x14ac:dyDescent="0.25">
      <c r="AD984" s="1067" t="str">
        <f t="shared" si="75"/>
        <v/>
      </c>
      <c r="AE984" s="1063" t="str">
        <f>IF(ISNA(VLOOKUP(TB_prev[[#This Row],[Synt]],GL[[#Headers],[#Data],[subtotal label]],1,FALSE)),0,(VLOOKUP(TB_prev[[#This Row],[Synt]],GL[[#Headers],[#Data],[subtotal label]],1,FALSE)))</f>
        <v/>
      </c>
      <c r="AF984" s="1063" t="e">
        <f>IF((TB_prev[[#This Row],[Synt]]-TB_prev[[#This Row],[Subtotal Y/N]])=0,0,VLOOKUP(TB_prev[[#This Row],[Synt]],GL[[Account]:[Line]],3,FALSE))</f>
        <v>#VALUE!</v>
      </c>
      <c r="AG984" s="1063" t="e">
        <f>VLOOKUP(TB_prev[[#This Row],[Synt]],GL[[Account]:[B/P]],4,FALSE)</f>
        <v>#N/A</v>
      </c>
      <c r="AH984" s="1066" t="e">
        <v>#VALUE!</v>
      </c>
      <c r="AI984" s="1065" t="e">
        <f>TB_prev[[#This Row],[Synt]]&amp;TB_prev[[#This Row],[Line No. manual corr.]]</f>
        <v>#VALUE!</v>
      </c>
      <c r="AJ984" s="1064">
        <f t="shared" si="76"/>
        <v>0</v>
      </c>
      <c r="AK984" s="1064">
        <f t="shared" si="77"/>
        <v>0</v>
      </c>
      <c r="AL984" s="1064">
        <f t="shared" si="78"/>
        <v>0</v>
      </c>
      <c r="AM984" s="1064">
        <f t="shared" si="79"/>
        <v>0</v>
      </c>
      <c r="AN984" s="1064"/>
      <c r="AO984" s="1064">
        <f>TB_prev[[#This Row],[Closing balance]]+TB_prev[[#This Row],[Rounding]]</f>
        <v>0</v>
      </c>
    </row>
    <row r="985" spans="30:41" x14ac:dyDescent="0.25">
      <c r="AD985" s="1067" t="str">
        <f t="shared" si="75"/>
        <v/>
      </c>
      <c r="AE985" s="1063" t="str">
        <f>IF(ISNA(VLOOKUP(TB_prev[[#This Row],[Synt]],GL[[#Headers],[#Data],[subtotal label]],1,FALSE)),0,(VLOOKUP(TB_prev[[#This Row],[Synt]],GL[[#Headers],[#Data],[subtotal label]],1,FALSE)))</f>
        <v/>
      </c>
      <c r="AF985" s="1063" t="e">
        <f>IF((TB_prev[[#This Row],[Synt]]-TB_prev[[#This Row],[Subtotal Y/N]])=0,0,VLOOKUP(TB_prev[[#This Row],[Synt]],GL[[Account]:[Line]],3,FALSE))</f>
        <v>#VALUE!</v>
      </c>
      <c r="AG985" s="1063" t="e">
        <f>VLOOKUP(TB_prev[[#This Row],[Synt]],GL[[Account]:[B/P]],4,FALSE)</f>
        <v>#N/A</v>
      </c>
      <c r="AH985" s="1066" t="e">
        <v>#VALUE!</v>
      </c>
      <c r="AI985" s="1065" t="e">
        <f>TB_prev[[#This Row],[Synt]]&amp;TB_prev[[#This Row],[Line No. manual corr.]]</f>
        <v>#VALUE!</v>
      </c>
      <c r="AJ985" s="1064">
        <f t="shared" si="76"/>
        <v>0</v>
      </c>
      <c r="AK985" s="1064">
        <f t="shared" si="77"/>
        <v>0</v>
      </c>
      <c r="AL985" s="1064">
        <f t="shared" si="78"/>
        <v>0</v>
      </c>
      <c r="AM985" s="1064">
        <f t="shared" si="79"/>
        <v>0</v>
      </c>
      <c r="AN985" s="1064"/>
      <c r="AO985" s="1064">
        <f>TB_prev[[#This Row],[Closing balance]]+TB_prev[[#This Row],[Rounding]]</f>
        <v>0</v>
      </c>
    </row>
    <row r="986" spans="30:41" x14ac:dyDescent="0.25">
      <c r="AD986" s="1067" t="str">
        <f t="shared" si="75"/>
        <v/>
      </c>
      <c r="AE986" s="1063" t="str">
        <f>IF(ISNA(VLOOKUP(TB_prev[[#This Row],[Synt]],GL[[#Headers],[#Data],[subtotal label]],1,FALSE)),0,(VLOOKUP(TB_prev[[#This Row],[Synt]],GL[[#Headers],[#Data],[subtotal label]],1,FALSE)))</f>
        <v/>
      </c>
      <c r="AF986" s="1063" t="e">
        <f>IF((TB_prev[[#This Row],[Synt]]-TB_prev[[#This Row],[Subtotal Y/N]])=0,0,VLOOKUP(TB_prev[[#This Row],[Synt]],GL[[Account]:[Line]],3,FALSE))</f>
        <v>#VALUE!</v>
      </c>
      <c r="AG986" s="1063" t="e">
        <f>VLOOKUP(TB_prev[[#This Row],[Synt]],GL[[Account]:[B/P]],4,FALSE)</f>
        <v>#N/A</v>
      </c>
      <c r="AH986" s="1066" t="e">
        <v>#VALUE!</v>
      </c>
      <c r="AI986" s="1065" t="e">
        <f>TB_prev[[#This Row],[Synt]]&amp;TB_prev[[#This Row],[Line No. manual corr.]]</f>
        <v>#VALUE!</v>
      </c>
      <c r="AJ986" s="1064">
        <f t="shared" si="76"/>
        <v>0</v>
      </c>
      <c r="AK986" s="1064">
        <f t="shared" si="77"/>
        <v>0</v>
      </c>
      <c r="AL986" s="1064">
        <f t="shared" si="78"/>
        <v>0</v>
      </c>
      <c r="AM986" s="1064">
        <f t="shared" si="79"/>
        <v>0</v>
      </c>
      <c r="AN986" s="1064"/>
      <c r="AO986" s="1064">
        <f>TB_prev[[#This Row],[Closing balance]]+TB_prev[[#This Row],[Rounding]]</f>
        <v>0</v>
      </c>
    </row>
    <row r="987" spans="30:41" x14ac:dyDescent="0.25">
      <c r="AD987" s="1067" t="str">
        <f t="shared" si="75"/>
        <v/>
      </c>
      <c r="AE987" s="1063" t="str">
        <f>IF(ISNA(VLOOKUP(TB_prev[[#This Row],[Synt]],GL[[#Headers],[#Data],[subtotal label]],1,FALSE)),0,(VLOOKUP(TB_prev[[#This Row],[Synt]],GL[[#Headers],[#Data],[subtotal label]],1,FALSE)))</f>
        <v/>
      </c>
      <c r="AF987" s="1063" t="e">
        <f>IF((TB_prev[[#This Row],[Synt]]-TB_prev[[#This Row],[Subtotal Y/N]])=0,0,VLOOKUP(TB_prev[[#This Row],[Synt]],GL[[Account]:[Line]],3,FALSE))</f>
        <v>#VALUE!</v>
      </c>
      <c r="AG987" s="1063" t="e">
        <f>VLOOKUP(TB_prev[[#This Row],[Synt]],GL[[Account]:[B/P]],4,FALSE)</f>
        <v>#N/A</v>
      </c>
      <c r="AH987" s="1066" t="e">
        <v>#VALUE!</v>
      </c>
      <c r="AI987" s="1065" t="e">
        <f>TB_prev[[#This Row],[Synt]]&amp;TB_prev[[#This Row],[Line No. manual corr.]]</f>
        <v>#VALUE!</v>
      </c>
      <c r="AJ987" s="1064">
        <f t="shared" si="76"/>
        <v>0</v>
      </c>
      <c r="AK987" s="1064">
        <f t="shared" si="77"/>
        <v>0</v>
      </c>
      <c r="AL987" s="1064">
        <f t="shared" si="78"/>
        <v>0</v>
      </c>
      <c r="AM987" s="1064">
        <f t="shared" si="79"/>
        <v>0</v>
      </c>
      <c r="AN987" s="1064"/>
      <c r="AO987" s="1064">
        <f>TB_prev[[#This Row],[Closing balance]]+TB_prev[[#This Row],[Rounding]]</f>
        <v>0</v>
      </c>
    </row>
    <row r="988" spans="30:41" x14ac:dyDescent="0.25">
      <c r="AD988" s="1067" t="str">
        <f t="shared" si="75"/>
        <v/>
      </c>
      <c r="AE988" s="1063" t="str">
        <f>IF(ISNA(VLOOKUP(TB_prev[[#This Row],[Synt]],GL[[#Headers],[#Data],[subtotal label]],1,FALSE)),0,(VLOOKUP(TB_prev[[#This Row],[Synt]],GL[[#Headers],[#Data],[subtotal label]],1,FALSE)))</f>
        <v/>
      </c>
      <c r="AF988" s="1063" t="e">
        <f>IF((TB_prev[[#This Row],[Synt]]-TB_prev[[#This Row],[Subtotal Y/N]])=0,0,VLOOKUP(TB_prev[[#This Row],[Synt]],GL[[Account]:[Line]],3,FALSE))</f>
        <v>#VALUE!</v>
      </c>
      <c r="AG988" s="1063" t="e">
        <f>VLOOKUP(TB_prev[[#This Row],[Synt]],GL[[Account]:[B/P]],4,FALSE)</f>
        <v>#N/A</v>
      </c>
      <c r="AH988" s="1066" t="e">
        <v>#VALUE!</v>
      </c>
      <c r="AI988" s="1065" t="e">
        <f>TB_prev[[#This Row],[Synt]]&amp;TB_prev[[#This Row],[Line No. manual corr.]]</f>
        <v>#VALUE!</v>
      </c>
      <c r="AJ988" s="1064">
        <f t="shared" si="76"/>
        <v>0</v>
      </c>
      <c r="AK988" s="1064">
        <f t="shared" si="77"/>
        <v>0</v>
      </c>
      <c r="AL988" s="1064">
        <f t="shared" si="78"/>
        <v>0</v>
      </c>
      <c r="AM988" s="1064">
        <f t="shared" si="79"/>
        <v>0</v>
      </c>
      <c r="AN988" s="1064"/>
      <c r="AO988" s="1064">
        <f>TB_prev[[#This Row],[Closing balance]]+TB_prev[[#This Row],[Rounding]]</f>
        <v>0</v>
      </c>
    </row>
    <row r="989" spans="30:41" x14ac:dyDescent="0.25">
      <c r="AD989" s="1067" t="str">
        <f t="shared" si="75"/>
        <v/>
      </c>
      <c r="AE989" s="1063" t="str">
        <f>IF(ISNA(VLOOKUP(TB_prev[[#This Row],[Synt]],GL[[#Headers],[#Data],[subtotal label]],1,FALSE)),0,(VLOOKUP(TB_prev[[#This Row],[Synt]],GL[[#Headers],[#Data],[subtotal label]],1,FALSE)))</f>
        <v/>
      </c>
      <c r="AF989" s="1063" t="e">
        <f>IF((TB_prev[[#This Row],[Synt]]-TB_prev[[#This Row],[Subtotal Y/N]])=0,0,VLOOKUP(TB_prev[[#This Row],[Synt]],GL[[Account]:[Line]],3,FALSE))</f>
        <v>#VALUE!</v>
      </c>
      <c r="AG989" s="1063" t="e">
        <f>VLOOKUP(TB_prev[[#This Row],[Synt]],GL[[Account]:[B/P]],4,FALSE)</f>
        <v>#N/A</v>
      </c>
      <c r="AH989" s="1066" t="e">
        <v>#VALUE!</v>
      </c>
      <c r="AI989" s="1065" t="e">
        <f>TB_prev[[#This Row],[Synt]]&amp;TB_prev[[#This Row],[Line No. manual corr.]]</f>
        <v>#VALUE!</v>
      </c>
      <c r="AJ989" s="1064">
        <f t="shared" si="76"/>
        <v>0</v>
      </c>
      <c r="AK989" s="1064">
        <f t="shared" si="77"/>
        <v>0</v>
      </c>
      <c r="AL989" s="1064">
        <f t="shared" si="78"/>
        <v>0</v>
      </c>
      <c r="AM989" s="1064">
        <f t="shared" si="79"/>
        <v>0</v>
      </c>
      <c r="AN989" s="1064"/>
      <c r="AO989" s="1064">
        <f>TB_prev[[#This Row],[Closing balance]]+TB_prev[[#This Row],[Rounding]]</f>
        <v>0</v>
      </c>
    </row>
    <row r="990" spans="30:41" x14ac:dyDescent="0.25">
      <c r="AD990" s="1067" t="str">
        <f t="shared" si="75"/>
        <v/>
      </c>
      <c r="AE990" s="1063" t="str">
        <f>IF(ISNA(VLOOKUP(TB_prev[[#This Row],[Synt]],GL[[#Headers],[#Data],[subtotal label]],1,FALSE)),0,(VLOOKUP(TB_prev[[#This Row],[Synt]],GL[[#Headers],[#Data],[subtotal label]],1,FALSE)))</f>
        <v/>
      </c>
      <c r="AF990" s="1063" t="e">
        <f>IF((TB_prev[[#This Row],[Synt]]-TB_prev[[#This Row],[Subtotal Y/N]])=0,0,VLOOKUP(TB_prev[[#This Row],[Synt]],GL[[Account]:[Line]],3,FALSE))</f>
        <v>#VALUE!</v>
      </c>
      <c r="AG990" s="1063" t="e">
        <f>VLOOKUP(TB_prev[[#This Row],[Synt]],GL[[Account]:[B/P]],4,FALSE)</f>
        <v>#N/A</v>
      </c>
      <c r="AH990" s="1066" t="e">
        <v>#VALUE!</v>
      </c>
      <c r="AI990" s="1065" t="e">
        <f>TB_prev[[#This Row],[Synt]]&amp;TB_prev[[#This Row],[Line No. manual corr.]]</f>
        <v>#VALUE!</v>
      </c>
      <c r="AJ990" s="1064">
        <f t="shared" si="76"/>
        <v>0</v>
      </c>
      <c r="AK990" s="1064">
        <f t="shared" si="77"/>
        <v>0</v>
      </c>
      <c r="AL990" s="1064">
        <f t="shared" si="78"/>
        <v>0</v>
      </c>
      <c r="AM990" s="1064">
        <f t="shared" si="79"/>
        <v>0</v>
      </c>
      <c r="AN990" s="1064"/>
      <c r="AO990" s="1064">
        <f>TB_prev[[#This Row],[Closing balance]]+TB_prev[[#This Row],[Rounding]]</f>
        <v>0</v>
      </c>
    </row>
    <row r="991" spans="30:41" x14ac:dyDescent="0.25">
      <c r="AD991" s="1067" t="str">
        <f t="shared" si="75"/>
        <v/>
      </c>
      <c r="AE991" s="1063" t="str">
        <f>IF(ISNA(VLOOKUP(TB_prev[[#This Row],[Synt]],GL[[#Headers],[#Data],[subtotal label]],1,FALSE)),0,(VLOOKUP(TB_prev[[#This Row],[Synt]],GL[[#Headers],[#Data],[subtotal label]],1,FALSE)))</f>
        <v/>
      </c>
      <c r="AF991" s="1063" t="e">
        <f>IF((TB_prev[[#This Row],[Synt]]-TB_prev[[#This Row],[Subtotal Y/N]])=0,0,VLOOKUP(TB_prev[[#This Row],[Synt]],GL[[Account]:[Line]],3,FALSE))</f>
        <v>#VALUE!</v>
      </c>
      <c r="AG991" s="1063" t="e">
        <f>VLOOKUP(TB_prev[[#This Row],[Synt]],GL[[Account]:[B/P]],4,FALSE)</f>
        <v>#N/A</v>
      </c>
      <c r="AH991" s="1066" t="e">
        <v>#VALUE!</v>
      </c>
      <c r="AI991" s="1065" t="e">
        <f>TB_prev[[#This Row],[Synt]]&amp;TB_prev[[#This Row],[Line No. manual corr.]]</f>
        <v>#VALUE!</v>
      </c>
      <c r="AJ991" s="1064">
        <f t="shared" si="76"/>
        <v>0</v>
      </c>
      <c r="AK991" s="1064">
        <f t="shared" si="77"/>
        <v>0</v>
      </c>
      <c r="AL991" s="1064">
        <f t="shared" si="78"/>
        <v>0</v>
      </c>
      <c r="AM991" s="1064">
        <f t="shared" si="79"/>
        <v>0</v>
      </c>
      <c r="AN991" s="1064"/>
      <c r="AO991" s="1064">
        <f>TB_prev[[#This Row],[Closing balance]]+TB_prev[[#This Row],[Rounding]]</f>
        <v>0</v>
      </c>
    </row>
    <row r="992" spans="30:41" x14ac:dyDescent="0.25">
      <c r="AD992" s="1067" t="str">
        <f t="shared" si="75"/>
        <v/>
      </c>
      <c r="AE992" s="1063" t="str">
        <f>IF(ISNA(VLOOKUP(TB_prev[[#This Row],[Synt]],GL[[#Headers],[#Data],[subtotal label]],1,FALSE)),0,(VLOOKUP(TB_prev[[#This Row],[Synt]],GL[[#Headers],[#Data],[subtotal label]],1,FALSE)))</f>
        <v/>
      </c>
      <c r="AF992" s="1063" t="e">
        <f>IF((TB_prev[[#This Row],[Synt]]-TB_prev[[#This Row],[Subtotal Y/N]])=0,0,VLOOKUP(TB_prev[[#This Row],[Synt]],GL[[Account]:[Line]],3,FALSE))</f>
        <v>#VALUE!</v>
      </c>
      <c r="AG992" s="1063" t="e">
        <f>VLOOKUP(TB_prev[[#This Row],[Synt]],GL[[Account]:[B/P]],4,FALSE)</f>
        <v>#N/A</v>
      </c>
      <c r="AH992" s="1066" t="e">
        <v>#VALUE!</v>
      </c>
      <c r="AI992" s="1065" t="e">
        <f>TB_prev[[#This Row],[Synt]]&amp;TB_prev[[#This Row],[Line No. manual corr.]]</f>
        <v>#VALUE!</v>
      </c>
      <c r="AJ992" s="1064">
        <f t="shared" si="76"/>
        <v>0</v>
      </c>
      <c r="AK992" s="1064">
        <f t="shared" si="77"/>
        <v>0</v>
      </c>
      <c r="AL992" s="1064">
        <f t="shared" si="78"/>
        <v>0</v>
      </c>
      <c r="AM992" s="1064">
        <f t="shared" si="79"/>
        <v>0</v>
      </c>
      <c r="AN992" s="1064"/>
      <c r="AO992" s="1064">
        <f>TB_prev[[#This Row],[Closing balance]]+TB_prev[[#This Row],[Rounding]]</f>
        <v>0</v>
      </c>
    </row>
    <row r="993" spans="30:41" x14ac:dyDescent="0.25">
      <c r="AD993" s="1067" t="str">
        <f t="shared" si="75"/>
        <v/>
      </c>
      <c r="AE993" s="1063" t="str">
        <f>IF(ISNA(VLOOKUP(TB_prev[[#This Row],[Synt]],GL[[#Headers],[#Data],[subtotal label]],1,FALSE)),0,(VLOOKUP(TB_prev[[#This Row],[Synt]],GL[[#Headers],[#Data],[subtotal label]],1,FALSE)))</f>
        <v/>
      </c>
      <c r="AF993" s="1063" t="e">
        <f>IF((TB_prev[[#This Row],[Synt]]-TB_prev[[#This Row],[Subtotal Y/N]])=0,0,VLOOKUP(TB_prev[[#This Row],[Synt]],GL[[Account]:[Line]],3,FALSE))</f>
        <v>#VALUE!</v>
      </c>
      <c r="AG993" s="1063" t="e">
        <f>VLOOKUP(TB_prev[[#This Row],[Synt]],GL[[Account]:[B/P]],4,FALSE)</f>
        <v>#N/A</v>
      </c>
      <c r="AH993" s="1066" t="e">
        <v>#VALUE!</v>
      </c>
      <c r="AI993" s="1065" t="e">
        <f>TB_prev[[#This Row],[Synt]]&amp;TB_prev[[#This Row],[Line No. manual corr.]]</f>
        <v>#VALUE!</v>
      </c>
      <c r="AJ993" s="1064">
        <f t="shared" si="76"/>
        <v>0</v>
      </c>
      <c r="AK993" s="1064">
        <f t="shared" si="77"/>
        <v>0</v>
      </c>
      <c r="AL993" s="1064">
        <f t="shared" si="78"/>
        <v>0</v>
      </c>
      <c r="AM993" s="1064">
        <f t="shared" si="79"/>
        <v>0</v>
      </c>
      <c r="AN993" s="1064"/>
      <c r="AO993" s="1064">
        <f>TB_prev[[#This Row],[Closing balance]]+TB_prev[[#This Row],[Rounding]]</f>
        <v>0</v>
      </c>
    </row>
    <row r="994" spans="30:41" x14ac:dyDescent="0.25">
      <c r="AD994" s="1067" t="str">
        <f t="shared" si="75"/>
        <v/>
      </c>
      <c r="AE994" s="1063" t="str">
        <f>IF(ISNA(VLOOKUP(TB_prev[[#This Row],[Synt]],GL[[#Headers],[#Data],[subtotal label]],1,FALSE)),0,(VLOOKUP(TB_prev[[#This Row],[Synt]],GL[[#Headers],[#Data],[subtotal label]],1,FALSE)))</f>
        <v/>
      </c>
      <c r="AF994" s="1063" t="e">
        <f>IF((TB_prev[[#This Row],[Synt]]-TB_prev[[#This Row],[Subtotal Y/N]])=0,0,VLOOKUP(TB_prev[[#This Row],[Synt]],GL[[Account]:[Line]],3,FALSE))</f>
        <v>#VALUE!</v>
      </c>
      <c r="AG994" s="1063" t="e">
        <f>VLOOKUP(TB_prev[[#This Row],[Synt]],GL[[Account]:[B/P]],4,FALSE)</f>
        <v>#N/A</v>
      </c>
      <c r="AH994" s="1066" t="e">
        <v>#VALUE!</v>
      </c>
      <c r="AI994" s="1065" t="e">
        <f>TB_prev[[#This Row],[Synt]]&amp;TB_prev[[#This Row],[Line No. manual corr.]]</f>
        <v>#VALUE!</v>
      </c>
      <c r="AJ994" s="1064">
        <f t="shared" si="76"/>
        <v>0</v>
      </c>
      <c r="AK994" s="1064">
        <f t="shared" si="77"/>
        <v>0</v>
      </c>
      <c r="AL994" s="1064">
        <f t="shared" si="78"/>
        <v>0</v>
      </c>
      <c r="AM994" s="1064">
        <f t="shared" si="79"/>
        <v>0</v>
      </c>
      <c r="AN994" s="1064"/>
      <c r="AO994" s="1064">
        <f>TB_prev[[#This Row],[Closing balance]]+TB_prev[[#This Row],[Rounding]]</f>
        <v>0</v>
      </c>
    </row>
    <row r="995" spans="30:41" x14ac:dyDescent="0.25">
      <c r="AD995" s="1067" t="str">
        <f t="shared" si="75"/>
        <v/>
      </c>
      <c r="AE995" s="1063" t="str">
        <f>IF(ISNA(VLOOKUP(TB_prev[[#This Row],[Synt]],GL[[#Headers],[#Data],[subtotal label]],1,FALSE)),0,(VLOOKUP(TB_prev[[#This Row],[Synt]],GL[[#Headers],[#Data],[subtotal label]],1,FALSE)))</f>
        <v/>
      </c>
      <c r="AF995" s="1063" t="e">
        <f>IF((TB_prev[[#This Row],[Synt]]-TB_prev[[#This Row],[Subtotal Y/N]])=0,0,VLOOKUP(TB_prev[[#This Row],[Synt]],GL[[Account]:[Line]],3,FALSE))</f>
        <v>#VALUE!</v>
      </c>
      <c r="AG995" s="1063" t="e">
        <f>VLOOKUP(TB_prev[[#This Row],[Synt]],GL[[Account]:[B/P]],4,FALSE)</f>
        <v>#N/A</v>
      </c>
      <c r="AH995" s="1066" t="e">
        <v>#VALUE!</v>
      </c>
      <c r="AI995" s="1065" t="e">
        <f>TB_prev[[#This Row],[Synt]]&amp;TB_prev[[#This Row],[Line No. manual corr.]]</f>
        <v>#VALUE!</v>
      </c>
      <c r="AJ995" s="1064">
        <f t="shared" si="76"/>
        <v>0</v>
      </c>
      <c r="AK995" s="1064">
        <f t="shared" si="77"/>
        <v>0</v>
      </c>
      <c r="AL995" s="1064">
        <f t="shared" si="78"/>
        <v>0</v>
      </c>
      <c r="AM995" s="1064">
        <f t="shared" si="79"/>
        <v>0</v>
      </c>
      <c r="AN995" s="1064"/>
      <c r="AO995" s="1064">
        <f>TB_prev[[#This Row],[Closing balance]]+TB_prev[[#This Row],[Rounding]]</f>
        <v>0</v>
      </c>
    </row>
    <row r="996" spans="30:41" x14ac:dyDescent="0.25">
      <c r="AD996" s="1067" t="str">
        <f t="shared" si="75"/>
        <v/>
      </c>
      <c r="AE996" s="1063" t="str">
        <f>IF(ISNA(VLOOKUP(TB_prev[[#This Row],[Synt]],GL[[#Headers],[#Data],[subtotal label]],1,FALSE)),0,(VLOOKUP(TB_prev[[#This Row],[Synt]],GL[[#Headers],[#Data],[subtotal label]],1,FALSE)))</f>
        <v/>
      </c>
      <c r="AF996" s="1063" t="e">
        <f>IF((TB_prev[[#This Row],[Synt]]-TB_prev[[#This Row],[Subtotal Y/N]])=0,0,VLOOKUP(TB_prev[[#This Row],[Synt]],GL[[Account]:[Line]],3,FALSE))</f>
        <v>#VALUE!</v>
      </c>
      <c r="AG996" s="1063" t="e">
        <f>VLOOKUP(TB_prev[[#This Row],[Synt]],GL[[Account]:[B/P]],4,FALSE)</f>
        <v>#N/A</v>
      </c>
      <c r="AH996" s="1066" t="e">
        <v>#VALUE!</v>
      </c>
      <c r="AI996" s="1065" t="e">
        <f>TB_prev[[#This Row],[Synt]]&amp;TB_prev[[#This Row],[Line No. manual corr.]]</f>
        <v>#VALUE!</v>
      </c>
      <c r="AJ996" s="1064">
        <f t="shared" si="76"/>
        <v>0</v>
      </c>
      <c r="AK996" s="1064">
        <f t="shared" si="77"/>
        <v>0</v>
      </c>
      <c r="AL996" s="1064">
        <f t="shared" si="78"/>
        <v>0</v>
      </c>
      <c r="AM996" s="1064">
        <f t="shared" si="79"/>
        <v>0</v>
      </c>
      <c r="AN996" s="1064"/>
      <c r="AO996" s="1064">
        <f>TB_prev[[#This Row],[Closing balance]]+TB_prev[[#This Row],[Rounding]]</f>
        <v>0</v>
      </c>
    </row>
    <row r="997" spans="30:41" x14ac:dyDescent="0.25">
      <c r="AD997" s="1067" t="str">
        <f t="shared" si="75"/>
        <v/>
      </c>
      <c r="AE997" s="1063" t="str">
        <f>IF(ISNA(VLOOKUP(TB_prev[[#This Row],[Synt]],GL[[#Headers],[#Data],[subtotal label]],1,FALSE)),0,(VLOOKUP(TB_prev[[#This Row],[Synt]],GL[[#Headers],[#Data],[subtotal label]],1,FALSE)))</f>
        <v/>
      </c>
      <c r="AF997" s="1063" t="e">
        <f>IF((TB_prev[[#This Row],[Synt]]-TB_prev[[#This Row],[Subtotal Y/N]])=0,0,VLOOKUP(TB_prev[[#This Row],[Synt]],GL[[Account]:[Line]],3,FALSE))</f>
        <v>#VALUE!</v>
      </c>
      <c r="AG997" s="1063" t="e">
        <f>VLOOKUP(TB_prev[[#This Row],[Synt]],GL[[Account]:[B/P]],4,FALSE)</f>
        <v>#N/A</v>
      </c>
      <c r="AH997" s="1066" t="e">
        <v>#VALUE!</v>
      </c>
      <c r="AI997" s="1065" t="e">
        <f>TB_prev[[#This Row],[Synt]]&amp;TB_prev[[#This Row],[Line No. manual corr.]]</f>
        <v>#VALUE!</v>
      </c>
      <c r="AJ997" s="1064">
        <f t="shared" si="76"/>
        <v>0</v>
      </c>
      <c r="AK997" s="1064">
        <f t="shared" si="77"/>
        <v>0</v>
      </c>
      <c r="AL997" s="1064">
        <f t="shared" si="78"/>
        <v>0</v>
      </c>
      <c r="AM997" s="1064">
        <f t="shared" si="79"/>
        <v>0</v>
      </c>
      <c r="AN997" s="1064"/>
      <c r="AO997" s="1064">
        <f>TB_prev[[#This Row],[Closing balance]]+TB_prev[[#This Row],[Rounding]]</f>
        <v>0</v>
      </c>
    </row>
    <row r="998" spans="30:41" x14ac:dyDescent="0.25">
      <c r="AD998" s="1067" t="str">
        <f t="shared" si="75"/>
        <v/>
      </c>
      <c r="AE998" s="1063" t="str">
        <f>IF(ISNA(VLOOKUP(TB_prev[[#This Row],[Synt]],GL[[#Headers],[#Data],[subtotal label]],1,FALSE)),0,(VLOOKUP(TB_prev[[#This Row],[Synt]],GL[[#Headers],[#Data],[subtotal label]],1,FALSE)))</f>
        <v/>
      </c>
      <c r="AF998" s="1063" t="e">
        <f>IF((TB_prev[[#This Row],[Synt]]-TB_prev[[#This Row],[Subtotal Y/N]])=0,0,VLOOKUP(TB_prev[[#This Row],[Synt]],GL[[Account]:[Line]],3,FALSE))</f>
        <v>#VALUE!</v>
      </c>
      <c r="AG998" s="1063" t="e">
        <f>VLOOKUP(TB_prev[[#This Row],[Synt]],GL[[Account]:[B/P]],4,FALSE)</f>
        <v>#N/A</v>
      </c>
      <c r="AH998" s="1066" t="e">
        <v>#VALUE!</v>
      </c>
      <c r="AI998" s="1065" t="e">
        <f>TB_prev[[#This Row],[Synt]]&amp;TB_prev[[#This Row],[Line No. manual corr.]]</f>
        <v>#VALUE!</v>
      </c>
      <c r="AJ998" s="1064">
        <f t="shared" si="76"/>
        <v>0</v>
      </c>
      <c r="AK998" s="1064">
        <f t="shared" si="77"/>
        <v>0</v>
      </c>
      <c r="AL998" s="1064">
        <f t="shared" si="78"/>
        <v>0</v>
      </c>
      <c r="AM998" s="1064">
        <f t="shared" si="79"/>
        <v>0</v>
      </c>
      <c r="AN998" s="1064"/>
      <c r="AO998" s="1064">
        <f>TB_prev[[#This Row],[Closing balance]]+TB_prev[[#This Row],[Rounding]]</f>
        <v>0</v>
      </c>
    </row>
    <row r="999" spans="30:41" x14ac:dyDescent="0.25">
      <c r="AD999" s="1067" t="str">
        <f t="shared" si="75"/>
        <v/>
      </c>
      <c r="AE999" s="1063" t="str">
        <f>IF(ISNA(VLOOKUP(TB_prev[[#This Row],[Synt]],GL[[#Headers],[#Data],[subtotal label]],1,FALSE)),0,(VLOOKUP(TB_prev[[#This Row],[Synt]],GL[[#Headers],[#Data],[subtotal label]],1,FALSE)))</f>
        <v/>
      </c>
      <c r="AF999" s="1063" t="e">
        <f>IF((TB_prev[[#This Row],[Synt]]-TB_prev[[#This Row],[Subtotal Y/N]])=0,0,VLOOKUP(TB_prev[[#This Row],[Synt]],GL[[Account]:[Line]],3,FALSE))</f>
        <v>#VALUE!</v>
      </c>
      <c r="AG999" s="1063" t="e">
        <f>VLOOKUP(TB_prev[[#This Row],[Synt]],GL[[Account]:[B/P]],4,FALSE)</f>
        <v>#N/A</v>
      </c>
      <c r="AH999" s="1066" t="e">
        <v>#VALUE!</v>
      </c>
      <c r="AI999" s="1065" t="e">
        <f>TB_prev[[#This Row],[Synt]]&amp;TB_prev[[#This Row],[Line No. manual corr.]]</f>
        <v>#VALUE!</v>
      </c>
      <c r="AJ999" s="1064">
        <f t="shared" si="76"/>
        <v>0</v>
      </c>
      <c r="AK999" s="1064">
        <f t="shared" si="77"/>
        <v>0</v>
      </c>
      <c r="AL999" s="1064">
        <f t="shared" si="78"/>
        <v>0</v>
      </c>
      <c r="AM999" s="1064">
        <f t="shared" si="79"/>
        <v>0</v>
      </c>
      <c r="AN999" s="1064"/>
      <c r="AO999" s="1064">
        <f>TB_prev[[#This Row],[Closing balance]]+TB_prev[[#This Row],[Rounding]]</f>
        <v>0</v>
      </c>
    </row>
    <row r="1000" spans="30:41" x14ac:dyDescent="0.25">
      <c r="AD1000" s="1067" t="str">
        <f t="shared" si="75"/>
        <v/>
      </c>
      <c r="AE1000" s="1063" t="str">
        <f>IF(ISNA(VLOOKUP(TB_prev[[#This Row],[Synt]],GL[[#Headers],[#Data],[subtotal label]],1,FALSE)),0,(VLOOKUP(TB_prev[[#This Row],[Synt]],GL[[#Headers],[#Data],[subtotal label]],1,FALSE)))</f>
        <v/>
      </c>
      <c r="AF1000" s="1063" t="e">
        <f>IF((TB_prev[[#This Row],[Synt]]-TB_prev[[#This Row],[Subtotal Y/N]])=0,0,VLOOKUP(TB_prev[[#This Row],[Synt]],GL[[Account]:[Line]],3,FALSE))</f>
        <v>#VALUE!</v>
      </c>
      <c r="AG1000" s="1063" t="e">
        <f>VLOOKUP(TB_prev[[#This Row],[Synt]],GL[[Account]:[B/P]],4,FALSE)</f>
        <v>#N/A</v>
      </c>
      <c r="AH1000" s="1066" t="e">
        <v>#VALUE!</v>
      </c>
      <c r="AI1000" s="1065" t="e">
        <f>TB_prev[[#This Row],[Synt]]&amp;TB_prev[[#This Row],[Line No. manual corr.]]</f>
        <v>#VALUE!</v>
      </c>
      <c r="AJ1000" s="1064">
        <f t="shared" si="76"/>
        <v>0</v>
      </c>
      <c r="AK1000" s="1064">
        <f t="shared" si="77"/>
        <v>0</v>
      </c>
      <c r="AL1000" s="1064">
        <f t="shared" si="78"/>
        <v>0</v>
      </c>
      <c r="AM1000" s="1064">
        <f t="shared" si="79"/>
        <v>0</v>
      </c>
      <c r="AN1000" s="1064"/>
      <c r="AO1000" s="1064">
        <f>TB_prev[[#This Row],[Closing balance]]+TB_prev[[#This Row],[Rounding]]</f>
        <v>0</v>
      </c>
    </row>
    <row r="1001" spans="30:41" x14ac:dyDescent="0.25">
      <c r="AD1001" s="1067" t="str">
        <f t="shared" si="75"/>
        <v/>
      </c>
      <c r="AE1001" s="1063" t="str">
        <f>IF(ISNA(VLOOKUP(TB_prev[[#This Row],[Synt]],GL[[#Headers],[#Data],[subtotal label]],1,FALSE)),0,(VLOOKUP(TB_prev[[#This Row],[Synt]],GL[[#Headers],[#Data],[subtotal label]],1,FALSE)))</f>
        <v/>
      </c>
      <c r="AF1001" s="1063" t="e">
        <f>IF((TB_prev[[#This Row],[Synt]]-TB_prev[[#This Row],[Subtotal Y/N]])=0,0,VLOOKUP(TB_prev[[#This Row],[Synt]],GL[[Account]:[Line]],3,FALSE))</f>
        <v>#VALUE!</v>
      </c>
      <c r="AG1001" s="1063" t="e">
        <f>VLOOKUP(TB_prev[[#This Row],[Synt]],GL[[Account]:[B/P]],4,FALSE)</f>
        <v>#N/A</v>
      </c>
      <c r="AH1001" s="1066" t="e">
        <v>#VALUE!</v>
      </c>
      <c r="AI1001" s="1065" t="e">
        <f>TB_prev[[#This Row],[Synt]]&amp;TB_prev[[#This Row],[Line No. manual corr.]]</f>
        <v>#VALUE!</v>
      </c>
      <c r="AJ1001" s="1064">
        <f t="shared" si="76"/>
        <v>0</v>
      </c>
      <c r="AK1001" s="1064">
        <f t="shared" si="77"/>
        <v>0</v>
      </c>
      <c r="AL1001" s="1064">
        <f t="shared" si="78"/>
        <v>0</v>
      </c>
      <c r="AM1001" s="1064">
        <f t="shared" si="79"/>
        <v>0</v>
      </c>
      <c r="AN1001" s="1064"/>
      <c r="AO1001" s="1064">
        <f>TB_prev[[#This Row],[Closing balance]]+TB_prev[[#This Row],[Rounding]]</f>
        <v>0</v>
      </c>
    </row>
    <row r="1002" spans="30:41" x14ac:dyDescent="0.25">
      <c r="AD1002" s="1067" t="str">
        <f t="shared" si="75"/>
        <v/>
      </c>
      <c r="AE1002" s="1063" t="str">
        <f>IF(ISNA(VLOOKUP(TB_prev[[#This Row],[Synt]],GL[[#Headers],[#Data],[subtotal label]],1,FALSE)),0,(VLOOKUP(TB_prev[[#This Row],[Synt]],GL[[#Headers],[#Data],[subtotal label]],1,FALSE)))</f>
        <v/>
      </c>
      <c r="AF1002" s="1063" t="e">
        <f>IF((TB_prev[[#This Row],[Synt]]-TB_prev[[#This Row],[Subtotal Y/N]])=0,0,VLOOKUP(TB_prev[[#This Row],[Synt]],GL[[Account]:[Line]],3,FALSE))</f>
        <v>#VALUE!</v>
      </c>
      <c r="AG1002" s="1063" t="e">
        <f>VLOOKUP(TB_prev[[#This Row],[Synt]],GL[[Account]:[B/P]],4,FALSE)</f>
        <v>#N/A</v>
      </c>
      <c r="AH1002" s="1066" t="e">
        <v>#VALUE!</v>
      </c>
      <c r="AI1002" s="1065" t="e">
        <f>TB_prev[[#This Row],[Synt]]&amp;TB_prev[[#This Row],[Line No. manual corr.]]</f>
        <v>#VALUE!</v>
      </c>
      <c r="AJ1002" s="1064">
        <f t="shared" si="76"/>
        <v>0</v>
      </c>
      <c r="AK1002" s="1064">
        <f t="shared" si="77"/>
        <v>0</v>
      </c>
      <c r="AL1002" s="1064">
        <f t="shared" si="78"/>
        <v>0</v>
      </c>
      <c r="AM1002" s="1064">
        <f t="shared" si="79"/>
        <v>0</v>
      </c>
      <c r="AN1002" s="1064"/>
      <c r="AO1002" s="1064">
        <f>TB_prev[[#This Row],[Closing balance]]+TB_prev[[#This Row],[Rounding]]</f>
        <v>0</v>
      </c>
    </row>
    <row r="1003" spans="30:41" x14ac:dyDescent="0.25">
      <c r="AD1003" s="1067" t="str">
        <f t="shared" si="75"/>
        <v/>
      </c>
      <c r="AE1003" s="1063" t="str">
        <f>IF(ISNA(VLOOKUP(TB_prev[[#This Row],[Synt]],GL[[#Headers],[#Data],[subtotal label]],1,FALSE)),0,(VLOOKUP(TB_prev[[#This Row],[Synt]],GL[[#Headers],[#Data],[subtotal label]],1,FALSE)))</f>
        <v/>
      </c>
      <c r="AF1003" s="1063" t="e">
        <f>IF((TB_prev[[#This Row],[Synt]]-TB_prev[[#This Row],[Subtotal Y/N]])=0,0,VLOOKUP(TB_prev[[#This Row],[Synt]],GL[[Account]:[Line]],3,FALSE))</f>
        <v>#VALUE!</v>
      </c>
      <c r="AG1003" s="1063" t="e">
        <f>VLOOKUP(TB_prev[[#This Row],[Synt]],GL[[Account]:[B/P]],4,FALSE)</f>
        <v>#N/A</v>
      </c>
      <c r="AH1003" s="1066" t="e">
        <v>#VALUE!</v>
      </c>
      <c r="AI1003" s="1065" t="e">
        <f>TB_prev[[#This Row],[Synt]]&amp;TB_prev[[#This Row],[Line No. manual corr.]]</f>
        <v>#VALUE!</v>
      </c>
      <c r="AJ1003" s="1064">
        <f t="shared" si="76"/>
        <v>0</v>
      </c>
      <c r="AK1003" s="1064">
        <f t="shared" si="77"/>
        <v>0</v>
      </c>
      <c r="AL1003" s="1064">
        <f t="shared" si="78"/>
        <v>0</v>
      </c>
      <c r="AM1003" s="1064">
        <f t="shared" si="79"/>
        <v>0</v>
      </c>
      <c r="AN1003" s="1064"/>
      <c r="AO1003" s="1064">
        <f>TB_prev[[#This Row],[Closing balance]]+TB_prev[[#This Row],[Rounding]]</f>
        <v>0</v>
      </c>
    </row>
    <row r="1004" spans="30:41" x14ac:dyDescent="0.25">
      <c r="AD1004" s="1067" t="str">
        <f t="shared" si="75"/>
        <v/>
      </c>
      <c r="AE1004" s="1063" t="str">
        <f>IF(ISNA(VLOOKUP(TB_prev[[#This Row],[Synt]],GL[[#Headers],[#Data],[subtotal label]],1,FALSE)),0,(VLOOKUP(TB_prev[[#This Row],[Synt]],GL[[#Headers],[#Data],[subtotal label]],1,FALSE)))</f>
        <v/>
      </c>
      <c r="AF1004" s="1063" t="e">
        <f>IF((TB_prev[[#This Row],[Synt]]-TB_prev[[#This Row],[Subtotal Y/N]])=0,0,VLOOKUP(TB_prev[[#This Row],[Synt]],GL[[Account]:[Line]],3,FALSE))</f>
        <v>#VALUE!</v>
      </c>
      <c r="AG1004" s="1063" t="e">
        <f>VLOOKUP(TB_prev[[#This Row],[Synt]],GL[[Account]:[B/P]],4,FALSE)</f>
        <v>#N/A</v>
      </c>
      <c r="AH1004" s="1066" t="e">
        <v>#VALUE!</v>
      </c>
      <c r="AI1004" s="1065" t="e">
        <f>TB_prev[[#This Row],[Synt]]&amp;TB_prev[[#This Row],[Line No. manual corr.]]</f>
        <v>#VALUE!</v>
      </c>
      <c r="AJ1004" s="1064">
        <f t="shared" si="76"/>
        <v>0</v>
      </c>
      <c r="AK1004" s="1064">
        <f t="shared" si="77"/>
        <v>0</v>
      </c>
      <c r="AL1004" s="1064">
        <f t="shared" si="78"/>
        <v>0</v>
      </c>
      <c r="AM1004" s="1064">
        <f t="shared" si="79"/>
        <v>0</v>
      </c>
      <c r="AN1004" s="1064"/>
      <c r="AO1004" s="1064">
        <f>TB_prev[[#This Row],[Closing balance]]+TB_prev[[#This Row],[Rounding]]</f>
        <v>0</v>
      </c>
    </row>
    <row r="1005" spans="30:41" x14ac:dyDescent="0.25">
      <c r="AD1005" s="1067" t="str">
        <f t="shared" si="75"/>
        <v/>
      </c>
      <c r="AE1005" s="1063" t="str">
        <f>IF(ISNA(VLOOKUP(TB_prev[[#This Row],[Synt]],GL[[#Headers],[#Data],[subtotal label]],1,FALSE)),0,(VLOOKUP(TB_prev[[#This Row],[Synt]],GL[[#Headers],[#Data],[subtotal label]],1,FALSE)))</f>
        <v/>
      </c>
      <c r="AF1005" s="1063" t="e">
        <f>IF((TB_prev[[#This Row],[Synt]]-TB_prev[[#This Row],[Subtotal Y/N]])=0,0,VLOOKUP(TB_prev[[#This Row],[Synt]],GL[[Account]:[Line]],3,FALSE))</f>
        <v>#VALUE!</v>
      </c>
      <c r="AG1005" s="1063" t="e">
        <f>VLOOKUP(TB_prev[[#This Row],[Synt]],GL[[Account]:[B/P]],4,FALSE)</f>
        <v>#N/A</v>
      </c>
      <c r="AH1005" s="1066" t="e">
        <v>#VALUE!</v>
      </c>
      <c r="AI1005" s="1065" t="e">
        <f>TB_prev[[#This Row],[Synt]]&amp;TB_prev[[#This Row],[Line No. manual corr.]]</f>
        <v>#VALUE!</v>
      </c>
      <c r="AJ1005" s="1064">
        <f t="shared" si="76"/>
        <v>0</v>
      </c>
      <c r="AK1005" s="1064">
        <f t="shared" si="77"/>
        <v>0</v>
      </c>
      <c r="AL1005" s="1064">
        <f t="shared" si="78"/>
        <v>0</v>
      </c>
      <c r="AM1005" s="1064">
        <f t="shared" si="79"/>
        <v>0</v>
      </c>
      <c r="AN1005" s="1064"/>
      <c r="AO1005" s="1064">
        <f>TB_prev[[#This Row],[Closing balance]]+TB_prev[[#This Row],[Rounding]]</f>
        <v>0</v>
      </c>
    </row>
    <row r="1006" spans="30:41" x14ac:dyDescent="0.25">
      <c r="AD1006" s="1067" t="str">
        <f t="shared" si="75"/>
        <v/>
      </c>
      <c r="AE1006" s="1063" t="str">
        <f>IF(ISNA(VLOOKUP(TB_prev[[#This Row],[Synt]],GL[[#Headers],[#Data],[subtotal label]],1,FALSE)),0,(VLOOKUP(TB_prev[[#This Row],[Synt]],GL[[#Headers],[#Data],[subtotal label]],1,FALSE)))</f>
        <v/>
      </c>
      <c r="AF1006" s="1063" t="e">
        <f>IF((TB_prev[[#This Row],[Synt]]-TB_prev[[#This Row],[Subtotal Y/N]])=0,0,VLOOKUP(TB_prev[[#This Row],[Synt]],GL[[Account]:[Line]],3,FALSE))</f>
        <v>#VALUE!</v>
      </c>
      <c r="AG1006" s="1063" t="e">
        <f>VLOOKUP(TB_prev[[#This Row],[Synt]],GL[[Account]:[B/P]],4,FALSE)</f>
        <v>#N/A</v>
      </c>
      <c r="AH1006" s="1066" t="e">
        <v>#VALUE!</v>
      </c>
      <c r="AI1006" s="1065" t="e">
        <f>TB_prev[[#This Row],[Synt]]&amp;TB_prev[[#This Row],[Line No. manual corr.]]</f>
        <v>#VALUE!</v>
      </c>
      <c r="AJ1006" s="1064">
        <f t="shared" si="76"/>
        <v>0</v>
      </c>
      <c r="AK1006" s="1064">
        <f t="shared" si="77"/>
        <v>0</v>
      </c>
      <c r="AL1006" s="1064">
        <f t="shared" si="78"/>
        <v>0</v>
      </c>
      <c r="AM1006" s="1064">
        <f t="shared" si="79"/>
        <v>0</v>
      </c>
      <c r="AN1006" s="1064"/>
      <c r="AO1006" s="1064">
        <f>TB_prev[[#This Row],[Closing balance]]+TB_prev[[#This Row],[Rounding]]</f>
        <v>0</v>
      </c>
    </row>
    <row r="1007" spans="30:41" x14ac:dyDescent="0.25">
      <c r="AD1007" s="1067" t="str">
        <f t="shared" si="75"/>
        <v/>
      </c>
      <c r="AE1007" s="1063" t="str">
        <f>IF(ISNA(VLOOKUP(TB_prev[[#This Row],[Synt]],GL[[#Headers],[#Data],[subtotal label]],1,FALSE)),0,(VLOOKUP(TB_prev[[#This Row],[Synt]],GL[[#Headers],[#Data],[subtotal label]],1,FALSE)))</f>
        <v/>
      </c>
      <c r="AF1007" s="1063" t="e">
        <f>IF((TB_prev[[#This Row],[Synt]]-TB_prev[[#This Row],[Subtotal Y/N]])=0,0,VLOOKUP(TB_prev[[#This Row],[Synt]],GL[[Account]:[Line]],3,FALSE))</f>
        <v>#VALUE!</v>
      </c>
      <c r="AG1007" s="1063" t="e">
        <f>VLOOKUP(TB_prev[[#This Row],[Synt]],GL[[Account]:[B/P]],4,FALSE)</f>
        <v>#N/A</v>
      </c>
      <c r="AH1007" s="1066" t="e">
        <v>#VALUE!</v>
      </c>
      <c r="AI1007" s="1065" t="e">
        <f>TB_prev[[#This Row],[Synt]]&amp;TB_prev[[#This Row],[Line No. manual corr.]]</f>
        <v>#VALUE!</v>
      </c>
      <c r="AJ1007" s="1064">
        <f t="shared" si="76"/>
        <v>0</v>
      </c>
      <c r="AK1007" s="1064">
        <f t="shared" si="77"/>
        <v>0</v>
      </c>
      <c r="AL1007" s="1064">
        <f t="shared" si="78"/>
        <v>0</v>
      </c>
      <c r="AM1007" s="1064">
        <f t="shared" si="79"/>
        <v>0</v>
      </c>
      <c r="AN1007" s="1064"/>
      <c r="AO1007" s="1064">
        <f>TB_prev[[#This Row],[Closing balance]]+TB_prev[[#This Row],[Rounding]]</f>
        <v>0</v>
      </c>
    </row>
    <row r="1008" spans="30:41" x14ac:dyDescent="0.25">
      <c r="AD1008" s="1067" t="str">
        <f t="shared" si="75"/>
        <v/>
      </c>
      <c r="AE1008" s="1063" t="str">
        <f>IF(ISNA(VLOOKUP(TB_prev[[#This Row],[Synt]],GL[[#Headers],[#Data],[subtotal label]],1,FALSE)),0,(VLOOKUP(TB_prev[[#This Row],[Synt]],GL[[#Headers],[#Data],[subtotal label]],1,FALSE)))</f>
        <v/>
      </c>
      <c r="AF1008" s="1063" t="e">
        <f>IF((TB_prev[[#This Row],[Synt]]-TB_prev[[#This Row],[Subtotal Y/N]])=0,0,VLOOKUP(TB_prev[[#This Row],[Synt]],GL[[Account]:[Line]],3,FALSE))</f>
        <v>#VALUE!</v>
      </c>
      <c r="AG1008" s="1063" t="e">
        <f>VLOOKUP(TB_prev[[#This Row],[Synt]],GL[[Account]:[B/P]],4,FALSE)</f>
        <v>#N/A</v>
      </c>
      <c r="AH1008" s="1066" t="e">
        <v>#VALUE!</v>
      </c>
      <c r="AI1008" s="1065" t="e">
        <f>TB_prev[[#This Row],[Synt]]&amp;TB_prev[[#This Row],[Line No. manual corr.]]</f>
        <v>#VALUE!</v>
      </c>
      <c r="AJ1008" s="1064">
        <f t="shared" si="76"/>
        <v>0</v>
      </c>
      <c r="AK1008" s="1064">
        <f t="shared" si="77"/>
        <v>0</v>
      </c>
      <c r="AL1008" s="1064">
        <f t="shared" si="78"/>
        <v>0</v>
      </c>
      <c r="AM1008" s="1064">
        <f t="shared" si="79"/>
        <v>0</v>
      </c>
      <c r="AN1008" s="1064"/>
      <c r="AO1008" s="1064">
        <f>TB_prev[[#This Row],[Closing balance]]+TB_prev[[#This Row],[Rounding]]</f>
        <v>0</v>
      </c>
    </row>
    <row r="1009" spans="30:41" x14ac:dyDescent="0.25">
      <c r="AD1009" s="1067" t="str">
        <f t="shared" si="75"/>
        <v/>
      </c>
      <c r="AE1009" s="1063" t="str">
        <f>IF(ISNA(VLOOKUP(TB_prev[[#This Row],[Synt]],GL[[#Headers],[#Data],[subtotal label]],1,FALSE)),0,(VLOOKUP(TB_prev[[#This Row],[Synt]],GL[[#Headers],[#Data],[subtotal label]],1,FALSE)))</f>
        <v/>
      </c>
      <c r="AF1009" s="1063" t="e">
        <f>IF((TB_prev[[#This Row],[Synt]]-TB_prev[[#This Row],[Subtotal Y/N]])=0,0,VLOOKUP(TB_prev[[#This Row],[Synt]],GL[[Account]:[Line]],3,FALSE))</f>
        <v>#VALUE!</v>
      </c>
      <c r="AG1009" s="1063" t="e">
        <f>VLOOKUP(TB_prev[[#This Row],[Synt]],GL[[Account]:[B/P]],4,FALSE)</f>
        <v>#N/A</v>
      </c>
      <c r="AH1009" s="1066" t="e">
        <v>#VALUE!</v>
      </c>
      <c r="AI1009" s="1065" t="e">
        <f>TB_prev[[#This Row],[Synt]]&amp;TB_prev[[#This Row],[Line No. manual corr.]]</f>
        <v>#VALUE!</v>
      </c>
      <c r="AJ1009" s="1064">
        <f t="shared" si="76"/>
        <v>0</v>
      </c>
      <c r="AK1009" s="1064">
        <f t="shared" si="77"/>
        <v>0</v>
      </c>
      <c r="AL1009" s="1064">
        <f t="shared" si="78"/>
        <v>0</v>
      </c>
      <c r="AM1009" s="1064">
        <f t="shared" si="79"/>
        <v>0</v>
      </c>
      <c r="AN1009" s="1064"/>
      <c r="AO1009" s="1064">
        <f>TB_prev[[#This Row],[Closing balance]]+TB_prev[[#This Row],[Rounding]]</f>
        <v>0</v>
      </c>
    </row>
    <row r="1010" spans="30:41" x14ac:dyDescent="0.25">
      <c r="AD1010" s="1067" t="str">
        <f t="shared" si="75"/>
        <v/>
      </c>
      <c r="AE1010" s="1063" t="str">
        <f>IF(ISNA(VLOOKUP(TB_prev[[#This Row],[Synt]],GL[[#Headers],[#Data],[subtotal label]],1,FALSE)),0,(VLOOKUP(TB_prev[[#This Row],[Synt]],GL[[#Headers],[#Data],[subtotal label]],1,FALSE)))</f>
        <v/>
      </c>
      <c r="AF1010" s="1063" t="e">
        <f>IF((TB_prev[[#This Row],[Synt]]-TB_prev[[#This Row],[Subtotal Y/N]])=0,0,VLOOKUP(TB_prev[[#This Row],[Synt]],GL[[Account]:[Line]],3,FALSE))</f>
        <v>#VALUE!</v>
      </c>
      <c r="AG1010" s="1063" t="e">
        <f>VLOOKUP(TB_prev[[#This Row],[Synt]],GL[[Account]:[B/P]],4,FALSE)</f>
        <v>#N/A</v>
      </c>
      <c r="AH1010" s="1066" t="e">
        <v>#VALUE!</v>
      </c>
      <c r="AI1010" s="1065" t="e">
        <f>TB_prev[[#This Row],[Synt]]&amp;TB_prev[[#This Row],[Line No. manual corr.]]</f>
        <v>#VALUE!</v>
      </c>
      <c r="AJ1010" s="1064">
        <f t="shared" si="76"/>
        <v>0</v>
      </c>
      <c r="AK1010" s="1064">
        <f t="shared" si="77"/>
        <v>0</v>
      </c>
      <c r="AL1010" s="1064">
        <f t="shared" si="78"/>
        <v>0</v>
      </c>
      <c r="AM1010" s="1064">
        <f t="shared" si="79"/>
        <v>0</v>
      </c>
      <c r="AN1010" s="1064"/>
      <c r="AO1010" s="1064">
        <f>TB_prev[[#This Row],[Closing balance]]+TB_prev[[#This Row],[Rounding]]</f>
        <v>0</v>
      </c>
    </row>
    <row r="1011" spans="30:41" x14ac:dyDescent="0.25">
      <c r="AD1011" s="1067" t="str">
        <f t="shared" si="75"/>
        <v/>
      </c>
      <c r="AE1011" s="1063" t="str">
        <f>IF(ISNA(VLOOKUP(TB_prev[[#This Row],[Synt]],GL[[#Headers],[#Data],[subtotal label]],1,FALSE)),0,(VLOOKUP(TB_prev[[#This Row],[Synt]],GL[[#Headers],[#Data],[subtotal label]],1,FALSE)))</f>
        <v/>
      </c>
      <c r="AF1011" s="1063" t="e">
        <f>IF((TB_prev[[#This Row],[Synt]]-TB_prev[[#This Row],[Subtotal Y/N]])=0,0,VLOOKUP(TB_prev[[#This Row],[Synt]],GL[[Account]:[Line]],3,FALSE))</f>
        <v>#VALUE!</v>
      </c>
      <c r="AG1011" s="1063" t="e">
        <f>VLOOKUP(TB_prev[[#This Row],[Synt]],GL[[Account]:[B/P]],4,FALSE)</f>
        <v>#N/A</v>
      </c>
      <c r="AH1011" s="1066" t="e">
        <v>#VALUE!</v>
      </c>
      <c r="AI1011" s="1065" t="e">
        <f>TB_prev[[#This Row],[Synt]]&amp;TB_prev[[#This Row],[Line No. manual corr.]]</f>
        <v>#VALUE!</v>
      </c>
      <c r="AJ1011" s="1064">
        <f t="shared" si="76"/>
        <v>0</v>
      </c>
      <c r="AK1011" s="1064">
        <f t="shared" si="77"/>
        <v>0</v>
      </c>
      <c r="AL1011" s="1064">
        <f t="shared" si="78"/>
        <v>0</v>
      </c>
      <c r="AM1011" s="1064">
        <f t="shared" si="79"/>
        <v>0</v>
      </c>
      <c r="AN1011" s="1064"/>
      <c r="AO1011" s="1064">
        <f>TB_prev[[#This Row],[Closing balance]]+TB_prev[[#This Row],[Rounding]]</f>
        <v>0</v>
      </c>
    </row>
    <row r="1012" spans="30:41" x14ac:dyDescent="0.25">
      <c r="AD1012" s="1067" t="str">
        <f t="shared" si="75"/>
        <v/>
      </c>
      <c r="AE1012" s="1063" t="str">
        <f>IF(ISNA(VLOOKUP(TB_prev[[#This Row],[Synt]],GL[[#Headers],[#Data],[subtotal label]],1,FALSE)),0,(VLOOKUP(TB_prev[[#This Row],[Synt]],GL[[#Headers],[#Data],[subtotal label]],1,FALSE)))</f>
        <v/>
      </c>
      <c r="AF1012" s="1063" t="e">
        <f>IF((TB_prev[[#This Row],[Synt]]-TB_prev[[#This Row],[Subtotal Y/N]])=0,0,VLOOKUP(TB_prev[[#This Row],[Synt]],GL[[Account]:[Line]],3,FALSE))</f>
        <v>#VALUE!</v>
      </c>
      <c r="AG1012" s="1063" t="e">
        <f>VLOOKUP(TB_prev[[#This Row],[Synt]],GL[[Account]:[B/P]],4,FALSE)</f>
        <v>#N/A</v>
      </c>
      <c r="AH1012" s="1066" t="e">
        <v>#VALUE!</v>
      </c>
      <c r="AI1012" s="1065" t="e">
        <f>TB_prev[[#This Row],[Synt]]&amp;TB_prev[[#This Row],[Line No. manual corr.]]</f>
        <v>#VALUE!</v>
      </c>
      <c r="AJ1012" s="1064">
        <f t="shared" si="76"/>
        <v>0</v>
      </c>
      <c r="AK1012" s="1064">
        <f t="shared" si="77"/>
        <v>0</v>
      </c>
      <c r="AL1012" s="1064">
        <f t="shared" si="78"/>
        <v>0</v>
      </c>
      <c r="AM1012" s="1064">
        <f t="shared" si="79"/>
        <v>0</v>
      </c>
      <c r="AN1012" s="1064"/>
      <c r="AO1012" s="1064">
        <f>TB_prev[[#This Row],[Closing balance]]+TB_prev[[#This Row],[Rounding]]</f>
        <v>0</v>
      </c>
    </row>
    <row r="1013" spans="30:41" x14ac:dyDescent="0.25">
      <c r="AD1013" s="1067" t="str">
        <f t="shared" si="75"/>
        <v/>
      </c>
      <c r="AE1013" s="1063" t="str">
        <f>IF(ISNA(VLOOKUP(TB_prev[[#This Row],[Synt]],GL[[#Headers],[#Data],[subtotal label]],1,FALSE)),0,(VLOOKUP(TB_prev[[#This Row],[Synt]],GL[[#Headers],[#Data],[subtotal label]],1,FALSE)))</f>
        <v/>
      </c>
      <c r="AF1013" s="1063" t="e">
        <f>IF((TB_prev[[#This Row],[Synt]]-TB_prev[[#This Row],[Subtotal Y/N]])=0,0,VLOOKUP(TB_prev[[#This Row],[Synt]],GL[[Account]:[Line]],3,FALSE))</f>
        <v>#VALUE!</v>
      </c>
      <c r="AG1013" s="1063" t="e">
        <f>VLOOKUP(TB_prev[[#This Row],[Synt]],GL[[Account]:[B/P]],4,FALSE)</f>
        <v>#N/A</v>
      </c>
      <c r="AH1013" s="1066" t="e">
        <v>#VALUE!</v>
      </c>
      <c r="AI1013" s="1065" t="e">
        <f>TB_prev[[#This Row],[Synt]]&amp;TB_prev[[#This Row],[Line No. manual corr.]]</f>
        <v>#VALUE!</v>
      </c>
      <c r="AJ1013" s="1064">
        <f t="shared" si="76"/>
        <v>0</v>
      </c>
      <c r="AK1013" s="1064">
        <f t="shared" si="77"/>
        <v>0</v>
      </c>
      <c r="AL1013" s="1064">
        <f t="shared" si="78"/>
        <v>0</v>
      </c>
      <c r="AM1013" s="1064">
        <f t="shared" si="79"/>
        <v>0</v>
      </c>
      <c r="AN1013" s="1064"/>
      <c r="AO1013" s="1064">
        <f>TB_prev[[#This Row],[Closing balance]]+TB_prev[[#This Row],[Rounding]]</f>
        <v>0</v>
      </c>
    </row>
    <row r="1014" spans="30:41" x14ac:dyDescent="0.25">
      <c r="AD1014" s="1067" t="str">
        <f t="shared" si="75"/>
        <v/>
      </c>
      <c r="AE1014" s="1063" t="str">
        <f>IF(ISNA(VLOOKUP(TB_prev[[#This Row],[Synt]],GL[[#Headers],[#Data],[subtotal label]],1,FALSE)),0,(VLOOKUP(TB_prev[[#This Row],[Synt]],GL[[#Headers],[#Data],[subtotal label]],1,FALSE)))</f>
        <v/>
      </c>
      <c r="AF1014" s="1063" t="e">
        <f>IF((TB_prev[[#This Row],[Synt]]-TB_prev[[#This Row],[Subtotal Y/N]])=0,0,VLOOKUP(TB_prev[[#This Row],[Synt]],GL[[Account]:[Line]],3,FALSE))</f>
        <v>#VALUE!</v>
      </c>
      <c r="AG1014" s="1063" t="e">
        <f>VLOOKUP(TB_prev[[#This Row],[Synt]],GL[[Account]:[B/P]],4,FALSE)</f>
        <v>#N/A</v>
      </c>
      <c r="AH1014" s="1066" t="e">
        <v>#VALUE!</v>
      </c>
      <c r="AI1014" s="1065" t="e">
        <f>TB_prev[[#This Row],[Synt]]&amp;TB_prev[[#This Row],[Line No. manual corr.]]</f>
        <v>#VALUE!</v>
      </c>
      <c r="AJ1014" s="1064">
        <f t="shared" si="76"/>
        <v>0</v>
      </c>
      <c r="AK1014" s="1064">
        <f t="shared" si="77"/>
        <v>0</v>
      </c>
      <c r="AL1014" s="1064">
        <f t="shared" si="78"/>
        <v>0</v>
      </c>
      <c r="AM1014" s="1064">
        <f t="shared" si="79"/>
        <v>0</v>
      </c>
      <c r="AN1014" s="1064"/>
      <c r="AO1014" s="1064">
        <f>TB_prev[[#This Row],[Closing balance]]+TB_prev[[#This Row],[Rounding]]</f>
        <v>0</v>
      </c>
    </row>
    <row r="1015" spans="30:41" x14ac:dyDescent="0.25">
      <c r="AD1015" s="1067" t="str">
        <f t="shared" si="75"/>
        <v/>
      </c>
      <c r="AE1015" s="1063" t="str">
        <f>IF(ISNA(VLOOKUP(TB_prev[[#This Row],[Synt]],GL[[#Headers],[#Data],[subtotal label]],1,FALSE)),0,(VLOOKUP(TB_prev[[#This Row],[Synt]],GL[[#Headers],[#Data],[subtotal label]],1,FALSE)))</f>
        <v/>
      </c>
      <c r="AF1015" s="1063" t="e">
        <f>IF((TB_prev[[#This Row],[Synt]]-TB_prev[[#This Row],[Subtotal Y/N]])=0,0,VLOOKUP(TB_prev[[#This Row],[Synt]],GL[[Account]:[Line]],3,FALSE))</f>
        <v>#VALUE!</v>
      </c>
      <c r="AG1015" s="1063" t="e">
        <f>VLOOKUP(TB_prev[[#This Row],[Synt]],GL[[Account]:[B/P]],4,FALSE)</f>
        <v>#N/A</v>
      </c>
      <c r="AH1015" s="1066" t="e">
        <v>#VALUE!</v>
      </c>
      <c r="AI1015" s="1065" t="e">
        <f>TB_prev[[#This Row],[Synt]]&amp;TB_prev[[#This Row],[Line No. manual corr.]]</f>
        <v>#VALUE!</v>
      </c>
      <c r="AJ1015" s="1064">
        <f t="shared" si="76"/>
        <v>0</v>
      </c>
      <c r="AK1015" s="1064">
        <f t="shared" si="77"/>
        <v>0</v>
      </c>
      <c r="AL1015" s="1064">
        <f t="shared" si="78"/>
        <v>0</v>
      </c>
      <c r="AM1015" s="1064">
        <f t="shared" si="79"/>
        <v>0</v>
      </c>
      <c r="AN1015" s="1064"/>
      <c r="AO1015" s="1064">
        <f>TB_prev[[#This Row],[Closing balance]]+TB_prev[[#This Row],[Rounding]]</f>
        <v>0</v>
      </c>
    </row>
    <row r="1016" spans="30:41" x14ac:dyDescent="0.25">
      <c r="AD1016" s="1067" t="str">
        <f t="shared" si="75"/>
        <v/>
      </c>
      <c r="AE1016" s="1063" t="str">
        <f>IF(ISNA(VLOOKUP(TB_prev[[#This Row],[Synt]],GL[[#Headers],[#Data],[subtotal label]],1,FALSE)),0,(VLOOKUP(TB_prev[[#This Row],[Synt]],GL[[#Headers],[#Data],[subtotal label]],1,FALSE)))</f>
        <v/>
      </c>
      <c r="AF1016" s="1063" t="e">
        <f>IF((TB_prev[[#This Row],[Synt]]-TB_prev[[#This Row],[Subtotal Y/N]])=0,0,VLOOKUP(TB_prev[[#This Row],[Synt]],GL[[Account]:[Line]],3,FALSE))</f>
        <v>#VALUE!</v>
      </c>
      <c r="AG1016" s="1063" t="e">
        <f>VLOOKUP(TB_prev[[#This Row],[Synt]],GL[[Account]:[B/P]],4,FALSE)</f>
        <v>#N/A</v>
      </c>
      <c r="AH1016" s="1066" t="e">
        <v>#VALUE!</v>
      </c>
      <c r="AI1016" s="1065" t="e">
        <f>TB_prev[[#This Row],[Synt]]&amp;TB_prev[[#This Row],[Line No. manual corr.]]</f>
        <v>#VALUE!</v>
      </c>
      <c r="AJ1016" s="1064">
        <f t="shared" si="76"/>
        <v>0</v>
      </c>
      <c r="AK1016" s="1064">
        <f t="shared" si="77"/>
        <v>0</v>
      </c>
      <c r="AL1016" s="1064">
        <f t="shared" si="78"/>
        <v>0</v>
      </c>
      <c r="AM1016" s="1064">
        <f t="shared" si="79"/>
        <v>0</v>
      </c>
      <c r="AN1016" s="1064"/>
      <c r="AO1016" s="1064">
        <f>TB_prev[[#This Row],[Closing balance]]+TB_prev[[#This Row],[Rounding]]</f>
        <v>0</v>
      </c>
    </row>
    <row r="1017" spans="30:41" x14ac:dyDescent="0.25">
      <c r="AD1017" s="1067" t="str">
        <f t="shared" si="75"/>
        <v/>
      </c>
      <c r="AE1017" s="1063" t="str">
        <f>IF(ISNA(VLOOKUP(TB_prev[[#This Row],[Synt]],GL[[#Headers],[#Data],[subtotal label]],1,FALSE)),0,(VLOOKUP(TB_prev[[#This Row],[Synt]],GL[[#Headers],[#Data],[subtotal label]],1,FALSE)))</f>
        <v/>
      </c>
      <c r="AF1017" s="1063" t="e">
        <f>IF((TB_prev[[#This Row],[Synt]]-TB_prev[[#This Row],[Subtotal Y/N]])=0,0,VLOOKUP(TB_prev[[#This Row],[Synt]],GL[[Account]:[Line]],3,FALSE))</f>
        <v>#VALUE!</v>
      </c>
      <c r="AG1017" s="1063" t="e">
        <f>VLOOKUP(TB_prev[[#This Row],[Synt]],GL[[Account]:[B/P]],4,FALSE)</f>
        <v>#N/A</v>
      </c>
      <c r="AH1017" s="1066" t="e">
        <v>#VALUE!</v>
      </c>
      <c r="AI1017" s="1065" t="e">
        <f>TB_prev[[#This Row],[Synt]]&amp;TB_prev[[#This Row],[Line No. manual corr.]]</f>
        <v>#VALUE!</v>
      </c>
      <c r="AJ1017" s="1064">
        <f t="shared" si="76"/>
        <v>0</v>
      </c>
      <c r="AK1017" s="1064">
        <f t="shared" si="77"/>
        <v>0</v>
      </c>
      <c r="AL1017" s="1064">
        <f t="shared" si="78"/>
        <v>0</v>
      </c>
      <c r="AM1017" s="1064">
        <f t="shared" si="79"/>
        <v>0</v>
      </c>
      <c r="AN1017" s="1064"/>
      <c r="AO1017" s="1064">
        <f>TB_prev[[#This Row],[Closing balance]]+TB_prev[[#This Row],[Rounding]]</f>
        <v>0</v>
      </c>
    </row>
    <row r="1018" spans="30:41" x14ac:dyDescent="0.25">
      <c r="AD1018" s="1067" t="str">
        <f t="shared" si="75"/>
        <v/>
      </c>
      <c r="AE1018" s="1063" t="str">
        <f>IF(ISNA(VLOOKUP(TB_prev[[#This Row],[Synt]],GL[[#Headers],[#Data],[subtotal label]],1,FALSE)),0,(VLOOKUP(TB_prev[[#This Row],[Synt]],GL[[#Headers],[#Data],[subtotal label]],1,FALSE)))</f>
        <v/>
      </c>
      <c r="AF1018" s="1063" t="e">
        <f>IF((TB_prev[[#This Row],[Synt]]-TB_prev[[#This Row],[Subtotal Y/N]])=0,0,VLOOKUP(TB_prev[[#This Row],[Synt]],GL[[Account]:[Line]],3,FALSE))</f>
        <v>#VALUE!</v>
      </c>
      <c r="AG1018" s="1063" t="e">
        <f>VLOOKUP(TB_prev[[#This Row],[Synt]],GL[[Account]:[B/P]],4,FALSE)</f>
        <v>#N/A</v>
      </c>
      <c r="AH1018" s="1066" t="e">
        <v>#VALUE!</v>
      </c>
      <c r="AI1018" s="1065" t="e">
        <f>TB_prev[[#This Row],[Synt]]&amp;TB_prev[[#This Row],[Line No. manual corr.]]</f>
        <v>#VALUE!</v>
      </c>
      <c r="AJ1018" s="1064">
        <f t="shared" si="76"/>
        <v>0</v>
      </c>
      <c r="AK1018" s="1064">
        <f t="shared" si="77"/>
        <v>0</v>
      </c>
      <c r="AL1018" s="1064">
        <f t="shared" si="78"/>
        <v>0</v>
      </c>
      <c r="AM1018" s="1064">
        <f t="shared" si="79"/>
        <v>0</v>
      </c>
      <c r="AN1018" s="1064"/>
      <c r="AO1018" s="1064">
        <f>TB_prev[[#This Row],[Closing balance]]+TB_prev[[#This Row],[Rounding]]</f>
        <v>0</v>
      </c>
    </row>
    <row r="1019" spans="30:41" x14ac:dyDescent="0.25">
      <c r="AD1019" s="1067" t="str">
        <f t="shared" si="75"/>
        <v/>
      </c>
      <c r="AE1019" s="1063" t="str">
        <f>IF(ISNA(VLOOKUP(TB_prev[[#This Row],[Synt]],GL[[#Headers],[#Data],[subtotal label]],1,FALSE)),0,(VLOOKUP(TB_prev[[#This Row],[Synt]],GL[[#Headers],[#Data],[subtotal label]],1,FALSE)))</f>
        <v/>
      </c>
      <c r="AF1019" s="1063" t="e">
        <f>IF((TB_prev[[#This Row],[Synt]]-TB_prev[[#This Row],[Subtotal Y/N]])=0,0,VLOOKUP(TB_prev[[#This Row],[Synt]],GL[[Account]:[Line]],3,FALSE))</f>
        <v>#VALUE!</v>
      </c>
      <c r="AG1019" s="1063" t="e">
        <f>VLOOKUP(TB_prev[[#This Row],[Synt]],GL[[Account]:[B/P]],4,FALSE)</f>
        <v>#N/A</v>
      </c>
      <c r="AH1019" s="1066" t="e">
        <v>#VALUE!</v>
      </c>
      <c r="AI1019" s="1065" t="e">
        <f>TB_prev[[#This Row],[Synt]]&amp;TB_prev[[#This Row],[Line No. manual corr.]]</f>
        <v>#VALUE!</v>
      </c>
      <c r="AJ1019" s="1064">
        <f t="shared" si="76"/>
        <v>0</v>
      </c>
      <c r="AK1019" s="1064">
        <f t="shared" si="77"/>
        <v>0</v>
      </c>
      <c r="AL1019" s="1064">
        <f t="shared" si="78"/>
        <v>0</v>
      </c>
      <c r="AM1019" s="1064">
        <f t="shared" si="79"/>
        <v>0</v>
      </c>
      <c r="AN1019" s="1064"/>
      <c r="AO1019" s="1064">
        <f>TB_prev[[#This Row],[Closing balance]]+TB_prev[[#This Row],[Rounding]]</f>
        <v>0</v>
      </c>
    </row>
    <row r="1020" spans="30:41" x14ac:dyDescent="0.25">
      <c r="AD1020" s="1067" t="str">
        <f t="shared" si="75"/>
        <v/>
      </c>
      <c r="AE1020" s="1063" t="str">
        <f>IF(ISNA(VLOOKUP(TB_prev[[#This Row],[Synt]],GL[[#Headers],[#Data],[subtotal label]],1,FALSE)),0,(VLOOKUP(TB_prev[[#This Row],[Synt]],GL[[#Headers],[#Data],[subtotal label]],1,FALSE)))</f>
        <v/>
      </c>
      <c r="AF1020" s="1063" t="e">
        <f>IF((TB_prev[[#This Row],[Synt]]-TB_prev[[#This Row],[Subtotal Y/N]])=0,0,VLOOKUP(TB_prev[[#This Row],[Synt]],GL[[Account]:[Line]],3,FALSE))</f>
        <v>#VALUE!</v>
      </c>
      <c r="AG1020" s="1063" t="e">
        <f>VLOOKUP(TB_prev[[#This Row],[Synt]],GL[[Account]:[B/P]],4,FALSE)</f>
        <v>#N/A</v>
      </c>
      <c r="AH1020" s="1066" t="e">
        <v>#VALUE!</v>
      </c>
      <c r="AI1020" s="1065" t="e">
        <f>TB_prev[[#This Row],[Synt]]&amp;TB_prev[[#This Row],[Line No. manual corr.]]</f>
        <v>#VALUE!</v>
      </c>
      <c r="AJ1020" s="1064">
        <f t="shared" si="76"/>
        <v>0</v>
      </c>
      <c r="AK1020" s="1064">
        <f t="shared" si="77"/>
        <v>0</v>
      </c>
      <c r="AL1020" s="1064">
        <f t="shared" si="78"/>
        <v>0</v>
      </c>
      <c r="AM1020" s="1064">
        <f t="shared" si="79"/>
        <v>0</v>
      </c>
      <c r="AN1020" s="1064"/>
      <c r="AO1020" s="1064">
        <f>TB_prev[[#This Row],[Closing balance]]+TB_prev[[#This Row],[Rounding]]</f>
        <v>0</v>
      </c>
    </row>
    <row r="1021" spans="30:41" x14ac:dyDescent="0.25">
      <c r="AD1021" s="1067" t="str">
        <f t="shared" si="75"/>
        <v/>
      </c>
      <c r="AE1021" s="1063" t="str">
        <f>IF(ISNA(VLOOKUP(TB_prev[[#This Row],[Synt]],GL[[#Headers],[#Data],[subtotal label]],1,FALSE)),0,(VLOOKUP(TB_prev[[#This Row],[Synt]],GL[[#Headers],[#Data],[subtotal label]],1,FALSE)))</f>
        <v/>
      </c>
      <c r="AF1021" s="1063" t="e">
        <f>IF((TB_prev[[#This Row],[Synt]]-TB_prev[[#This Row],[Subtotal Y/N]])=0,0,VLOOKUP(TB_prev[[#This Row],[Synt]],GL[[Account]:[Line]],3,FALSE))</f>
        <v>#VALUE!</v>
      </c>
      <c r="AG1021" s="1063" t="e">
        <f>VLOOKUP(TB_prev[[#This Row],[Synt]],GL[[Account]:[B/P]],4,FALSE)</f>
        <v>#N/A</v>
      </c>
      <c r="AH1021" s="1066" t="e">
        <v>#VALUE!</v>
      </c>
      <c r="AI1021" s="1065" t="e">
        <f>TB_prev[[#This Row],[Synt]]&amp;TB_prev[[#This Row],[Line No. manual corr.]]</f>
        <v>#VALUE!</v>
      </c>
      <c r="AJ1021" s="1064">
        <f t="shared" si="76"/>
        <v>0</v>
      </c>
      <c r="AK1021" s="1064">
        <f t="shared" si="77"/>
        <v>0</v>
      </c>
      <c r="AL1021" s="1064">
        <f t="shared" si="78"/>
        <v>0</v>
      </c>
      <c r="AM1021" s="1064">
        <f t="shared" si="79"/>
        <v>0</v>
      </c>
      <c r="AN1021" s="1064"/>
      <c r="AO1021" s="1064">
        <f>TB_prev[[#This Row],[Closing balance]]+TB_prev[[#This Row],[Rounding]]</f>
        <v>0</v>
      </c>
    </row>
    <row r="1022" spans="30:41" x14ac:dyDescent="0.25">
      <c r="AD1022" s="1067" t="str">
        <f t="shared" si="75"/>
        <v/>
      </c>
      <c r="AE1022" s="1063" t="str">
        <f>IF(ISNA(VLOOKUP(TB_prev[[#This Row],[Synt]],GL[[#Headers],[#Data],[subtotal label]],1,FALSE)),0,(VLOOKUP(TB_prev[[#This Row],[Synt]],GL[[#Headers],[#Data],[subtotal label]],1,FALSE)))</f>
        <v/>
      </c>
      <c r="AF1022" s="1063" t="e">
        <f>IF((TB_prev[[#This Row],[Synt]]-TB_prev[[#This Row],[Subtotal Y/N]])=0,0,VLOOKUP(TB_prev[[#This Row],[Synt]],GL[[Account]:[Line]],3,FALSE))</f>
        <v>#VALUE!</v>
      </c>
      <c r="AG1022" s="1063" t="e">
        <f>VLOOKUP(TB_prev[[#This Row],[Synt]],GL[[Account]:[B/P]],4,FALSE)</f>
        <v>#N/A</v>
      </c>
      <c r="AH1022" s="1066" t="e">
        <v>#VALUE!</v>
      </c>
      <c r="AI1022" s="1065" t="e">
        <f>TB_prev[[#This Row],[Synt]]&amp;TB_prev[[#This Row],[Line No. manual corr.]]</f>
        <v>#VALUE!</v>
      </c>
      <c r="AJ1022" s="1064">
        <f t="shared" si="76"/>
        <v>0</v>
      </c>
      <c r="AK1022" s="1064">
        <f t="shared" si="77"/>
        <v>0</v>
      </c>
      <c r="AL1022" s="1064">
        <f t="shared" si="78"/>
        <v>0</v>
      </c>
      <c r="AM1022" s="1064">
        <f t="shared" si="79"/>
        <v>0</v>
      </c>
      <c r="AN1022" s="1064"/>
      <c r="AO1022" s="1064">
        <f>TB_prev[[#This Row],[Closing balance]]+TB_prev[[#This Row],[Rounding]]</f>
        <v>0</v>
      </c>
    </row>
    <row r="1023" spans="30:41" x14ac:dyDescent="0.25">
      <c r="AD1023" s="1067" t="str">
        <f t="shared" si="75"/>
        <v/>
      </c>
      <c r="AE1023" s="1063" t="str">
        <f>IF(ISNA(VLOOKUP(TB_prev[[#This Row],[Synt]],GL[[#Headers],[#Data],[subtotal label]],1,FALSE)),0,(VLOOKUP(TB_prev[[#This Row],[Synt]],GL[[#Headers],[#Data],[subtotal label]],1,FALSE)))</f>
        <v/>
      </c>
      <c r="AF1023" s="1063" t="e">
        <f>IF((TB_prev[[#This Row],[Synt]]-TB_prev[[#This Row],[Subtotal Y/N]])=0,0,VLOOKUP(TB_prev[[#This Row],[Synt]],GL[[Account]:[Line]],3,FALSE))</f>
        <v>#VALUE!</v>
      </c>
      <c r="AG1023" s="1063" t="e">
        <f>VLOOKUP(TB_prev[[#This Row],[Synt]],GL[[Account]:[B/P]],4,FALSE)</f>
        <v>#N/A</v>
      </c>
      <c r="AH1023" s="1066" t="e">
        <v>#VALUE!</v>
      </c>
      <c r="AI1023" s="1065" t="e">
        <f>TB_prev[[#This Row],[Synt]]&amp;TB_prev[[#This Row],[Line No. manual corr.]]</f>
        <v>#VALUE!</v>
      </c>
      <c r="AJ1023" s="1064">
        <f t="shared" si="76"/>
        <v>0</v>
      </c>
      <c r="AK1023" s="1064">
        <f t="shared" si="77"/>
        <v>0</v>
      </c>
      <c r="AL1023" s="1064">
        <f t="shared" si="78"/>
        <v>0</v>
      </c>
      <c r="AM1023" s="1064">
        <f t="shared" si="79"/>
        <v>0</v>
      </c>
      <c r="AN1023" s="1064"/>
      <c r="AO1023" s="1064">
        <f>TB_prev[[#This Row],[Closing balance]]+TB_prev[[#This Row],[Rounding]]</f>
        <v>0</v>
      </c>
    </row>
    <row r="1024" spans="30:41" x14ac:dyDescent="0.25">
      <c r="AD1024" s="1067" t="str">
        <f t="shared" si="75"/>
        <v/>
      </c>
      <c r="AE1024" s="1063" t="str">
        <f>IF(ISNA(VLOOKUP(TB_prev[[#This Row],[Synt]],GL[[#Headers],[#Data],[subtotal label]],1,FALSE)),0,(VLOOKUP(TB_prev[[#This Row],[Synt]],GL[[#Headers],[#Data],[subtotal label]],1,FALSE)))</f>
        <v/>
      </c>
      <c r="AF1024" s="1063" t="e">
        <f>IF((TB_prev[[#This Row],[Synt]]-TB_prev[[#This Row],[Subtotal Y/N]])=0,0,VLOOKUP(TB_prev[[#This Row],[Synt]],GL[[Account]:[Line]],3,FALSE))</f>
        <v>#VALUE!</v>
      </c>
      <c r="AG1024" s="1063" t="e">
        <f>VLOOKUP(TB_prev[[#This Row],[Synt]],GL[[Account]:[B/P]],4,FALSE)</f>
        <v>#N/A</v>
      </c>
      <c r="AH1024" s="1066" t="e">
        <v>#VALUE!</v>
      </c>
      <c r="AI1024" s="1065" t="e">
        <f>TB_prev[[#This Row],[Synt]]&amp;TB_prev[[#This Row],[Line No. manual corr.]]</f>
        <v>#VALUE!</v>
      </c>
      <c r="AJ1024" s="1064">
        <f t="shared" si="76"/>
        <v>0</v>
      </c>
      <c r="AK1024" s="1064">
        <f t="shared" si="77"/>
        <v>0</v>
      </c>
      <c r="AL1024" s="1064">
        <f t="shared" si="78"/>
        <v>0</v>
      </c>
      <c r="AM1024" s="1064">
        <f t="shared" si="79"/>
        <v>0</v>
      </c>
      <c r="AN1024" s="1064"/>
      <c r="AO1024" s="1064">
        <f>TB_prev[[#This Row],[Closing balance]]+TB_prev[[#This Row],[Rounding]]</f>
        <v>0</v>
      </c>
    </row>
    <row r="1025" spans="30:41" x14ac:dyDescent="0.25">
      <c r="AD1025" s="1067" t="str">
        <f t="shared" si="75"/>
        <v/>
      </c>
      <c r="AE1025" s="1063" t="str">
        <f>IF(ISNA(VLOOKUP(TB_prev[[#This Row],[Synt]],GL[[#Headers],[#Data],[subtotal label]],1,FALSE)),0,(VLOOKUP(TB_prev[[#This Row],[Synt]],GL[[#Headers],[#Data],[subtotal label]],1,FALSE)))</f>
        <v/>
      </c>
      <c r="AF1025" s="1063" t="e">
        <f>IF((TB_prev[[#This Row],[Synt]]-TB_prev[[#This Row],[Subtotal Y/N]])=0,0,VLOOKUP(TB_prev[[#This Row],[Synt]],GL[[Account]:[Line]],3,FALSE))</f>
        <v>#VALUE!</v>
      </c>
      <c r="AG1025" s="1063" t="e">
        <f>VLOOKUP(TB_prev[[#This Row],[Synt]],GL[[Account]:[B/P]],4,FALSE)</f>
        <v>#N/A</v>
      </c>
      <c r="AH1025" s="1066" t="e">
        <v>#VALUE!</v>
      </c>
      <c r="AI1025" s="1065" t="e">
        <f>TB_prev[[#This Row],[Synt]]&amp;TB_prev[[#This Row],[Line No. manual corr.]]</f>
        <v>#VALUE!</v>
      </c>
      <c r="AJ1025" s="1064">
        <f t="shared" si="76"/>
        <v>0</v>
      </c>
      <c r="AK1025" s="1064">
        <f t="shared" si="77"/>
        <v>0</v>
      </c>
      <c r="AL1025" s="1064">
        <f t="shared" si="78"/>
        <v>0</v>
      </c>
      <c r="AM1025" s="1064">
        <f t="shared" si="79"/>
        <v>0</v>
      </c>
      <c r="AN1025" s="1064"/>
      <c r="AO1025" s="1064">
        <f>TB_prev[[#This Row],[Closing balance]]+TB_prev[[#This Row],[Rounding]]</f>
        <v>0</v>
      </c>
    </row>
    <row r="1026" spans="30:41" x14ac:dyDescent="0.25">
      <c r="AD1026" s="1067" t="str">
        <f t="shared" si="75"/>
        <v/>
      </c>
      <c r="AE1026" s="1063" t="str">
        <f>IF(ISNA(VLOOKUP(TB_prev[[#This Row],[Synt]],GL[[#Headers],[#Data],[subtotal label]],1,FALSE)),0,(VLOOKUP(TB_prev[[#This Row],[Synt]],GL[[#Headers],[#Data],[subtotal label]],1,FALSE)))</f>
        <v/>
      </c>
      <c r="AF1026" s="1063" t="e">
        <f>IF((TB_prev[[#This Row],[Synt]]-TB_prev[[#This Row],[Subtotal Y/N]])=0,0,VLOOKUP(TB_prev[[#This Row],[Synt]],GL[[Account]:[Line]],3,FALSE))</f>
        <v>#VALUE!</v>
      </c>
      <c r="AG1026" s="1063" t="e">
        <f>VLOOKUP(TB_prev[[#This Row],[Synt]],GL[[Account]:[B/P]],4,FALSE)</f>
        <v>#N/A</v>
      </c>
      <c r="AH1026" s="1066" t="e">
        <v>#VALUE!</v>
      </c>
      <c r="AI1026" s="1065" t="e">
        <f>TB_prev[[#This Row],[Synt]]&amp;TB_prev[[#This Row],[Line No. manual corr.]]</f>
        <v>#VALUE!</v>
      </c>
      <c r="AJ1026" s="1064">
        <f t="shared" si="76"/>
        <v>0</v>
      </c>
      <c r="AK1026" s="1064">
        <f t="shared" si="77"/>
        <v>0</v>
      </c>
      <c r="AL1026" s="1064">
        <f t="shared" si="78"/>
        <v>0</v>
      </c>
      <c r="AM1026" s="1064">
        <f t="shared" si="79"/>
        <v>0</v>
      </c>
      <c r="AN1026" s="1064"/>
      <c r="AO1026" s="1064">
        <f>TB_prev[[#This Row],[Closing balance]]+TB_prev[[#This Row],[Rounding]]</f>
        <v>0</v>
      </c>
    </row>
    <row r="1027" spans="30:41" x14ac:dyDescent="0.25">
      <c r="AD1027" s="1067" t="str">
        <f t="shared" si="75"/>
        <v/>
      </c>
      <c r="AE1027" s="1063" t="str">
        <f>IF(ISNA(VLOOKUP(TB_prev[[#This Row],[Synt]],GL[[#Headers],[#Data],[subtotal label]],1,FALSE)),0,(VLOOKUP(TB_prev[[#This Row],[Synt]],GL[[#Headers],[#Data],[subtotal label]],1,FALSE)))</f>
        <v/>
      </c>
      <c r="AF1027" s="1063" t="e">
        <f>IF((TB_prev[[#This Row],[Synt]]-TB_prev[[#This Row],[Subtotal Y/N]])=0,0,VLOOKUP(TB_prev[[#This Row],[Synt]],GL[[Account]:[Line]],3,FALSE))</f>
        <v>#VALUE!</v>
      </c>
      <c r="AG1027" s="1063" t="e">
        <f>VLOOKUP(TB_prev[[#This Row],[Synt]],GL[[Account]:[B/P]],4,FALSE)</f>
        <v>#N/A</v>
      </c>
      <c r="AH1027" s="1066" t="e">
        <v>#VALUE!</v>
      </c>
      <c r="AI1027" s="1065" t="e">
        <f>TB_prev[[#This Row],[Synt]]&amp;TB_prev[[#This Row],[Line No. manual corr.]]</f>
        <v>#VALUE!</v>
      </c>
      <c r="AJ1027" s="1064">
        <f t="shared" si="76"/>
        <v>0</v>
      </c>
      <c r="AK1027" s="1064">
        <f t="shared" si="77"/>
        <v>0</v>
      </c>
      <c r="AL1027" s="1064">
        <f t="shared" si="78"/>
        <v>0</v>
      </c>
      <c r="AM1027" s="1064">
        <f t="shared" si="79"/>
        <v>0</v>
      </c>
      <c r="AN1027" s="1064"/>
      <c r="AO1027" s="1064">
        <f>TB_prev[[#This Row],[Closing balance]]+TB_prev[[#This Row],[Rounding]]</f>
        <v>0</v>
      </c>
    </row>
    <row r="1028" spans="30:41" x14ac:dyDescent="0.25">
      <c r="AD1028" s="1067" t="str">
        <f t="shared" si="75"/>
        <v/>
      </c>
      <c r="AE1028" s="1063" t="str">
        <f>IF(ISNA(VLOOKUP(TB_prev[[#This Row],[Synt]],GL[[#Headers],[#Data],[subtotal label]],1,FALSE)),0,(VLOOKUP(TB_prev[[#This Row],[Synt]],GL[[#Headers],[#Data],[subtotal label]],1,FALSE)))</f>
        <v/>
      </c>
      <c r="AF1028" s="1063" t="e">
        <f>IF((TB_prev[[#This Row],[Synt]]-TB_prev[[#This Row],[Subtotal Y/N]])=0,0,VLOOKUP(TB_prev[[#This Row],[Synt]],GL[[Account]:[Line]],3,FALSE))</f>
        <v>#VALUE!</v>
      </c>
      <c r="AG1028" s="1063" t="e">
        <f>VLOOKUP(TB_prev[[#This Row],[Synt]],GL[[Account]:[B/P]],4,FALSE)</f>
        <v>#N/A</v>
      </c>
      <c r="AH1028" s="1066" t="e">
        <v>#VALUE!</v>
      </c>
      <c r="AI1028" s="1065" t="e">
        <f>TB_prev[[#This Row],[Synt]]&amp;TB_prev[[#This Row],[Line No. manual corr.]]</f>
        <v>#VALUE!</v>
      </c>
      <c r="AJ1028" s="1064">
        <f t="shared" si="76"/>
        <v>0</v>
      </c>
      <c r="AK1028" s="1064">
        <f t="shared" si="77"/>
        <v>0</v>
      </c>
      <c r="AL1028" s="1064">
        <f t="shared" si="78"/>
        <v>0</v>
      </c>
      <c r="AM1028" s="1064">
        <f t="shared" si="79"/>
        <v>0</v>
      </c>
      <c r="AN1028" s="1064"/>
      <c r="AO1028" s="1064">
        <f>TB_prev[[#This Row],[Closing balance]]+TB_prev[[#This Row],[Rounding]]</f>
        <v>0</v>
      </c>
    </row>
    <row r="1029" spans="30:41" x14ac:dyDescent="0.25">
      <c r="AD1029" s="1067" t="str">
        <f t="shared" si="75"/>
        <v/>
      </c>
      <c r="AE1029" s="1063" t="str">
        <f>IF(ISNA(VLOOKUP(TB_prev[[#This Row],[Synt]],GL[[#Headers],[#Data],[subtotal label]],1,FALSE)),0,(VLOOKUP(TB_prev[[#This Row],[Synt]],GL[[#Headers],[#Data],[subtotal label]],1,FALSE)))</f>
        <v/>
      </c>
      <c r="AF1029" s="1063" t="e">
        <f>IF((TB_prev[[#This Row],[Synt]]-TB_prev[[#This Row],[Subtotal Y/N]])=0,0,VLOOKUP(TB_prev[[#This Row],[Synt]],GL[[Account]:[Line]],3,FALSE))</f>
        <v>#VALUE!</v>
      </c>
      <c r="AG1029" s="1063" t="e">
        <f>VLOOKUP(TB_prev[[#This Row],[Synt]],GL[[Account]:[B/P]],4,FALSE)</f>
        <v>#N/A</v>
      </c>
      <c r="AH1029" s="1066" t="e">
        <v>#VALUE!</v>
      </c>
      <c r="AI1029" s="1065" t="e">
        <f>TB_prev[[#This Row],[Synt]]&amp;TB_prev[[#This Row],[Line No. manual corr.]]</f>
        <v>#VALUE!</v>
      </c>
      <c r="AJ1029" s="1064">
        <f t="shared" si="76"/>
        <v>0</v>
      </c>
      <c r="AK1029" s="1064">
        <f t="shared" si="77"/>
        <v>0</v>
      </c>
      <c r="AL1029" s="1064">
        <f t="shared" si="78"/>
        <v>0</v>
      </c>
      <c r="AM1029" s="1064">
        <f t="shared" si="79"/>
        <v>0</v>
      </c>
      <c r="AN1029" s="1064"/>
      <c r="AO1029" s="1064">
        <f>TB_prev[[#This Row],[Closing balance]]+TB_prev[[#This Row],[Rounding]]</f>
        <v>0</v>
      </c>
    </row>
    <row r="1030" spans="30:41" x14ac:dyDescent="0.25">
      <c r="AD1030" s="1067" t="str">
        <f t="shared" si="75"/>
        <v/>
      </c>
      <c r="AE1030" s="1063" t="str">
        <f>IF(ISNA(VLOOKUP(TB_prev[[#This Row],[Synt]],GL[[#Headers],[#Data],[subtotal label]],1,FALSE)),0,(VLOOKUP(TB_prev[[#This Row],[Synt]],GL[[#Headers],[#Data],[subtotal label]],1,FALSE)))</f>
        <v/>
      </c>
      <c r="AF1030" s="1063" t="e">
        <f>IF((TB_prev[[#This Row],[Synt]]-TB_prev[[#This Row],[Subtotal Y/N]])=0,0,VLOOKUP(TB_prev[[#This Row],[Synt]],GL[[Account]:[Line]],3,FALSE))</f>
        <v>#VALUE!</v>
      </c>
      <c r="AG1030" s="1063" t="e">
        <f>VLOOKUP(TB_prev[[#This Row],[Synt]],GL[[Account]:[B/P]],4,FALSE)</f>
        <v>#N/A</v>
      </c>
      <c r="AH1030" s="1066" t="e">
        <v>#VALUE!</v>
      </c>
      <c r="AI1030" s="1065" t="e">
        <f>TB_prev[[#This Row],[Synt]]&amp;TB_prev[[#This Row],[Line No. manual corr.]]</f>
        <v>#VALUE!</v>
      </c>
      <c r="AJ1030" s="1064">
        <f t="shared" si="76"/>
        <v>0</v>
      </c>
      <c r="AK1030" s="1064">
        <f t="shared" si="77"/>
        <v>0</v>
      </c>
      <c r="AL1030" s="1064">
        <f t="shared" si="78"/>
        <v>0</v>
      </c>
      <c r="AM1030" s="1064">
        <f t="shared" si="79"/>
        <v>0</v>
      </c>
      <c r="AN1030" s="1064"/>
      <c r="AO1030" s="1064">
        <f>TB_prev[[#This Row],[Closing balance]]+TB_prev[[#This Row],[Rounding]]</f>
        <v>0</v>
      </c>
    </row>
    <row r="1031" spans="30:41" x14ac:dyDescent="0.25">
      <c r="AD1031" s="1067" t="str">
        <f t="shared" si="75"/>
        <v/>
      </c>
      <c r="AE1031" s="1063" t="str">
        <f>IF(ISNA(VLOOKUP(TB_prev[[#This Row],[Synt]],GL[[#Headers],[#Data],[subtotal label]],1,FALSE)),0,(VLOOKUP(TB_prev[[#This Row],[Synt]],GL[[#Headers],[#Data],[subtotal label]],1,FALSE)))</f>
        <v/>
      </c>
      <c r="AF1031" s="1063" t="e">
        <f>IF((TB_prev[[#This Row],[Synt]]-TB_prev[[#This Row],[Subtotal Y/N]])=0,0,VLOOKUP(TB_prev[[#This Row],[Synt]],GL[[Account]:[Line]],3,FALSE))</f>
        <v>#VALUE!</v>
      </c>
      <c r="AG1031" s="1063" t="e">
        <f>VLOOKUP(TB_prev[[#This Row],[Synt]],GL[[Account]:[B/P]],4,FALSE)</f>
        <v>#N/A</v>
      </c>
      <c r="AH1031" s="1066" t="e">
        <v>#VALUE!</v>
      </c>
      <c r="AI1031" s="1065" t="e">
        <f>TB_prev[[#This Row],[Synt]]&amp;TB_prev[[#This Row],[Line No. manual corr.]]</f>
        <v>#VALUE!</v>
      </c>
      <c r="AJ1031" s="1064">
        <f t="shared" si="76"/>
        <v>0</v>
      </c>
      <c r="AK1031" s="1064">
        <f t="shared" si="77"/>
        <v>0</v>
      </c>
      <c r="AL1031" s="1064">
        <f t="shared" si="78"/>
        <v>0</v>
      </c>
      <c r="AM1031" s="1064">
        <f t="shared" si="79"/>
        <v>0</v>
      </c>
      <c r="AN1031" s="1064"/>
      <c r="AO1031" s="1064">
        <f>TB_prev[[#This Row],[Closing balance]]+TB_prev[[#This Row],[Rounding]]</f>
        <v>0</v>
      </c>
    </row>
    <row r="1032" spans="30:41" x14ac:dyDescent="0.25">
      <c r="AD1032" s="1067" t="str">
        <f t="shared" ref="AD1032:AD1095" si="80">LEFT(B1032,3)</f>
        <v/>
      </c>
      <c r="AE1032" s="1063" t="str">
        <f>IF(ISNA(VLOOKUP(TB_prev[[#This Row],[Synt]],GL[[#Headers],[#Data],[subtotal label]],1,FALSE)),0,(VLOOKUP(TB_prev[[#This Row],[Synt]],GL[[#Headers],[#Data],[subtotal label]],1,FALSE)))</f>
        <v/>
      </c>
      <c r="AF1032" s="1063" t="e">
        <f>IF((TB_prev[[#This Row],[Synt]]-TB_prev[[#This Row],[Subtotal Y/N]])=0,0,VLOOKUP(TB_prev[[#This Row],[Synt]],GL[[Account]:[Line]],3,FALSE))</f>
        <v>#VALUE!</v>
      </c>
      <c r="AG1032" s="1063" t="e">
        <f>VLOOKUP(TB_prev[[#This Row],[Synt]],GL[[Account]:[B/P]],4,FALSE)</f>
        <v>#N/A</v>
      </c>
      <c r="AH1032" s="1066" t="e">
        <v>#VALUE!</v>
      </c>
      <c r="AI1032" s="1065" t="e">
        <f>TB_prev[[#This Row],[Synt]]&amp;TB_prev[[#This Row],[Line No. manual corr.]]</f>
        <v>#VALUE!</v>
      </c>
      <c r="AJ1032" s="1064">
        <f t="shared" ref="AJ1032:AJ1095" si="81">K1032-N1032</f>
        <v>0</v>
      </c>
      <c r="AK1032" s="1064">
        <f t="shared" ref="AK1032:AK1095" si="82">Q1032</f>
        <v>0</v>
      </c>
      <c r="AL1032" s="1064">
        <f t="shared" ref="AL1032:AL1095" si="83">U1032</f>
        <v>0</v>
      </c>
      <c r="AM1032" s="1064">
        <f t="shared" ref="AM1032:AM1095" si="84">X1032-AB1032</f>
        <v>0</v>
      </c>
      <c r="AN1032" s="1064"/>
      <c r="AO1032" s="1064">
        <f>TB_prev[[#This Row],[Closing balance]]+TB_prev[[#This Row],[Rounding]]</f>
        <v>0</v>
      </c>
    </row>
    <row r="1033" spans="30:41" x14ac:dyDescent="0.25">
      <c r="AD1033" s="1067" t="str">
        <f t="shared" si="80"/>
        <v/>
      </c>
      <c r="AE1033" s="1063" t="str">
        <f>IF(ISNA(VLOOKUP(TB_prev[[#This Row],[Synt]],GL[[#Headers],[#Data],[subtotal label]],1,FALSE)),0,(VLOOKUP(TB_prev[[#This Row],[Synt]],GL[[#Headers],[#Data],[subtotal label]],1,FALSE)))</f>
        <v/>
      </c>
      <c r="AF1033" s="1063" t="e">
        <f>IF((TB_prev[[#This Row],[Synt]]-TB_prev[[#This Row],[Subtotal Y/N]])=0,0,VLOOKUP(TB_prev[[#This Row],[Synt]],GL[[Account]:[Line]],3,FALSE))</f>
        <v>#VALUE!</v>
      </c>
      <c r="AG1033" s="1063" t="e">
        <f>VLOOKUP(TB_prev[[#This Row],[Synt]],GL[[Account]:[B/P]],4,FALSE)</f>
        <v>#N/A</v>
      </c>
      <c r="AH1033" s="1066" t="e">
        <v>#VALUE!</v>
      </c>
      <c r="AI1033" s="1065" t="e">
        <f>TB_prev[[#This Row],[Synt]]&amp;TB_prev[[#This Row],[Line No. manual corr.]]</f>
        <v>#VALUE!</v>
      </c>
      <c r="AJ1033" s="1064">
        <f t="shared" si="81"/>
        <v>0</v>
      </c>
      <c r="AK1033" s="1064">
        <f t="shared" si="82"/>
        <v>0</v>
      </c>
      <c r="AL1033" s="1064">
        <f t="shared" si="83"/>
        <v>0</v>
      </c>
      <c r="AM1033" s="1064">
        <f t="shared" si="84"/>
        <v>0</v>
      </c>
      <c r="AN1033" s="1064"/>
      <c r="AO1033" s="1064">
        <f>TB_prev[[#This Row],[Closing balance]]+TB_prev[[#This Row],[Rounding]]</f>
        <v>0</v>
      </c>
    </row>
    <row r="1034" spans="30:41" x14ac:dyDescent="0.25">
      <c r="AD1034" s="1067" t="str">
        <f t="shared" si="80"/>
        <v/>
      </c>
      <c r="AE1034" s="1063" t="str">
        <f>IF(ISNA(VLOOKUP(TB_prev[[#This Row],[Synt]],GL[[#Headers],[#Data],[subtotal label]],1,FALSE)),0,(VLOOKUP(TB_prev[[#This Row],[Synt]],GL[[#Headers],[#Data],[subtotal label]],1,FALSE)))</f>
        <v/>
      </c>
      <c r="AF1034" s="1063" t="e">
        <f>IF((TB_prev[[#This Row],[Synt]]-TB_prev[[#This Row],[Subtotal Y/N]])=0,0,VLOOKUP(TB_prev[[#This Row],[Synt]],GL[[Account]:[Line]],3,FALSE))</f>
        <v>#VALUE!</v>
      </c>
      <c r="AG1034" s="1063" t="e">
        <f>VLOOKUP(TB_prev[[#This Row],[Synt]],GL[[Account]:[B/P]],4,FALSE)</f>
        <v>#N/A</v>
      </c>
      <c r="AH1034" s="1066" t="e">
        <v>#VALUE!</v>
      </c>
      <c r="AI1034" s="1065" t="e">
        <f>TB_prev[[#This Row],[Synt]]&amp;TB_prev[[#This Row],[Line No. manual corr.]]</f>
        <v>#VALUE!</v>
      </c>
      <c r="AJ1034" s="1064">
        <f t="shared" si="81"/>
        <v>0</v>
      </c>
      <c r="AK1034" s="1064">
        <f t="shared" si="82"/>
        <v>0</v>
      </c>
      <c r="AL1034" s="1064">
        <f t="shared" si="83"/>
        <v>0</v>
      </c>
      <c r="AM1034" s="1064">
        <f t="shared" si="84"/>
        <v>0</v>
      </c>
      <c r="AN1034" s="1064"/>
      <c r="AO1034" s="1064">
        <f>TB_prev[[#This Row],[Closing balance]]+TB_prev[[#This Row],[Rounding]]</f>
        <v>0</v>
      </c>
    </row>
    <row r="1035" spans="30:41" x14ac:dyDescent="0.25">
      <c r="AD1035" s="1067" t="str">
        <f t="shared" si="80"/>
        <v/>
      </c>
      <c r="AE1035" s="1063" t="str">
        <f>IF(ISNA(VLOOKUP(TB_prev[[#This Row],[Synt]],GL[[#Headers],[#Data],[subtotal label]],1,FALSE)),0,(VLOOKUP(TB_prev[[#This Row],[Synt]],GL[[#Headers],[#Data],[subtotal label]],1,FALSE)))</f>
        <v/>
      </c>
      <c r="AF1035" s="1063" t="e">
        <f>IF((TB_prev[[#This Row],[Synt]]-TB_prev[[#This Row],[Subtotal Y/N]])=0,0,VLOOKUP(TB_prev[[#This Row],[Synt]],GL[[Account]:[Line]],3,FALSE))</f>
        <v>#VALUE!</v>
      </c>
      <c r="AG1035" s="1063" t="e">
        <f>VLOOKUP(TB_prev[[#This Row],[Synt]],GL[[Account]:[B/P]],4,FALSE)</f>
        <v>#N/A</v>
      </c>
      <c r="AH1035" s="1066" t="e">
        <v>#VALUE!</v>
      </c>
      <c r="AI1035" s="1065" t="e">
        <f>TB_prev[[#This Row],[Synt]]&amp;TB_prev[[#This Row],[Line No. manual corr.]]</f>
        <v>#VALUE!</v>
      </c>
      <c r="AJ1035" s="1064">
        <f t="shared" si="81"/>
        <v>0</v>
      </c>
      <c r="AK1035" s="1064">
        <f t="shared" si="82"/>
        <v>0</v>
      </c>
      <c r="AL1035" s="1064">
        <f t="shared" si="83"/>
        <v>0</v>
      </c>
      <c r="AM1035" s="1064">
        <f t="shared" si="84"/>
        <v>0</v>
      </c>
      <c r="AN1035" s="1064"/>
      <c r="AO1035" s="1064">
        <f>TB_prev[[#This Row],[Closing balance]]+TB_prev[[#This Row],[Rounding]]</f>
        <v>0</v>
      </c>
    </row>
    <row r="1036" spans="30:41" x14ac:dyDescent="0.25">
      <c r="AD1036" s="1067" t="str">
        <f t="shared" si="80"/>
        <v/>
      </c>
      <c r="AE1036" s="1063" t="str">
        <f>IF(ISNA(VLOOKUP(TB_prev[[#This Row],[Synt]],GL[[#Headers],[#Data],[subtotal label]],1,FALSE)),0,(VLOOKUP(TB_prev[[#This Row],[Synt]],GL[[#Headers],[#Data],[subtotal label]],1,FALSE)))</f>
        <v/>
      </c>
      <c r="AF1036" s="1063" t="e">
        <f>IF((TB_prev[[#This Row],[Synt]]-TB_prev[[#This Row],[Subtotal Y/N]])=0,0,VLOOKUP(TB_prev[[#This Row],[Synt]],GL[[Account]:[Line]],3,FALSE))</f>
        <v>#VALUE!</v>
      </c>
      <c r="AG1036" s="1063" t="e">
        <f>VLOOKUP(TB_prev[[#This Row],[Synt]],GL[[Account]:[B/P]],4,FALSE)</f>
        <v>#N/A</v>
      </c>
      <c r="AH1036" s="1066" t="e">
        <v>#VALUE!</v>
      </c>
      <c r="AI1036" s="1065" t="e">
        <f>TB_prev[[#This Row],[Synt]]&amp;TB_prev[[#This Row],[Line No. manual corr.]]</f>
        <v>#VALUE!</v>
      </c>
      <c r="AJ1036" s="1064">
        <f t="shared" si="81"/>
        <v>0</v>
      </c>
      <c r="AK1036" s="1064">
        <f t="shared" si="82"/>
        <v>0</v>
      </c>
      <c r="AL1036" s="1064">
        <f t="shared" si="83"/>
        <v>0</v>
      </c>
      <c r="AM1036" s="1064">
        <f t="shared" si="84"/>
        <v>0</v>
      </c>
      <c r="AN1036" s="1064"/>
      <c r="AO1036" s="1064">
        <f>TB_prev[[#This Row],[Closing balance]]+TB_prev[[#This Row],[Rounding]]</f>
        <v>0</v>
      </c>
    </row>
    <row r="1037" spans="30:41" x14ac:dyDescent="0.25">
      <c r="AD1037" s="1067" t="str">
        <f t="shared" si="80"/>
        <v/>
      </c>
      <c r="AE1037" s="1063" t="str">
        <f>IF(ISNA(VLOOKUP(TB_prev[[#This Row],[Synt]],GL[[#Headers],[#Data],[subtotal label]],1,FALSE)),0,(VLOOKUP(TB_prev[[#This Row],[Synt]],GL[[#Headers],[#Data],[subtotal label]],1,FALSE)))</f>
        <v/>
      </c>
      <c r="AF1037" s="1063" t="e">
        <f>IF((TB_prev[[#This Row],[Synt]]-TB_prev[[#This Row],[Subtotal Y/N]])=0,0,VLOOKUP(TB_prev[[#This Row],[Synt]],GL[[Account]:[Line]],3,FALSE))</f>
        <v>#VALUE!</v>
      </c>
      <c r="AG1037" s="1063" t="e">
        <f>VLOOKUP(TB_prev[[#This Row],[Synt]],GL[[Account]:[B/P]],4,FALSE)</f>
        <v>#N/A</v>
      </c>
      <c r="AH1037" s="1066" t="e">
        <v>#VALUE!</v>
      </c>
      <c r="AI1037" s="1065" t="e">
        <f>TB_prev[[#This Row],[Synt]]&amp;TB_prev[[#This Row],[Line No. manual corr.]]</f>
        <v>#VALUE!</v>
      </c>
      <c r="AJ1037" s="1064">
        <f t="shared" si="81"/>
        <v>0</v>
      </c>
      <c r="AK1037" s="1064">
        <f t="shared" si="82"/>
        <v>0</v>
      </c>
      <c r="AL1037" s="1064">
        <f t="shared" si="83"/>
        <v>0</v>
      </c>
      <c r="AM1037" s="1064">
        <f t="shared" si="84"/>
        <v>0</v>
      </c>
      <c r="AN1037" s="1064"/>
      <c r="AO1037" s="1064">
        <f>TB_prev[[#This Row],[Closing balance]]+TB_prev[[#This Row],[Rounding]]</f>
        <v>0</v>
      </c>
    </row>
    <row r="1038" spans="30:41" x14ac:dyDescent="0.25">
      <c r="AD1038" s="1067" t="str">
        <f t="shared" si="80"/>
        <v/>
      </c>
      <c r="AE1038" s="1063" t="str">
        <f>IF(ISNA(VLOOKUP(TB_prev[[#This Row],[Synt]],GL[[#Headers],[#Data],[subtotal label]],1,FALSE)),0,(VLOOKUP(TB_prev[[#This Row],[Synt]],GL[[#Headers],[#Data],[subtotal label]],1,FALSE)))</f>
        <v/>
      </c>
      <c r="AF1038" s="1063" t="e">
        <f>IF((TB_prev[[#This Row],[Synt]]-TB_prev[[#This Row],[Subtotal Y/N]])=0,0,VLOOKUP(TB_prev[[#This Row],[Synt]],GL[[Account]:[Line]],3,FALSE))</f>
        <v>#VALUE!</v>
      </c>
      <c r="AG1038" s="1063" t="e">
        <f>VLOOKUP(TB_prev[[#This Row],[Synt]],GL[[Account]:[B/P]],4,FALSE)</f>
        <v>#N/A</v>
      </c>
      <c r="AH1038" s="1066" t="e">
        <v>#VALUE!</v>
      </c>
      <c r="AI1038" s="1065" t="e">
        <f>TB_prev[[#This Row],[Synt]]&amp;TB_prev[[#This Row],[Line No. manual corr.]]</f>
        <v>#VALUE!</v>
      </c>
      <c r="AJ1038" s="1064">
        <f t="shared" si="81"/>
        <v>0</v>
      </c>
      <c r="AK1038" s="1064">
        <f t="shared" si="82"/>
        <v>0</v>
      </c>
      <c r="AL1038" s="1064">
        <f t="shared" si="83"/>
        <v>0</v>
      </c>
      <c r="AM1038" s="1064">
        <f t="shared" si="84"/>
        <v>0</v>
      </c>
      <c r="AN1038" s="1064"/>
      <c r="AO1038" s="1064">
        <f>TB_prev[[#This Row],[Closing balance]]+TB_prev[[#This Row],[Rounding]]</f>
        <v>0</v>
      </c>
    </row>
    <row r="1039" spans="30:41" x14ac:dyDescent="0.25">
      <c r="AD1039" s="1067" t="str">
        <f t="shared" si="80"/>
        <v/>
      </c>
      <c r="AE1039" s="1063" t="str">
        <f>IF(ISNA(VLOOKUP(TB_prev[[#This Row],[Synt]],GL[[#Headers],[#Data],[subtotal label]],1,FALSE)),0,(VLOOKUP(TB_prev[[#This Row],[Synt]],GL[[#Headers],[#Data],[subtotal label]],1,FALSE)))</f>
        <v/>
      </c>
      <c r="AF1039" s="1063" t="e">
        <f>IF((TB_prev[[#This Row],[Synt]]-TB_prev[[#This Row],[Subtotal Y/N]])=0,0,VLOOKUP(TB_prev[[#This Row],[Synt]],GL[[Account]:[Line]],3,FALSE))</f>
        <v>#VALUE!</v>
      </c>
      <c r="AG1039" s="1063" t="e">
        <f>VLOOKUP(TB_prev[[#This Row],[Synt]],GL[[Account]:[B/P]],4,FALSE)</f>
        <v>#N/A</v>
      </c>
      <c r="AH1039" s="1066" t="e">
        <v>#VALUE!</v>
      </c>
      <c r="AI1039" s="1065" t="e">
        <f>TB_prev[[#This Row],[Synt]]&amp;TB_prev[[#This Row],[Line No. manual corr.]]</f>
        <v>#VALUE!</v>
      </c>
      <c r="AJ1039" s="1064">
        <f t="shared" si="81"/>
        <v>0</v>
      </c>
      <c r="AK1039" s="1064">
        <f t="shared" si="82"/>
        <v>0</v>
      </c>
      <c r="AL1039" s="1064">
        <f t="shared" si="83"/>
        <v>0</v>
      </c>
      <c r="AM1039" s="1064">
        <f t="shared" si="84"/>
        <v>0</v>
      </c>
      <c r="AN1039" s="1064"/>
      <c r="AO1039" s="1064">
        <f>TB_prev[[#This Row],[Closing balance]]+TB_prev[[#This Row],[Rounding]]</f>
        <v>0</v>
      </c>
    </row>
    <row r="1040" spans="30:41" x14ac:dyDescent="0.25">
      <c r="AD1040" s="1067" t="str">
        <f t="shared" si="80"/>
        <v/>
      </c>
      <c r="AE1040" s="1063" t="str">
        <f>IF(ISNA(VLOOKUP(TB_prev[[#This Row],[Synt]],GL[[#Headers],[#Data],[subtotal label]],1,FALSE)),0,(VLOOKUP(TB_prev[[#This Row],[Synt]],GL[[#Headers],[#Data],[subtotal label]],1,FALSE)))</f>
        <v/>
      </c>
      <c r="AF1040" s="1063" t="e">
        <f>IF((TB_prev[[#This Row],[Synt]]-TB_prev[[#This Row],[Subtotal Y/N]])=0,0,VLOOKUP(TB_prev[[#This Row],[Synt]],GL[[Account]:[Line]],3,FALSE))</f>
        <v>#VALUE!</v>
      </c>
      <c r="AG1040" s="1063" t="e">
        <f>VLOOKUP(TB_prev[[#This Row],[Synt]],GL[[Account]:[B/P]],4,FALSE)</f>
        <v>#N/A</v>
      </c>
      <c r="AH1040" s="1066" t="e">
        <v>#VALUE!</v>
      </c>
      <c r="AI1040" s="1065" t="e">
        <f>TB_prev[[#This Row],[Synt]]&amp;TB_prev[[#This Row],[Line No. manual corr.]]</f>
        <v>#VALUE!</v>
      </c>
      <c r="AJ1040" s="1064">
        <f t="shared" si="81"/>
        <v>0</v>
      </c>
      <c r="AK1040" s="1064">
        <f t="shared" si="82"/>
        <v>0</v>
      </c>
      <c r="AL1040" s="1064">
        <f t="shared" si="83"/>
        <v>0</v>
      </c>
      <c r="AM1040" s="1064">
        <f t="shared" si="84"/>
        <v>0</v>
      </c>
      <c r="AN1040" s="1064"/>
      <c r="AO1040" s="1064">
        <f>TB_prev[[#This Row],[Closing balance]]+TB_prev[[#This Row],[Rounding]]</f>
        <v>0</v>
      </c>
    </row>
    <row r="1041" spans="30:41" x14ac:dyDescent="0.25">
      <c r="AD1041" s="1067" t="str">
        <f t="shared" si="80"/>
        <v/>
      </c>
      <c r="AE1041" s="1063" t="str">
        <f>IF(ISNA(VLOOKUP(TB_prev[[#This Row],[Synt]],GL[[#Headers],[#Data],[subtotal label]],1,FALSE)),0,(VLOOKUP(TB_prev[[#This Row],[Synt]],GL[[#Headers],[#Data],[subtotal label]],1,FALSE)))</f>
        <v/>
      </c>
      <c r="AF1041" s="1063" t="e">
        <f>IF((TB_prev[[#This Row],[Synt]]-TB_prev[[#This Row],[Subtotal Y/N]])=0,0,VLOOKUP(TB_prev[[#This Row],[Synt]],GL[[Account]:[Line]],3,FALSE))</f>
        <v>#VALUE!</v>
      </c>
      <c r="AG1041" s="1063" t="e">
        <f>VLOOKUP(TB_prev[[#This Row],[Synt]],GL[[Account]:[B/P]],4,FALSE)</f>
        <v>#N/A</v>
      </c>
      <c r="AH1041" s="1066" t="e">
        <v>#VALUE!</v>
      </c>
      <c r="AI1041" s="1065" t="e">
        <f>TB_prev[[#This Row],[Synt]]&amp;TB_prev[[#This Row],[Line No. manual corr.]]</f>
        <v>#VALUE!</v>
      </c>
      <c r="AJ1041" s="1064">
        <f t="shared" si="81"/>
        <v>0</v>
      </c>
      <c r="AK1041" s="1064">
        <f t="shared" si="82"/>
        <v>0</v>
      </c>
      <c r="AL1041" s="1064">
        <f t="shared" si="83"/>
        <v>0</v>
      </c>
      <c r="AM1041" s="1064">
        <f t="shared" si="84"/>
        <v>0</v>
      </c>
      <c r="AN1041" s="1064"/>
      <c r="AO1041" s="1064">
        <f>TB_prev[[#This Row],[Closing balance]]+TB_prev[[#This Row],[Rounding]]</f>
        <v>0</v>
      </c>
    </row>
    <row r="1042" spans="30:41" x14ac:dyDescent="0.25">
      <c r="AD1042" s="1067" t="str">
        <f t="shared" si="80"/>
        <v/>
      </c>
      <c r="AE1042" s="1063" t="str">
        <f>IF(ISNA(VLOOKUP(TB_prev[[#This Row],[Synt]],GL[[#Headers],[#Data],[subtotal label]],1,FALSE)),0,(VLOOKUP(TB_prev[[#This Row],[Synt]],GL[[#Headers],[#Data],[subtotal label]],1,FALSE)))</f>
        <v/>
      </c>
      <c r="AF1042" s="1063" t="e">
        <f>IF((TB_prev[[#This Row],[Synt]]-TB_prev[[#This Row],[Subtotal Y/N]])=0,0,VLOOKUP(TB_prev[[#This Row],[Synt]],GL[[Account]:[Line]],3,FALSE))</f>
        <v>#VALUE!</v>
      </c>
      <c r="AG1042" s="1063" t="e">
        <f>VLOOKUP(TB_prev[[#This Row],[Synt]],GL[[Account]:[B/P]],4,FALSE)</f>
        <v>#N/A</v>
      </c>
      <c r="AH1042" s="1066" t="e">
        <v>#VALUE!</v>
      </c>
      <c r="AI1042" s="1065" t="e">
        <f>TB_prev[[#This Row],[Synt]]&amp;TB_prev[[#This Row],[Line No. manual corr.]]</f>
        <v>#VALUE!</v>
      </c>
      <c r="AJ1042" s="1064">
        <f t="shared" si="81"/>
        <v>0</v>
      </c>
      <c r="AK1042" s="1064">
        <f t="shared" si="82"/>
        <v>0</v>
      </c>
      <c r="AL1042" s="1064">
        <f t="shared" si="83"/>
        <v>0</v>
      </c>
      <c r="AM1042" s="1064">
        <f t="shared" si="84"/>
        <v>0</v>
      </c>
      <c r="AN1042" s="1064"/>
      <c r="AO1042" s="1064">
        <f>TB_prev[[#This Row],[Closing balance]]+TB_prev[[#This Row],[Rounding]]</f>
        <v>0</v>
      </c>
    </row>
    <row r="1043" spans="30:41" x14ac:dyDescent="0.25">
      <c r="AD1043" s="1067" t="str">
        <f t="shared" si="80"/>
        <v/>
      </c>
      <c r="AE1043" s="1063" t="str">
        <f>IF(ISNA(VLOOKUP(TB_prev[[#This Row],[Synt]],GL[[#Headers],[#Data],[subtotal label]],1,FALSE)),0,(VLOOKUP(TB_prev[[#This Row],[Synt]],GL[[#Headers],[#Data],[subtotal label]],1,FALSE)))</f>
        <v/>
      </c>
      <c r="AF1043" s="1063" t="e">
        <f>IF((TB_prev[[#This Row],[Synt]]-TB_prev[[#This Row],[Subtotal Y/N]])=0,0,VLOOKUP(TB_prev[[#This Row],[Synt]],GL[[Account]:[Line]],3,FALSE))</f>
        <v>#VALUE!</v>
      </c>
      <c r="AG1043" s="1063" t="e">
        <f>VLOOKUP(TB_prev[[#This Row],[Synt]],GL[[Account]:[B/P]],4,FALSE)</f>
        <v>#N/A</v>
      </c>
      <c r="AH1043" s="1066" t="e">
        <v>#VALUE!</v>
      </c>
      <c r="AI1043" s="1065" t="e">
        <f>TB_prev[[#This Row],[Synt]]&amp;TB_prev[[#This Row],[Line No. manual corr.]]</f>
        <v>#VALUE!</v>
      </c>
      <c r="AJ1043" s="1064">
        <f t="shared" si="81"/>
        <v>0</v>
      </c>
      <c r="AK1043" s="1064">
        <f t="shared" si="82"/>
        <v>0</v>
      </c>
      <c r="AL1043" s="1064">
        <f t="shared" si="83"/>
        <v>0</v>
      </c>
      <c r="AM1043" s="1064">
        <f t="shared" si="84"/>
        <v>0</v>
      </c>
      <c r="AN1043" s="1064"/>
      <c r="AO1043" s="1064">
        <f>TB_prev[[#This Row],[Closing balance]]+TB_prev[[#This Row],[Rounding]]</f>
        <v>0</v>
      </c>
    </row>
    <row r="1044" spans="30:41" x14ac:dyDescent="0.25">
      <c r="AD1044" s="1067" t="str">
        <f t="shared" si="80"/>
        <v/>
      </c>
      <c r="AE1044" s="1063" t="str">
        <f>IF(ISNA(VLOOKUP(TB_prev[[#This Row],[Synt]],GL[[#Headers],[#Data],[subtotal label]],1,FALSE)),0,(VLOOKUP(TB_prev[[#This Row],[Synt]],GL[[#Headers],[#Data],[subtotal label]],1,FALSE)))</f>
        <v/>
      </c>
      <c r="AF1044" s="1063" t="e">
        <f>IF((TB_prev[[#This Row],[Synt]]-TB_prev[[#This Row],[Subtotal Y/N]])=0,0,VLOOKUP(TB_prev[[#This Row],[Synt]],GL[[Account]:[Line]],3,FALSE))</f>
        <v>#VALUE!</v>
      </c>
      <c r="AG1044" s="1063" t="e">
        <f>VLOOKUP(TB_prev[[#This Row],[Synt]],GL[[Account]:[B/P]],4,FALSE)</f>
        <v>#N/A</v>
      </c>
      <c r="AH1044" s="1066" t="e">
        <v>#VALUE!</v>
      </c>
      <c r="AI1044" s="1065" t="e">
        <f>TB_prev[[#This Row],[Synt]]&amp;TB_prev[[#This Row],[Line No. manual corr.]]</f>
        <v>#VALUE!</v>
      </c>
      <c r="AJ1044" s="1064">
        <f t="shared" si="81"/>
        <v>0</v>
      </c>
      <c r="AK1044" s="1064">
        <f t="shared" si="82"/>
        <v>0</v>
      </c>
      <c r="AL1044" s="1064">
        <f t="shared" si="83"/>
        <v>0</v>
      </c>
      <c r="AM1044" s="1064">
        <f t="shared" si="84"/>
        <v>0</v>
      </c>
      <c r="AN1044" s="1064"/>
      <c r="AO1044" s="1064">
        <f>TB_prev[[#This Row],[Closing balance]]+TB_prev[[#This Row],[Rounding]]</f>
        <v>0</v>
      </c>
    </row>
    <row r="1045" spans="30:41" x14ac:dyDescent="0.25">
      <c r="AD1045" s="1067" t="str">
        <f t="shared" si="80"/>
        <v/>
      </c>
      <c r="AE1045" s="1063" t="str">
        <f>IF(ISNA(VLOOKUP(TB_prev[[#This Row],[Synt]],GL[[#Headers],[#Data],[subtotal label]],1,FALSE)),0,(VLOOKUP(TB_prev[[#This Row],[Synt]],GL[[#Headers],[#Data],[subtotal label]],1,FALSE)))</f>
        <v/>
      </c>
      <c r="AF1045" s="1063" t="e">
        <f>IF((TB_prev[[#This Row],[Synt]]-TB_prev[[#This Row],[Subtotal Y/N]])=0,0,VLOOKUP(TB_prev[[#This Row],[Synt]],GL[[Account]:[Line]],3,FALSE))</f>
        <v>#VALUE!</v>
      </c>
      <c r="AG1045" s="1063" t="e">
        <f>VLOOKUP(TB_prev[[#This Row],[Synt]],GL[[Account]:[B/P]],4,FALSE)</f>
        <v>#N/A</v>
      </c>
      <c r="AH1045" s="1066" t="e">
        <v>#VALUE!</v>
      </c>
      <c r="AI1045" s="1065" t="e">
        <f>TB_prev[[#This Row],[Synt]]&amp;TB_prev[[#This Row],[Line No. manual corr.]]</f>
        <v>#VALUE!</v>
      </c>
      <c r="AJ1045" s="1064">
        <f t="shared" si="81"/>
        <v>0</v>
      </c>
      <c r="AK1045" s="1064">
        <f t="shared" si="82"/>
        <v>0</v>
      </c>
      <c r="AL1045" s="1064">
        <f t="shared" si="83"/>
        <v>0</v>
      </c>
      <c r="AM1045" s="1064">
        <f t="shared" si="84"/>
        <v>0</v>
      </c>
      <c r="AN1045" s="1064"/>
      <c r="AO1045" s="1064">
        <f>TB_prev[[#This Row],[Closing balance]]+TB_prev[[#This Row],[Rounding]]</f>
        <v>0</v>
      </c>
    </row>
    <row r="1046" spans="30:41" x14ac:dyDescent="0.25">
      <c r="AD1046" s="1067" t="str">
        <f t="shared" si="80"/>
        <v/>
      </c>
      <c r="AE1046" s="1063" t="str">
        <f>IF(ISNA(VLOOKUP(TB_prev[[#This Row],[Synt]],GL[[#Headers],[#Data],[subtotal label]],1,FALSE)),0,(VLOOKUP(TB_prev[[#This Row],[Synt]],GL[[#Headers],[#Data],[subtotal label]],1,FALSE)))</f>
        <v/>
      </c>
      <c r="AF1046" s="1063" t="e">
        <f>IF((TB_prev[[#This Row],[Synt]]-TB_prev[[#This Row],[Subtotal Y/N]])=0,0,VLOOKUP(TB_prev[[#This Row],[Synt]],GL[[Account]:[Line]],3,FALSE))</f>
        <v>#VALUE!</v>
      </c>
      <c r="AG1046" s="1063" t="e">
        <f>VLOOKUP(TB_prev[[#This Row],[Synt]],GL[[Account]:[B/P]],4,FALSE)</f>
        <v>#N/A</v>
      </c>
      <c r="AH1046" s="1066" t="e">
        <v>#VALUE!</v>
      </c>
      <c r="AI1046" s="1065" t="e">
        <f>TB_prev[[#This Row],[Synt]]&amp;TB_prev[[#This Row],[Line No. manual corr.]]</f>
        <v>#VALUE!</v>
      </c>
      <c r="AJ1046" s="1064">
        <f t="shared" si="81"/>
        <v>0</v>
      </c>
      <c r="AK1046" s="1064">
        <f t="shared" si="82"/>
        <v>0</v>
      </c>
      <c r="AL1046" s="1064">
        <f t="shared" si="83"/>
        <v>0</v>
      </c>
      <c r="AM1046" s="1064">
        <f t="shared" si="84"/>
        <v>0</v>
      </c>
      <c r="AN1046" s="1064"/>
      <c r="AO1046" s="1064">
        <f>TB_prev[[#This Row],[Closing balance]]+TB_prev[[#This Row],[Rounding]]</f>
        <v>0</v>
      </c>
    </row>
    <row r="1047" spans="30:41" x14ac:dyDescent="0.25">
      <c r="AD1047" s="1067" t="str">
        <f t="shared" si="80"/>
        <v/>
      </c>
      <c r="AE1047" s="1063" t="str">
        <f>IF(ISNA(VLOOKUP(TB_prev[[#This Row],[Synt]],GL[[#Headers],[#Data],[subtotal label]],1,FALSE)),0,(VLOOKUP(TB_prev[[#This Row],[Synt]],GL[[#Headers],[#Data],[subtotal label]],1,FALSE)))</f>
        <v/>
      </c>
      <c r="AF1047" s="1063" t="e">
        <f>IF((TB_prev[[#This Row],[Synt]]-TB_prev[[#This Row],[Subtotal Y/N]])=0,0,VLOOKUP(TB_prev[[#This Row],[Synt]],GL[[Account]:[Line]],3,FALSE))</f>
        <v>#VALUE!</v>
      </c>
      <c r="AG1047" s="1063" t="e">
        <f>VLOOKUP(TB_prev[[#This Row],[Synt]],GL[[Account]:[B/P]],4,FALSE)</f>
        <v>#N/A</v>
      </c>
      <c r="AH1047" s="1066" t="e">
        <v>#VALUE!</v>
      </c>
      <c r="AI1047" s="1065" t="e">
        <f>TB_prev[[#This Row],[Synt]]&amp;TB_prev[[#This Row],[Line No. manual corr.]]</f>
        <v>#VALUE!</v>
      </c>
      <c r="AJ1047" s="1064">
        <f t="shared" si="81"/>
        <v>0</v>
      </c>
      <c r="AK1047" s="1064">
        <f t="shared" si="82"/>
        <v>0</v>
      </c>
      <c r="AL1047" s="1064">
        <f t="shared" si="83"/>
        <v>0</v>
      </c>
      <c r="AM1047" s="1064">
        <f t="shared" si="84"/>
        <v>0</v>
      </c>
      <c r="AN1047" s="1064"/>
      <c r="AO1047" s="1064">
        <f>TB_prev[[#This Row],[Closing balance]]+TB_prev[[#This Row],[Rounding]]</f>
        <v>0</v>
      </c>
    </row>
    <row r="1048" spans="30:41" x14ac:dyDescent="0.25">
      <c r="AD1048" s="1067" t="str">
        <f t="shared" si="80"/>
        <v/>
      </c>
      <c r="AE1048" s="1063" t="str">
        <f>IF(ISNA(VLOOKUP(TB_prev[[#This Row],[Synt]],GL[[#Headers],[#Data],[subtotal label]],1,FALSE)),0,(VLOOKUP(TB_prev[[#This Row],[Synt]],GL[[#Headers],[#Data],[subtotal label]],1,FALSE)))</f>
        <v/>
      </c>
      <c r="AF1048" s="1063" t="e">
        <f>IF((TB_prev[[#This Row],[Synt]]-TB_prev[[#This Row],[Subtotal Y/N]])=0,0,VLOOKUP(TB_prev[[#This Row],[Synt]],GL[[Account]:[Line]],3,FALSE))</f>
        <v>#VALUE!</v>
      </c>
      <c r="AG1048" s="1063" t="e">
        <f>VLOOKUP(TB_prev[[#This Row],[Synt]],GL[[Account]:[B/P]],4,FALSE)</f>
        <v>#N/A</v>
      </c>
      <c r="AH1048" s="1066" t="e">
        <v>#VALUE!</v>
      </c>
      <c r="AI1048" s="1065" t="e">
        <f>TB_prev[[#This Row],[Synt]]&amp;TB_prev[[#This Row],[Line No. manual corr.]]</f>
        <v>#VALUE!</v>
      </c>
      <c r="AJ1048" s="1064">
        <f t="shared" si="81"/>
        <v>0</v>
      </c>
      <c r="AK1048" s="1064">
        <f t="shared" si="82"/>
        <v>0</v>
      </c>
      <c r="AL1048" s="1064">
        <f t="shared" si="83"/>
        <v>0</v>
      </c>
      <c r="AM1048" s="1064">
        <f t="shared" si="84"/>
        <v>0</v>
      </c>
      <c r="AN1048" s="1064"/>
      <c r="AO1048" s="1064">
        <f>TB_prev[[#This Row],[Closing balance]]+TB_prev[[#This Row],[Rounding]]</f>
        <v>0</v>
      </c>
    </row>
    <row r="1049" spans="30:41" x14ac:dyDescent="0.25">
      <c r="AD1049" s="1067" t="str">
        <f t="shared" si="80"/>
        <v/>
      </c>
      <c r="AE1049" s="1063" t="str">
        <f>IF(ISNA(VLOOKUP(TB_prev[[#This Row],[Synt]],GL[[#Headers],[#Data],[subtotal label]],1,FALSE)),0,(VLOOKUP(TB_prev[[#This Row],[Synt]],GL[[#Headers],[#Data],[subtotal label]],1,FALSE)))</f>
        <v/>
      </c>
      <c r="AF1049" s="1063" t="e">
        <f>IF((TB_prev[[#This Row],[Synt]]-TB_prev[[#This Row],[Subtotal Y/N]])=0,0,VLOOKUP(TB_prev[[#This Row],[Synt]],GL[[Account]:[Line]],3,FALSE))</f>
        <v>#VALUE!</v>
      </c>
      <c r="AG1049" s="1063" t="e">
        <f>VLOOKUP(TB_prev[[#This Row],[Synt]],GL[[Account]:[B/P]],4,FALSE)</f>
        <v>#N/A</v>
      </c>
      <c r="AH1049" s="1066" t="e">
        <v>#VALUE!</v>
      </c>
      <c r="AI1049" s="1065" t="e">
        <f>TB_prev[[#This Row],[Synt]]&amp;TB_prev[[#This Row],[Line No. manual corr.]]</f>
        <v>#VALUE!</v>
      </c>
      <c r="AJ1049" s="1064">
        <f t="shared" si="81"/>
        <v>0</v>
      </c>
      <c r="AK1049" s="1064">
        <f t="shared" si="82"/>
        <v>0</v>
      </c>
      <c r="AL1049" s="1064">
        <f t="shared" si="83"/>
        <v>0</v>
      </c>
      <c r="AM1049" s="1064">
        <f t="shared" si="84"/>
        <v>0</v>
      </c>
      <c r="AN1049" s="1064"/>
      <c r="AO1049" s="1064">
        <f>TB_prev[[#This Row],[Closing balance]]+TB_prev[[#This Row],[Rounding]]</f>
        <v>0</v>
      </c>
    </row>
    <row r="1050" spans="30:41" x14ac:dyDescent="0.25">
      <c r="AD1050" s="1067" t="str">
        <f t="shared" si="80"/>
        <v/>
      </c>
      <c r="AE1050" s="1063" t="str">
        <f>IF(ISNA(VLOOKUP(TB_prev[[#This Row],[Synt]],GL[[#Headers],[#Data],[subtotal label]],1,FALSE)),0,(VLOOKUP(TB_prev[[#This Row],[Synt]],GL[[#Headers],[#Data],[subtotal label]],1,FALSE)))</f>
        <v/>
      </c>
      <c r="AF1050" s="1063" t="e">
        <f>IF((TB_prev[[#This Row],[Synt]]-TB_prev[[#This Row],[Subtotal Y/N]])=0,0,VLOOKUP(TB_prev[[#This Row],[Synt]],GL[[Account]:[Line]],3,FALSE))</f>
        <v>#VALUE!</v>
      </c>
      <c r="AG1050" s="1063" t="e">
        <f>VLOOKUP(TB_prev[[#This Row],[Synt]],GL[[Account]:[B/P]],4,FALSE)</f>
        <v>#N/A</v>
      </c>
      <c r="AH1050" s="1066" t="e">
        <v>#VALUE!</v>
      </c>
      <c r="AI1050" s="1065" t="e">
        <f>TB_prev[[#This Row],[Synt]]&amp;TB_prev[[#This Row],[Line No. manual corr.]]</f>
        <v>#VALUE!</v>
      </c>
      <c r="AJ1050" s="1064">
        <f t="shared" si="81"/>
        <v>0</v>
      </c>
      <c r="AK1050" s="1064">
        <f t="shared" si="82"/>
        <v>0</v>
      </c>
      <c r="AL1050" s="1064">
        <f t="shared" si="83"/>
        <v>0</v>
      </c>
      <c r="AM1050" s="1064">
        <f t="shared" si="84"/>
        <v>0</v>
      </c>
      <c r="AN1050" s="1064"/>
      <c r="AO1050" s="1064">
        <f>TB_prev[[#This Row],[Closing balance]]+TB_prev[[#This Row],[Rounding]]</f>
        <v>0</v>
      </c>
    </row>
    <row r="1051" spans="30:41" x14ac:dyDescent="0.25">
      <c r="AD1051" s="1067" t="str">
        <f t="shared" si="80"/>
        <v/>
      </c>
      <c r="AE1051" s="1063" t="str">
        <f>IF(ISNA(VLOOKUP(TB_prev[[#This Row],[Synt]],GL[[#Headers],[#Data],[subtotal label]],1,FALSE)),0,(VLOOKUP(TB_prev[[#This Row],[Synt]],GL[[#Headers],[#Data],[subtotal label]],1,FALSE)))</f>
        <v/>
      </c>
      <c r="AF1051" s="1063" t="e">
        <f>IF((TB_prev[[#This Row],[Synt]]-TB_prev[[#This Row],[Subtotal Y/N]])=0,0,VLOOKUP(TB_prev[[#This Row],[Synt]],GL[[Account]:[Line]],3,FALSE))</f>
        <v>#VALUE!</v>
      </c>
      <c r="AG1051" s="1063" t="e">
        <f>VLOOKUP(TB_prev[[#This Row],[Synt]],GL[[Account]:[B/P]],4,FALSE)</f>
        <v>#N/A</v>
      </c>
      <c r="AH1051" s="1066" t="e">
        <v>#VALUE!</v>
      </c>
      <c r="AI1051" s="1065" t="e">
        <f>TB_prev[[#This Row],[Synt]]&amp;TB_prev[[#This Row],[Line No. manual corr.]]</f>
        <v>#VALUE!</v>
      </c>
      <c r="AJ1051" s="1064">
        <f t="shared" si="81"/>
        <v>0</v>
      </c>
      <c r="AK1051" s="1064">
        <f t="shared" si="82"/>
        <v>0</v>
      </c>
      <c r="AL1051" s="1064">
        <f t="shared" si="83"/>
        <v>0</v>
      </c>
      <c r="AM1051" s="1064">
        <f t="shared" si="84"/>
        <v>0</v>
      </c>
      <c r="AN1051" s="1064"/>
      <c r="AO1051" s="1064">
        <f>TB_prev[[#This Row],[Closing balance]]+TB_prev[[#This Row],[Rounding]]</f>
        <v>0</v>
      </c>
    </row>
    <row r="1052" spans="30:41" x14ac:dyDescent="0.25">
      <c r="AD1052" s="1067" t="str">
        <f t="shared" si="80"/>
        <v/>
      </c>
      <c r="AE1052" s="1063" t="str">
        <f>IF(ISNA(VLOOKUP(TB_prev[[#This Row],[Synt]],GL[[#Headers],[#Data],[subtotal label]],1,FALSE)),0,(VLOOKUP(TB_prev[[#This Row],[Synt]],GL[[#Headers],[#Data],[subtotal label]],1,FALSE)))</f>
        <v/>
      </c>
      <c r="AF1052" s="1063" t="e">
        <f>IF((TB_prev[[#This Row],[Synt]]-TB_prev[[#This Row],[Subtotal Y/N]])=0,0,VLOOKUP(TB_prev[[#This Row],[Synt]],GL[[Account]:[Line]],3,FALSE))</f>
        <v>#VALUE!</v>
      </c>
      <c r="AG1052" s="1063" t="e">
        <f>VLOOKUP(TB_prev[[#This Row],[Synt]],GL[[Account]:[B/P]],4,FALSE)</f>
        <v>#N/A</v>
      </c>
      <c r="AH1052" s="1066" t="e">
        <v>#VALUE!</v>
      </c>
      <c r="AI1052" s="1065" t="e">
        <f>TB_prev[[#This Row],[Synt]]&amp;TB_prev[[#This Row],[Line No. manual corr.]]</f>
        <v>#VALUE!</v>
      </c>
      <c r="AJ1052" s="1064">
        <f t="shared" si="81"/>
        <v>0</v>
      </c>
      <c r="AK1052" s="1064">
        <f t="shared" si="82"/>
        <v>0</v>
      </c>
      <c r="AL1052" s="1064">
        <f t="shared" si="83"/>
        <v>0</v>
      </c>
      <c r="AM1052" s="1064">
        <f t="shared" si="84"/>
        <v>0</v>
      </c>
      <c r="AN1052" s="1064"/>
      <c r="AO1052" s="1064">
        <f>TB_prev[[#This Row],[Closing balance]]+TB_prev[[#This Row],[Rounding]]</f>
        <v>0</v>
      </c>
    </row>
    <row r="1053" spans="30:41" x14ac:dyDescent="0.25">
      <c r="AD1053" s="1067" t="str">
        <f t="shared" si="80"/>
        <v/>
      </c>
      <c r="AE1053" s="1063" t="str">
        <f>IF(ISNA(VLOOKUP(TB_prev[[#This Row],[Synt]],GL[[#Headers],[#Data],[subtotal label]],1,FALSE)),0,(VLOOKUP(TB_prev[[#This Row],[Synt]],GL[[#Headers],[#Data],[subtotal label]],1,FALSE)))</f>
        <v/>
      </c>
      <c r="AF1053" s="1063" t="e">
        <f>IF((TB_prev[[#This Row],[Synt]]-TB_prev[[#This Row],[Subtotal Y/N]])=0,0,VLOOKUP(TB_prev[[#This Row],[Synt]],GL[[Account]:[Line]],3,FALSE))</f>
        <v>#VALUE!</v>
      </c>
      <c r="AG1053" s="1063" t="e">
        <f>VLOOKUP(TB_prev[[#This Row],[Synt]],GL[[Account]:[B/P]],4,FALSE)</f>
        <v>#N/A</v>
      </c>
      <c r="AH1053" s="1066" t="e">
        <v>#VALUE!</v>
      </c>
      <c r="AI1053" s="1065" t="e">
        <f>TB_prev[[#This Row],[Synt]]&amp;TB_prev[[#This Row],[Line No. manual corr.]]</f>
        <v>#VALUE!</v>
      </c>
      <c r="AJ1053" s="1064">
        <f t="shared" si="81"/>
        <v>0</v>
      </c>
      <c r="AK1053" s="1064">
        <f t="shared" si="82"/>
        <v>0</v>
      </c>
      <c r="AL1053" s="1064">
        <f t="shared" si="83"/>
        <v>0</v>
      </c>
      <c r="AM1053" s="1064">
        <f t="shared" si="84"/>
        <v>0</v>
      </c>
      <c r="AN1053" s="1064"/>
      <c r="AO1053" s="1064">
        <f>TB_prev[[#This Row],[Closing balance]]+TB_prev[[#This Row],[Rounding]]</f>
        <v>0</v>
      </c>
    </row>
    <row r="1054" spans="30:41" x14ac:dyDescent="0.25">
      <c r="AD1054" s="1067" t="str">
        <f t="shared" si="80"/>
        <v/>
      </c>
      <c r="AE1054" s="1063" t="str">
        <f>IF(ISNA(VLOOKUP(TB_prev[[#This Row],[Synt]],GL[[#Headers],[#Data],[subtotal label]],1,FALSE)),0,(VLOOKUP(TB_prev[[#This Row],[Synt]],GL[[#Headers],[#Data],[subtotal label]],1,FALSE)))</f>
        <v/>
      </c>
      <c r="AF1054" s="1063" t="e">
        <f>IF((TB_prev[[#This Row],[Synt]]-TB_prev[[#This Row],[Subtotal Y/N]])=0,0,VLOOKUP(TB_prev[[#This Row],[Synt]],GL[[Account]:[Line]],3,FALSE))</f>
        <v>#VALUE!</v>
      </c>
      <c r="AG1054" s="1063" t="e">
        <f>VLOOKUP(TB_prev[[#This Row],[Synt]],GL[[Account]:[B/P]],4,FALSE)</f>
        <v>#N/A</v>
      </c>
      <c r="AH1054" s="1066" t="e">
        <v>#VALUE!</v>
      </c>
      <c r="AI1054" s="1065" t="e">
        <f>TB_prev[[#This Row],[Synt]]&amp;TB_prev[[#This Row],[Line No. manual corr.]]</f>
        <v>#VALUE!</v>
      </c>
      <c r="AJ1054" s="1064">
        <f t="shared" si="81"/>
        <v>0</v>
      </c>
      <c r="AK1054" s="1064">
        <f t="shared" si="82"/>
        <v>0</v>
      </c>
      <c r="AL1054" s="1064">
        <f t="shared" si="83"/>
        <v>0</v>
      </c>
      <c r="AM1054" s="1064">
        <f t="shared" si="84"/>
        <v>0</v>
      </c>
      <c r="AN1054" s="1064"/>
      <c r="AO1054" s="1064">
        <f>TB_prev[[#This Row],[Closing balance]]+TB_prev[[#This Row],[Rounding]]</f>
        <v>0</v>
      </c>
    </row>
    <row r="1055" spans="30:41" x14ac:dyDescent="0.25">
      <c r="AD1055" s="1067" t="str">
        <f t="shared" si="80"/>
        <v/>
      </c>
      <c r="AE1055" s="1063" t="str">
        <f>IF(ISNA(VLOOKUP(TB_prev[[#This Row],[Synt]],GL[[#Headers],[#Data],[subtotal label]],1,FALSE)),0,(VLOOKUP(TB_prev[[#This Row],[Synt]],GL[[#Headers],[#Data],[subtotal label]],1,FALSE)))</f>
        <v/>
      </c>
      <c r="AF1055" s="1063" t="e">
        <f>IF((TB_prev[[#This Row],[Synt]]-TB_prev[[#This Row],[Subtotal Y/N]])=0,0,VLOOKUP(TB_prev[[#This Row],[Synt]],GL[[Account]:[Line]],3,FALSE))</f>
        <v>#VALUE!</v>
      </c>
      <c r="AG1055" s="1063" t="e">
        <f>VLOOKUP(TB_prev[[#This Row],[Synt]],GL[[Account]:[B/P]],4,FALSE)</f>
        <v>#N/A</v>
      </c>
      <c r="AH1055" s="1066" t="e">
        <v>#VALUE!</v>
      </c>
      <c r="AI1055" s="1065" t="e">
        <f>TB_prev[[#This Row],[Synt]]&amp;TB_prev[[#This Row],[Line No. manual corr.]]</f>
        <v>#VALUE!</v>
      </c>
      <c r="AJ1055" s="1064">
        <f t="shared" si="81"/>
        <v>0</v>
      </c>
      <c r="AK1055" s="1064">
        <f t="shared" si="82"/>
        <v>0</v>
      </c>
      <c r="AL1055" s="1064">
        <f t="shared" si="83"/>
        <v>0</v>
      </c>
      <c r="AM1055" s="1064">
        <f t="shared" si="84"/>
        <v>0</v>
      </c>
      <c r="AN1055" s="1064"/>
      <c r="AO1055" s="1064">
        <f>TB_prev[[#This Row],[Closing balance]]+TB_prev[[#This Row],[Rounding]]</f>
        <v>0</v>
      </c>
    </row>
    <row r="1056" spans="30:41" x14ac:dyDescent="0.25">
      <c r="AD1056" s="1067" t="str">
        <f t="shared" si="80"/>
        <v/>
      </c>
      <c r="AE1056" s="1063" t="str">
        <f>IF(ISNA(VLOOKUP(TB_prev[[#This Row],[Synt]],GL[[#Headers],[#Data],[subtotal label]],1,FALSE)),0,(VLOOKUP(TB_prev[[#This Row],[Synt]],GL[[#Headers],[#Data],[subtotal label]],1,FALSE)))</f>
        <v/>
      </c>
      <c r="AF1056" s="1063" t="e">
        <f>IF((TB_prev[[#This Row],[Synt]]-TB_prev[[#This Row],[Subtotal Y/N]])=0,0,VLOOKUP(TB_prev[[#This Row],[Synt]],GL[[Account]:[Line]],3,FALSE))</f>
        <v>#VALUE!</v>
      </c>
      <c r="AG1056" s="1063" t="e">
        <f>VLOOKUP(TB_prev[[#This Row],[Synt]],GL[[Account]:[B/P]],4,FALSE)</f>
        <v>#N/A</v>
      </c>
      <c r="AH1056" s="1066" t="e">
        <v>#VALUE!</v>
      </c>
      <c r="AI1056" s="1065" t="e">
        <f>TB_prev[[#This Row],[Synt]]&amp;TB_prev[[#This Row],[Line No. manual corr.]]</f>
        <v>#VALUE!</v>
      </c>
      <c r="AJ1056" s="1064">
        <f t="shared" si="81"/>
        <v>0</v>
      </c>
      <c r="AK1056" s="1064">
        <f t="shared" si="82"/>
        <v>0</v>
      </c>
      <c r="AL1056" s="1064">
        <f t="shared" si="83"/>
        <v>0</v>
      </c>
      <c r="AM1056" s="1064">
        <f t="shared" si="84"/>
        <v>0</v>
      </c>
      <c r="AN1056" s="1064"/>
      <c r="AO1056" s="1064">
        <f>TB_prev[[#This Row],[Closing balance]]+TB_prev[[#This Row],[Rounding]]</f>
        <v>0</v>
      </c>
    </row>
    <row r="1057" spans="30:41" x14ac:dyDescent="0.25">
      <c r="AD1057" s="1067" t="str">
        <f t="shared" si="80"/>
        <v/>
      </c>
      <c r="AE1057" s="1063" t="str">
        <f>IF(ISNA(VLOOKUP(TB_prev[[#This Row],[Synt]],GL[[#Headers],[#Data],[subtotal label]],1,FALSE)),0,(VLOOKUP(TB_prev[[#This Row],[Synt]],GL[[#Headers],[#Data],[subtotal label]],1,FALSE)))</f>
        <v/>
      </c>
      <c r="AF1057" s="1063" t="e">
        <f>IF((TB_prev[[#This Row],[Synt]]-TB_prev[[#This Row],[Subtotal Y/N]])=0,0,VLOOKUP(TB_prev[[#This Row],[Synt]],GL[[Account]:[Line]],3,FALSE))</f>
        <v>#VALUE!</v>
      </c>
      <c r="AG1057" s="1063" t="e">
        <f>VLOOKUP(TB_prev[[#This Row],[Synt]],GL[[Account]:[B/P]],4,FALSE)</f>
        <v>#N/A</v>
      </c>
      <c r="AH1057" s="1066" t="e">
        <v>#VALUE!</v>
      </c>
      <c r="AI1057" s="1065" t="e">
        <f>TB_prev[[#This Row],[Synt]]&amp;TB_prev[[#This Row],[Line No. manual corr.]]</f>
        <v>#VALUE!</v>
      </c>
      <c r="AJ1057" s="1064">
        <f t="shared" si="81"/>
        <v>0</v>
      </c>
      <c r="AK1057" s="1064">
        <f t="shared" si="82"/>
        <v>0</v>
      </c>
      <c r="AL1057" s="1064">
        <f t="shared" si="83"/>
        <v>0</v>
      </c>
      <c r="AM1057" s="1064">
        <f t="shared" si="84"/>
        <v>0</v>
      </c>
      <c r="AN1057" s="1064"/>
      <c r="AO1057" s="1064">
        <f>TB_prev[[#This Row],[Closing balance]]+TB_prev[[#This Row],[Rounding]]</f>
        <v>0</v>
      </c>
    </row>
    <row r="1058" spans="30:41" x14ac:dyDescent="0.25">
      <c r="AD1058" s="1067" t="str">
        <f t="shared" si="80"/>
        <v/>
      </c>
      <c r="AE1058" s="1063" t="str">
        <f>IF(ISNA(VLOOKUP(TB_prev[[#This Row],[Synt]],GL[[#Headers],[#Data],[subtotal label]],1,FALSE)),0,(VLOOKUP(TB_prev[[#This Row],[Synt]],GL[[#Headers],[#Data],[subtotal label]],1,FALSE)))</f>
        <v/>
      </c>
      <c r="AF1058" s="1063" t="e">
        <f>IF((TB_prev[[#This Row],[Synt]]-TB_prev[[#This Row],[Subtotal Y/N]])=0,0,VLOOKUP(TB_prev[[#This Row],[Synt]],GL[[Account]:[Line]],3,FALSE))</f>
        <v>#VALUE!</v>
      </c>
      <c r="AG1058" s="1063" t="e">
        <f>VLOOKUP(TB_prev[[#This Row],[Synt]],GL[[Account]:[B/P]],4,FALSE)</f>
        <v>#N/A</v>
      </c>
      <c r="AH1058" s="1066" t="e">
        <v>#VALUE!</v>
      </c>
      <c r="AI1058" s="1065" t="e">
        <f>TB_prev[[#This Row],[Synt]]&amp;TB_prev[[#This Row],[Line No. manual corr.]]</f>
        <v>#VALUE!</v>
      </c>
      <c r="AJ1058" s="1064">
        <f t="shared" si="81"/>
        <v>0</v>
      </c>
      <c r="AK1058" s="1064">
        <f t="shared" si="82"/>
        <v>0</v>
      </c>
      <c r="AL1058" s="1064">
        <f t="shared" si="83"/>
        <v>0</v>
      </c>
      <c r="AM1058" s="1064">
        <f t="shared" si="84"/>
        <v>0</v>
      </c>
      <c r="AN1058" s="1064"/>
      <c r="AO1058" s="1064">
        <f>TB_prev[[#This Row],[Closing balance]]+TB_prev[[#This Row],[Rounding]]</f>
        <v>0</v>
      </c>
    </row>
    <row r="1059" spans="30:41" x14ac:dyDescent="0.25">
      <c r="AD1059" s="1067" t="str">
        <f t="shared" si="80"/>
        <v/>
      </c>
      <c r="AE1059" s="1063" t="str">
        <f>IF(ISNA(VLOOKUP(TB_prev[[#This Row],[Synt]],GL[[#Headers],[#Data],[subtotal label]],1,FALSE)),0,(VLOOKUP(TB_prev[[#This Row],[Synt]],GL[[#Headers],[#Data],[subtotal label]],1,FALSE)))</f>
        <v/>
      </c>
      <c r="AF1059" s="1063" t="e">
        <f>IF((TB_prev[[#This Row],[Synt]]-TB_prev[[#This Row],[Subtotal Y/N]])=0,0,VLOOKUP(TB_prev[[#This Row],[Synt]],GL[[Account]:[Line]],3,FALSE))</f>
        <v>#VALUE!</v>
      </c>
      <c r="AG1059" s="1063" t="e">
        <f>VLOOKUP(TB_prev[[#This Row],[Synt]],GL[[Account]:[B/P]],4,FALSE)</f>
        <v>#N/A</v>
      </c>
      <c r="AH1059" s="1066" t="e">
        <v>#VALUE!</v>
      </c>
      <c r="AI1059" s="1065" t="e">
        <f>TB_prev[[#This Row],[Synt]]&amp;TB_prev[[#This Row],[Line No. manual corr.]]</f>
        <v>#VALUE!</v>
      </c>
      <c r="AJ1059" s="1064">
        <f t="shared" si="81"/>
        <v>0</v>
      </c>
      <c r="AK1059" s="1064">
        <f t="shared" si="82"/>
        <v>0</v>
      </c>
      <c r="AL1059" s="1064">
        <f t="shared" si="83"/>
        <v>0</v>
      </c>
      <c r="AM1059" s="1064">
        <f t="shared" si="84"/>
        <v>0</v>
      </c>
      <c r="AN1059" s="1064"/>
      <c r="AO1059" s="1064">
        <f>TB_prev[[#This Row],[Closing balance]]+TB_prev[[#This Row],[Rounding]]</f>
        <v>0</v>
      </c>
    </row>
    <row r="1060" spans="30:41" x14ac:dyDescent="0.25">
      <c r="AD1060" s="1067" t="str">
        <f t="shared" si="80"/>
        <v/>
      </c>
      <c r="AE1060" s="1063" t="str">
        <f>IF(ISNA(VLOOKUP(TB_prev[[#This Row],[Synt]],GL[[#Headers],[#Data],[subtotal label]],1,FALSE)),0,(VLOOKUP(TB_prev[[#This Row],[Synt]],GL[[#Headers],[#Data],[subtotal label]],1,FALSE)))</f>
        <v/>
      </c>
      <c r="AF1060" s="1063" t="e">
        <f>IF((TB_prev[[#This Row],[Synt]]-TB_prev[[#This Row],[Subtotal Y/N]])=0,0,VLOOKUP(TB_prev[[#This Row],[Synt]],GL[[Account]:[Line]],3,FALSE))</f>
        <v>#VALUE!</v>
      </c>
      <c r="AG1060" s="1063" t="e">
        <f>VLOOKUP(TB_prev[[#This Row],[Synt]],GL[[Account]:[B/P]],4,FALSE)</f>
        <v>#N/A</v>
      </c>
      <c r="AH1060" s="1066" t="e">
        <v>#VALUE!</v>
      </c>
      <c r="AI1060" s="1065" t="e">
        <f>TB_prev[[#This Row],[Synt]]&amp;TB_prev[[#This Row],[Line No. manual corr.]]</f>
        <v>#VALUE!</v>
      </c>
      <c r="AJ1060" s="1064">
        <f t="shared" si="81"/>
        <v>0</v>
      </c>
      <c r="AK1060" s="1064">
        <f t="shared" si="82"/>
        <v>0</v>
      </c>
      <c r="AL1060" s="1064">
        <f t="shared" si="83"/>
        <v>0</v>
      </c>
      <c r="AM1060" s="1064">
        <f t="shared" si="84"/>
        <v>0</v>
      </c>
      <c r="AN1060" s="1064"/>
      <c r="AO1060" s="1064">
        <f>TB_prev[[#This Row],[Closing balance]]+TB_prev[[#This Row],[Rounding]]</f>
        <v>0</v>
      </c>
    </row>
    <row r="1061" spans="30:41" x14ac:dyDescent="0.25">
      <c r="AD1061" s="1067" t="str">
        <f t="shared" si="80"/>
        <v/>
      </c>
      <c r="AE1061" s="1063" t="str">
        <f>IF(ISNA(VLOOKUP(TB_prev[[#This Row],[Synt]],GL[[#Headers],[#Data],[subtotal label]],1,FALSE)),0,(VLOOKUP(TB_prev[[#This Row],[Synt]],GL[[#Headers],[#Data],[subtotal label]],1,FALSE)))</f>
        <v/>
      </c>
      <c r="AF1061" s="1063" t="e">
        <f>IF((TB_prev[[#This Row],[Synt]]-TB_prev[[#This Row],[Subtotal Y/N]])=0,0,VLOOKUP(TB_prev[[#This Row],[Synt]],GL[[Account]:[Line]],3,FALSE))</f>
        <v>#VALUE!</v>
      </c>
      <c r="AG1061" s="1063" t="e">
        <f>VLOOKUP(TB_prev[[#This Row],[Synt]],GL[[Account]:[B/P]],4,FALSE)</f>
        <v>#N/A</v>
      </c>
      <c r="AH1061" s="1066" t="e">
        <v>#VALUE!</v>
      </c>
      <c r="AI1061" s="1065" t="e">
        <f>TB_prev[[#This Row],[Synt]]&amp;TB_prev[[#This Row],[Line No. manual corr.]]</f>
        <v>#VALUE!</v>
      </c>
      <c r="AJ1061" s="1064">
        <f t="shared" si="81"/>
        <v>0</v>
      </c>
      <c r="AK1061" s="1064">
        <f t="shared" si="82"/>
        <v>0</v>
      </c>
      <c r="AL1061" s="1064">
        <f t="shared" si="83"/>
        <v>0</v>
      </c>
      <c r="AM1061" s="1064">
        <f t="shared" si="84"/>
        <v>0</v>
      </c>
      <c r="AN1061" s="1064"/>
      <c r="AO1061" s="1064">
        <f>TB_prev[[#This Row],[Closing balance]]+TB_prev[[#This Row],[Rounding]]</f>
        <v>0</v>
      </c>
    </row>
    <row r="1062" spans="30:41" x14ac:dyDescent="0.25">
      <c r="AD1062" s="1067" t="str">
        <f t="shared" si="80"/>
        <v/>
      </c>
      <c r="AE1062" s="1063" t="str">
        <f>IF(ISNA(VLOOKUP(TB_prev[[#This Row],[Synt]],GL[[#Headers],[#Data],[subtotal label]],1,FALSE)),0,(VLOOKUP(TB_prev[[#This Row],[Synt]],GL[[#Headers],[#Data],[subtotal label]],1,FALSE)))</f>
        <v/>
      </c>
      <c r="AF1062" s="1063" t="e">
        <f>IF((TB_prev[[#This Row],[Synt]]-TB_prev[[#This Row],[Subtotal Y/N]])=0,0,VLOOKUP(TB_prev[[#This Row],[Synt]],GL[[Account]:[Line]],3,FALSE))</f>
        <v>#VALUE!</v>
      </c>
      <c r="AG1062" s="1063" t="e">
        <f>VLOOKUP(TB_prev[[#This Row],[Synt]],GL[[Account]:[B/P]],4,FALSE)</f>
        <v>#N/A</v>
      </c>
      <c r="AH1062" s="1066" t="e">
        <v>#VALUE!</v>
      </c>
      <c r="AI1062" s="1065" t="e">
        <f>TB_prev[[#This Row],[Synt]]&amp;TB_prev[[#This Row],[Line No. manual corr.]]</f>
        <v>#VALUE!</v>
      </c>
      <c r="AJ1062" s="1064">
        <f t="shared" si="81"/>
        <v>0</v>
      </c>
      <c r="AK1062" s="1064">
        <f t="shared" si="82"/>
        <v>0</v>
      </c>
      <c r="AL1062" s="1064">
        <f t="shared" si="83"/>
        <v>0</v>
      </c>
      <c r="AM1062" s="1064">
        <f t="shared" si="84"/>
        <v>0</v>
      </c>
      <c r="AN1062" s="1064"/>
      <c r="AO1062" s="1064">
        <f>TB_prev[[#This Row],[Closing balance]]+TB_prev[[#This Row],[Rounding]]</f>
        <v>0</v>
      </c>
    </row>
    <row r="1063" spans="30:41" x14ac:dyDescent="0.25">
      <c r="AD1063" s="1067" t="str">
        <f t="shared" si="80"/>
        <v/>
      </c>
      <c r="AE1063" s="1063" t="str">
        <f>IF(ISNA(VLOOKUP(TB_prev[[#This Row],[Synt]],GL[[#Headers],[#Data],[subtotal label]],1,FALSE)),0,(VLOOKUP(TB_prev[[#This Row],[Synt]],GL[[#Headers],[#Data],[subtotal label]],1,FALSE)))</f>
        <v/>
      </c>
      <c r="AF1063" s="1063" t="e">
        <f>IF((TB_prev[[#This Row],[Synt]]-TB_prev[[#This Row],[Subtotal Y/N]])=0,0,VLOOKUP(TB_prev[[#This Row],[Synt]],GL[[Account]:[Line]],3,FALSE))</f>
        <v>#VALUE!</v>
      </c>
      <c r="AG1063" s="1063" t="e">
        <f>VLOOKUP(TB_prev[[#This Row],[Synt]],GL[[Account]:[B/P]],4,FALSE)</f>
        <v>#N/A</v>
      </c>
      <c r="AH1063" s="1066" t="e">
        <v>#VALUE!</v>
      </c>
      <c r="AI1063" s="1065" t="e">
        <f>TB_prev[[#This Row],[Synt]]&amp;TB_prev[[#This Row],[Line No. manual corr.]]</f>
        <v>#VALUE!</v>
      </c>
      <c r="AJ1063" s="1064">
        <f t="shared" si="81"/>
        <v>0</v>
      </c>
      <c r="AK1063" s="1064">
        <f t="shared" si="82"/>
        <v>0</v>
      </c>
      <c r="AL1063" s="1064">
        <f t="shared" si="83"/>
        <v>0</v>
      </c>
      <c r="AM1063" s="1064">
        <f t="shared" si="84"/>
        <v>0</v>
      </c>
      <c r="AN1063" s="1064"/>
      <c r="AO1063" s="1064">
        <f>TB_prev[[#This Row],[Closing balance]]+TB_prev[[#This Row],[Rounding]]</f>
        <v>0</v>
      </c>
    </row>
    <row r="1064" spans="30:41" x14ac:dyDescent="0.25">
      <c r="AD1064" s="1067" t="str">
        <f t="shared" si="80"/>
        <v/>
      </c>
      <c r="AE1064" s="1063" t="str">
        <f>IF(ISNA(VLOOKUP(TB_prev[[#This Row],[Synt]],GL[[#Headers],[#Data],[subtotal label]],1,FALSE)),0,(VLOOKUP(TB_prev[[#This Row],[Synt]],GL[[#Headers],[#Data],[subtotal label]],1,FALSE)))</f>
        <v/>
      </c>
      <c r="AF1064" s="1063" t="e">
        <f>IF((TB_prev[[#This Row],[Synt]]-TB_prev[[#This Row],[Subtotal Y/N]])=0,0,VLOOKUP(TB_prev[[#This Row],[Synt]],GL[[Account]:[Line]],3,FALSE))</f>
        <v>#VALUE!</v>
      </c>
      <c r="AG1064" s="1063" t="e">
        <f>VLOOKUP(TB_prev[[#This Row],[Synt]],GL[[Account]:[B/P]],4,FALSE)</f>
        <v>#N/A</v>
      </c>
      <c r="AH1064" s="1066" t="e">
        <v>#VALUE!</v>
      </c>
      <c r="AI1064" s="1065" t="e">
        <f>TB_prev[[#This Row],[Synt]]&amp;TB_prev[[#This Row],[Line No. manual corr.]]</f>
        <v>#VALUE!</v>
      </c>
      <c r="AJ1064" s="1064">
        <f t="shared" si="81"/>
        <v>0</v>
      </c>
      <c r="AK1064" s="1064">
        <f t="shared" si="82"/>
        <v>0</v>
      </c>
      <c r="AL1064" s="1064">
        <f t="shared" si="83"/>
        <v>0</v>
      </c>
      <c r="AM1064" s="1064">
        <f t="shared" si="84"/>
        <v>0</v>
      </c>
      <c r="AN1064" s="1064"/>
      <c r="AO1064" s="1064">
        <f>TB_prev[[#This Row],[Closing balance]]+TB_prev[[#This Row],[Rounding]]</f>
        <v>0</v>
      </c>
    </row>
    <row r="1065" spans="30:41" x14ac:dyDescent="0.25">
      <c r="AD1065" s="1067" t="str">
        <f t="shared" si="80"/>
        <v/>
      </c>
      <c r="AE1065" s="1063" t="str">
        <f>IF(ISNA(VLOOKUP(TB_prev[[#This Row],[Synt]],GL[[#Headers],[#Data],[subtotal label]],1,FALSE)),0,(VLOOKUP(TB_prev[[#This Row],[Synt]],GL[[#Headers],[#Data],[subtotal label]],1,FALSE)))</f>
        <v/>
      </c>
      <c r="AF1065" s="1063" t="e">
        <f>IF((TB_prev[[#This Row],[Synt]]-TB_prev[[#This Row],[Subtotal Y/N]])=0,0,VLOOKUP(TB_prev[[#This Row],[Synt]],GL[[Account]:[Line]],3,FALSE))</f>
        <v>#VALUE!</v>
      </c>
      <c r="AG1065" s="1063" t="e">
        <f>VLOOKUP(TB_prev[[#This Row],[Synt]],GL[[Account]:[B/P]],4,FALSE)</f>
        <v>#N/A</v>
      </c>
      <c r="AH1065" s="1066" t="e">
        <v>#VALUE!</v>
      </c>
      <c r="AI1065" s="1065" t="e">
        <f>TB_prev[[#This Row],[Synt]]&amp;TB_prev[[#This Row],[Line No. manual corr.]]</f>
        <v>#VALUE!</v>
      </c>
      <c r="AJ1065" s="1064">
        <f t="shared" si="81"/>
        <v>0</v>
      </c>
      <c r="AK1065" s="1064">
        <f t="shared" si="82"/>
        <v>0</v>
      </c>
      <c r="AL1065" s="1064">
        <f t="shared" si="83"/>
        <v>0</v>
      </c>
      <c r="AM1065" s="1064">
        <f t="shared" si="84"/>
        <v>0</v>
      </c>
      <c r="AN1065" s="1064"/>
      <c r="AO1065" s="1064">
        <f>TB_prev[[#This Row],[Closing balance]]+TB_prev[[#This Row],[Rounding]]</f>
        <v>0</v>
      </c>
    </row>
    <row r="1066" spans="30:41" x14ac:dyDescent="0.25">
      <c r="AD1066" s="1067" t="str">
        <f t="shared" si="80"/>
        <v/>
      </c>
      <c r="AE1066" s="1063" t="str">
        <f>IF(ISNA(VLOOKUP(TB_prev[[#This Row],[Synt]],GL[[#Headers],[#Data],[subtotal label]],1,FALSE)),0,(VLOOKUP(TB_prev[[#This Row],[Synt]],GL[[#Headers],[#Data],[subtotal label]],1,FALSE)))</f>
        <v/>
      </c>
      <c r="AF1066" s="1063" t="e">
        <f>IF((TB_prev[[#This Row],[Synt]]-TB_prev[[#This Row],[Subtotal Y/N]])=0,0,VLOOKUP(TB_prev[[#This Row],[Synt]],GL[[Account]:[Line]],3,FALSE))</f>
        <v>#VALUE!</v>
      </c>
      <c r="AG1066" s="1063" t="e">
        <f>VLOOKUP(TB_prev[[#This Row],[Synt]],GL[[Account]:[B/P]],4,FALSE)</f>
        <v>#N/A</v>
      </c>
      <c r="AH1066" s="1066" t="e">
        <v>#VALUE!</v>
      </c>
      <c r="AI1066" s="1065" t="e">
        <f>TB_prev[[#This Row],[Synt]]&amp;TB_prev[[#This Row],[Line No. manual corr.]]</f>
        <v>#VALUE!</v>
      </c>
      <c r="AJ1066" s="1064">
        <f t="shared" si="81"/>
        <v>0</v>
      </c>
      <c r="AK1066" s="1064">
        <f t="shared" si="82"/>
        <v>0</v>
      </c>
      <c r="AL1066" s="1064">
        <f t="shared" si="83"/>
        <v>0</v>
      </c>
      <c r="AM1066" s="1064">
        <f t="shared" si="84"/>
        <v>0</v>
      </c>
      <c r="AN1066" s="1064"/>
      <c r="AO1066" s="1064">
        <f>TB_prev[[#This Row],[Closing balance]]+TB_prev[[#This Row],[Rounding]]</f>
        <v>0</v>
      </c>
    </row>
    <row r="1067" spans="30:41" x14ac:dyDescent="0.25">
      <c r="AD1067" s="1067" t="str">
        <f t="shared" si="80"/>
        <v/>
      </c>
      <c r="AE1067" s="1063" t="str">
        <f>IF(ISNA(VLOOKUP(TB_prev[[#This Row],[Synt]],GL[[#Headers],[#Data],[subtotal label]],1,FALSE)),0,(VLOOKUP(TB_prev[[#This Row],[Synt]],GL[[#Headers],[#Data],[subtotal label]],1,FALSE)))</f>
        <v/>
      </c>
      <c r="AF1067" s="1063" t="e">
        <f>IF((TB_prev[[#This Row],[Synt]]-TB_prev[[#This Row],[Subtotal Y/N]])=0,0,VLOOKUP(TB_prev[[#This Row],[Synt]],GL[[Account]:[Line]],3,FALSE))</f>
        <v>#VALUE!</v>
      </c>
      <c r="AG1067" s="1063" t="e">
        <f>VLOOKUP(TB_prev[[#This Row],[Synt]],GL[[Account]:[B/P]],4,FALSE)</f>
        <v>#N/A</v>
      </c>
      <c r="AH1067" s="1066" t="e">
        <v>#VALUE!</v>
      </c>
      <c r="AI1067" s="1065" t="e">
        <f>TB_prev[[#This Row],[Synt]]&amp;TB_prev[[#This Row],[Line No. manual corr.]]</f>
        <v>#VALUE!</v>
      </c>
      <c r="AJ1067" s="1064">
        <f t="shared" si="81"/>
        <v>0</v>
      </c>
      <c r="AK1067" s="1064">
        <f t="shared" si="82"/>
        <v>0</v>
      </c>
      <c r="AL1067" s="1064">
        <f t="shared" si="83"/>
        <v>0</v>
      </c>
      <c r="AM1067" s="1064">
        <f t="shared" si="84"/>
        <v>0</v>
      </c>
      <c r="AN1067" s="1064"/>
      <c r="AO1067" s="1064">
        <f>TB_prev[[#This Row],[Closing balance]]+TB_prev[[#This Row],[Rounding]]</f>
        <v>0</v>
      </c>
    </row>
    <row r="1068" spans="30:41" x14ac:dyDescent="0.25">
      <c r="AD1068" s="1067" t="str">
        <f t="shared" si="80"/>
        <v/>
      </c>
      <c r="AE1068" s="1063" t="str">
        <f>IF(ISNA(VLOOKUP(TB_prev[[#This Row],[Synt]],GL[[#Headers],[#Data],[subtotal label]],1,FALSE)),0,(VLOOKUP(TB_prev[[#This Row],[Synt]],GL[[#Headers],[#Data],[subtotal label]],1,FALSE)))</f>
        <v/>
      </c>
      <c r="AF1068" s="1063" t="e">
        <f>IF((TB_prev[[#This Row],[Synt]]-TB_prev[[#This Row],[Subtotal Y/N]])=0,0,VLOOKUP(TB_prev[[#This Row],[Synt]],GL[[Account]:[Line]],3,FALSE))</f>
        <v>#VALUE!</v>
      </c>
      <c r="AG1068" s="1063" t="e">
        <f>VLOOKUP(TB_prev[[#This Row],[Synt]],GL[[Account]:[B/P]],4,FALSE)</f>
        <v>#N/A</v>
      </c>
      <c r="AH1068" s="1066" t="e">
        <v>#VALUE!</v>
      </c>
      <c r="AI1068" s="1065" t="e">
        <f>TB_prev[[#This Row],[Synt]]&amp;TB_prev[[#This Row],[Line No. manual corr.]]</f>
        <v>#VALUE!</v>
      </c>
      <c r="AJ1068" s="1064">
        <f t="shared" si="81"/>
        <v>0</v>
      </c>
      <c r="AK1068" s="1064">
        <f t="shared" si="82"/>
        <v>0</v>
      </c>
      <c r="AL1068" s="1064">
        <f t="shared" si="83"/>
        <v>0</v>
      </c>
      <c r="AM1068" s="1064">
        <f t="shared" si="84"/>
        <v>0</v>
      </c>
      <c r="AN1068" s="1064"/>
      <c r="AO1068" s="1064">
        <f>TB_prev[[#This Row],[Closing balance]]+TB_prev[[#This Row],[Rounding]]</f>
        <v>0</v>
      </c>
    </row>
    <row r="1069" spans="30:41" x14ac:dyDescent="0.25">
      <c r="AD1069" s="1067" t="str">
        <f t="shared" si="80"/>
        <v/>
      </c>
      <c r="AE1069" s="1063" t="str">
        <f>IF(ISNA(VLOOKUP(TB_prev[[#This Row],[Synt]],GL[[#Headers],[#Data],[subtotal label]],1,FALSE)),0,(VLOOKUP(TB_prev[[#This Row],[Synt]],GL[[#Headers],[#Data],[subtotal label]],1,FALSE)))</f>
        <v/>
      </c>
      <c r="AF1069" s="1063" t="e">
        <f>IF((TB_prev[[#This Row],[Synt]]-TB_prev[[#This Row],[Subtotal Y/N]])=0,0,VLOOKUP(TB_prev[[#This Row],[Synt]],GL[[Account]:[Line]],3,FALSE))</f>
        <v>#VALUE!</v>
      </c>
      <c r="AG1069" s="1063" t="e">
        <f>VLOOKUP(TB_prev[[#This Row],[Synt]],GL[[Account]:[B/P]],4,FALSE)</f>
        <v>#N/A</v>
      </c>
      <c r="AH1069" s="1066" t="e">
        <v>#VALUE!</v>
      </c>
      <c r="AI1069" s="1065" t="e">
        <f>TB_prev[[#This Row],[Synt]]&amp;TB_prev[[#This Row],[Line No. manual corr.]]</f>
        <v>#VALUE!</v>
      </c>
      <c r="AJ1069" s="1064">
        <f t="shared" si="81"/>
        <v>0</v>
      </c>
      <c r="AK1069" s="1064">
        <f t="shared" si="82"/>
        <v>0</v>
      </c>
      <c r="AL1069" s="1064">
        <f t="shared" si="83"/>
        <v>0</v>
      </c>
      <c r="AM1069" s="1064">
        <f t="shared" si="84"/>
        <v>0</v>
      </c>
      <c r="AN1069" s="1064"/>
      <c r="AO1069" s="1064">
        <f>TB_prev[[#This Row],[Closing balance]]+TB_prev[[#This Row],[Rounding]]</f>
        <v>0</v>
      </c>
    </row>
    <row r="1070" spans="30:41" x14ac:dyDescent="0.25">
      <c r="AD1070" s="1067" t="str">
        <f t="shared" si="80"/>
        <v/>
      </c>
      <c r="AE1070" s="1063" t="str">
        <f>IF(ISNA(VLOOKUP(TB_prev[[#This Row],[Synt]],GL[[#Headers],[#Data],[subtotal label]],1,FALSE)),0,(VLOOKUP(TB_prev[[#This Row],[Synt]],GL[[#Headers],[#Data],[subtotal label]],1,FALSE)))</f>
        <v/>
      </c>
      <c r="AF1070" s="1063" t="e">
        <f>IF((TB_prev[[#This Row],[Synt]]-TB_prev[[#This Row],[Subtotal Y/N]])=0,0,VLOOKUP(TB_prev[[#This Row],[Synt]],GL[[Account]:[Line]],3,FALSE))</f>
        <v>#VALUE!</v>
      </c>
      <c r="AG1070" s="1063" t="e">
        <f>VLOOKUP(TB_prev[[#This Row],[Synt]],GL[[Account]:[B/P]],4,FALSE)</f>
        <v>#N/A</v>
      </c>
      <c r="AH1070" s="1066" t="e">
        <v>#VALUE!</v>
      </c>
      <c r="AI1070" s="1065" t="e">
        <f>TB_prev[[#This Row],[Synt]]&amp;TB_prev[[#This Row],[Line No. manual corr.]]</f>
        <v>#VALUE!</v>
      </c>
      <c r="AJ1070" s="1064">
        <f t="shared" si="81"/>
        <v>0</v>
      </c>
      <c r="AK1070" s="1064">
        <f t="shared" si="82"/>
        <v>0</v>
      </c>
      <c r="AL1070" s="1064">
        <f t="shared" si="83"/>
        <v>0</v>
      </c>
      <c r="AM1070" s="1064">
        <f t="shared" si="84"/>
        <v>0</v>
      </c>
      <c r="AN1070" s="1064"/>
      <c r="AO1070" s="1064">
        <f>TB_prev[[#This Row],[Closing balance]]+TB_prev[[#This Row],[Rounding]]</f>
        <v>0</v>
      </c>
    </row>
    <row r="1071" spans="30:41" x14ac:dyDescent="0.25">
      <c r="AD1071" s="1067" t="str">
        <f t="shared" si="80"/>
        <v/>
      </c>
      <c r="AE1071" s="1063" t="str">
        <f>IF(ISNA(VLOOKUP(TB_prev[[#This Row],[Synt]],GL[[#Headers],[#Data],[subtotal label]],1,FALSE)),0,(VLOOKUP(TB_prev[[#This Row],[Synt]],GL[[#Headers],[#Data],[subtotal label]],1,FALSE)))</f>
        <v/>
      </c>
      <c r="AF1071" s="1063" t="e">
        <f>IF((TB_prev[[#This Row],[Synt]]-TB_prev[[#This Row],[Subtotal Y/N]])=0,0,VLOOKUP(TB_prev[[#This Row],[Synt]],GL[[Account]:[Line]],3,FALSE))</f>
        <v>#VALUE!</v>
      </c>
      <c r="AG1071" s="1063" t="e">
        <f>VLOOKUP(TB_prev[[#This Row],[Synt]],GL[[Account]:[B/P]],4,FALSE)</f>
        <v>#N/A</v>
      </c>
      <c r="AH1071" s="1066" t="e">
        <v>#VALUE!</v>
      </c>
      <c r="AI1071" s="1065" t="e">
        <f>TB_prev[[#This Row],[Synt]]&amp;TB_prev[[#This Row],[Line No. manual corr.]]</f>
        <v>#VALUE!</v>
      </c>
      <c r="AJ1071" s="1064">
        <f t="shared" si="81"/>
        <v>0</v>
      </c>
      <c r="AK1071" s="1064">
        <f t="shared" si="82"/>
        <v>0</v>
      </c>
      <c r="AL1071" s="1064">
        <f t="shared" si="83"/>
        <v>0</v>
      </c>
      <c r="AM1071" s="1064">
        <f t="shared" si="84"/>
        <v>0</v>
      </c>
      <c r="AN1071" s="1064"/>
      <c r="AO1071" s="1064">
        <f>TB_prev[[#This Row],[Closing balance]]+TB_prev[[#This Row],[Rounding]]</f>
        <v>0</v>
      </c>
    </row>
    <row r="1072" spans="30:41" x14ac:dyDescent="0.25">
      <c r="AD1072" s="1067" t="str">
        <f t="shared" si="80"/>
        <v/>
      </c>
      <c r="AE1072" s="1063" t="str">
        <f>IF(ISNA(VLOOKUP(TB_prev[[#This Row],[Synt]],GL[[#Headers],[#Data],[subtotal label]],1,FALSE)),0,(VLOOKUP(TB_prev[[#This Row],[Synt]],GL[[#Headers],[#Data],[subtotal label]],1,FALSE)))</f>
        <v/>
      </c>
      <c r="AF1072" s="1063" t="e">
        <f>IF((TB_prev[[#This Row],[Synt]]-TB_prev[[#This Row],[Subtotal Y/N]])=0,0,VLOOKUP(TB_prev[[#This Row],[Synt]],GL[[Account]:[Line]],3,FALSE))</f>
        <v>#VALUE!</v>
      </c>
      <c r="AG1072" s="1063" t="e">
        <f>VLOOKUP(TB_prev[[#This Row],[Synt]],GL[[Account]:[B/P]],4,FALSE)</f>
        <v>#N/A</v>
      </c>
      <c r="AH1072" s="1066" t="e">
        <v>#VALUE!</v>
      </c>
      <c r="AI1072" s="1065" t="e">
        <f>TB_prev[[#This Row],[Synt]]&amp;TB_prev[[#This Row],[Line No. manual corr.]]</f>
        <v>#VALUE!</v>
      </c>
      <c r="AJ1072" s="1064">
        <f t="shared" si="81"/>
        <v>0</v>
      </c>
      <c r="AK1072" s="1064">
        <f t="shared" si="82"/>
        <v>0</v>
      </c>
      <c r="AL1072" s="1064">
        <f t="shared" si="83"/>
        <v>0</v>
      </c>
      <c r="AM1072" s="1064">
        <f t="shared" si="84"/>
        <v>0</v>
      </c>
      <c r="AN1072" s="1064"/>
      <c r="AO1072" s="1064">
        <f>TB_prev[[#This Row],[Closing balance]]+TB_prev[[#This Row],[Rounding]]</f>
        <v>0</v>
      </c>
    </row>
    <row r="1073" spans="30:41" x14ac:dyDescent="0.25">
      <c r="AD1073" s="1067" t="str">
        <f t="shared" si="80"/>
        <v/>
      </c>
      <c r="AE1073" s="1063" t="str">
        <f>IF(ISNA(VLOOKUP(TB_prev[[#This Row],[Synt]],GL[[#Headers],[#Data],[subtotal label]],1,FALSE)),0,(VLOOKUP(TB_prev[[#This Row],[Synt]],GL[[#Headers],[#Data],[subtotal label]],1,FALSE)))</f>
        <v/>
      </c>
      <c r="AF1073" s="1063" t="e">
        <f>IF((TB_prev[[#This Row],[Synt]]-TB_prev[[#This Row],[Subtotal Y/N]])=0,0,VLOOKUP(TB_prev[[#This Row],[Synt]],GL[[Account]:[Line]],3,FALSE))</f>
        <v>#VALUE!</v>
      </c>
      <c r="AG1073" s="1063" t="e">
        <f>VLOOKUP(TB_prev[[#This Row],[Synt]],GL[[Account]:[B/P]],4,FALSE)</f>
        <v>#N/A</v>
      </c>
      <c r="AH1073" s="1066" t="e">
        <v>#VALUE!</v>
      </c>
      <c r="AI1073" s="1065" t="e">
        <f>TB_prev[[#This Row],[Synt]]&amp;TB_prev[[#This Row],[Line No. manual corr.]]</f>
        <v>#VALUE!</v>
      </c>
      <c r="AJ1073" s="1064">
        <f t="shared" si="81"/>
        <v>0</v>
      </c>
      <c r="AK1073" s="1064">
        <f t="shared" si="82"/>
        <v>0</v>
      </c>
      <c r="AL1073" s="1064">
        <f t="shared" si="83"/>
        <v>0</v>
      </c>
      <c r="AM1073" s="1064">
        <f t="shared" si="84"/>
        <v>0</v>
      </c>
      <c r="AN1073" s="1064"/>
      <c r="AO1073" s="1064">
        <f>TB_prev[[#This Row],[Closing balance]]+TB_prev[[#This Row],[Rounding]]</f>
        <v>0</v>
      </c>
    </row>
    <row r="1074" spans="30:41" x14ac:dyDescent="0.25">
      <c r="AD1074" s="1067" t="str">
        <f t="shared" si="80"/>
        <v/>
      </c>
      <c r="AE1074" s="1063" t="str">
        <f>IF(ISNA(VLOOKUP(TB_prev[[#This Row],[Synt]],GL[[#Headers],[#Data],[subtotal label]],1,FALSE)),0,(VLOOKUP(TB_prev[[#This Row],[Synt]],GL[[#Headers],[#Data],[subtotal label]],1,FALSE)))</f>
        <v/>
      </c>
      <c r="AF1074" s="1063" t="e">
        <f>IF((TB_prev[[#This Row],[Synt]]-TB_prev[[#This Row],[Subtotal Y/N]])=0,0,VLOOKUP(TB_prev[[#This Row],[Synt]],GL[[Account]:[Line]],3,FALSE))</f>
        <v>#VALUE!</v>
      </c>
      <c r="AG1074" s="1063" t="e">
        <f>VLOOKUP(TB_prev[[#This Row],[Synt]],GL[[Account]:[B/P]],4,FALSE)</f>
        <v>#N/A</v>
      </c>
      <c r="AH1074" s="1066" t="e">
        <v>#VALUE!</v>
      </c>
      <c r="AI1074" s="1065" t="e">
        <f>TB_prev[[#This Row],[Synt]]&amp;TB_prev[[#This Row],[Line No. manual corr.]]</f>
        <v>#VALUE!</v>
      </c>
      <c r="AJ1074" s="1064">
        <f t="shared" si="81"/>
        <v>0</v>
      </c>
      <c r="AK1074" s="1064">
        <f t="shared" si="82"/>
        <v>0</v>
      </c>
      <c r="AL1074" s="1064">
        <f t="shared" si="83"/>
        <v>0</v>
      </c>
      <c r="AM1074" s="1064">
        <f t="shared" si="84"/>
        <v>0</v>
      </c>
      <c r="AN1074" s="1064"/>
      <c r="AO1074" s="1064">
        <f>TB_prev[[#This Row],[Closing balance]]+TB_prev[[#This Row],[Rounding]]</f>
        <v>0</v>
      </c>
    </row>
    <row r="1075" spans="30:41" x14ac:dyDescent="0.25">
      <c r="AD1075" s="1067" t="str">
        <f t="shared" si="80"/>
        <v/>
      </c>
      <c r="AE1075" s="1063" t="str">
        <f>IF(ISNA(VLOOKUP(TB_prev[[#This Row],[Synt]],GL[[#Headers],[#Data],[subtotal label]],1,FALSE)),0,(VLOOKUP(TB_prev[[#This Row],[Synt]],GL[[#Headers],[#Data],[subtotal label]],1,FALSE)))</f>
        <v/>
      </c>
      <c r="AF1075" s="1063" t="e">
        <f>IF((TB_prev[[#This Row],[Synt]]-TB_prev[[#This Row],[Subtotal Y/N]])=0,0,VLOOKUP(TB_prev[[#This Row],[Synt]],GL[[Account]:[Line]],3,FALSE))</f>
        <v>#VALUE!</v>
      </c>
      <c r="AG1075" s="1063" t="e">
        <f>VLOOKUP(TB_prev[[#This Row],[Synt]],GL[[Account]:[B/P]],4,FALSE)</f>
        <v>#N/A</v>
      </c>
      <c r="AH1075" s="1066" t="e">
        <v>#VALUE!</v>
      </c>
      <c r="AI1075" s="1065" t="e">
        <f>TB_prev[[#This Row],[Synt]]&amp;TB_prev[[#This Row],[Line No. manual corr.]]</f>
        <v>#VALUE!</v>
      </c>
      <c r="AJ1075" s="1064">
        <f t="shared" si="81"/>
        <v>0</v>
      </c>
      <c r="AK1075" s="1064">
        <f t="shared" si="82"/>
        <v>0</v>
      </c>
      <c r="AL1075" s="1064">
        <f t="shared" si="83"/>
        <v>0</v>
      </c>
      <c r="AM1075" s="1064">
        <f t="shared" si="84"/>
        <v>0</v>
      </c>
      <c r="AN1075" s="1064"/>
      <c r="AO1075" s="1064">
        <f>TB_prev[[#This Row],[Closing balance]]+TB_prev[[#This Row],[Rounding]]</f>
        <v>0</v>
      </c>
    </row>
    <row r="1076" spans="30:41" x14ac:dyDescent="0.25">
      <c r="AD1076" s="1067" t="str">
        <f t="shared" si="80"/>
        <v/>
      </c>
      <c r="AE1076" s="1063" t="str">
        <f>IF(ISNA(VLOOKUP(TB_prev[[#This Row],[Synt]],GL[[#Headers],[#Data],[subtotal label]],1,FALSE)),0,(VLOOKUP(TB_prev[[#This Row],[Synt]],GL[[#Headers],[#Data],[subtotal label]],1,FALSE)))</f>
        <v/>
      </c>
      <c r="AF1076" s="1063" t="e">
        <f>IF((TB_prev[[#This Row],[Synt]]-TB_prev[[#This Row],[Subtotal Y/N]])=0,0,VLOOKUP(TB_prev[[#This Row],[Synt]],GL[[Account]:[Line]],3,FALSE))</f>
        <v>#VALUE!</v>
      </c>
      <c r="AG1076" s="1063" t="e">
        <f>VLOOKUP(TB_prev[[#This Row],[Synt]],GL[[Account]:[B/P]],4,FALSE)</f>
        <v>#N/A</v>
      </c>
      <c r="AH1076" s="1066" t="e">
        <v>#VALUE!</v>
      </c>
      <c r="AI1076" s="1065" t="e">
        <f>TB_prev[[#This Row],[Synt]]&amp;TB_prev[[#This Row],[Line No. manual corr.]]</f>
        <v>#VALUE!</v>
      </c>
      <c r="AJ1076" s="1064">
        <f t="shared" si="81"/>
        <v>0</v>
      </c>
      <c r="AK1076" s="1064">
        <f t="shared" si="82"/>
        <v>0</v>
      </c>
      <c r="AL1076" s="1064">
        <f t="shared" si="83"/>
        <v>0</v>
      </c>
      <c r="AM1076" s="1064">
        <f t="shared" si="84"/>
        <v>0</v>
      </c>
      <c r="AN1076" s="1064"/>
      <c r="AO1076" s="1064">
        <f>TB_prev[[#This Row],[Closing balance]]+TB_prev[[#This Row],[Rounding]]</f>
        <v>0</v>
      </c>
    </row>
    <row r="1077" spans="30:41" x14ac:dyDescent="0.25">
      <c r="AD1077" s="1067" t="str">
        <f t="shared" si="80"/>
        <v/>
      </c>
      <c r="AE1077" s="1063" t="str">
        <f>IF(ISNA(VLOOKUP(TB_prev[[#This Row],[Synt]],GL[[#Headers],[#Data],[subtotal label]],1,FALSE)),0,(VLOOKUP(TB_prev[[#This Row],[Synt]],GL[[#Headers],[#Data],[subtotal label]],1,FALSE)))</f>
        <v/>
      </c>
      <c r="AF1077" s="1063" t="e">
        <f>IF((TB_prev[[#This Row],[Synt]]-TB_prev[[#This Row],[Subtotal Y/N]])=0,0,VLOOKUP(TB_prev[[#This Row],[Synt]],GL[[Account]:[Line]],3,FALSE))</f>
        <v>#VALUE!</v>
      </c>
      <c r="AG1077" s="1063" t="e">
        <f>VLOOKUP(TB_prev[[#This Row],[Synt]],GL[[Account]:[B/P]],4,FALSE)</f>
        <v>#N/A</v>
      </c>
      <c r="AH1077" s="1066" t="e">
        <v>#VALUE!</v>
      </c>
      <c r="AI1077" s="1065" t="e">
        <f>TB_prev[[#This Row],[Synt]]&amp;TB_prev[[#This Row],[Line No. manual corr.]]</f>
        <v>#VALUE!</v>
      </c>
      <c r="AJ1077" s="1064">
        <f t="shared" si="81"/>
        <v>0</v>
      </c>
      <c r="AK1077" s="1064">
        <f t="shared" si="82"/>
        <v>0</v>
      </c>
      <c r="AL1077" s="1064">
        <f t="shared" si="83"/>
        <v>0</v>
      </c>
      <c r="AM1077" s="1064">
        <f t="shared" si="84"/>
        <v>0</v>
      </c>
      <c r="AN1077" s="1064"/>
      <c r="AO1077" s="1064">
        <f>TB_prev[[#This Row],[Closing balance]]+TB_prev[[#This Row],[Rounding]]</f>
        <v>0</v>
      </c>
    </row>
    <row r="1078" spans="30:41" x14ac:dyDescent="0.25">
      <c r="AD1078" s="1067" t="str">
        <f t="shared" si="80"/>
        <v/>
      </c>
      <c r="AE1078" s="1063" t="str">
        <f>IF(ISNA(VLOOKUP(TB_prev[[#This Row],[Synt]],GL[[#Headers],[#Data],[subtotal label]],1,FALSE)),0,(VLOOKUP(TB_prev[[#This Row],[Synt]],GL[[#Headers],[#Data],[subtotal label]],1,FALSE)))</f>
        <v/>
      </c>
      <c r="AF1078" s="1063" t="e">
        <f>IF((TB_prev[[#This Row],[Synt]]-TB_prev[[#This Row],[Subtotal Y/N]])=0,0,VLOOKUP(TB_prev[[#This Row],[Synt]],GL[[Account]:[Line]],3,FALSE))</f>
        <v>#VALUE!</v>
      </c>
      <c r="AG1078" s="1063" t="e">
        <f>VLOOKUP(TB_prev[[#This Row],[Synt]],GL[[Account]:[B/P]],4,FALSE)</f>
        <v>#N/A</v>
      </c>
      <c r="AH1078" s="1066" t="e">
        <v>#VALUE!</v>
      </c>
      <c r="AI1078" s="1065" t="e">
        <f>TB_prev[[#This Row],[Synt]]&amp;TB_prev[[#This Row],[Line No. manual corr.]]</f>
        <v>#VALUE!</v>
      </c>
      <c r="AJ1078" s="1064">
        <f t="shared" si="81"/>
        <v>0</v>
      </c>
      <c r="AK1078" s="1064">
        <f t="shared" si="82"/>
        <v>0</v>
      </c>
      <c r="AL1078" s="1064">
        <f t="shared" si="83"/>
        <v>0</v>
      </c>
      <c r="AM1078" s="1064">
        <f t="shared" si="84"/>
        <v>0</v>
      </c>
      <c r="AN1078" s="1064"/>
      <c r="AO1078" s="1064">
        <f>TB_prev[[#This Row],[Closing balance]]+TB_prev[[#This Row],[Rounding]]</f>
        <v>0</v>
      </c>
    </row>
    <row r="1079" spans="30:41" x14ac:dyDescent="0.25">
      <c r="AD1079" s="1067" t="str">
        <f t="shared" si="80"/>
        <v/>
      </c>
      <c r="AE1079" s="1063" t="str">
        <f>IF(ISNA(VLOOKUP(TB_prev[[#This Row],[Synt]],GL[[#Headers],[#Data],[subtotal label]],1,FALSE)),0,(VLOOKUP(TB_prev[[#This Row],[Synt]],GL[[#Headers],[#Data],[subtotal label]],1,FALSE)))</f>
        <v/>
      </c>
      <c r="AF1079" s="1063" t="e">
        <f>IF((TB_prev[[#This Row],[Synt]]-TB_prev[[#This Row],[Subtotal Y/N]])=0,0,VLOOKUP(TB_prev[[#This Row],[Synt]],GL[[Account]:[Line]],3,FALSE))</f>
        <v>#VALUE!</v>
      </c>
      <c r="AG1079" s="1063" t="e">
        <f>VLOOKUP(TB_prev[[#This Row],[Synt]],GL[[Account]:[B/P]],4,FALSE)</f>
        <v>#N/A</v>
      </c>
      <c r="AH1079" s="1066" t="e">
        <v>#VALUE!</v>
      </c>
      <c r="AI1079" s="1065" t="e">
        <f>TB_prev[[#This Row],[Synt]]&amp;TB_prev[[#This Row],[Line No. manual corr.]]</f>
        <v>#VALUE!</v>
      </c>
      <c r="AJ1079" s="1064">
        <f t="shared" si="81"/>
        <v>0</v>
      </c>
      <c r="AK1079" s="1064">
        <f t="shared" si="82"/>
        <v>0</v>
      </c>
      <c r="AL1079" s="1064">
        <f t="shared" si="83"/>
        <v>0</v>
      </c>
      <c r="AM1079" s="1064">
        <f t="shared" si="84"/>
        <v>0</v>
      </c>
      <c r="AN1079" s="1064"/>
      <c r="AO1079" s="1064">
        <f>TB_prev[[#This Row],[Closing balance]]+TB_prev[[#This Row],[Rounding]]</f>
        <v>0</v>
      </c>
    </row>
    <row r="1080" spans="30:41" x14ac:dyDescent="0.25">
      <c r="AD1080" s="1067" t="str">
        <f t="shared" si="80"/>
        <v/>
      </c>
      <c r="AE1080" s="1063" t="str">
        <f>IF(ISNA(VLOOKUP(TB_prev[[#This Row],[Synt]],GL[[#Headers],[#Data],[subtotal label]],1,FALSE)),0,(VLOOKUP(TB_prev[[#This Row],[Synt]],GL[[#Headers],[#Data],[subtotal label]],1,FALSE)))</f>
        <v/>
      </c>
      <c r="AF1080" s="1063" t="e">
        <f>IF((TB_prev[[#This Row],[Synt]]-TB_prev[[#This Row],[Subtotal Y/N]])=0,0,VLOOKUP(TB_prev[[#This Row],[Synt]],GL[[Account]:[Line]],3,FALSE))</f>
        <v>#VALUE!</v>
      </c>
      <c r="AG1080" s="1063" t="e">
        <f>VLOOKUP(TB_prev[[#This Row],[Synt]],GL[[Account]:[B/P]],4,FALSE)</f>
        <v>#N/A</v>
      </c>
      <c r="AH1080" s="1066" t="e">
        <v>#VALUE!</v>
      </c>
      <c r="AI1080" s="1065" t="e">
        <f>TB_prev[[#This Row],[Synt]]&amp;TB_prev[[#This Row],[Line No. manual corr.]]</f>
        <v>#VALUE!</v>
      </c>
      <c r="AJ1080" s="1064">
        <f t="shared" si="81"/>
        <v>0</v>
      </c>
      <c r="AK1080" s="1064">
        <f t="shared" si="82"/>
        <v>0</v>
      </c>
      <c r="AL1080" s="1064">
        <f t="shared" si="83"/>
        <v>0</v>
      </c>
      <c r="AM1080" s="1064">
        <f t="shared" si="84"/>
        <v>0</v>
      </c>
      <c r="AN1080" s="1064"/>
      <c r="AO1080" s="1064">
        <f>TB_prev[[#This Row],[Closing balance]]+TB_prev[[#This Row],[Rounding]]</f>
        <v>0</v>
      </c>
    </row>
    <row r="1081" spans="30:41" x14ac:dyDescent="0.25">
      <c r="AD1081" s="1067" t="str">
        <f t="shared" si="80"/>
        <v/>
      </c>
      <c r="AE1081" s="1063" t="str">
        <f>IF(ISNA(VLOOKUP(TB_prev[[#This Row],[Synt]],GL[[#Headers],[#Data],[subtotal label]],1,FALSE)),0,(VLOOKUP(TB_prev[[#This Row],[Synt]],GL[[#Headers],[#Data],[subtotal label]],1,FALSE)))</f>
        <v/>
      </c>
      <c r="AF1081" s="1063" t="e">
        <f>IF((TB_prev[[#This Row],[Synt]]-TB_prev[[#This Row],[Subtotal Y/N]])=0,0,VLOOKUP(TB_prev[[#This Row],[Synt]],GL[[Account]:[Line]],3,FALSE))</f>
        <v>#VALUE!</v>
      </c>
      <c r="AG1081" s="1063" t="e">
        <f>VLOOKUP(TB_prev[[#This Row],[Synt]],GL[[Account]:[B/P]],4,FALSE)</f>
        <v>#N/A</v>
      </c>
      <c r="AH1081" s="1066" t="e">
        <v>#VALUE!</v>
      </c>
      <c r="AI1081" s="1065" t="e">
        <f>TB_prev[[#This Row],[Synt]]&amp;TB_prev[[#This Row],[Line No. manual corr.]]</f>
        <v>#VALUE!</v>
      </c>
      <c r="AJ1081" s="1064">
        <f t="shared" si="81"/>
        <v>0</v>
      </c>
      <c r="AK1081" s="1064">
        <f t="shared" si="82"/>
        <v>0</v>
      </c>
      <c r="AL1081" s="1064">
        <f t="shared" si="83"/>
        <v>0</v>
      </c>
      <c r="AM1081" s="1064">
        <f t="shared" si="84"/>
        <v>0</v>
      </c>
      <c r="AN1081" s="1064"/>
      <c r="AO1081" s="1064">
        <f>TB_prev[[#This Row],[Closing balance]]+TB_prev[[#This Row],[Rounding]]</f>
        <v>0</v>
      </c>
    </row>
    <row r="1082" spans="30:41" x14ac:dyDescent="0.25">
      <c r="AD1082" s="1067" t="str">
        <f t="shared" si="80"/>
        <v/>
      </c>
      <c r="AE1082" s="1063" t="str">
        <f>IF(ISNA(VLOOKUP(TB_prev[[#This Row],[Synt]],GL[[#Headers],[#Data],[subtotal label]],1,FALSE)),0,(VLOOKUP(TB_prev[[#This Row],[Synt]],GL[[#Headers],[#Data],[subtotal label]],1,FALSE)))</f>
        <v/>
      </c>
      <c r="AF1082" s="1063" t="e">
        <f>IF((TB_prev[[#This Row],[Synt]]-TB_prev[[#This Row],[Subtotal Y/N]])=0,0,VLOOKUP(TB_prev[[#This Row],[Synt]],GL[[Account]:[Line]],3,FALSE))</f>
        <v>#VALUE!</v>
      </c>
      <c r="AG1082" s="1063" t="e">
        <f>VLOOKUP(TB_prev[[#This Row],[Synt]],GL[[Account]:[B/P]],4,FALSE)</f>
        <v>#N/A</v>
      </c>
      <c r="AH1082" s="1066" t="e">
        <v>#VALUE!</v>
      </c>
      <c r="AI1082" s="1065" t="e">
        <f>TB_prev[[#This Row],[Synt]]&amp;TB_prev[[#This Row],[Line No. manual corr.]]</f>
        <v>#VALUE!</v>
      </c>
      <c r="AJ1082" s="1064">
        <f t="shared" si="81"/>
        <v>0</v>
      </c>
      <c r="AK1082" s="1064">
        <f t="shared" si="82"/>
        <v>0</v>
      </c>
      <c r="AL1082" s="1064">
        <f t="shared" si="83"/>
        <v>0</v>
      </c>
      <c r="AM1082" s="1064">
        <f t="shared" si="84"/>
        <v>0</v>
      </c>
      <c r="AN1082" s="1064"/>
      <c r="AO1082" s="1064">
        <f>TB_prev[[#This Row],[Closing balance]]+TB_prev[[#This Row],[Rounding]]</f>
        <v>0</v>
      </c>
    </row>
    <row r="1083" spans="30:41" x14ac:dyDescent="0.25">
      <c r="AD1083" s="1067" t="str">
        <f t="shared" si="80"/>
        <v/>
      </c>
      <c r="AE1083" s="1063" t="str">
        <f>IF(ISNA(VLOOKUP(TB_prev[[#This Row],[Synt]],GL[[#Headers],[#Data],[subtotal label]],1,FALSE)),0,(VLOOKUP(TB_prev[[#This Row],[Synt]],GL[[#Headers],[#Data],[subtotal label]],1,FALSE)))</f>
        <v/>
      </c>
      <c r="AF1083" s="1063" t="e">
        <f>IF((TB_prev[[#This Row],[Synt]]-TB_prev[[#This Row],[Subtotal Y/N]])=0,0,VLOOKUP(TB_prev[[#This Row],[Synt]],GL[[Account]:[Line]],3,FALSE))</f>
        <v>#VALUE!</v>
      </c>
      <c r="AG1083" s="1063" t="e">
        <f>VLOOKUP(TB_prev[[#This Row],[Synt]],GL[[Account]:[B/P]],4,FALSE)</f>
        <v>#N/A</v>
      </c>
      <c r="AH1083" s="1066" t="e">
        <v>#VALUE!</v>
      </c>
      <c r="AI1083" s="1065" t="e">
        <f>TB_prev[[#This Row],[Synt]]&amp;TB_prev[[#This Row],[Line No. manual corr.]]</f>
        <v>#VALUE!</v>
      </c>
      <c r="AJ1083" s="1064">
        <f t="shared" si="81"/>
        <v>0</v>
      </c>
      <c r="AK1083" s="1064">
        <f t="shared" si="82"/>
        <v>0</v>
      </c>
      <c r="AL1083" s="1064">
        <f t="shared" si="83"/>
        <v>0</v>
      </c>
      <c r="AM1083" s="1064">
        <f t="shared" si="84"/>
        <v>0</v>
      </c>
      <c r="AN1083" s="1064"/>
      <c r="AO1083" s="1064">
        <f>TB_prev[[#This Row],[Closing balance]]+TB_prev[[#This Row],[Rounding]]</f>
        <v>0</v>
      </c>
    </row>
    <row r="1084" spans="30:41" x14ac:dyDescent="0.25">
      <c r="AD1084" s="1067" t="str">
        <f t="shared" si="80"/>
        <v/>
      </c>
      <c r="AE1084" s="1063" t="str">
        <f>IF(ISNA(VLOOKUP(TB_prev[[#This Row],[Synt]],GL[[#Headers],[#Data],[subtotal label]],1,FALSE)),0,(VLOOKUP(TB_prev[[#This Row],[Synt]],GL[[#Headers],[#Data],[subtotal label]],1,FALSE)))</f>
        <v/>
      </c>
      <c r="AF1084" s="1063" t="e">
        <f>IF((TB_prev[[#This Row],[Synt]]-TB_prev[[#This Row],[Subtotal Y/N]])=0,0,VLOOKUP(TB_prev[[#This Row],[Synt]],GL[[Account]:[Line]],3,FALSE))</f>
        <v>#VALUE!</v>
      </c>
      <c r="AG1084" s="1063" t="e">
        <f>VLOOKUP(TB_prev[[#This Row],[Synt]],GL[[Account]:[B/P]],4,FALSE)</f>
        <v>#N/A</v>
      </c>
      <c r="AH1084" s="1066" t="e">
        <v>#VALUE!</v>
      </c>
      <c r="AI1084" s="1065" t="e">
        <f>TB_prev[[#This Row],[Synt]]&amp;TB_prev[[#This Row],[Line No. manual corr.]]</f>
        <v>#VALUE!</v>
      </c>
      <c r="AJ1084" s="1064">
        <f t="shared" si="81"/>
        <v>0</v>
      </c>
      <c r="AK1084" s="1064">
        <f t="shared" si="82"/>
        <v>0</v>
      </c>
      <c r="AL1084" s="1064">
        <f t="shared" si="83"/>
        <v>0</v>
      </c>
      <c r="AM1084" s="1064">
        <f t="shared" si="84"/>
        <v>0</v>
      </c>
      <c r="AN1084" s="1064"/>
      <c r="AO1084" s="1064">
        <f>TB_prev[[#This Row],[Closing balance]]+TB_prev[[#This Row],[Rounding]]</f>
        <v>0</v>
      </c>
    </row>
    <row r="1085" spans="30:41" x14ac:dyDescent="0.25">
      <c r="AD1085" s="1067" t="str">
        <f t="shared" si="80"/>
        <v/>
      </c>
      <c r="AE1085" s="1063" t="str">
        <f>IF(ISNA(VLOOKUP(TB_prev[[#This Row],[Synt]],GL[[#Headers],[#Data],[subtotal label]],1,FALSE)),0,(VLOOKUP(TB_prev[[#This Row],[Synt]],GL[[#Headers],[#Data],[subtotal label]],1,FALSE)))</f>
        <v/>
      </c>
      <c r="AF1085" s="1063" t="e">
        <f>IF((TB_prev[[#This Row],[Synt]]-TB_prev[[#This Row],[Subtotal Y/N]])=0,0,VLOOKUP(TB_prev[[#This Row],[Synt]],GL[[Account]:[Line]],3,FALSE))</f>
        <v>#VALUE!</v>
      </c>
      <c r="AG1085" s="1063" t="e">
        <f>VLOOKUP(TB_prev[[#This Row],[Synt]],GL[[Account]:[B/P]],4,FALSE)</f>
        <v>#N/A</v>
      </c>
      <c r="AH1085" s="1066" t="e">
        <v>#VALUE!</v>
      </c>
      <c r="AI1085" s="1065" t="e">
        <f>TB_prev[[#This Row],[Synt]]&amp;TB_prev[[#This Row],[Line No. manual corr.]]</f>
        <v>#VALUE!</v>
      </c>
      <c r="AJ1085" s="1064">
        <f t="shared" si="81"/>
        <v>0</v>
      </c>
      <c r="AK1085" s="1064">
        <f t="shared" si="82"/>
        <v>0</v>
      </c>
      <c r="AL1085" s="1064">
        <f t="shared" si="83"/>
        <v>0</v>
      </c>
      <c r="AM1085" s="1064">
        <f t="shared" si="84"/>
        <v>0</v>
      </c>
      <c r="AN1085" s="1064"/>
      <c r="AO1085" s="1064">
        <f>TB_prev[[#This Row],[Closing balance]]+TB_prev[[#This Row],[Rounding]]</f>
        <v>0</v>
      </c>
    </row>
    <row r="1086" spans="30:41" x14ac:dyDescent="0.25">
      <c r="AD1086" s="1067" t="str">
        <f t="shared" si="80"/>
        <v/>
      </c>
      <c r="AE1086" s="1063" t="str">
        <f>IF(ISNA(VLOOKUP(TB_prev[[#This Row],[Synt]],GL[[#Headers],[#Data],[subtotal label]],1,FALSE)),0,(VLOOKUP(TB_prev[[#This Row],[Synt]],GL[[#Headers],[#Data],[subtotal label]],1,FALSE)))</f>
        <v/>
      </c>
      <c r="AF1086" s="1063" t="e">
        <f>IF((TB_prev[[#This Row],[Synt]]-TB_prev[[#This Row],[Subtotal Y/N]])=0,0,VLOOKUP(TB_prev[[#This Row],[Synt]],GL[[Account]:[Line]],3,FALSE))</f>
        <v>#VALUE!</v>
      </c>
      <c r="AG1086" s="1063" t="e">
        <f>VLOOKUP(TB_prev[[#This Row],[Synt]],GL[[Account]:[B/P]],4,FALSE)</f>
        <v>#N/A</v>
      </c>
      <c r="AH1086" s="1066" t="e">
        <v>#VALUE!</v>
      </c>
      <c r="AI1086" s="1065" t="e">
        <f>TB_prev[[#This Row],[Synt]]&amp;TB_prev[[#This Row],[Line No. manual corr.]]</f>
        <v>#VALUE!</v>
      </c>
      <c r="AJ1086" s="1064">
        <f t="shared" si="81"/>
        <v>0</v>
      </c>
      <c r="AK1086" s="1064">
        <f t="shared" si="82"/>
        <v>0</v>
      </c>
      <c r="AL1086" s="1064">
        <f t="shared" si="83"/>
        <v>0</v>
      </c>
      <c r="AM1086" s="1064">
        <f t="shared" si="84"/>
        <v>0</v>
      </c>
      <c r="AN1086" s="1064"/>
      <c r="AO1086" s="1064">
        <f>TB_prev[[#This Row],[Closing balance]]+TB_prev[[#This Row],[Rounding]]</f>
        <v>0</v>
      </c>
    </row>
    <row r="1087" spans="30:41" x14ac:dyDescent="0.25">
      <c r="AD1087" s="1067" t="str">
        <f t="shared" si="80"/>
        <v/>
      </c>
      <c r="AE1087" s="1063" t="str">
        <f>IF(ISNA(VLOOKUP(TB_prev[[#This Row],[Synt]],GL[[#Headers],[#Data],[subtotal label]],1,FALSE)),0,(VLOOKUP(TB_prev[[#This Row],[Synt]],GL[[#Headers],[#Data],[subtotal label]],1,FALSE)))</f>
        <v/>
      </c>
      <c r="AF1087" s="1063" t="e">
        <f>IF((TB_prev[[#This Row],[Synt]]-TB_prev[[#This Row],[Subtotal Y/N]])=0,0,VLOOKUP(TB_prev[[#This Row],[Synt]],GL[[Account]:[Line]],3,FALSE))</f>
        <v>#VALUE!</v>
      </c>
      <c r="AG1087" s="1063" t="e">
        <f>VLOOKUP(TB_prev[[#This Row],[Synt]],GL[[Account]:[B/P]],4,FALSE)</f>
        <v>#N/A</v>
      </c>
      <c r="AH1087" s="1066" t="e">
        <v>#VALUE!</v>
      </c>
      <c r="AI1087" s="1065" t="e">
        <f>TB_prev[[#This Row],[Synt]]&amp;TB_prev[[#This Row],[Line No. manual corr.]]</f>
        <v>#VALUE!</v>
      </c>
      <c r="AJ1087" s="1064">
        <f t="shared" si="81"/>
        <v>0</v>
      </c>
      <c r="AK1087" s="1064">
        <f t="shared" si="82"/>
        <v>0</v>
      </c>
      <c r="AL1087" s="1064">
        <f t="shared" si="83"/>
        <v>0</v>
      </c>
      <c r="AM1087" s="1064">
        <f t="shared" si="84"/>
        <v>0</v>
      </c>
      <c r="AN1087" s="1064"/>
      <c r="AO1087" s="1064">
        <f>TB_prev[[#This Row],[Closing balance]]+TB_prev[[#This Row],[Rounding]]</f>
        <v>0</v>
      </c>
    </row>
    <row r="1088" spans="30:41" x14ac:dyDescent="0.25">
      <c r="AD1088" s="1067" t="str">
        <f t="shared" si="80"/>
        <v/>
      </c>
      <c r="AE1088" s="1063" t="str">
        <f>IF(ISNA(VLOOKUP(TB_prev[[#This Row],[Synt]],GL[[#Headers],[#Data],[subtotal label]],1,FALSE)),0,(VLOOKUP(TB_prev[[#This Row],[Synt]],GL[[#Headers],[#Data],[subtotal label]],1,FALSE)))</f>
        <v/>
      </c>
      <c r="AF1088" s="1063" t="e">
        <f>IF((TB_prev[[#This Row],[Synt]]-TB_prev[[#This Row],[Subtotal Y/N]])=0,0,VLOOKUP(TB_prev[[#This Row],[Synt]],GL[[Account]:[Line]],3,FALSE))</f>
        <v>#VALUE!</v>
      </c>
      <c r="AG1088" s="1063" t="e">
        <f>VLOOKUP(TB_prev[[#This Row],[Synt]],GL[[Account]:[B/P]],4,FALSE)</f>
        <v>#N/A</v>
      </c>
      <c r="AH1088" s="1066" t="e">
        <v>#VALUE!</v>
      </c>
      <c r="AI1088" s="1065" t="e">
        <f>TB_prev[[#This Row],[Synt]]&amp;TB_prev[[#This Row],[Line No. manual corr.]]</f>
        <v>#VALUE!</v>
      </c>
      <c r="AJ1088" s="1064">
        <f t="shared" si="81"/>
        <v>0</v>
      </c>
      <c r="AK1088" s="1064">
        <f t="shared" si="82"/>
        <v>0</v>
      </c>
      <c r="AL1088" s="1064">
        <f t="shared" si="83"/>
        <v>0</v>
      </c>
      <c r="AM1088" s="1064">
        <f t="shared" si="84"/>
        <v>0</v>
      </c>
      <c r="AN1088" s="1064"/>
      <c r="AO1088" s="1064">
        <f>TB_prev[[#This Row],[Closing balance]]+TB_prev[[#This Row],[Rounding]]</f>
        <v>0</v>
      </c>
    </row>
    <row r="1089" spans="30:41" x14ac:dyDescent="0.25">
      <c r="AD1089" s="1067" t="str">
        <f t="shared" si="80"/>
        <v/>
      </c>
      <c r="AE1089" s="1063" t="str">
        <f>IF(ISNA(VLOOKUP(TB_prev[[#This Row],[Synt]],GL[[#Headers],[#Data],[subtotal label]],1,FALSE)),0,(VLOOKUP(TB_prev[[#This Row],[Synt]],GL[[#Headers],[#Data],[subtotal label]],1,FALSE)))</f>
        <v/>
      </c>
      <c r="AF1089" s="1063" t="e">
        <f>IF((TB_prev[[#This Row],[Synt]]-TB_prev[[#This Row],[Subtotal Y/N]])=0,0,VLOOKUP(TB_prev[[#This Row],[Synt]],GL[[Account]:[Line]],3,FALSE))</f>
        <v>#VALUE!</v>
      </c>
      <c r="AG1089" s="1063" t="e">
        <f>VLOOKUP(TB_prev[[#This Row],[Synt]],GL[[Account]:[B/P]],4,FALSE)</f>
        <v>#N/A</v>
      </c>
      <c r="AH1089" s="1066" t="e">
        <v>#VALUE!</v>
      </c>
      <c r="AI1089" s="1065" t="e">
        <f>TB_prev[[#This Row],[Synt]]&amp;TB_prev[[#This Row],[Line No. manual corr.]]</f>
        <v>#VALUE!</v>
      </c>
      <c r="AJ1089" s="1064">
        <f t="shared" si="81"/>
        <v>0</v>
      </c>
      <c r="AK1089" s="1064">
        <f t="shared" si="82"/>
        <v>0</v>
      </c>
      <c r="AL1089" s="1064">
        <f t="shared" si="83"/>
        <v>0</v>
      </c>
      <c r="AM1089" s="1064">
        <f t="shared" si="84"/>
        <v>0</v>
      </c>
      <c r="AN1089" s="1064"/>
      <c r="AO1089" s="1064">
        <f>TB_prev[[#This Row],[Closing balance]]+TB_prev[[#This Row],[Rounding]]</f>
        <v>0</v>
      </c>
    </row>
    <row r="1090" spans="30:41" x14ac:dyDescent="0.25">
      <c r="AD1090" s="1067" t="str">
        <f t="shared" si="80"/>
        <v/>
      </c>
      <c r="AE1090" s="1063" t="str">
        <f>IF(ISNA(VLOOKUP(TB_prev[[#This Row],[Synt]],GL[[#Headers],[#Data],[subtotal label]],1,FALSE)),0,(VLOOKUP(TB_prev[[#This Row],[Synt]],GL[[#Headers],[#Data],[subtotal label]],1,FALSE)))</f>
        <v/>
      </c>
      <c r="AF1090" s="1063" t="e">
        <f>IF((TB_prev[[#This Row],[Synt]]-TB_prev[[#This Row],[Subtotal Y/N]])=0,0,VLOOKUP(TB_prev[[#This Row],[Synt]],GL[[Account]:[Line]],3,FALSE))</f>
        <v>#VALUE!</v>
      </c>
      <c r="AG1090" s="1063" t="e">
        <f>VLOOKUP(TB_prev[[#This Row],[Synt]],GL[[Account]:[B/P]],4,FALSE)</f>
        <v>#N/A</v>
      </c>
      <c r="AH1090" s="1066" t="e">
        <v>#VALUE!</v>
      </c>
      <c r="AI1090" s="1065" t="e">
        <f>TB_prev[[#This Row],[Synt]]&amp;TB_prev[[#This Row],[Line No. manual corr.]]</f>
        <v>#VALUE!</v>
      </c>
      <c r="AJ1090" s="1064">
        <f t="shared" si="81"/>
        <v>0</v>
      </c>
      <c r="AK1090" s="1064">
        <f t="shared" si="82"/>
        <v>0</v>
      </c>
      <c r="AL1090" s="1064">
        <f t="shared" si="83"/>
        <v>0</v>
      </c>
      <c r="AM1090" s="1064">
        <f t="shared" si="84"/>
        <v>0</v>
      </c>
      <c r="AN1090" s="1064"/>
      <c r="AO1090" s="1064">
        <f>TB_prev[[#This Row],[Closing balance]]+TB_prev[[#This Row],[Rounding]]</f>
        <v>0</v>
      </c>
    </row>
    <row r="1091" spans="30:41" x14ac:dyDescent="0.25">
      <c r="AD1091" s="1067" t="str">
        <f t="shared" si="80"/>
        <v/>
      </c>
      <c r="AE1091" s="1063" t="str">
        <f>IF(ISNA(VLOOKUP(TB_prev[[#This Row],[Synt]],GL[[#Headers],[#Data],[subtotal label]],1,FALSE)),0,(VLOOKUP(TB_prev[[#This Row],[Synt]],GL[[#Headers],[#Data],[subtotal label]],1,FALSE)))</f>
        <v/>
      </c>
      <c r="AF1091" s="1063" t="e">
        <f>IF((TB_prev[[#This Row],[Synt]]-TB_prev[[#This Row],[Subtotal Y/N]])=0,0,VLOOKUP(TB_prev[[#This Row],[Synt]],GL[[Account]:[Line]],3,FALSE))</f>
        <v>#VALUE!</v>
      </c>
      <c r="AG1091" s="1063" t="e">
        <f>VLOOKUP(TB_prev[[#This Row],[Synt]],GL[[Account]:[B/P]],4,FALSE)</f>
        <v>#N/A</v>
      </c>
      <c r="AH1091" s="1066" t="e">
        <v>#VALUE!</v>
      </c>
      <c r="AI1091" s="1065" t="e">
        <f>TB_prev[[#This Row],[Synt]]&amp;TB_prev[[#This Row],[Line No. manual corr.]]</f>
        <v>#VALUE!</v>
      </c>
      <c r="AJ1091" s="1064">
        <f t="shared" si="81"/>
        <v>0</v>
      </c>
      <c r="AK1091" s="1064">
        <f t="shared" si="82"/>
        <v>0</v>
      </c>
      <c r="AL1091" s="1064">
        <f t="shared" si="83"/>
        <v>0</v>
      </c>
      <c r="AM1091" s="1064">
        <f t="shared" si="84"/>
        <v>0</v>
      </c>
      <c r="AN1091" s="1064"/>
      <c r="AO1091" s="1064">
        <f>TB_prev[[#This Row],[Closing balance]]+TB_prev[[#This Row],[Rounding]]</f>
        <v>0</v>
      </c>
    </row>
    <row r="1092" spans="30:41" x14ac:dyDescent="0.25">
      <c r="AD1092" s="1067" t="str">
        <f t="shared" si="80"/>
        <v/>
      </c>
      <c r="AE1092" s="1063" t="str">
        <f>IF(ISNA(VLOOKUP(TB_prev[[#This Row],[Synt]],GL[[#Headers],[#Data],[subtotal label]],1,FALSE)),0,(VLOOKUP(TB_prev[[#This Row],[Synt]],GL[[#Headers],[#Data],[subtotal label]],1,FALSE)))</f>
        <v/>
      </c>
      <c r="AF1092" s="1063" t="e">
        <f>IF((TB_prev[[#This Row],[Synt]]-TB_prev[[#This Row],[Subtotal Y/N]])=0,0,VLOOKUP(TB_prev[[#This Row],[Synt]],GL[[Account]:[Line]],3,FALSE))</f>
        <v>#VALUE!</v>
      </c>
      <c r="AG1092" s="1063" t="e">
        <f>VLOOKUP(TB_prev[[#This Row],[Synt]],GL[[Account]:[B/P]],4,FALSE)</f>
        <v>#N/A</v>
      </c>
      <c r="AH1092" s="1066" t="e">
        <v>#VALUE!</v>
      </c>
      <c r="AI1092" s="1065" t="e">
        <f>TB_prev[[#This Row],[Synt]]&amp;TB_prev[[#This Row],[Line No. manual corr.]]</f>
        <v>#VALUE!</v>
      </c>
      <c r="AJ1092" s="1064">
        <f t="shared" si="81"/>
        <v>0</v>
      </c>
      <c r="AK1092" s="1064">
        <f t="shared" si="82"/>
        <v>0</v>
      </c>
      <c r="AL1092" s="1064">
        <f t="shared" si="83"/>
        <v>0</v>
      </c>
      <c r="AM1092" s="1064">
        <f t="shared" si="84"/>
        <v>0</v>
      </c>
      <c r="AN1092" s="1064"/>
      <c r="AO1092" s="1064">
        <f>TB_prev[[#This Row],[Closing balance]]+TB_prev[[#This Row],[Rounding]]</f>
        <v>0</v>
      </c>
    </row>
    <row r="1093" spans="30:41" x14ac:dyDescent="0.25">
      <c r="AD1093" s="1067" t="str">
        <f t="shared" si="80"/>
        <v/>
      </c>
      <c r="AE1093" s="1063" t="str">
        <f>IF(ISNA(VLOOKUP(TB_prev[[#This Row],[Synt]],GL[[#Headers],[#Data],[subtotal label]],1,FALSE)),0,(VLOOKUP(TB_prev[[#This Row],[Synt]],GL[[#Headers],[#Data],[subtotal label]],1,FALSE)))</f>
        <v/>
      </c>
      <c r="AF1093" s="1063" t="e">
        <f>IF((TB_prev[[#This Row],[Synt]]-TB_prev[[#This Row],[Subtotal Y/N]])=0,0,VLOOKUP(TB_prev[[#This Row],[Synt]],GL[[Account]:[Line]],3,FALSE))</f>
        <v>#VALUE!</v>
      </c>
      <c r="AG1093" s="1063" t="e">
        <f>VLOOKUP(TB_prev[[#This Row],[Synt]],GL[[Account]:[B/P]],4,FALSE)</f>
        <v>#N/A</v>
      </c>
      <c r="AH1093" s="1066" t="e">
        <v>#VALUE!</v>
      </c>
      <c r="AI1093" s="1065" t="e">
        <f>TB_prev[[#This Row],[Synt]]&amp;TB_prev[[#This Row],[Line No. manual corr.]]</f>
        <v>#VALUE!</v>
      </c>
      <c r="AJ1093" s="1064">
        <f t="shared" si="81"/>
        <v>0</v>
      </c>
      <c r="AK1093" s="1064">
        <f t="shared" si="82"/>
        <v>0</v>
      </c>
      <c r="AL1093" s="1064">
        <f t="shared" si="83"/>
        <v>0</v>
      </c>
      <c r="AM1093" s="1064">
        <f t="shared" si="84"/>
        <v>0</v>
      </c>
      <c r="AN1093" s="1064"/>
      <c r="AO1093" s="1064">
        <f>TB_prev[[#This Row],[Closing balance]]+TB_prev[[#This Row],[Rounding]]</f>
        <v>0</v>
      </c>
    </row>
    <row r="1094" spans="30:41" x14ac:dyDescent="0.25">
      <c r="AD1094" s="1067" t="str">
        <f t="shared" si="80"/>
        <v/>
      </c>
      <c r="AE1094" s="1063" t="str">
        <f>IF(ISNA(VLOOKUP(TB_prev[[#This Row],[Synt]],GL[[#Headers],[#Data],[subtotal label]],1,FALSE)),0,(VLOOKUP(TB_prev[[#This Row],[Synt]],GL[[#Headers],[#Data],[subtotal label]],1,FALSE)))</f>
        <v/>
      </c>
      <c r="AF1094" s="1063" t="e">
        <f>IF((TB_prev[[#This Row],[Synt]]-TB_prev[[#This Row],[Subtotal Y/N]])=0,0,VLOOKUP(TB_prev[[#This Row],[Synt]],GL[[Account]:[Line]],3,FALSE))</f>
        <v>#VALUE!</v>
      </c>
      <c r="AG1094" s="1063" t="e">
        <f>VLOOKUP(TB_prev[[#This Row],[Synt]],GL[[Account]:[B/P]],4,FALSE)</f>
        <v>#N/A</v>
      </c>
      <c r="AH1094" s="1066" t="e">
        <v>#VALUE!</v>
      </c>
      <c r="AI1094" s="1065" t="e">
        <f>TB_prev[[#This Row],[Synt]]&amp;TB_prev[[#This Row],[Line No. manual corr.]]</f>
        <v>#VALUE!</v>
      </c>
      <c r="AJ1094" s="1064">
        <f t="shared" si="81"/>
        <v>0</v>
      </c>
      <c r="AK1094" s="1064">
        <f t="shared" si="82"/>
        <v>0</v>
      </c>
      <c r="AL1094" s="1064">
        <f t="shared" si="83"/>
        <v>0</v>
      </c>
      <c r="AM1094" s="1064">
        <f t="shared" si="84"/>
        <v>0</v>
      </c>
      <c r="AN1094" s="1064"/>
      <c r="AO1094" s="1064">
        <f>TB_prev[[#This Row],[Closing balance]]+TB_prev[[#This Row],[Rounding]]</f>
        <v>0</v>
      </c>
    </row>
    <row r="1095" spans="30:41" x14ac:dyDescent="0.25">
      <c r="AD1095" s="1067" t="str">
        <f t="shared" si="80"/>
        <v/>
      </c>
      <c r="AE1095" s="1063" t="str">
        <f>IF(ISNA(VLOOKUP(TB_prev[[#This Row],[Synt]],GL[[#Headers],[#Data],[subtotal label]],1,FALSE)),0,(VLOOKUP(TB_prev[[#This Row],[Synt]],GL[[#Headers],[#Data],[subtotal label]],1,FALSE)))</f>
        <v/>
      </c>
      <c r="AF1095" s="1063" t="e">
        <f>IF((TB_prev[[#This Row],[Synt]]-TB_prev[[#This Row],[Subtotal Y/N]])=0,0,VLOOKUP(TB_prev[[#This Row],[Synt]],GL[[Account]:[Line]],3,FALSE))</f>
        <v>#VALUE!</v>
      </c>
      <c r="AG1095" s="1063" t="e">
        <f>VLOOKUP(TB_prev[[#This Row],[Synt]],GL[[Account]:[B/P]],4,FALSE)</f>
        <v>#N/A</v>
      </c>
      <c r="AH1095" s="1066" t="e">
        <v>#VALUE!</v>
      </c>
      <c r="AI1095" s="1065" t="e">
        <f>TB_prev[[#This Row],[Synt]]&amp;TB_prev[[#This Row],[Line No. manual corr.]]</f>
        <v>#VALUE!</v>
      </c>
      <c r="AJ1095" s="1064">
        <f t="shared" si="81"/>
        <v>0</v>
      </c>
      <c r="AK1095" s="1064">
        <f t="shared" si="82"/>
        <v>0</v>
      </c>
      <c r="AL1095" s="1064">
        <f t="shared" si="83"/>
        <v>0</v>
      </c>
      <c r="AM1095" s="1064">
        <f t="shared" si="84"/>
        <v>0</v>
      </c>
      <c r="AN1095" s="1064"/>
      <c r="AO1095" s="1064">
        <f>TB_prev[[#This Row],[Closing balance]]+TB_prev[[#This Row],[Rounding]]</f>
        <v>0</v>
      </c>
    </row>
    <row r="1096" spans="30:41" x14ac:dyDescent="0.25">
      <c r="AD1096" s="1067" t="str">
        <f t="shared" ref="AD1096:AD1159" si="85">LEFT(B1096,3)</f>
        <v/>
      </c>
      <c r="AE1096" s="1063" t="str">
        <f>IF(ISNA(VLOOKUP(TB_prev[[#This Row],[Synt]],GL[[#Headers],[#Data],[subtotal label]],1,FALSE)),0,(VLOOKUP(TB_prev[[#This Row],[Synt]],GL[[#Headers],[#Data],[subtotal label]],1,FALSE)))</f>
        <v/>
      </c>
      <c r="AF1096" s="1063" t="e">
        <f>IF((TB_prev[[#This Row],[Synt]]-TB_prev[[#This Row],[Subtotal Y/N]])=0,0,VLOOKUP(TB_prev[[#This Row],[Synt]],GL[[Account]:[Line]],3,FALSE))</f>
        <v>#VALUE!</v>
      </c>
      <c r="AG1096" s="1063" t="e">
        <f>VLOOKUP(TB_prev[[#This Row],[Synt]],GL[[Account]:[B/P]],4,FALSE)</f>
        <v>#N/A</v>
      </c>
      <c r="AH1096" s="1066" t="e">
        <v>#VALUE!</v>
      </c>
      <c r="AI1096" s="1065" t="e">
        <f>TB_prev[[#This Row],[Synt]]&amp;TB_prev[[#This Row],[Line No. manual corr.]]</f>
        <v>#VALUE!</v>
      </c>
      <c r="AJ1096" s="1064">
        <f t="shared" ref="AJ1096:AJ1159" si="86">K1096-N1096</f>
        <v>0</v>
      </c>
      <c r="AK1096" s="1064">
        <f t="shared" ref="AK1096:AK1159" si="87">Q1096</f>
        <v>0</v>
      </c>
      <c r="AL1096" s="1064">
        <f t="shared" ref="AL1096:AL1159" si="88">U1096</f>
        <v>0</v>
      </c>
      <c r="AM1096" s="1064">
        <f t="shared" ref="AM1096:AM1159" si="89">X1096-AB1096</f>
        <v>0</v>
      </c>
      <c r="AN1096" s="1064"/>
      <c r="AO1096" s="1064">
        <f>TB_prev[[#This Row],[Closing balance]]+TB_prev[[#This Row],[Rounding]]</f>
        <v>0</v>
      </c>
    </row>
    <row r="1097" spans="30:41" x14ac:dyDescent="0.25">
      <c r="AD1097" s="1067" t="str">
        <f t="shared" si="85"/>
        <v/>
      </c>
      <c r="AE1097" s="1063" t="str">
        <f>IF(ISNA(VLOOKUP(TB_prev[[#This Row],[Synt]],GL[[#Headers],[#Data],[subtotal label]],1,FALSE)),0,(VLOOKUP(TB_prev[[#This Row],[Synt]],GL[[#Headers],[#Data],[subtotal label]],1,FALSE)))</f>
        <v/>
      </c>
      <c r="AF1097" s="1063" t="e">
        <f>IF((TB_prev[[#This Row],[Synt]]-TB_prev[[#This Row],[Subtotal Y/N]])=0,0,VLOOKUP(TB_prev[[#This Row],[Synt]],GL[[Account]:[Line]],3,FALSE))</f>
        <v>#VALUE!</v>
      </c>
      <c r="AG1097" s="1063" t="e">
        <f>VLOOKUP(TB_prev[[#This Row],[Synt]],GL[[Account]:[B/P]],4,FALSE)</f>
        <v>#N/A</v>
      </c>
      <c r="AH1097" s="1066" t="e">
        <v>#VALUE!</v>
      </c>
      <c r="AI1097" s="1065" t="e">
        <f>TB_prev[[#This Row],[Synt]]&amp;TB_prev[[#This Row],[Line No. manual corr.]]</f>
        <v>#VALUE!</v>
      </c>
      <c r="AJ1097" s="1064">
        <f t="shared" si="86"/>
        <v>0</v>
      </c>
      <c r="AK1097" s="1064">
        <f t="shared" si="87"/>
        <v>0</v>
      </c>
      <c r="AL1097" s="1064">
        <f t="shared" si="88"/>
        <v>0</v>
      </c>
      <c r="AM1097" s="1064">
        <f t="shared" si="89"/>
        <v>0</v>
      </c>
      <c r="AN1097" s="1064"/>
      <c r="AO1097" s="1064">
        <f>TB_prev[[#This Row],[Closing balance]]+TB_prev[[#This Row],[Rounding]]</f>
        <v>0</v>
      </c>
    </row>
    <row r="1098" spans="30:41" x14ac:dyDescent="0.25">
      <c r="AD1098" s="1067" t="str">
        <f t="shared" si="85"/>
        <v/>
      </c>
      <c r="AE1098" s="1063" t="str">
        <f>IF(ISNA(VLOOKUP(TB_prev[[#This Row],[Synt]],GL[[#Headers],[#Data],[subtotal label]],1,FALSE)),0,(VLOOKUP(TB_prev[[#This Row],[Synt]],GL[[#Headers],[#Data],[subtotal label]],1,FALSE)))</f>
        <v/>
      </c>
      <c r="AF1098" s="1063" t="e">
        <f>IF((TB_prev[[#This Row],[Synt]]-TB_prev[[#This Row],[Subtotal Y/N]])=0,0,VLOOKUP(TB_prev[[#This Row],[Synt]],GL[[Account]:[Line]],3,FALSE))</f>
        <v>#VALUE!</v>
      </c>
      <c r="AG1098" s="1063" t="e">
        <f>VLOOKUP(TB_prev[[#This Row],[Synt]],GL[[Account]:[B/P]],4,FALSE)</f>
        <v>#N/A</v>
      </c>
      <c r="AH1098" s="1066" t="e">
        <v>#VALUE!</v>
      </c>
      <c r="AI1098" s="1065" t="e">
        <f>TB_prev[[#This Row],[Synt]]&amp;TB_prev[[#This Row],[Line No. manual corr.]]</f>
        <v>#VALUE!</v>
      </c>
      <c r="AJ1098" s="1064">
        <f t="shared" si="86"/>
        <v>0</v>
      </c>
      <c r="AK1098" s="1064">
        <f t="shared" si="87"/>
        <v>0</v>
      </c>
      <c r="AL1098" s="1064">
        <f t="shared" si="88"/>
        <v>0</v>
      </c>
      <c r="AM1098" s="1064">
        <f t="shared" si="89"/>
        <v>0</v>
      </c>
      <c r="AN1098" s="1064"/>
      <c r="AO1098" s="1064">
        <f>TB_prev[[#This Row],[Closing balance]]+TB_prev[[#This Row],[Rounding]]</f>
        <v>0</v>
      </c>
    </row>
    <row r="1099" spans="30:41" x14ac:dyDescent="0.25">
      <c r="AD1099" s="1067" t="str">
        <f t="shared" si="85"/>
        <v/>
      </c>
      <c r="AE1099" s="1063" t="str">
        <f>IF(ISNA(VLOOKUP(TB_prev[[#This Row],[Synt]],GL[[#Headers],[#Data],[subtotal label]],1,FALSE)),0,(VLOOKUP(TB_prev[[#This Row],[Synt]],GL[[#Headers],[#Data],[subtotal label]],1,FALSE)))</f>
        <v/>
      </c>
      <c r="AF1099" s="1063" t="e">
        <f>IF((TB_prev[[#This Row],[Synt]]-TB_prev[[#This Row],[Subtotal Y/N]])=0,0,VLOOKUP(TB_prev[[#This Row],[Synt]],GL[[Account]:[Line]],3,FALSE))</f>
        <v>#VALUE!</v>
      </c>
      <c r="AG1099" s="1063" t="e">
        <f>VLOOKUP(TB_prev[[#This Row],[Synt]],GL[[Account]:[B/P]],4,FALSE)</f>
        <v>#N/A</v>
      </c>
      <c r="AH1099" s="1066" t="e">
        <v>#VALUE!</v>
      </c>
      <c r="AI1099" s="1065" t="e">
        <f>TB_prev[[#This Row],[Synt]]&amp;TB_prev[[#This Row],[Line No. manual corr.]]</f>
        <v>#VALUE!</v>
      </c>
      <c r="AJ1099" s="1064">
        <f t="shared" si="86"/>
        <v>0</v>
      </c>
      <c r="AK1099" s="1064">
        <f t="shared" si="87"/>
        <v>0</v>
      </c>
      <c r="AL1099" s="1064">
        <f t="shared" si="88"/>
        <v>0</v>
      </c>
      <c r="AM1099" s="1064">
        <f t="shared" si="89"/>
        <v>0</v>
      </c>
      <c r="AN1099" s="1064"/>
      <c r="AO1099" s="1064">
        <f>TB_prev[[#This Row],[Closing balance]]+TB_prev[[#This Row],[Rounding]]</f>
        <v>0</v>
      </c>
    </row>
    <row r="1100" spans="30:41" x14ac:dyDescent="0.25">
      <c r="AD1100" s="1067" t="str">
        <f t="shared" si="85"/>
        <v/>
      </c>
      <c r="AE1100" s="1063" t="str">
        <f>IF(ISNA(VLOOKUP(TB_prev[[#This Row],[Synt]],GL[[#Headers],[#Data],[subtotal label]],1,FALSE)),0,(VLOOKUP(TB_prev[[#This Row],[Synt]],GL[[#Headers],[#Data],[subtotal label]],1,FALSE)))</f>
        <v/>
      </c>
      <c r="AF1100" s="1063" t="e">
        <f>IF((TB_prev[[#This Row],[Synt]]-TB_prev[[#This Row],[Subtotal Y/N]])=0,0,VLOOKUP(TB_prev[[#This Row],[Synt]],GL[[Account]:[Line]],3,FALSE))</f>
        <v>#VALUE!</v>
      </c>
      <c r="AG1100" s="1063" t="e">
        <f>VLOOKUP(TB_prev[[#This Row],[Synt]],GL[[Account]:[B/P]],4,FALSE)</f>
        <v>#N/A</v>
      </c>
      <c r="AH1100" s="1066" t="e">
        <v>#VALUE!</v>
      </c>
      <c r="AI1100" s="1065" t="e">
        <f>TB_prev[[#This Row],[Synt]]&amp;TB_prev[[#This Row],[Line No. manual corr.]]</f>
        <v>#VALUE!</v>
      </c>
      <c r="AJ1100" s="1064">
        <f t="shared" si="86"/>
        <v>0</v>
      </c>
      <c r="AK1100" s="1064">
        <f t="shared" si="87"/>
        <v>0</v>
      </c>
      <c r="AL1100" s="1064">
        <f t="shared" si="88"/>
        <v>0</v>
      </c>
      <c r="AM1100" s="1064">
        <f t="shared" si="89"/>
        <v>0</v>
      </c>
      <c r="AN1100" s="1064"/>
      <c r="AO1100" s="1064">
        <f>TB_prev[[#This Row],[Closing balance]]+TB_prev[[#This Row],[Rounding]]</f>
        <v>0</v>
      </c>
    </row>
    <row r="1101" spans="30:41" x14ac:dyDescent="0.25">
      <c r="AD1101" s="1067" t="str">
        <f t="shared" si="85"/>
        <v/>
      </c>
      <c r="AE1101" s="1063" t="str">
        <f>IF(ISNA(VLOOKUP(TB_prev[[#This Row],[Synt]],GL[[#Headers],[#Data],[subtotal label]],1,FALSE)),0,(VLOOKUP(TB_prev[[#This Row],[Synt]],GL[[#Headers],[#Data],[subtotal label]],1,FALSE)))</f>
        <v/>
      </c>
      <c r="AF1101" s="1063" t="e">
        <f>IF((TB_prev[[#This Row],[Synt]]-TB_prev[[#This Row],[Subtotal Y/N]])=0,0,VLOOKUP(TB_prev[[#This Row],[Synt]],GL[[Account]:[Line]],3,FALSE))</f>
        <v>#VALUE!</v>
      </c>
      <c r="AG1101" s="1063" t="e">
        <f>VLOOKUP(TB_prev[[#This Row],[Synt]],GL[[Account]:[B/P]],4,FALSE)</f>
        <v>#N/A</v>
      </c>
      <c r="AH1101" s="1066" t="e">
        <v>#VALUE!</v>
      </c>
      <c r="AI1101" s="1065" t="e">
        <f>TB_prev[[#This Row],[Synt]]&amp;TB_prev[[#This Row],[Line No. manual corr.]]</f>
        <v>#VALUE!</v>
      </c>
      <c r="AJ1101" s="1064">
        <f t="shared" si="86"/>
        <v>0</v>
      </c>
      <c r="AK1101" s="1064">
        <f t="shared" si="87"/>
        <v>0</v>
      </c>
      <c r="AL1101" s="1064">
        <f t="shared" si="88"/>
        <v>0</v>
      </c>
      <c r="AM1101" s="1064">
        <f t="shared" si="89"/>
        <v>0</v>
      </c>
      <c r="AN1101" s="1064"/>
      <c r="AO1101" s="1064">
        <f>TB_prev[[#This Row],[Closing balance]]+TB_prev[[#This Row],[Rounding]]</f>
        <v>0</v>
      </c>
    </row>
    <row r="1102" spans="30:41" x14ac:dyDescent="0.25">
      <c r="AD1102" s="1067" t="str">
        <f t="shared" si="85"/>
        <v/>
      </c>
      <c r="AE1102" s="1063" t="str">
        <f>IF(ISNA(VLOOKUP(TB_prev[[#This Row],[Synt]],GL[[#Headers],[#Data],[subtotal label]],1,FALSE)),0,(VLOOKUP(TB_prev[[#This Row],[Synt]],GL[[#Headers],[#Data],[subtotal label]],1,FALSE)))</f>
        <v/>
      </c>
      <c r="AF1102" s="1063" t="e">
        <f>IF((TB_prev[[#This Row],[Synt]]-TB_prev[[#This Row],[Subtotal Y/N]])=0,0,VLOOKUP(TB_prev[[#This Row],[Synt]],GL[[Account]:[Line]],3,FALSE))</f>
        <v>#VALUE!</v>
      </c>
      <c r="AG1102" s="1063" t="e">
        <f>VLOOKUP(TB_prev[[#This Row],[Synt]],GL[[Account]:[B/P]],4,FALSE)</f>
        <v>#N/A</v>
      </c>
      <c r="AH1102" s="1066" t="e">
        <v>#VALUE!</v>
      </c>
      <c r="AI1102" s="1065" t="e">
        <f>TB_prev[[#This Row],[Synt]]&amp;TB_prev[[#This Row],[Line No. manual corr.]]</f>
        <v>#VALUE!</v>
      </c>
      <c r="AJ1102" s="1064">
        <f t="shared" si="86"/>
        <v>0</v>
      </c>
      <c r="AK1102" s="1064">
        <f t="shared" si="87"/>
        <v>0</v>
      </c>
      <c r="AL1102" s="1064">
        <f t="shared" si="88"/>
        <v>0</v>
      </c>
      <c r="AM1102" s="1064">
        <f t="shared" si="89"/>
        <v>0</v>
      </c>
      <c r="AN1102" s="1064"/>
      <c r="AO1102" s="1064">
        <f>TB_prev[[#This Row],[Closing balance]]+TB_prev[[#This Row],[Rounding]]</f>
        <v>0</v>
      </c>
    </row>
    <row r="1103" spans="30:41" x14ac:dyDescent="0.25">
      <c r="AD1103" s="1067" t="str">
        <f t="shared" si="85"/>
        <v/>
      </c>
      <c r="AE1103" s="1063" t="str">
        <f>IF(ISNA(VLOOKUP(TB_prev[[#This Row],[Synt]],GL[[#Headers],[#Data],[subtotal label]],1,FALSE)),0,(VLOOKUP(TB_prev[[#This Row],[Synt]],GL[[#Headers],[#Data],[subtotal label]],1,FALSE)))</f>
        <v/>
      </c>
      <c r="AF1103" s="1063" t="e">
        <f>IF((TB_prev[[#This Row],[Synt]]-TB_prev[[#This Row],[Subtotal Y/N]])=0,0,VLOOKUP(TB_prev[[#This Row],[Synt]],GL[[Account]:[Line]],3,FALSE))</f>
        <v>#VALUE!</v>
      </c>
      <c r="AG1103" s="1063" t="e">
        <f>VLOOKUP(TB_prev[[#This Row],[Synt]],GL[[Account]:[B/P]],4,FALSE)</f>
        <v>#N/A</v>
      </c>
      <c r="AH1103" s="1066" t="e">
        <v>#VALUE!</v>
      </c>
      <c r="AI1103" s="1065" t="e">
        <f>TB_prev[[#This Row],[Synt]]&amp;TB_prev[[#This Row],[Line No. manual corr.]]</f>
        <v>#VALUE!</v>
      </c>
      <c r="AJ1103" s="1064">
        <f t="shared" si="86"/>
        <v>0</v>
      </c>
      <c r="AK1103" s="1064">
        <f t="shared" si="87"/>
        <v>0</v>
      </c>
      <c r="AL1103" s="1064">
        <f t="shared" si="88"/>
        <v>0</v>
      </c>
      <c r="AM1103" s="1064">
        <f t="shared" si="89"/>
        <v>0</v>
      </c>
      <c r="AN1103" s="1064"/>
      <c r="AO1103" s="1064">
        <f>TB_prev[[#This Row],[Closing balance]]+TB_prev[[#This Row],[Rounding]]</f>
        <v>0</v>
      </c>
    </row>
    <row r="1104" spans="30:41" x14ac:dyDescent="0.25">
      <c r="AD1104" s="1067" t="str">
        <f t="shared" si="85"/>
        <v/>
      </c>
      <c r="AE1104" s="1063" t="str">
        <f>IF(ISNA(VLOOKUP(TB_prev[[#This Row],[Synt]],GL[[#Headers],[#Data],[subtotal label]],1,FALSE)),0,(VLOOKUP(TB_prev[[#This Row],[Synt]],GL[[#Headers],[#Data],[subtotal label]],1,FALSE)))</f>
        <v/>
      </c>
      <c r="AF1104" s="1063" t="e">
        <f>IF((TB_prev[[#This Row],[Synt]]-TB_prev[[#This Row],[Subtotal Y/N]])=0,0,VLOOKUP(TB_prev[[#This Row],[Synt]],GL[[Account]:[Line]],3,FALSE))</f>
        <v>#VALUE!</v>
      </c>
      <c r="AG1104" s="1063" t="e">
        <f>VLOOKUP(TB_prev[[#This Row],[Synt]],GL[[Account]:[B/P]],4,FALSE)</f>
        <v>#N/A</v>
      </c>
      <c r="AH1104" s="1066" t="e">
        <v>#VALUE!</v>
      </c>
      <c r="AI1104" s="1065" t="e">
        <f>TB_prev[[#This Row],[Synt]]&amp;TB_prev[[#This Row],[Line No. manual corr.]]</f>
        <v>#VALUE!</v>
      </c>
      <c r="AJ1104" s="1064">
        <f t="shared" si="86"/>
        <v>0</v>
      </c>
      <c r="AK1104" s="1064">
        <f t="shared" si="87"/>
        <v>0</v>
      </c>
      <c r="AL1104" s="1064">
        <f t="shared" si="88"/>
        <v>0</v>
      </c>
      <c r="AM1104" s="1064">
        <f t="shared" si="89"/>
        <v>0</v>
      </c>
      <c r="AN1104" s="1064"/>
      <c r="AO1104" s="1064">
        <f>TB_prev[[#This Row],[Closing balance]]+TB_prev[[#This Row],[Rounding]]</f>
        <v>0</v>
      </c>
    </row>
    <row r="1105" spans="30:41" x14ac:dyDescent="0.25">
      <c r="AD1105" s="1067" t="str">
        <f t="shared" si="85"/>
        <v/>
      </c>
      <c r="AE1105" s="1063" t="str">
        <f>IF(ISNA(VLOOKUP(TB_prev[[#This Row],[Synt]],GL[[#Headers],[#Data],[subtotal label]],1,FALSE)),0,(VLOOKUP(TB_prev[[#This Row],[Synt]],GL[[#Headers],[#Data],[subtotal label]],1,FALSE)))</f>
        <v/>
      </c>
      <c r="AF1105" s="1063" t="e">
        <f>IF((TB_prev[[#This Row],[Synt]]-TB_prev[[#This Row],[Subtotal Y/N]])=0,0,VLOOKUP(TB_prev[[#This Row],[Synt]],GL[[Account]:[Line]],3,FALSE))</f>
        <v>#VALUE!</v>
      </c>
      <c r="AG1105" s="1063" t="e">
        <f>VLOOKUP(TB_prev[[#This Row],[Synt]],GL[[Account]:[B/P]],4,FALSE)</f>
        <v>#N/A</v>
      </c>
      <c r="AH1105" s="1066" t="e">
        <v>#VALUE!</v>
      </c>
      <c r="AI1105" s="1065" t="e">
        <f>TB_prev[[#This Row],[Synt]]&amp;TB_prev[[#This Row],[Line No. manual corr.]]</f>
        <v>#VALUE!</v>
      </c>
      <c r="AJ1105" s="1064">
        <f t="shared" si="86"/>
        <v>0</v>
      </c>
      <c r="AK1105" s="1064">
        <f t="shared" si="87"/>
        <v>0</v>
      </c>
      <c r="AL1105" s="1064">
        <f t="shared" si="88"/>
        <v>0</v>
      </c>
      <c r="AM1105" s="1064">
        <f t="shared" si="89"/>
        <v>0</v>
      </c>
      <c r="AN1105" s="1064"/>
      <c r="AO1105" s="1064">
        <f>TB_prev[[#This Row],[Closing balance]]+TB_prev[[#This Row],[Rounding]]</f>
        <v>0</v>
      </c>
    </row>
    <row r="1106" spans="30:41" x14ac:dyDescent="0.25">
      <c r="AD1106" s="1067" t="str">
        <f t="shared" si="85"/>
        <v/>
      </c>
      <c r="AE1106" s="1063" t="str">
        <f>IF(ISNA(VLOOKUP(TB_prev[[#This Row],[Synt]],GL[[#Headers],[#Data],[subtotal label]],1,FALSE)),0,(VLOOKUP(TB_prev[[#This Row],[Synt]],GL[[#Headers],[#Data],[subtotal label]],1,FALSE)))</f>
        <v/>
      </c>
      <c r="AF1106" s="1063" t="e">
        <f>IF((TB_prev[[#This Row],[Synt]]-TB_prev[[#This Row],[Subtotal Y/N]])=0,0,VLOOKUP(TB_prev[[#This Row],[Synt]],GL[[Account]:[Line]],3,FALSE))</f>
        <v>#VALUE!</v>
      </c>
      <c r="AG1106" s="1063" t="e">
        <f>VLOOKUP(TB_prev[[#This Row],[Synt]],GL[[Account]:[B/P]],4,FALSE)</f>
        <v>#N/A</v>
      </c>
      <c r="AH1106" s="1066" t="e">
        <v>#VALUE!</v>
      </c>
      <c r="AI1106" s="1065" t="e">
        <f>TB_prev[[#This Row],[Synt]]&amp;TB_prev[[#This Row],[Line No. manual corr.]]</f>
        <v>#VALUE!</v>
      </c>
      <c r="AJ1106" s="1064">
        <f t="shared" si="86"/>
        <v>0</v>
      </c>
      <c r="AK1106" s="1064">
        <f t="shared" si="87"/>
        <v>0</v>
      </c>
      <c r="AL1106" s="1064">
        <f t="shared" si="88"/>
        <v>0</v>
      </c>
      <c r="AM1106" s="1064">
        <f t="shared" si="89"/>
        <v>0</v>
      </c>
      <c r="AN1106" s="1064"/>
      <c r="AO1106" s="1064">
        <f>TB_prev[[#This Row],[Closing balance]]+TB_prev[[#This Row],[Rounding]]</f>
        <v>0</v>
      </c>
    </row>
    <row r="1107" spans="30:41" x14ac:dyDescent="0.25">
      <c r="AD1107" s="1067" t="str">
        <f t="shared" si="85"/>
        <v/>
      </c>
      <c r="AE1107" s="1063" t="str">
        <f>IF(ISNA(VLOOKUP(TB_prev[[#This Row],[Synt]],GL[[#Headers],[#Data],[subtotal label]],1,FALSE)),0,(VLOOKUP(TB_prev[[#This Row],[Synt]],GL[[#Headers],[#Data],[subtotal label]],1,FALSE)))</f>
        <v/>
      </c>
      <c r="AF1107" s="1063" t="e">
        <f>IF((TB_prev[[#This Row],[Synt]]-TB_prev[[#This Row],[Subtotal Y/N]])=0,0,VLOOKUP(TB_prev[[#This Row],[Synt]],GL[[Account]:[Line]],3,FALSE))</f>
        <v>#VALUE!</v>
      </c>
      <c r="AG1107" s="1063" t="e">
        <f>VLOOKUP(TB_prev[[#This Row],[Synt]],GL[[Account]:[B/P]],4,FALSE)</f>
        <v>#N/A</v>
      </c>
      <c r="AH1107" s="1066" t="e">
        <v>#VALUE!</v>
      </c>
      <c r="AI1107" s="1065" t="e">
        <f>TB_prev[[#This Row],[Synt]]&amp;TB_prev[[#This Row],[Line No. manual corr.]]</f>
        <v>#VALUE!</v>
      </c>
      <c r="AJ1107" s="1064">
        <f t="shared" si="86"/>
        <v>0</v>
      </c>
      <c r="AK1107" s="1064">
        <f t="shared" si="87"/>
        <v>0</v>
      </c>
      <c r="AL1107" s="1064">
        <f t="shared" si="88"/>
        <v>0</v>
      </c>
      <c r="AM1107" s="1064">
        <f t="shared" si="89"/>
        <v>0</v>
      </c>
      <c r="AN1107" s="1064"/>
      <c r="AO1107" s="1064">
        <f>TB_prev[[#This Row],[Closing balance]]+TB_prev[[#This Row],[Rounding]]</f>
        <v>0</v>
      </c>
    </row>
    <row r="1108" spans="30:41" x14ac:dyDescent="0.25">
      <c r="AD1108" s="1067" t="str">
        <f t="shared" si="85"/>
        <v/>
      </c>
      <c r="AE1108" s="1063" t="str">
        <f>IF(ISNA(VLOOKUP(TB_prev[[#This Row],[Synt]],GL[[#Headers],[#Data],[subtotal label]],1,FALSE)),0,(VLOOKUP(TB_prev[[#This Row],[Synt]],GL[[#Headers],[#Data],[subtotal label]],1,FALSE)))</f>
        <v/>
      </c>
      <c r="AF1108" s="1063" t="e">
        <f>IF((TB_prev[[#This Row],[Synt]]-TB_prev[[#This Row],[Subtotal Y/N]])=0,0,VLOOKUP(TB_prev[[#This Row],[Synt]],GL[[Account]:[Line]],3,FALSE))</f>
        <v>#VALUE!</v>
      </c>
      <c r="AG1108" s="1063" t="e">
        <f>VLOOKUP(TB_prev[[#This Row],[Synt]],GL[[Account]:[B/P]],4,FALSE)</f>
        <v>#N/A</v>
      </c>
      <c r="AH1108" s="1066" t="e">
        <v>#VALUE!</v>
      </c>
      <c r="AI1108" s="1065" t="e">
        <f>TB_prev[[#This Row],[Synt]]&amp;TB_prev[[#This Row],[Line No. manual corr.]]</f>
        <v>#VALUE!</v>
      </c>
      <c r="AJ1108" s="1064">
        <f t="shared" si="86"/>
        <v>0</v>
      </c>
      <c r="AK1108" s="1064">
        <f t="shared" si="87"/>
        <v>0</v>
      </c>
      <c r="AL1108" s="1064">
        <f t="shared" si="88"/>
        <v>0</v>
      </c>
      <c r="AM1108" s="1064">
        <f t="shared" si="89"/>
        <v>0</v>
      </c>
      <c r="AN1108" s="1064"/>
      <c r="AO1108" s="1064">
        <f>TB_prev[[#This Row],[Closing balance]]+TB_prev[[#This Row],[Rounding]]</f>
        <v>0</v>
      </c>
    </row>
    <row r="1109" spans="30:41" x14ac:dyDescent="0.25">
      <c r="AD1109" s="1067" t="str">
        <f t="shared" si="85"/>
        <v/>
      </c>
      <c r="AE1109" s="1063" t="str">
        <f>IF(ISNA(VLOOKUP(TB_prev[[#This Row],[Synt]],GL[[#Headers],[#Data],[subtotal label]],1,FALSE)),0,(VLOOKUP(TB_prev[[#This Row],[Synt]],GL[[#Headers],[#Data],[subtotal label]],1,FALSE)))</f>
        <v/>
      </c>
      <c r="AF1109" s="1063" t="e">
        <f>IF((TB_prev[[#This Row],[Synt]]-TB_prev[[#This Row],[Subtotal Y/N]])=0,0,VLOOKUP(TB_prev[[#This Row],[Synt]],GL[[Account]:[Line]],3,FALSE))</f>
        <v>#VALUE!</v>
      </c>
      <c r="AG1109" s="1063" t="e">
        <f>VLOOKUP(TB_prev[[#This Row],[Synt]],GL[[Account]:[B/P]],4,FALSE)</f>
        <v>#N/A</v>
      </c>
      <c r="AH1109" s="1066" t="e">
        <v>#VALUE!</v>
      </c>
      <c r="AI1109" s="1065" t="e">
        <f>TB_prev[[#This Row],[Synt]]&amp;TB_prev[[#This Row],[Line No. manual corr.]]</f>
        <v>#VALUE!</v>
      </c>
      <c r="AJ1109" s="1064">
        <f t="shared" si="86"/>
        <v>0</v>
      </c>
      <c r="AK1109" s="1064">
        <f t="shared" si="87"/>
        <v>0</v>
      </c>
      <c r="AL1109" s="1064">
        <f t="shared" si="88"/>
        <v>0</v>
      </c>
      <c r="AM1109" s="1064">
        <f t="shared" si="89"/>
        <v>0</v>
      </c>
      <c r="AN1109" s="1064"/>
      <c r="AO1109" s="1064">
        <f>TB_prev[[#This Row],[Closing balance]]+TB_prev[[#This Row],[Rounding]]</f>
        <v>0</v>
      </c>
    </row>
    <row r="1110" spans="30:41" x14ac:dyDescent="0.25">
      <c r="AD1110" s="1067" t="str">
        <f t="shared" si="85"/>
        <v/>
      </c>
      <c r="AE1110" s="1063" t="str">
        <f>IF(ISNA(VLOOKUP(TB_prev[[#This Row],[Synt]],GL[[#Headers],[#Data],[subtotal label]],1,FALSE)),0,(VLOOKUP(TB_prev[[#This Row],[Synt]],GL[[#Headers],[#Data],[subtotal label]],1,FALSE)))</f>
        <v/>
      </c>
      <c r="AF1110" s="1063" t="e">
        <f>IF((TB_prev[[#This Row],[Synt]]-TB_prev[[#This Row],[Subtotal Y/N]])=0,0,VLOOKUP(TB_prev[[#This Row],[Synt]],GL[[Account]:[Line]],3,FALSE))</f>
        <v>#VALUE!</v>
      </c>
      <c r="AG1110" s="1063" t="e">
        <f>VLOOKUP(TB_prev[[#This Row],[Synt]],GL[[Account]:[B/P]],4,FALSE)</f>
        <v>#N/A</v>
      </c>
      <c r="AH1110" s="1066" t="e">
        <v>#VALUE!</v>
      </c>
      <c r="AI1110" s="1065" t="e">
        <f>TB_prev[[#This Row],[Synt]]&amp;TB_prev[[#This Row],[Line No. manual corr.]]</f>
        <v>#VALUE!</v>
      </c>
      <c r="AJ1110" s="1064">
        <f t="shared" si="86"/>
        <v>0</v>
      </c>
      <c r="AK1110" s="1064">
        <f t="shared" si="87"/>
        <v>0</v>
      </c>
      <c r="AL1110" s="1064">
        <f t="shared" si="88"/>
        <v>0</v>
      </c>
      <c r="AM1110" s="1064">
        <f t="shared" si="89"/>
        <v>0</v>
      </c>
      <c r="AN1110" s="1064"/>
      <c r="AO1110" s="1064">
        <f>TB_prev[[#This Row],[Closing balance]]+TB_prev[[#This Row],[Rounding]]</f>
        <v>0</v>
      </c>
    </row>
    <row r="1111" spans="30:41" x14ac:dyDescent="0.25">
      <c r="AD1111" s="1067" t="str">
        <f t="shared" si="85"/>
        <v/>
      </c>
      <c r="AE1111" s="1063" t="str">
        <f>IF(ISNA(VLOOKUP(TB_prev[[#This Row],[Synt]],GL[[#Headers],[#Data],[subtotal label]],1,FALSE)),0,(VLOOKUP(TB_prev[[#This Row],[Synt]],GL[[#Headers],[#Data],[subtotal label]],1,FALSE)))</f>
        <v/>
      </c>
      <c r="AF1111" s="1063" t="e">
        <f>IF((TB_prev[[#This Row],[Synt]]-TB_prev[[#This Row],[Subtotal Y/N]])=0,0,VLOOKUP(TB_prev[[#This Row],[Synt]],GL[[Account]:[Line]],3,FALSE))</f>
        <v>#VALUE!</v>
      </c>
      <c r="AG1111" s="1063" t="e">
        <f>VLOOKUP(TB_prev[[#This Row],[Synt]],GL[[Account]:[B/P]],4,FALSE)</f>
        <v>#N/A</v>
      </c>
      <c r="AH1111" s="1066" t="e">
        <v>#VALUE!</v>
      </c>
      <c r="AI1111" s="1065" t="e">
        <f>TB_prev[[#This Row],[Synt]]&amp;TB_prev[[#This Row],[Line No. manual corr.]]</f>
        <v>#VALUE!</v>
      </c>
      <c r="AJ1111" s="1064">
        <f t="shared" si="86"/>
        <v>0</v>
      </c>
      <c r="AK1111" s="1064">
        <f t="shared" si="87"/>
        <v>0</v>
      </c>
      <c r="AL1111" s="1064">
        <f t="shared" si="88"/>
        <v>0</v>
      </c>
      <c r="AM1111" s="1064">
        <f t="shared" si="89"/>
        <v>0</v>
      </c>
      <c r="AN1111" s="1064"/>
      <c r="AO1111" s="1064">
        <f>TB_prev[[#This Row],[Closing balance]]+TB_prev[[#This Row],[Rounding]]</f>
        <v>0</v>
      </c>
    </row>
    <row r="1112" spans="30:41" x14ac:dyDescent="0.25">
      <c r="AD1112" s="1067" t="str">
        <f t="shared" si="85"/>
        <v/>
      </c>
      <c r="AE1112" s="1063" t="str">
        <f>IF(ISNA(VLOOKUP(TB_prev[[#This Row],[Synt]],GL[[#Headers],[#Data],[subtotal label]],1,FALSE)),0,(VLOOKUP(TB_prev[[#This Row],[Synt]],GL[[#Headers],[#Data],[subtotal label]],1,FALSE)))</f>
        <v/>
      </c>
      <c r="AF1112" s="1063" t="e">
        <f>IF((TB_prev[[#This Row],[Synt]]-TB_prev[[#This Row],[Subtotal Y/N]])=0,0,VLOOKUP(TB_prev[[#This Row],[Synt]],GL[[Account]:[Line]],3,FALSE))</f>
        <v>#VALUE!</v>
      </c>
      <c r="AG1112" s="1063" t="e">
        <f>VLOOKUP(TB_prev[[#This Row],[Synt]],GL[[Account]:[B/P]],4,FALSE)</f>
        <v>#N/A</v>
      </c>
      <c r="AH1112" s="1066" t="e">
        <v>#VALUE!</v>
      </c>
      <c r="AI1112" s="1065" t="e">
        <f>TB_prev[[#This Row],[Synt]]&amp;TB_prev[[#This Row],[Line No. manual corr.]]</f>
        <v>#VALUE!</v>
      </c>
      <c r="AJ1112" s="1064">
        <f t="shared" si="86"/>
        <v>0</v>
      </c>
      <c r="AK1112" s="1064">
        <f t="shared" si="87"/>
        <v>0</v>
      </c>
      <c r="AL1112" s="1064">
        <f t="shared" si="88"/>
        <v>0</v>
      </c>
      <c r="AM1112" s="1064">
        <f t="shared" si="89"/>
        <v>0</v>
      </c>
      <c r="AN1112" s="1064"/>
      <c r="AO1112" s="1064">
        <f>TB_prev[[#This Row],[Closing balance]]+TB_prev[[#This Row],[Rounding]]</f>
        <v>0</v>
      </c>
    </row>
    <row r="1113" spans="30:41" x14ac:dyDescent="0.25">
      <c r="AD1113" s="1067" t="str">
        <f t="shared" si="85"/>
        <v/>
      </c>
      <c r="AE1113" s="1063" t="str">
        <f>IF(ISNA(VLOOKUP(TB_prev[[#This Row],[Synt]],GL[[#Headers],[#Data],[subtotal label]],1,FALSE)),0,(VLOOKUP(TB_prev[[#This Row],[Synt]],GL[[#Headers],[#Data],[subtotal label]],1,FALSE)))</f>
        <v/>
      </c>
      <c r="AF1113" s="1063" t="e">
        <f>IF((TB_prev[[#This Row],[Synt]]-TB_prev[[#This Row],[Subtotal Y/N]])=0,0,VLOOKUP(TB_prev[[#This Row],[Synt]],GL[[Account]:[Line]],3,FALSE))</f>
        <v>#VALUE!</v>
      </c>
      <c r="AG1113" s="1063" t="e">
        <f>VLOOKUP(TB_prev[[#This Row],[Synt]],GL[[Account]:[B/P]],4,FALSE)</f>
        <v>#N/A</v>
      </c>
      <c r="AH1113" s="1066" t="e">
        <v>#VALUE!</v>
      </c>
      <c r="AI1113" s="1065" t="e">
        <f>TB_prev[[#This Row],[Synt]]&amp;TB_prev[[#This Row],[Line No. manual corr.]]</f>
        <v>#VALUE!</v>
      </c>
      <c r="AJ1113" s="1064">
        <f t="shared" si="86"/>
        <v>0</v>
      </c>
      <c r="AK1113" s="1064">
        <f t="shared" si="87"/>
        <v>0</v>
      </c>
      <c r="AL1113" s="1064">
        <f t="shared" si="88"/>
        <v>0</v>
      </c>
      <c r="AM1113" s="1064">
        <f t="shared" si="89"/>
        <v>0</v>
      </c>
      <c r="AN1113" s="1064"/>
      <c r="AO1113" s="1064">
        <f>TB_prev[[#This Row],[Closing balance]]+TB_prev[[#This Row],[Rounding]]</f>
        <v>0</v>
      </c>
    </row>
    <row r="1114" spans="30:41" x14ac:dyDescent="0.25">
      <c r="AD1114" s="1067" t="str">
        <f t="shared" si="85"/>
        <v/>
      </c>
      <c r="AE1114" s="1063" t="str">
        <f>IF(ISNA(VLOOKUP(TB_prev[[#This Row],[Synt]],GL[[#Headers],[#Data],[subtotal label]],1,FALSE)),0,(VLOOKUP(TB_prev[[#This Row],[Synt]],GL[[#Headers],[#Data],[subtotal label]],1,FALSE)))</f>
        <v/>
      </c>
      <c r="AF1114" s="1063" t="e">
        <f>IF((TB_prev[[#This Row],[Synt]]-TB_prev[[#This Row],[Subtotal Y/N]])=0,0,VLOOKUP(TB_prev[[#This Row],[Synt]],GL[[Account]:[Line]],3,FALSE))</f>
        <v>#VALUE!</v>
      </c>
      <c r="AG1114" s="1063" t="e">
        <f>VLOOKUP(TB_prev[[#This Row],[Synt]],GL[[Account]:[B/P]],4,FALSE)</f>
        <v>#N/A</v>
      </c>
      <c r="AH1114" s="1066" t="e">
        <v>#VALUE!</v>
      </c>
      <c r="AI1114" s="1065" t="e">
        <f>TB_prev[[#This Row],[Synt]]&amp;TB_prev[[#This Row],[Line No. manual corr.]]</f>
        <v>#VALUE!</v>
      </c>
      <c r="AJ1114" s="1064">
        <f t="shared" si="86"/>
        <v>0</v>
      </c>
      <c r="AK1114" s="1064">
        <f t="shared" si="87"/>
        <v>0</v>
      </c>
      <c r="AL1114" s="1064">
        <f t="shared" si="88"/>
        <v>0</v>
      </c>
      <c r="AM1114" s="1064">
        <f t="shared" si="89"/>
        <v>0</v>
      </c>
      <c r="AN1114" s="1064"/>
      <c r="AO1114" s="1064">
        <f>TB_prev[[#This Row],[Closing balance]]+TB_prev[[#This Row],[Rounding]]</f>
        <v>0</v>
      </c>
    </row>
    <row r="1115" spans="30:41" x14ac:dyDescent="0.25">
      <c r="AD1115" s="1067" t="str">
        <f t="shared" si="85"/>
        <v/>
      </c>
      <c r="AE1115" s="1063" t="str">
        <f>IF(ISNA(VLOOKUP(TB_prev[[#This Row],[Synt]],GL[[#Headers],[#Data],[subtotal label]],1,FALSE)),0,(VLOOKUP(TB_prev[[#This Row],[Synt]],GL[[#Headers],[#Data],[subtotal label]],1,FALSE)))</f>
        <v/>
      </c>
      <c r="AF1115" s="1063" t="e">
        <f>IF((TB_prev[[#This Row],[Synt]]-TB_prev[[#This Row],[Subtotal Y/N]])=0,0,VLOOKUP(TB_prev[[#This Row],[Synt]],GL[[Account]:[Line]],3,FALSE))</f>
        <v>#VALUE!</v>
      </c>
      <c r="AG1115" s="1063" t="e">
        <f>VLOOKUP(TB_prev[[#This Row],[Synt]],GL[[Account]:[B/P]],4,FALSE)</f>
        <v>#N/A</v>
      </c>
      <c r="AH1115" s="1066" t="e">
        <v>#VALUE!</v>
      </c>
      <c r="AI1115" s="1065" t="e">
        <f>TB_prev[[#This Row],[Synt]]&amp;TB_prev[[#This Row],[Line No. manual corr.]]</f>
        <v>#VALUE!</v>
      </c>
      <c r="AJ1115" s="1064">
        <f t="shared" si="86"/>
        <v>0</v>
      </c>
      <c r="AK1115" s="1064">
        <f t="shared" si="87"/>
        <v>0</v>
      </c>
      <c r="AL1115" s="1064">
        <f t="shared" si="88"/>
        <v>0</v>
      </c>
      <c r="AM1115" s="1064">
        <f t="shared" si="89"/>
        <v>0</v>
      </c>
      <c r="AN1115" s="1064"/>
      <c r="AO1115" s="1064">
        <f>TB_prev[[#This Row],[Closing balance]]+TB_prev[[#This Row],[Rounding]]</f>
        <v>0</v>
      </c>
    </row>
    <row r="1116" spans="30:41" x14ac:dyDescent="0.25">
      <c r="AD1116" s="1067" t="str">
        <f t="shared" si="85"/>
        <v/>
      </c>
      <c r="AE1116" s="1063" t="str">
        <f>IF(ISNA(VLOOKUP(TB_prev[[#This Row],[Synt]],GL[[#Headers],[#Data],[subtotal label]],1,FALSE)),0,(VLOOKUP(TB_prev[[#This Row],[Synt]],GL[[#Headers],[#Data],[subtotal label]],1,FALSE)))</f>
        <v/>
      </c>
      <c r="AF1116" s="1063" t="e">
        <f>IF((TB_prev[[#This Row],[Synt]]-TB_prev[[#This Row],[Subtotal Y/N]])=0,0,VLOOKUP(TB_prev[[#This Row],[Synt]],GL[[Account]:[Line]],3,FALSE))</f>
        <v>#VALUE!</v>
      </c>
      <c r="AG1116" s="1063" t="e">
        <f>VLOOKUP(TB_prev[[#This Row],[Synt]],GL[[Account]:[B/P]],4,FALSE)</f>
        <v>#N/A</v>
      </c>
      <c r="AH1116" s="1066" t="e">
        <v>#VALUE!</v>
      </c>
      <c r="AI1116" s="1065" t="e">
        <f>TB_prev[[#This Row],[Synt]]&amp;TB_prev[[#This Row],[Line No. manual corr.]]</f>
        <v>#VALUE!</v>
      </c>
      <c r="AJ1116" s="1064">
        <f t="shared" si="86"/>
        <v>0</v>
      </c>
      <c r="AK1116" s="1064">
        <f t="shared" si="87"/>
        <v>0</v>
      </c>
      <c r="AL1116" s="1064">
        <f t="shared" si="88"/>
        <v>0</v>
      </c>
      <c r="AM1116" s="1064">
        <f t="shared" si="89"/>
        <v>0</v>
      </c>
      <c r="AN1116" s="1064"/>
      <c r="AO1116" s="1064">
        <f>TB_prev[[#This Row],[Closing balance]]+TB_prev[[#This Row],[Rounding]]</f>
        <v>0</v>
      </c>
    </row>
    <row r="1117" spans="30:41" x14ac:dyDescent="0.25">
      <c r="AD1117" s="1067" t="str">
        <f t="shared" si="85"/>
        <v/>
      </c>
      <c r="AE1117" s="1063" t="str">
        <f>IF(ISNA(VLOOKUP(TB_prev[[#This Row],[Synt]],GL[[#Headers],[#Data],[subtotal label]],1,FALSE)),0,(VLOOKUP(TB_prev[[#This Row],[Synt]],GL[[#Headers],[#Data],[subtotal label]],1,FALSE)))</f>
        <v/>
      </c>
      <c r="AF1117" s="1063" t="e">
        <f>IF((TB_prev[[#This Row],[Synt]]-TB_prev[[#This Row],[Subtotal Y/N]])=0,0,VLOOKUP(TB_prev[[#This Row],[Synt]],GL[[Account]:[Line]],3,FALSE))</f>
        <v>#VALUE!</v>
      </c>
      <c r="AG1117" s="1063" t="e">
        <f>VLOOKUP(TB_prev[[#This Row],[Synt]],GL[[Account]:[B/P]],4,FALSE)</f>
        <v>#N/A</v>
      </c>
      <c r="AH1117" s="1066" t="e">
        <v>#VALUE!</v>
      </c>
      <c r="AI1117" s="1065" t="e">
        <f>TB_prev[[#This Row],[Synt]]&amp;TB_prev[[#This Row],[Line No. manual corr.]]</f>
        <v>#VALUE!</v>
      </c>
      <c r="AJ1117" s="1064">
        <f t="shared" si="86"/>
        <v>0</v>
      </c>
      <c r="AK1117" s="1064">
        <f t="shared" si="87"/>
        <v>0</v>
      </c>
      <c r="AL1117" s="1064">
        <f t="shared" si="88"/>
        <v>0</v>
      </c>
      <c r="AM1117" s="1064">
        <f t="shared" si="89"/>
        <v>0</v>
      </c>
      <c r="AN1117" s="1064"/>
      <c r="AO1117" s="1064">
        <f>TB_prev[[#This Row],[Closing balance]]+TB_prev[[#This Row],[Rounding]]</f>
        <v>0</v>
      </c>
    </row>
    <row r="1118" spans="30:41" x14ac:dyDescent="0.25">
      <c r="AD1118" s="1067" t="str">
        <f t="shared" si="85"/>
        <v/>
      </c>
      <c r="AE1118" s="1063" t="str">
        <f>IF(ISNA(VLOOKUP(TB_prev[[#This Row],[Synt]],GL[[#Headers],[#Data],[subtotal label]],1,FALSE)),0,(VLOOKUP(TB_prev[[#This Row],[Synt]],GL[[#Headers],[#Data],[subtotal label]],1,FALSE)))</f>
        <v/>
      </c>
      <c r="AF1118" s="1063" t="e">
        <f>IF((TB_prev[[#This Row],[Synt]]-TB_prev[[#This Row],[Subtotal Y/N]])=0,0,VLOOKUP(TB_prev[[#This Row],[Synt]],GL[[Account]:[Line]],3,FALSE))</f>
        <v>#VALUE!</v>
      </c>
      <c r="AG1118" s="1063" t="e">
        <f>VLOOKUP(TB_prev[[#This Row],[Synt]],GL[[Account]:[B/P]],4,FALSE)</f>
        <v>#N/A</v>
      </c>
      <c r="AH1118" s="1066" t="e">
        <v>#VALUE!</v>
      </c>
      <c r="AI1118" s="1065" t="e">
        <f>TB_prev[[#This Row],[Synt]]&amp;TB_prev[[#This Row],[Line No. manual corr.]]</f>
        <v>#VALUE!</v>
      </c>
      <c r="AJ1118" s="1064">
        <f t="shared" si="86"/>
        <v>0</v>
      </c>
      <c r="AK1118" s="1064">
        <f t="shared" si="87"/>
        <v>0</v>
      </c>
      <c r="AL1118" s="1064">
        <f t="shared" si="88"/>
        <v>0</v>
      </c>
      <c r="AM1118" s="1064">
        <f t="shared" si="89"/>
        <v>0</v>
      </c>
      <c r="AN1118" s="1064"/>
      <c r="AO1118" s="1064">
        <f>TB_prev[[#This Row],[Closing balance]]+TB_prev[[#This Row],[Rounding]]</f>
        <v>0</v>
      </c>
    </row>
    <row r="1119" spans="30:41" x14ac:dyDescent="0.25">
      <c r="AD1119" s="1067" t="str">
        <f t="shared" si="85"/>
        <v/>
      </c>
      <c r="AE1119" s="1063" t="str">
        <f>IF(ISNA(VLOOKUP(TB_prev[[#This Row],[Synt]],GL[[#Headers],[#Data],[subtotal label]],1,FALSE)),0,(VLOOKUP(TB_prev[[#This Row],[Synt]],GL[[#Headers],[#Data],[subtotal label]],1,FALSE)))</f>
        <v/>
      </c>
      <c r="AF1119" s="1063" t="e">
        <f>IF((TB_prev[[#This Row],[Synt]]-TB_prev[[#This Row],[Subtotal Y/N]])=0,0,VLOOKUP(TB_prev[[#This Row],[Synt]],GL[[Account]:[Line]],3,FALSE))</f>
        <v>#VALUE!</v>
      </c>
      <c r="AG1119" s="1063" t="e">
        <f>VLOOKUP(TB_prev[[#This Row],[Synt]],GL[[Account]:[B/P]],4,FALSE)</f>
        <v>#N/A</v>
      </c>
      <c r="AH1119" s="1066" t="e">
        <v>#VALUE!</v>
      </c>
      <c r="AI1119" s="1065" t="e">
        <f>TB_prev[[#This Row],[Synt]]&amp;TB_prev[[#This Row],[Line No. manual corr.]]</f>
        <v>#VALUE!</v>
      </c>
      <c r="AJ1119" s="1064">
        <f t="shared" si="86"/>
        <v>0</v>
      </c>
      <c r="AK1119" s="1064">
        <f t="shared" si="87"/>
        <v>0</v>
      </c>
      <c r="AL1119" s="1064">
        <f t="shared" si="88"/>
        <v>0</v>
      </c>
      <c r="AM1119" s="1064">
        <f t="shared" si="89"/>
        <v>0</v>
      </c>
      <c r="AN1119" s="1064"/>
      <c r="AO1119" s="1064">
        <f>TB_prev[[#This Row],[Closing balance]]+TB_prev[[#This Row],[Rounding]]</f>
        <v>0</v>
      </c>
    </row>
    <row r="1120" spans="30:41" x14ac:dyDescent="0.25">
      <c r="AD1120" s="1067" t="str">
        <f t="shared" si="85"/>
        <v/>
      </c>
      <c r="AE1120" s="1063" t="str">
        <f>IF(ISNA(VLOOKUP(TB_prev[[#This Row],[Synt]],GL[[#Headers],[#Data],[subtotal label]],1,FALSE)),0,(VLOOKUP(TB_prev[[#This Row],[Synt]],GL[[#Headers],[#Data],[subtotal label]],1,FALSE)))</f>
        <v/>
      </c>
      <c r="AF1120" s="1063" t="e">
        <f>IF((TB_prev[[#This Row],[Synt]]-TB_prev[[#This Row],[Subtotal Y/N]])=0,0,VLOOKUP(TB_prev[[#This Row],[Synt]],GL[[Account]:[Line]],3,FALSE))</f>
        <v>#VALUE!</v>
      </c>
      <c r="AG1120" s="1063" t="e">
        <f>VLOOKUP(TB_prev[[#This Row],[Synt]],GL[[Account]:[B/P]],4,FALSE)</f>
        <v>#N/A</v>
      </c>
      <c r="AH1120" s="1066" t="e">
        <v>#VALUE!</v>
      </c>
      <c r="AI1120" s="1065" t="e">
        <f>TB_prev[[#This Row],[Synt]]&amp;TB_prev[[#This Row],[Line No. manual corr.]]</f>
        <v>#VALUE!</v>
      </c>
      <c r="AJ1120" s="1064">
        <f t="shared" si="86"/>
        <v>0</v>
      </c>
      <c r="AK1120" s="1064">
        <f t="shared" si="87"/>
        <v>0</v>
      </c>
      <c r="AL1120" s="1064">
        <f t="shared" si="88"/>
        <v>0</v>
      </c>
      <c r="AM1120" s="1064">
        <f t="shared" si="89"/>
        <v>0</v>
      </c>
      <c r="AN1120" s="1064"/>
      <c r="AO1120" s="1064">
        <f>TB_prev[[#This Row],[Closing balance]]+TB_prev[[#This Row],[Rounding]]</f>
        <v>0</v>
      </c>
    </row>
    <row r="1121" spans="30:41" x14ac:dyDescent="0.25">
      <c r="AD1121" s="1067" t="str">
        <f t="shared" si="85"/>
        <v/>
      </c>
      <c r="AE1121" s="1063" t="str">
        <f>IF(ISNA(VLOOKUP(TB_prev[[#This Row],[Synt]],GL[[#Headers],[#Data],[subtotal label]],1,FALSE)),0,(VLOOKUP(TB_prev[[#This Row],[Synt]],GL[[#Headers],[#Data],[subtotal label]],1,FALSE)))</f>
        <v/>
      </c>
      <c r="AF1121" s="1063" t="e">
        <f>IF((TB_prev[[#This Row],[Synt]]-TB_prev[[#This Row],[Subtotal Y/N]])=0,0,VLOOKUP(TB_prev[[#This Row],[Synt]],GL[[Account]:[Line]],3,FALSE))</f>
        <v>#VALUE!</v>
      </c>
      <c r="AG1121" s="1063" t="e">
        <f>VLOOKUP(TB_prev[[#This Row],[Synt]],GL[[Account]:[B/P]],4,FALSE)</f>
        <v>#N/A</v>
      </c>
      <c r="AH1121" s="1066" t="e">
        <v>#VALUE!</v>
      </c>
      <c r="AI1121" s="1065" t="e">
        <f>TB_prev[[#This Row],[Synt]]&amp;TB_prev[[#This Row],[Line No. manual corr.]]</f>
        <v>#VALUE!</v>
      </c>
      <c r="AJ1121" s="1064">
        <f t="shared" si="86"/>
        <v>0</v>
      </c>
      <c r="AK1121" s="1064">
        <f t="shared" si="87"/>
        <v>0</v>
      </c>
      <c r="AL1121" s="1064">
        <f t="shared" si="88"/>
        <v>0</v>
      </c>
      <c r="AM1121" s="1064">
        <f t="shared" si="89"/>
        <v>0</v>
      </c>
      <c r="AN1121" s="1064"/>
      <c r="AO1121" s="1064">
        <f>TB_prev[[#This Row],[Closing balance]]+TB_prev[[#This Row],[Rounding]]</f>
        <v>0</v>
      </c>
    </row>
    <row r="1122" spans="30:41" x14ac:dyDescent="0.25">
      <c r="AD1122" s="1067" t="str">
        <f t="shared" si="85"/>
        <v/>
      </c>
      <c r="AE1122" s="1063" t="str">
        <f>IF(ISNA(VLOOKUP(TB_prev[[#This Row],[Synt]],GL[[#Headers],[#Data],[subtotal label]],1,FALSE)),0,(VLOOKUP(TB_prev[[#This Row],[Synt]],GL[[#Headers],[#Data],[subtotal label]],1,FALSE)))</f>
        <v/>
      </c>
      <c r="AF1122" s="1063" t="e">
        <f>IF((TB_prev[[#This Row],[Synt]]-TB_prev[[#This Row],[Subtotal Y/N]])=0,0,VLOOKUP(TB_prev[[#This Row],[Synt]],GL[[Account]:[Line]],3,FALSE))</f>
        <v>#VALUE!</v>
      </c>
      <c r="AG1122" s="1063" t="e">
        <f>VLOOKUP(TB_prev[[#This Row],[Synt]],GL[[Account]:[B/P]],4,FALSE)</f>
        <v>#N/A</v>
      </c>
      <c r="AH1122" s="1066" t="e">
        <v>#VALUE!</v>
      </c>
      <c r="AI1122" s="1065" t="e">
        <f>TB_prev[[#This Row],[Synt]]&amp;TB_prev[[#This Row],[Line No. manual corr.]]</f>
        <v>#VALUE!</v>
      </c>
      <c r="AJ1122" s="1064">
        <f t="shared" si="86"/>
        <v>0</v>
      </c>
      <c r="AK1122" s="1064">
        <f t="shared" si="87"/>
        <v>0</v>
      </c>
      <c r="AL1122" s="1064">
        <f t="shared" si="88"/>
        <v>0</v>
      </c>
      <c r="AM1122" s="1064">
        <f t="shared" si="89"/>
        <v>0</v>
      </c>
      <c r="AN1122" s="1064"/>
      <c r="AO1122" s="1064">
        <f>TB_prev[[#This Row],[Closing balance]]+TB_prev[[#This Row],[Rounding]]</f>
        <v>0</v>
      </c>
    </row>
    <row r="1123" spans="30:41" x14ac:dyDescent="0.25">
      <c r="AD1123" s="1067" t="str">
        <f t="shared" si="85"/>
        <v/>
      </c>
      <c r="AE1123" s="1063" t="str">
        <f>IF(ISNA(VLOOKUP(TB_prev[[#This Row],[Synt]],GL[[#Headers],[#Data],[subtotal label]],1,FALSE)),0,(VLOOKUP(TB_prev[[#This Row],[Synt]],GL[[#Headers],[#Data],[subtotal label]],1,FALSE)))</f>
        <v/>
      </c>
      <c r="AF1123" s="1063" t="e">
        <f>IF((TB_prev[[#This Row],[Synt]]-TB_prev[[#This Row],[Subtotal Y/N]])=0,0,VLOOKUP(TB_prev[[#This Row],[Synt]],GL[[Account]:[Line]],3,FALSE))</f>
        <v>#VALUE!</v>
      </c>
      <c r="AG1123" s="1063" t="e">
        <f>VLOOKUP(TB_prev[[#This Row],[Synt]],GL[[Account]:[B/P]],4,FALSE)</f>
        <v>#N/A</v>
      </c>
      <c r="AH1123" s="1066" t="e">
        <v>#VALUE!</v>
      </c>
      <c r="AI1123" s="1065" t="e">
        <f>TB_prev[[#This Row],[Synt]]&amp;TB_prev[[#This Row],[Line No. manual corr.]]</f>
        <v>#VALUE!</v>
      </c>
      <c r="AJ1123" s="1064">
        <f t="shared" si="86"/>
        <v>0</v>
      </c>
      <c r="AK1123" s="1064">
        <f t="shared" si="87"/>
        <v>0</v>
      </c>
      <c r="AL1123" s="1064">
        <f t="shared" si="88"/>
        <v>0</v>
      </c>
      <c r="AM1123" s="1064">
        <f t="shared" si="89"/>
        <v>0</v>
      </c>
      <c r="AN1123" s="1064"/>
      <c r="AO1123" s="1064">
        <f>TB_prev[[#This Row],[Closing balance]]+TB_prev[[#This Row],[Rounding]]</f>
        <v>0</v>
      </c>
    </row>
    <row r="1124" spans="30:41" x14ac:dyDescent="0.25">
      <c r="AD1124" s="1067" t="str">
        <f t="shared" si="85"/>
        <v/>
      </c>
      <c r="AE1124" s="1063" t="str">
        <f>IF(ISNA(VLOOKUP(TB_prev[[#This Row],[Synt]],GL[[#Headers],[#Data],[subtotal label]],1,FALSE)),0,(VLOOKUP(TB_prev[[#This Row],[Synt]],GL[[#Headers],[#Data],[subtotal label]],1,FALSE)))</f>
        <v/>
      </c>
      <c r="AF1124" s="1063" t="e">
        <f>IF((TB_prev[[#This Row],[Synt]]-TB_prev[[#This Row],[Subtotal Y/N]])=0,0,VLOOKUP(TB_prev[[#This Row],[Synt]],GL[[Account]:[Line]],3,FALSE))</f>
        <v>#VALUE!</v>
      </c>
      <c r="AG1124" s="1063" t="e">
        <f>VLOOKUP(TB_prev[[#This Row],[Synt]],GL[[Account]:[B/P]],4,FALSE)</f>
        <v>#N/A</v>
      </c>
      <c r="AH1124" s="1066" t="e">
        <v>#VALUE!</v>
      </c>
      <c r="AI1124" s="1065" t="e">
        <f>TB_prev[[#This Row],[Synt]]&amp;TB_prev[[#This Row],[Line No. manual corr.]]</f>
        <v>#VALUE!</v>
      </c>
      <c r="AJ1124" s="1064">
        <f t="shared" si="86"/>
        <v>0</v>
      </c>
      <c r="AK1124" s="1064">
        <f t="shared" si="87"/>
        <v>0</v>
      </c>
      <c r="AL1124" s="1064">
        <f t="shared" si="88"/>
        <v>0</v>
      </c>
      <c r="AM1124" s="1064">
        <f t="shared" si="89"/>
        <v>0</v>
      </c>
      <c r="AN1124" s="1064"/>
      <c r="AO1124" s="1064">
        <f>TB_prev[[#This Row],[Closing balance]]+TB_prev[[#This Row],[Rounding]]</f>
        <v>0</v>
      </c>
    </row>
    <row r="1125" spans="30:41" x14ac:dyDescent="0.25">
      <c r="AD1125" s="1067" t="str">
        <f t="shared" si="85"/>
        <v/>
      </c>
      <c r="AE1125" s="1063" t="str">
        <f>IF(ISNA(VLOOKUP(TB_prev[[#This Row],[Synt]],GL[[#Headers],[#Data],[subtotal label]],1,FALSE)),0,(VLOOKUP(TB_prev[[#This Row],[Synt]],GL[[#Headers],[#Data],[subtotal label]],1,FALSE)))</f>
        <v/>
      </c>
      <c r="AF1125" s="1063" t="e">
        <f>IF((TB_prev[[#This Row],[Synt]]-TB_prev[[#This Row],[Subtotal Y/N]])=0,0,VLOOKUP(TB_prev[[#This Row],[Synt]],GL[[Account]:[Line]],3,FALSE))</f>
        <v>#VALUE!</v>
      </c>
      <c r="AG1125" s="1063" t="e">
        <f>VLOOKUP(TB_prev[[#This Row],[Synt]],GL[[Account]:[B/P]],4,FALSE)</f>
        <v>#N/A</v>
      </c>
      <c r="AH1125" s="1066" t="e">
        <v>#VALUE!</v>
      </c>
      <c r="AI1125" s="1065" t="e">
        <f>TB_prev[[#This Row],[Synt]]&amp;TB_prev[[#This Row],[Line No. manual corr.]]</f>
        <v>#VALUE!</v>
      </c>
      <c r="AJ1125" s="1064">
        <f t="shared" si="86"/>
        <v>0</v>
      </c>
      <c r="AK1125" s="1064">
        <f t="shared" si="87"/>
        <v>0</v>
      </c>
      <c r="AL1125" s="1064">
        <f t="shared" si="88"/>
        <v>0</v>
      </c>
      <c r="AM1125" s="1064">
        <f t="shared" si="89"/>
        <v>0</v>
      </c>
      <c r="AN1125" s="1064"/>
      <c r="AO1125" s="1064">
        <f>TB_prev[[#This Row],[Closing balance]]+TB_prev[[#This Row],[Rounding]]</f>
        <v>0</v>
      </c>
    </row>
    <row r="1126" spans="30:41" x14ac:dyDescent="0.25">
      <c r="AD1126" s="1067" t="str">
        <f t="shared" si="85"/>
        <v/>
      </c>
      <c r="AE1126" s="1063" t="str">
        <f>IF(ISNA(VLOOKUP(TB_prev[[#This Row],[Synt]],GL[[#Headers],[#Data],[subtotal label]],1,FALSE)),0,(VLOOKUP(TB_prev[[#This Row],[Synt]],GL[[#Headers],[#Data],[subtotal label]],1,FALSE)))</f>
        <v/>
      </c>
      <c r="AF1126" s="1063" t="e">
        <f>IF((TB_prev[[#This Row],[Synt]]-TB_prev[[#This Row],[Subtotal Y/N]])=0,0,VLOOKUP(TB_prev[[#This Row],[Synt]],GL[[Account]:[Line]],3,FALSE))</f>
        <v>#VALUE!</v>
      </c>
      <c r="AG1126" s="1063" t="e">
        <f>VLOOKUP(TB_prev[[#This Row],[Synt]],GL[[Account]:[B/P]],4,FALSE)</f>
        <v>#N/A</v>
      </c>
      <c r="AH1126" s="1066" t="e">
        <v>#VALUE!</v>
      </c>
      <c r="AI1126" s="1065" t="e">
        <f>TB_prev[[#This Row],[Synt]]&amp;TB_prev[[#This Row],[Line No. manual corr.]]</f>
        <v>#VALUE!</v>
      </c>
      <c r="AJ1126" s="1064">
        <f t="shared" si="86"/>
        <v>0</v>
      </c>
      <c r="AK1126" s="1064">
        <f t="shared" si="87"/>
        <v>0</v>
      </c>
      <c r="AL1126" s="1064">
        <f t="shared" si="88"/>
        <v>0</v>
      </c>
      <c r="AM1126" s="1064">
        <f t="shared" si="89"/>
        <v>0</v>
      </c>
      <c r="AN1126" s="1064"/>
      <c r="AO1126" s="1064">
        <f>TB_prev[[#This Row],[Closing balance]]+TB_prev[[#This Row],[Rounding]]</f>
        <v>0</v>
      </c>
    </row>
    <row r="1127" spans="30:41" x14ac:dyDescent="0.25">
      <c r="AD1127" s="1067" t="str">
        <f t="shared" si="85"/>
        <v/>
      </c>
      <c r="AE1127" s="1063" t="str">
        <f>IF(ISNA(VLOOKUP(TB_prev[[#This Row],[Synt]],GL[[#Headers],[#Data],[subtotal label]],1,FALSE)),0,(VLOOKUP(TB_prev[[#This Row],[Synt]],GL[[#Headers],[#Data],[subtotal label]],1,FALSE)))</f>
        <v/>
      </c>
      <c r="AF1127" s="1063" t="e">
        <f>IF((TB_prev[[#This Row],[Synt]]-TB_prev[[#This Row],[Subtotal Y/N]])=0,0,VLOOKUP(TB_prev[[#This Row],[Synt]],GL[[Account]:[Line]],3,FALSE))</f>
        <v>#VALUE!</v>
      </c>
      <c r="AG1127" s="1063" t="e">
        <f>VLOOKUP(TB_prev[[#This Row],[Synt]],GL[[Account]:[B/P]],4,FALSE)</f>
        <v>#N/A</v>
      </c>
      <c r="AH1127" s="1066" t="e">
        <v>#VALUE!</v>
      </c>
      <c r="AI1127" s="1065" t="e">
        <f>TB_prev[[#This Row],[Synt]]&amp;TB_prev[[#This Row],[Line No. manual corr.]]</f>
        <v>#VALUE!</v>
      </c>
      <c r="AJ1127" s="1064">
        <f t="shared" si="86"/>
        <v>0</v>
      </c>
      <c r="AK1127" s="1064">
        <f t="shared" si="87"/>
        <v>0</v>
      </c>
      <c r="AL1127" s="1064">
        <f t="shared" si="88"/>
        <v>0</v>
      </c>
      <c r="AM1127" s="1064">
        <f t="shared" si="89"/>
        <v>0</v>
      </c>
      <c r="AN1127" s="1064"/>
      <c r="AO1127" s="1064">
        <f>TB_prev[[#This Row],[Closing balance]]+TB_prev[[#This Row],[Rounding]]</f>
        <v>0</v>
      </c>
    </row>
    <row r="1128" spans="30:41" x14ac:dyDescent="0.25">
      <c r="AD1128" s="1067" t="str">
        <f t="shared" si="85"/>
        <v/>
      </c>
      <c r="AE1128" s="1063" t="str">
        <f>IF(ISNA(VLOOKUP(TB_prev[[#This Row],[Synt]],GL[[#Headers],[#Data],[subtotal label]],1,FALSE)),0,(VLOOKUP(TB_prev[[#This Row],[Synt]],GL[[#Headers],[#Data],[subtotal label]],1,FALSE)))</f>
        <v/>
      </c>
      <c r="AF1128" s="1063" t="e">
        <f>IF((TB_prev[[#This Row],[Synt]]-TB_prev[[#This Row],[Subtotal Y/N]])=0,0,VLOOKUP(TB_prev[[#This Row],[Synt]],GL[[Account]:[Line]],3,FALSE))</f>
        <v>#VALUE!</v>
      </c>
      <c r="AG1128" s="1063" t="e">
        <f>VLOOKUP(TB_prev[[#This Row],[Synt]],GL[[Account]:[B/P]],4,FALSE)</f>
        <v>#N/A</v>
      </c>
      <c r="AH1128" s="1066" t="e">
        <v>#VALUE!</v>
      </c>
      <c r="AI1128" s="1065" t="e">
        <f>TB_prev[[#This Row],[Synt]]&amp;TB_prev[[#This Row],[Line No. manual corr.]]</f>
        <v>#VALUE!</v>
      </c>
      <c r="AJ1128" s="1064">
        <f t="shared" si="86"/>
        <v>0</v>
      </c>
      <c r="AK1128" s="1064">
        <f t="shared" si="87"/>
        <v>0</v>
      </c>
      <c r="AL1128" s="1064">
        <f t="shared" si="88"/>
        <v>0</v>
      </c>
      <c r="AM1128" s="1064">
        <f t="shared" si="89"/>
        <v>0</v>
      </c>
      <c r="AN1128" s="1064"/>
      <c r="AO1128" s="1064">
        <f>TB_prev[[#This Row],[Closing balance]]+TB_prev[[#This Row],[Rounding]]</f>
        <v>0</v>
      </c>
    </row>
    <row r="1129" spans="30:41" x14ac:dyDescent="0.25">
      <c r="AD1129" s="1067" t="str">
        <f t="shared" si="85"/>
        <v/>
      </c>
      <c r="AE1129" s="1063" t="str">
        <f>IF(ISNA(VLOOKUP(TB_prev[[#This Row],[Synt]],GL[[#Headers],[#Data],[subtotal label]],1,FALSE)),0,(VLOOKUP(TB_prev[[#This Row],[Synt]],GL[[#Headers],[#Data],[subtotal label]],1,FALSE)))</f>
        <v/>
      </c>
      <c r="AF1129" s="1063" t="e">
        <f>IF((TB_prev[[#This Row],[Synt]]-TB_prev[[#This Row],[Subtotal Y/N]])=0,0,VLOOKUP(TB_prev[[#This Row],[Synt]],GL[[Account]:[Line]],3,FALSE))</f>
        <v>#VALUE!</v>
      </c>
      <c r="AG1129" s="1063" t="e">
        <f>VLOOKUP(TB_prev[[#This Row],[Synt]],GL[[Account]:[B/P]],4,FALSE)</f>
        <v>#N/A</v>
      </c>
      <c r="AH1129" s="1066" t="e">
        <v>#VALUE!</v>
      </c>
      <c r="AI1129" s="1065" t="e">
        <f>TB_prev[[#This Row],[Synt]]&amp;TB_prev[[#This Row],[Line No. manual corr.]]</f>
        <v>#VALUE!</v>
      </c>
      <c r="AJ1129" s="1064">
        <f t="shared" si="86"/>
        <v>0</v>
      </c>
      <c r="AK1129" s="1064">
        <f t="shared" si="87"/>
        <v>0</v>
      </c>
      <c r="AL1129" s="1064">
        <f t="shared" si="88"/>
        <v>0</v>
      </c>
      <c r="AM1129" s="1064">
        <f t="shared" si="89"/>
        <v>0</v>
      </c>
      <c r="AN1129" s="1064"/>
      <c r="AO1129" s="1064">
        <f>TB_prev[[#This Row],[Closing balance]]+TB_prev[[#This Row],[Rounding]]</f>
        <v>0</v>
      </c>
    </row>
    <row r="1130" spans="30:41" x14ac:dyDescent="0.25">
      <c r="AD1130" s="1067" t="str">
        <f t="shared" si="85"/>
        <v/>
      </c>
      <c r="AE1130" s="1063" t="str">
        <f>IF(ISNA(VLOOKUP(TB_prev[[#This Row],[Synt]],GL[[#Headers],[#Data],[subtotal label]],1,FALSE)),0,(VLOOKUP(TB_prev[[#This Row],[Synt]],GL[[#Headers],[#Data],[subtotal label]],1,FALSE)))</f>
        <v/>
      </c>
      <c r="AF1130" s="1063" t="e">
        <f>IF((TB_prev[[#This Row],[Synt]]-TB_prev[[#This Row],[Subtotal Y/N]])=0,0,VLOOKUP(TB_prev[[#This Row],[Synt]],GL[[Account]:[Line]],3,FALSE))</f>
        <v>#VALUE!</v>
      </c>
      <c r="AG1130" s="1063" t="e">
        <f>VLOOKUP(TB_prev[[#This Row],[Synt]],GL[[Account]:[B/P]],4,FALSE)</f>
        <v>#N/A</v>
      </c>
      <c r="AH1130" s="1066" t="e">
        <v>#VALUE!</v>
      </c>
      <c r="AI1130" s="1065" t="e">
        <f>TB_prev[[#This Row],[Synt]]&amp;TB_prev[[#This Row],[Line No. manual corr.]]</f>
        <v>#VALUE!</v>
      </c>
      <c r="AJ1130" s="1064">
        <f t="shared" si="86"/>
        <v>0</v>
      </c>
      <c r="AK1130" s="1064">
        <f t="shared" si="87"/>
        <v>0</v>
      </c>
      <c r="AL1130" s="1064">
        <f t="shared" si="88"/>
        <v>0</v>
      </c>
      <c r="AM1130" s="1064">
        <f t="shared" si="89"/>
        <v>0</v>
      </c>
      <c r="AN1130" s="1064"/>
      <c r="AO1130" s="1064">
        <f>TB_prev[[#This Row],[Closing balance]]+TB_prev[[#This Row],[Rounding]]</f>
        <v>0</v>
      </c>
    </row>
    <row r="1131" spans="30:41" x14ac:dyDescent="0.25">
      <c r="AD1131" s="1067" t="str">
        <f t="shared" si="85"/>
        <v/>
      </c>
      <c r="AE1131" s="1063" t="str">
        <f>IF(ISNA(VLOOKUP(TB_prev[[#This Row],[Synt]],GL[[#Headers],[#Data],[subtotal label]],1,FALSE)),0,(VLOOKUP(TB_prev[[#This Row],[Synt]],GL[[#Headers],[#Data],[subtotal label]],1,FALSE)))</f>
        <v/>
      </c>
      <c r="AF1131" s="1063" t="e">
        <f>IF((TB_prev[[#This Row],[Synt]]-TB_prev[[#This Row],[Subtotal Y/N]])=0,0,VLOOKUP(TB_prev[[#This Row],[Synt]],GL[[Account]:[Line]],3,FALSE))</f>
        <v>#VALUE!</v>
      </c>
      <c r="AG1131" s="1063" t="e">
        <f>VLOOKUP(TB_prev[[#This Row],[Synt]],GL[[Account]:[B/P]],4,FALSE)</f>
        <v>#N/A</v>
      </c>
      <c r="AH1131" s="1066" t="e">
        <v>#VALUE!</v>
      </c>
      <c r="AI1131" s="1065" t="e">
        <f>TB_prev[[#This Row],[Synt]]&amp;TB_prev[[#This Row],[Line No. manual corr.]]</f>
        <v>#VALUE!</v>
      </c>
      <c r="AJ1131" s="1064">
        <f t="shared" si="86"/>
        <v>0</v>
      </c>
      <c r="AK1131" s="1064">
        <f t="shared" si="87"/>
        <v>0</v>
      </c>
      <c r="AL1131" s="1064">
        <f t="shared" si="88"/>
        <v>0</v>
      </c>
      <c r="AM1131" s="1064">
        <f t="shared" si="89"/>
        <v>0</v>
      </c>
      <c r="AN1131" s="1064"/>
      <c r="AO1131" s="1064">
        <f>TB_prev[[#This Row],[Closing balance]]+TB_prev[[#This Row],[Rounding]]</f>
        <v>0</v>
      </c>
    </row>
    <row r="1132" spans="30:41" x14ac:dyDescent="0.25">
      <c r="AD1132" s="1067" t="str">
        <f t="shared" si="85"/>
        <v/>
      </c>
      <c r="AE1132" s="1063" t="str">
        <f>IF(ISNA(VLOOKUP(TB_prev[[#This Row],[Synt]],GL[[#Headers],[#Data],[subtotal label]],1,FALSE)),0,(VLOOKUP(TB_prev[[#This Row],[Synt]],GL[[#Headers],[#Data],[subtotal label]],1,FALSE)))</f>
        <v/>
      </c>
      <c r="AF1132" s="1063" t="e">
        <f>IF((TB_prev[[#This Row],[Synt]]-TB_prev[[#This Row],[Subtotal Y/N]])=0,0,VLOOKUP(TB_prev[[#This Row],[Synt]],GL[[Account]:[Line]],3,FALSE))</f>
        <v>#VALUE!</v>
      </c>
      <c r="AG1132" s="1063" t="e">
        <f>VLOOKUP(TB_prev[[#This Row],[Synt]],GL[[Account]:[B/P]],4,FALSE)</f>
        <v>#N/A</v>
      </c>
      <c r="AH1132" s="1066" t="e">
        <v>#VALUE!</v>
      </c>
      <c r="AI1132" s="1065" t="e">
        <f>TB_prev[[#This Row],[Synt]]&amp;TB_prev[[#This Row],[Line No. manual corr.]]</f>
        <v>#VALUE!</v>
      </c>
      <c r="AJ1132" s="1064">
        <f t="shared" si="86"/>
        <v>0</v>
      </c>
      <c r="AK1132" s="1064">
        <f t="shared" si="87"/>
        <v>0</v>
      </c>
      <c r="AL1132" s="1064">
        <f t="shared" si="88"/>
        <v>0</v>
      </c>
      <c r="AM1132" s="1064">
        <f t="shared" si="89"/>
        <v>0</v>
      </c>
      <c r="AN1132" s="1064"/>
      <c r="AO1132" s="1064">
        <f>TB_prev[[#This Row],[Closing balance]]+TB_prev[[#This Row],[Rounding]]</f>
        <v>0</v>
      </c>
    </row>
    <row r="1133" spans="30:41" x14ac:dyDescent="0.25">
      <c r="AD1133" s="1067" t="str">
        <f t="shared" si="85"/>
        <v/>
      </c>
      <c r="AE1133" s="1063" t="str">
        <f>IF(ISNA(VLOOKUP(TB_prev[[#This Row],[Synt]],GL[[#Headers],[#Data],[subtotal label]],1,FALSE)),0,(VLOOKUP(TB_prev[[#This Row],[Synt]],GL[[#Headers],[#Data],[subtotal label]],1,FALSE)))</f>
        <v/>
      </c>
      <c r="AF1133" s="1063" t="e">
        <f>IF((TB_prev[[#This Row],[Synt]]-TB_prev[[#This Row],[Subtotal Y/N]])=0,0,VLOOKUP(TB_prev[[#This Row],[Synt]],GL[[Account]:[Line]],3,FALSE))</f>
        <v>#VALUE!</v>
      </c>
      <c r="AG1133" s="1063" t="e">
        <f>VLOOKUP(TB_prev[[#This Row],[Synt]],GL[[Account]:[B/P]],4,FALSE)</f>
        <v>#N/A</v>
      </c>
      <c r="AH1133" s="1066" t="e">
        <v>#VALUE!</v>
      </c>
      <c r="AI1133" s="1065" t="e">
        <f>TB_prev[[#This Row],[Synt]]&amp;TB_prev[[#This Row],[Line No. manual corr.]]</f>
        <v>#VALUE!</v>
      </c>
      <c r="AJ1133" s="1064">
        <f t="shared" si="86"/>
        <v>0</v>
      </c>
      <c r="AK1133" s="1064">
        <f t="shared" si="87"/>
        <v>0</v>
      </c>
      <c r="AL1133" s="1064">
        <f t="shared" si="88"/>
        <v>0</v>
      </c>
      <c r="AM1133" s="1064">
        <f t="shared" si="89"/>
        <v>0</v>
      </c>
      <c r="AN1133" s="1064"/>
      <c r="AO1133" s="1064">
        <f>TB_prev[[#This Row],[Closing balance]]+TB_prev[[#This Row],[Rounding]]</f>
        <v>0</v>
      </c>
    </row>
    <row r="1134" spans="30:41" x14ac:dyDescent="0.25">
      <c r="AD1134" s="1067" t="str">
        <f t="shared" si="85"/>
        <v/>
      </c>
      <c r="AE1134" s="1063" t="str">
        <f>IF(ISNA(VLOOKUP(TB_prev[[#This Row],[Synt]],GL[[#Headers],[#Data],[subtotal label]],1,FALSE)),0,(VLOOKUP(TB_prev[[#This Row],[Synt]],GL[[#Headers],[#Data],[subtotal label]],1,FALSE)))</f>
        <v/>
      </c>
      <c r="AF1134" s="1063" t="e">
        <f>IF((TB_prev[[#This Row],[Synt]]-TB_prev[[#This Row],[Subtotal Y/N]])=0,0,VLOOKUP(TB_prev[[#This Row],[Synt]],GL[[Account]:[Line]],3,FALSE))</f>
        <v>#VALUE!</v>
      </c>
      <c r="AG1134" s="1063" t="e">
        <f>VLOOKUP(TB_prev[[#This Row],[Synt]],GL[[Account]:[B/P]],4,FALSE)</f>
        <v>#N/A</v>
      </c>
      <c r="AH1134" s="1066" t="e">
        <v>#VALUE!</v>
      </c>
      <c r="AI1134" s="1065" t="e">
        <f>TB_prev[[#This Row],[Synt]]&amp;TB_prev[[#This Row],[Line No. manual corr.]]</f>
        <v>#VALUE!</v>
      </c>
      <c r="AJ1134" s="1064">
        <f t="shared" si="86"/>
        <v>0</v>
      </c>
      <c r="AK1134" s="1064">
        <f t="shared" si="87"/>
        <v>0</v>
      </c>
      <c r="AL1134" s="1064">
        <f t="shared" si="88"/>
        <v>0</v>
      </c>
      <c r="AM1134" s="1064">
        <f t="shared" si="89"/>
        <v>0</v>
      </c>
      <c r="AN1134" s="1064"/>
      <c r="AO1134" s="1064">
        <f>TB_prev[[#This Row],[Closing balance]]+TB_prev[[#This Row],[Rounding]]</f>
        <v>0</v>
      </c>
    </row>
    <row r="1135" spans="30:41" x14ac:dyDescent="0.25">
      <c r="AD1135" s="1067" t="str">
        <f t="shared" si="85"/>
        <v/>
      </c>
      <c r="AE1135" s="1063" t="str">
        <f>IF(ISNA(VLOOKUP(TB_prev[[#This Row],[Synt]],GL[[#Headers],[#Data],[subtotal label]],1,FALSE)),0,(VLOOKUP(TB_prev[[#This Row],[Synt]],GL[[#Headers],[#Data],[subtotal label]],1,FALSE)))</f>
        <v/>
      </c>
      <c r="AF1135" s="1063" t="e">
        <f>IF((TB_prev[[#This Row],[Synt]]-TB_prev[[#This Row],[Subtotal Y/N]])=0,0,VLOOKUP(TB_prev[[#This Row],[Synt]],GL[[Account]:[Line]],3,FALSE))</f>
        <v>#VALUE!</v>
      </c>
      <c r="AG1135" s="1063" t="e">
        <f>VLOOKUP(TB_prev[[#This Row],[Synt]],GL[[Account]:[B/P]],4,FALSE)</f>
        <v>#N/A</v>
      </c>
      <c r="AH1135" s="1066" t="e">
        <v>#VALUE!</v>
      </c>
      <c r="AI1135" s="1065" t="e">
        <f>TB_prev[[#This Row],[Synt]]&amp;TB_prev[[#This Row],[Line No. manual corr.]]</f>
        <v>#VALUE!</v>
      </c>
      <c r="AJ1135" s="1064">
        <f t="shared" si="86"/>
        <v>0</v>
      </c>
      <c r="AK1135" s="1064">
        <f t="shared" si="87"/>
        <v>0</v>
      </c>
      <c r="AL1135" s="1064">
        <f t="shared" si="88"/>
        <v>0</v>
      </c>
      <c r="AM1135" s="1064">
        <f t="shared" si="89"/>
        <v>0</v>
      </c>
      <c r="AN1135" s="1064"/>
      <c r="AO1135" s="1064">
        <f>TB_prev[[#This Row],[Closing balance]]+TB_prev[[#This Row],[Rounding]]</f>
        <v>0</v>
      </c>
    </row>
    <row r="1136" spans="30:41" x14ac:dyDescent="0.25">
      <c r="AD1136" s="1067" t="str">
        <f t="shared" si="85"/>
        <v/>
      </c>
      <c r="AE1136" s="1063" t="str">
        <f>IF(ISNA(VLOOKUP(TB_prev[[#This Row],[Synt]],GL[[#Headers],[#Data],[subtotal label]],1,FALSE)),0,(VLOOKUP(TB_prev[[#This Row],[Synt]],GL[[#Headers],[#Data],[subtotal label]],1,FALSE)))</f>
        <v/>
      </c>
      <c r="AF1136" s="1063" t="e">
        <f>IF((TB_prev[[#This Row],[Synt]]-TB_prev[[#This Row],[Subtotal Y/N]])=0,0,VLOOKUP(TB_prev[[#This Row],[Synt]],GL[[Account]:[Line]],3,FALSE))</f>
        <v>#VALUE!</v>
      </c>
      <c r="AG1136" s="1063" t="e">
        <f>VLOOKUP(TB_prev[[#This Row],[Synt]],GL[[Account]:[B/P]],4,FALSE)</f>
        <v>#N/A</v>
      </c>
      <c r="AH1136" s="1066" t="e">
        <v>#VALUE!</v>
      </c>
      <c r="AI1136" s="1065" t="e">
        <f>TB_prev[[#This Row],[Synt]]&amp;TB_prev[[#This Row],[Line No. manual corr.]]</f>
        <v>#VALUE!</v>
      </c>
      <c r="AJ1136" s="1064">
        <f t="shared" si="86"/>
        <v>0</v>
      </c>
      <c r="AK1136" s="1064">
        <f t="shared" si="87"/>
        <v>0</v>
      </c>
      <c r="AL1136" s="1064">
        <f t="shared" si="88"/>
        <v>0</v>
      </c>
      <c r="AM1136" s="1064">
        <f t="shared" si="89"/>
        <v>0</v>
      </c>
      <c r="AN1136" s="1064"/>
      <c r="AO1136" s="1064">
        <f>TB_prev[[#This Row],[Closing balance]]+TB_prev[[#This Row],[Rounding]]</f>
        <v>0</v>
      </c>
    </row>
    <row r="1137" spans="30:41" x14ac:dyDescent="0.25">
      <c r="AD1137" s="1067" t="str">
        <f t="shared" si="85"/>
        <v/>
      </c>
      <c r="AE1137" s="1063" t="str">
        <f>IF(ISNA(VLOOKUP(TB_prev[[#This Row],[Synt]],GL[[#Headers],[#Data],[subtotal label]],1,FALSE)),0,(VLOOKUP(TB_prev[[#This Row],[Synt]],GL[[#Headers],[#Data],[subtotal label]],1,FALSE)))</f>
        <v/>
      </c>
      <c r="AF1137" s="1063" t="e">
        <f>IF((TB_prev[[#This Row],[Synt]]-TB_prev[[#This Row],[Subtotal Y/N]])=0,0,VLOOKUP(TB_prev[[#This Row],[Synt]],GL[[Account]:[Line]],3,FALSE))</f>
        <v>#VALUE!</v>
      </c>
      <c r="AG1137" s="1063" t="e">
        <f>VLOOKUP(TB_prev[[#This Row],[Synt]],GL[[Account]:[B/P]],4,FALSE)</f>
        <v>#N/A</v>
      </c>
      <c r="AH1137" s="1066" t="e">
        <v>#VALUE!</v>
      </c>
      <c r="AI1137" s="1065" t="e">
        <f>TB_prev[[#This Row],[Synt]]&amp;TB_prev[[#This Row],[Line No. manual corr.]]</f>
        <v>#VALUE!</v>
      </c>
      <c r="AJ1137" s="1064">
        <f t="shared" si="86"/>
        <v>0</v>
      </c>
      <c r="AK1137" s="1064">
        <f t="shared" si="87"/>
        <v>0</v>
      </c>
      <c r="AL1137" s="1064">
        <f t="shared" si="88"/>
        <v>0</v>
      </c>
      <c r="AM1137" s="1064">
        <f t="shared" si="89"/>
        <v>0</v>
      </c>
      <c r="AN1137" s="1064"/>
      <c r="AO1137" s="1064">
        <f>TB_prev[[#This Row],[Closing balance]]+TB_prev[[#This Row],[Rounding]]</f>
        <v>0</v>
      </c>
    </row>
    <row r="1138" spans="30:41" x14ac:dyDescent="0.25">
      <c r="AD1138" s="1067" t="str">
        <f t="shared" si="85"/>
        <v/>
      </c>
      <c r="AE1138" s="1063" t="str">
        <f>IF(ISNA(VLOOKUP(TB_prev[[#This Row],[Synt]],GL[[#Headers],[#Data],[subtotal label]],1,FALSE)),0,(VLOOKUP(TB_prev[[#This Row],[Synt]],GL[[#Headers],[#Data],[subtotal label]],1,FALSE)))</f>
        <v/>
      </c>
      <c r="AF1138" s="1063" t="e">
        <f>IF((TB_prev[[#This Row],[Synt]]-TB_prev[[#This Row],[Subtotal Y/N]])=0,0,VLOOKUP(TB_prev[[#This Row],[Synt]],GL[[Account]:[Line]],3,FALSE))</f>
        <v>#VALUE!</v>
      </c>
      <c r="AG1138" s="1063" t="e">
        <f>VLOOKUP(TB_prev[[#This Row],[Synt]],GL[[Account]:[B/P]],4,FALSE)</f>
        <v>#N/A</v>
      </c>
      <c r="AH1138" s="1066" t="e">
        <v>#VALUE!</v>
      </c>
      <c r="AI1138" s="1065" t="e">
        <f>TB_prev[[#This Row],[Synt]]&amp;TB_prev[[#This Row],[Line No. manual corr.]]</f>
        <v>#VALUE!</v>
      </c>
      <c r="AJ1138" s="1064">
        <f t="shared" si="86"/>
        <v>0</v>
      </c>
      <c r="AK1138" s="1064">
        <f t="shared" si="87"/>
        <v>0</v>
      </c>
      <c r="AL1138" s="1064">
        <f t="shared" si="88"/>
        <v>0</v>
      </c>
      <c r="AM1138" s="1064">
        <f t="shared" si="89"/>
        <v>0</v>
      </c>
      <c r="AN1138" s="1064"/>
      <c r="AO1138" s="1064">
        <f>TB_prev[[#This Row],[Closing balance]]+TB_prev[[#This Row],[Rounding]]</f>
        <v>0</v>
      </c>
    </row>
    <row r="1139" spans="30:41" x14ac:dyDescent="0.25">
      <c r="AD1139" s="1067" t="str">
        <f t="shared" si="85"/>
        <v/>
      </c>
      <c r="AE1139" s="1063" t="str">
        <f>IF(ISNA(VLOOKUP(TB_prev[[#This Row],[Synt]],GL[[#Headers],[#Data],[subtotal label]],1,FALSE)),0,(VLOOKUP(TB_prev[[#This Row],[Synt]],GL[[#Headers],[#Data],[subtotal label]],1,FALSE)))</f>
        <v/>
      </c>
      <c r="AF1139" s="1063" t="e">
        <f>IF((TB_prev[[#This Row],[Synt]]-TB_prev[[#This Row],[Subtotal Y/N]])=0,0,VLOOKUP(TB_prev[[#This Row],[Synt]],GL[[Account]:[Line]],3,FALSE))</f>
        <v>#VALUE!</v>
      </c>
      <c r="AG1139" s="1063" t="e">
        <f>VLOOKUP(TB_prev[[#This Row],[Synt]],GL[[Account]:[B/P]],4,FALSE)</f>
        <v>#N/A</v>
      </c>
      <c r="AH1139" s="1066" t="e">
        <v>#VALUE!</v>
      </c>
      <c r="AI1139" s="1065" t="e">
        <f>TB_prev[[#This Row],[Synt]]&amp;TB_prev[[#This Row],[Line No. manual corr.]]</f>
        <v>#VALUE!</v>
      </c>
      <c r="AJ1139" s="1064">
        <f t="shared" si="86"/>
        <v>0</v>
      </c>
      <c r="AK1139" s="1064">
        <f t="shared" si="87"/>
        <v>0</v>
      </c>
      <c r="AL1139" s="1064">
        <f t="shared" si="88"/>
        <v>0</v>
      </c>
      <c r="AM1139" s="1064">
        <f t="shared" si="89"/>
        <v>0</v>
      </c>
      <c r="AN1139" s="1064"/>
      <c r="AO1139" s="1064">
        <f>TB_prev[[#This Row],[Closing balance]]+TB_prev[[#This Row],[Rounding]]</f>
        <v>0</v>
      </c>
    </row>
    <row r="1140" spans="30:41" x14ac:dyDescent="0.25">
      <c r="AD1140" s="1067" t="str">
        <f t="shared" si="85"/>
        <v/>
      </c>
      <c r="AE1140" s="1063" t="str">
        <f>IF(ISNA(VLOOKUP(TB_prev[[#This Row],[Synt]],GL[[#Headers],[#Data],[subtotal label]],1,FALSE)),0,(VLOOKUP(TB_prev[[#This Row],[Synt]],GL[[#Headers],[#Data],[subtotal label]],1,FALSE)))</f>
        <v/>
      </c>
      <c r="AF1140" s="1063" t="e">
        <f>IF((TB_prev[[#This Row],[Synt]]-TB_prev[[#This Row],[Subtotal Y/N]])=0,0,VLOOKUP(TB_prev[[#This Row],[Synt]],GL[[Account]:[Line]],3,FALSE))</f>
        <v>#VALUE!</v>
      </c>
      <c r="AG1140" s="1063" t="e">
        <f>VLOOKUP(TB_prev[[#This Row],[Synt]],GL[[Account]:[B/P]],4,FALSE)</f>
        <v>#N/A</v>
      </c>
      <c r="AH1140" s="1066" t="e">
        <v>#VALUE!</v>
      </c>
      <c r="AI1140" s="1065" t="e">
        <f>TB_prev[[#This Row],[Synt]]&amp;TB_prev[[#This Row],[Line No. manual corr.]]</f>
        <v>#VALUE!</v>
      </c>
      <c r="AJ1140" s="1064">
        <f t="shared" si="86"/>
        <v>0</v>
      </c>
      <c r="AK1140" s="1064">
        <f t="shared" si="87"/>
        <v>0</v>
      </c>
      <c r="AL1140" s="1064">
        <f t="shared" si="88"/>
        <v>0</v>
      </c>
      <c r="AM1140" s="1064">
        <f t="shared" si="89"/>
        <v>0</v>
      </c>
      <c r="AN1140" s="1064"/>
      <c r="AO1140" s="1064">
        <f>TB_prev[[#This Row],[Closing balance]]+TB_prev[[#This Row],[Rounding]]</f>
        <v>0</v>
      </c>
    </row>
    <row r="1141" spans="30:41" x14ac:dyDescent="0.25">
      <c r="AD1141" s="1067" t="str">
        <f t="shared" si="85"/>
        <v/>
      </c>
      <c r="AE1141" s="1063" t="str">
        <f>IF(ISNA(VLOOKUP(TB_prev[[#This Row],[Synt]],GL[[#Headers],[#Data],[subtotal label]],1,FALSE)),0,(VLOOKUP(TB_prev[[#This Row],[Synt]],GL[[#Headers],[#Data],[subtotal label]],1,FALSE)))</f>
        <v/>
      </c>
      <c r="AF1141" s="1063" t="e">
        <f>IF((TB_prev[[#This Row],[Synt]]-TB_prev[[#This Row],[Subtotal Y/N]])=0,0,VLOOKUP(TB_prev[[#This Row],[Synt]],GL[[Account]:[Line]],3,FALSE))</f>
        <v>#VALUE!</v>
      </c>
      <c r="AG1141" s="1063" t="e">
        <f>VLOOKUP(TB_prev[[#This Row],[Synt]],GL[[Account]:[B/P]],4,FALSE)</f>
        <v>#N/A</v>
      </c>
      <c r="AH1141" s="1066" t="e">
        <v>#VALUE!</v>
      </c>
      <c r="AI1141" s="1065" t="e">
        <f>TB_prev[[#This Row],[Synt]]&amp;TB_prev[[#This Row],[Line No. manual corr.]]</f>
        <v>#VALUE!</v>
      </c>
      <c r="AJ1141" s="1064">
        <f t="shared" si="86"/>
        <v>0</v>
      </c>
      <c r="AK1141" s="1064">
        <f t="shared" si="87"/>
        <v>0</v>
      </c>
      <c r="AL1141" s="1064">
        <f t="shared" si="88"/>
        <v>0</v>
      </c>
      <c r="AM1141" s="1064">
        <f t="shared" si="89"/>
        <v>0</v>
      </c>
      <c r="AN1141" s="1064"/>
      <c r="AO1141" s="1064">
        <f>TB_prev[[#This Row],[Closing balance]]+TB_prev[[#This Row],[Rounding]]</f>
        <v>0</v>
      </c>
    </row>
    <row r="1142" spans="30:41" x14ac:dyDescent="0.25">
      <c r="AD1142" s="1067" t="str">
        <f t="shared" si="85"/>
        <v/>
      </c>
      <c r="AE1142" s="1063" t="str">
        <f>IF(ISNA(VLOOKUP(TB_prev[[#This Row],[Synt]],GL[[#Headers],[#Data],[subtotal label]],1,FALSE)),0,(VLOOKUP(TB_prev[[#This Row],[Synt]],GL[[#Headers],[#Data],[subtotal label]],1,FALSE)))</f>
        <v/>
      </c>
      <c r="AF1142" s="1063" t="e">
        <f>IF((TB_prev[[#This Row],[Synt]]-TB_prev[[#This Row],[Subtotal Y/N]])=0,0,VLOOKUP(TB_prev[[#This Row],[Synt]],GL[[Account]:[Line]],3,FALSE))</f>
        <v>#VALUE!</v>
      </c>
      <c r="AG1142" s="1063" t="e">
        <f>VLOOKUP(TB_prev[[#This Row],[Synt]],GL[[Account]:[B/P]],4,FALSE)</f>
        <v>#N/A</v>
      </c>
      <c r="AH1142" s="1066" t="e">
        <v>#VALUE!</v>
      </c>
      <c r="AI1142" s="1065" t="e">
        <f>TB_prev[[#This Row],[Synt]]&amp;TB_prev[[#This Row],[Line No. manual corr.]]</f>
        <v>#VALUE!</v>
      </c>
      <c r="AJ1142" s="1064">
        <f t="shared" si="86"/>
        <v>0</v>
      </c>
      <c r="AK1142" s="1064">
        <f t="shared" si="87"/>
        <v>0</v>
      </c>
      <c r="AL1142" s="1064">
        <f t="shared" si="88"/>
        <v>0</v>
      </c>
      <c r="AM1142" s="1064">
        <f t="shared" si="89"/>
        <v>0</v>
      </c>
      <c r="AN1142" s="1064"/>
      <c r="AO1142" s="1064">
        <f>TB_prev[[#This Row],[Closing balance]]+TB_prev[[#This Row],[Rounding]]</f>
        <v>0</v>
      </c>
    </row>
    <row r="1143" spans="30:41" x14ac:dyDescent="0.25">
      <c r="AD1143" s="1067" t="str">
        <f t="shared" si="85"/>
        <v/>
      </c>
      <c r="AE1143" s="1063" t="str">
        <f>IF(ISNA(VLOOKUP(TB_prev[[#This Row],[Synt]],GL[[#Headers],[#Data],[subtotal label]],1,FALSE)),0,(VLOOKUP(TB_prev[[#This Row],[Synt]],GL[[#Headers],[#Data],[subtotal label]],1,FALSE)))</f>
        <v/>
      </c>
      <c r="AF1143" s="1063" t="e">
        <f>IF((TB_prev[[#This Row],[Synt]]-TB_prev[[#This Row],[Subtotal Y/N]])=0,0,VLOOKUP(TB_prev[[#This Row],[Synt]],GL[[Account]:[Line]],3,FALSE))</f>
        <v>#VALUE!</v>
      </c>
      <c r="AG1143" s="1063" t="e">
        <f>VLOOKUP(TB_prev[[#This Row],[Synt]],GL[[Account]:[B/P]],4,FALSE)</f>
        <v>#N/A</v>
      </c>
      <c r="AH1143" s="1066" t="e">
        <v>#VALUE!</v>
      </c>
      <c r="AI1143" s="1065" t="e">
        <f>TB_prev[[#This Row],[Synt]]&amp;TB_prev[[#This Row],[Line No. manual corr.]]</f>
        <v>#VALUE!</v>
      </c>
      <c r="AJ1143" s="1064">
        <f t="shared" si="86"/>
        <v>0</v>
      </c>
      <c r="AK1143" s="1064">
        <f t="shared" si="87"/>
        <v>0</v>
      </c>
      <c r="AL1143" s="1064">
        <f t="shared" si="88"/>
        <v>0</v>
      </c>
      <c r="AM1143" s="1064">
        <f t="shared" si="89"/>
        <v>0</v>
      </c>
      <c r="AN1143" s="1064"/>
      <c r="AO1143" s="1064">
        <f>TB_prev[[#This Row],[Closing balance]]+TB_prev[[#This Row],[Rounding]]</f>
        <v>0</v>
      </c>
    </row>
    <row r="1144" spans="30:41" x14ac:dyDescent="0.25">
      <c r="AD1144" s="1067" t="str">
        <f t="shared" si="85"/>
        <v/>
      </c>
      <c r="AE1144" s="1063" t="str">
        <f>IF(ISNA(VLOOKUP(TB_prev[[#This Row],[Synt]],GL[[#Headers],[#Data],[subtotal label]],1,FALSE)),0,(VLOOKUP(TB_prev[[#This Row],[Synt]],GL[[#Headers],[#Data],[subtotal label]],1,FALSE)))</f>
        <v/>
      </c>
      <c r="AF1144" s="1063" t="e">
        <f>IF((TB_prev[[#This Row],[Synt]]-TB_prev[[#This Row],[Subtotal Y/N]])=0,0,VLOOKUP(TB_prev[[#This Row],[Synt]],GL[[Account]:[Line]],3,FALSE))</f>
        <v>#VALUE!</v>
      </c>
      <c r="AG1144" s="1063" t="e">
        <f>VLOOKUP(TB_prev[[#This Row],[Synt]],GL[[Account]:[B/P]],4,FALSE)</f>
        <v>#N/A</v>
      </c>
      <c r="AH1144" s="1066" t="e">
        <v>#VALUE!</v>
      </c>
      <c r="AI1144" s="1065" t="e">
        <f>TB_prev[[#This Row],[Synt]]&amp;TB_prev[[#This Row],[Line No. manual corr.]]</f>
        <v>#VALUE!</v>
      </c>
      <c r="AJ1144" s="1064">
        <f t="shared" si="86"/>
        <v>0</v>
      </c>
      <c r="AK1144" s="1064">
        <f t="shared" si="87"/>
        <v>0</v>
      </c>
      <c r="AL1144" s="1064">
        <f t="shared" si="88"/>
        <v>0</v>
      </c>
      <c r="AM1144" s="1064">
        <f t="shared" si="89"/>
        <v>0</v>
      </c>
      <c r="AN1144" s="1064"/>
      <c r="AO1144" s="1064">
        <f>TB_prev[[#This Row],[Closing balance]]+TB_prev[[#This Row],[Rounding]]</f>
        <v>0</v>
      </c>
    </row>
    <row r="1145" spans="30:41" x14ac:dyDescent="0.25">
      <c r="AD1145" s="1067" t="str">
        <f t="shared" si="85"/>
        <v/>
      </c>
      <c r="AE1145" s="1063" t="str">
        <f>IF(ISNA(VLOOKUP(TB_prev[[#This Row],[Synt]],GL[[#Headers],[#Data],[subtotal label]],1,FALSE)),0,(VLOOKUP(TB_prev[[#This Row],[Synt]],GL[[#Headers],[#Data],[subtotal label]],1,FALSE)))</f>
        <v/>
      </c>
      <c r="AF1145" s="1063" t="e">
        <f>IF((TB_prev[[#This Row],[Synt]]-TB_prev[[#This Row],[Subtotal Y/N]])=0,0,VLOOKUP(TB_prev[[#This Row],[Synt]],GL[[Account]:[Line]],3,FALSE))</f>
        <v>#VALUE!</v>
      </c>
      <c r="AG1145" s="1063" t="e">
        <f>VLOOKUP(TB_prev[[#This Row],[Synt]],GL[[Account]:[B/P]],4,FALSE)</f>
        <v>#N/A</v>
      </c>
      <c r="AH1145" s="1066" t="e">
        <v>#VALUE!</v>
      </c>
      <c r="AI1145" s="1065" t="e">
        <f>TB_prev[[#This Row],[Synt]]&amp;TB_prev[[#This Row],[Line No. manual corr.]]</f>
        <v>#VALUE!</v>
      </c>
      <c r="AJ1145" s="1064">
        <f t="shared" si="86"/>
        <v>0</v>
      </c>
      <c r="AK1145" s="1064">
        <f t="shared" si="87"/>
        <v>0</v>
      </c>
      <c r="AL1145" s="1064">
        <f t="shared" si="88"/>
        <v>0</v>
      </c>
      <c r="AM1145" s="1064">
        <f t="shared" si="89"/>
        <v>0</v>
      </c>
      <c r="AN1145" s="1064"/>
      <c r="AO1145" s="1064">
        <f>TB_prev[[#This Row],[Closing balance]]+TB_prev[[#This Row],[Rounding]]</f>
        <v>0</v>
      </c>
    </row>
    <row r="1146" spans="30:41" x14ac:dyDescent="0.25">
      <c r="AD1146" s="1067" t="str">
        <f t="shared" si="85"/>
        <v/>
      </c>
      <c r="AE1146" s="1063" t="str">
        <f>IF(ISNA(VLOOKUP(TB_prev[[#This Row],[Synt]],GL[[#Headers],[#Data],[subtotal label]],1,FALSE)),0,(VLOOKUP(TB_prev[[#This Row],[Synt]],GL[[#Headers],[#Data],[subtotal label]],1,FALSE)))</f>
        <v/>
      </c>
      <c r="AF1146" s="1063" t="e">
        <f>IF((TB_prev[[#This Row],[Synt]]-TB_prev[[#This Row],[Subtotal Y/N]])=0,0,VLOOKUP(TB_prev[[#This Row],[Synt]],GL[[Account]:[Line]],3,FALSE))</f>
        <v>#VALUE!</v>
      </c>
      <c r="AG1146" s="1063" t="e">
        <f>VLOOKUP(TB_prev[[#This Row],[Synt]],GL[[Account]:[B/P]],4,FALSE)</f>
        <v>#N/A</v>
      </c>
      <c r="AH1146" s="1066" t="e">
        <v>#VALUE!</v>
      </c>
      <c r="AI1146" s="1065" t="e">
        <f>TB_prev[[#This Row],[Synt]]&amp;TB_prev[[#This Row],[Line No. manual corr.]]</f>
        <v>#VALUE!</v>
      </c>
      <c r="AJ1146" s="1064">
        <f t="shared" si="86"/>
        <v>0</v>
      </c>
      <c r="AK1146" s="1064">
        <f t="shared" si="87"/>
        <v>0</v>
      </c>
      <c r="AL1146" s="1064">
        <f t="shared" si="88"/>
        <v>0</v>
      </c>
      <c r="AM1146" s="1064">
        <f t="shared" si="89"/>
        <v>0</v>
      </c>
      <c r="AN1146" s="1064"/>
      <c r="AO1146" s="1064">
        <f>TB_prev[[#This Row],[Closing balance]]+TB_prev[[#This Row],[Rounding]]</f>
        <v>0</v>
      </c>
    </row>
    <row r="1147" spans="30:41" x14ac:dyDescent="0.25">
      <c r="AD1147" s="1067" t="str">
        <f t="shared" si="85"/>
        <v/>
      </c>
      <c r="AE1147" s="1063" t="str">
        <f>IF(ISNA(VLOOKUP(TB_prev[[#This Row],[Synt]],GL[[#Headers],[#Data],[subtotal label]],1,FALSE)),0,(VLOOKUP(TB_prev[[#This Row],[Synt]],GL[[#Headers],[#Data],[subtotal label]],1,FALSE)))</f>
        <v/>
      </c>
      <c r="AF1147" s="1063" t="e">
        <f>IF((TB_prev[[#This Row],[Synt]]-TB_prev[[#This Row],[Subtotal Y/N]])=0,0,VLOOKUP(TB_prev[[#This Row],[Synt]],GL[[Account]:[Line]],3,FALSE))</f>
        <v>#VALUE!</v>
      </c>
      <c r="AG1147" s="1063" t="e">
        <f>VLOOKUP(TB_prev[[#This Row],[Synt]],GL[[Account]:[B/P]],4,FALSE)</f>
        <v>#N/A</v>
      </c>
      <c r="AH1147" s="1066" t="e">
        <v>#VALUE!</v>
      </c>
      <c r="AI1147" s="1065" t="e">
        <f>TB_prev[[#This Row],[Synt]]&amp;TB_prev[[#This Row],[Line No. manual corr.]]</f>
        <v>#VALUE!</v>
      </c>
      <c r="AJ1147" s="1064">
        <f t="shared" si="86"/>
        <v>0</v>
      </c>
      <c r="AK1147" s="1064">
        <f t="shared" si="87"/>
        <v>0</v>
      </c>
      <c r="AL1147" s="1064">
        <f t="shared" si="88"/>
        <v>0</v>
      </c>
      <c r="AM1147" s="1064">
        <f t="shared" si="89"/>
        <v>0</v>
      </c>
      <c r="AN1147" s="1064"/>
      <c r="AO1147" s="1064">
        <f>TB_prev[[#This Row],[Closing balance]]+TB_prev[[#This Row],[Rounding]]</f>
        <v>0</v>
      </c>
    </row>
    <row r="1148" spans="30:41" x14ac:dyDescent="0.25">
      <c r="AD1148" s="1067" t="str">
        <f t="shared" si="85"/>
        <v/>
      </c>
      <c r="AE1148" s="1063" t="str">
        <f>IF(ISNA(VLOOKUP(TB_prev[[#This Row],[Synt]],GL[[#Headers],[#Data],[subtotal label]],1,FALSE)),0,(VLOOKUP(TB_prev[[#This Row],[Synt]],GL[[#Headers],[#Data],[subtotal label]],1,FALSE)))</f>
        <v/>
      </c>
      <c r="AF1148" s="1063" t="e">
        <f>IF((TB_prev[[#This Row],[Synt]]-TB_prev[[#This Row],[Subtotal Y/N]])=0,0,VLOOKUP(TB_prev[[#This Row],[Synt]],GL[[Account]:[Line]],3,FALSE))</f>
        <v>#VALUE!</v>
      </c>
      <c r="AG1148" s="1063" t="e">
        <f>VLOOKUP(TB_prev[[#This Row],[Synt]],GL[[Account]:[B/P]],4,FALSE)</f>
        <v>#N/A</v>
      </c>
      <c r="AH1148" s="1066" t="e">
        <v>#VALUE!</v>
      </c>
      <c r="AI1148" s="1065" t="e">
        <f>TB_prev[[#This Row],[Synt]]&amp;TB_prev[[#This Row],[Line No. manual corr.]]</f>
        <v>#VALUE!</v>
      </c>
      <c r="AJ1148" s="1064">
        <f t="shared" si="86"/>
        <v>0</v>
      </c>
      <c r="AK1148" s="1064">
        <f t="shared" si="87"/>
        <v>0</v>
      </c>
      <c r="AL1148" s="1064">
        <f t="shared" si="88"/>
        <v>0</v>
      </c>
      <c r="AM1148" s="1064">
        <f t="shared" si="89"/>
        <v>0</v>
      </c>
      <c r="AN1148" s="1064"/>
      <c r="AO1148" s="1064">
        <f>TB_prev[[#This Row],[Closing balance]]+TB_prev[[#This Row],[Rounding]]</f>
        <v>0</v>
      </c>
    </row>
    <row r="1149" spans="30:41" x14ac:dyDescent="0.25">
      <c r="AD1149" s="1067" t="str">
        <f t="shared" si="85"/>
        <v/>
      </c>
      <c r="AE1149" s="1063" t="str">
        <f>IF(ISNA(VLOOKUP(TB_prev[[#This Row],[Synt]],GL[[#Headers],[#Data],[subtotal label]],1,FALSE)),0,(VLOOKUP(TB_prev[[#This Row],[Synt]],GL[[#Headers],[#Data],[subtotal label]],1,FALSE)))</f>
        <v/>
      </c>
      <c r="AF1149" s="1063" t="e">
        <f>IF((TB_prev[[#This Row],[Synt]]-TB_prev[[#This Row],[Subtotal Y/N]])=0,0,VLOOKUP(TB_prev[[#This Row],[Synt]],GL[[Account]:[Line]],3,FALSE))</f>
        <v>#VALUE!</v>
      </c>
      <c r="AG1149" s="1063" t="e">
        <f>VLOOKUP(TB_prev[[#This Row],[Synt]],GL[[Account]:[B/P]],4,FALSE)</f>
        <v>#N/A</v>
      </c>
      <c r="AH1149" s="1066" t="e">
        <v>#VALUE!</v>
      </c>
      <c r="AI1149" s="1065" t="e">
        <f>TB_prev[[#This Row],[Synt]]&amp;TB_prev[[#This Row],[Line No. manual corr.]]</f>
        <v>#VALUE!</v>
      </c>
      <c r="AJ1149" s="1064">
        <f t="shared" si="86"/>
        <v>0</v>
      </c>
      <c r="AK1149" s="1064">
        <f t="shared" si="87"/>
        <v>0</v>
      </c>
      <c r="AL1149" s="1064">
        <f t="shared" si="88"/>
        <v>0</v>
      </c>
      <c r="AM1149" s="1064">
        <f t="shared" si="89"/>
        <v>0</v>
      </c>
      <c r="AN1149" s="1064"/>
      <c r="AO1149" s="1064">
        <f>TB_prev[[#This Row],[Closing balance]]+TB_prev[[#This Row],[Rounding]]</f>
        <v>0</v>
      </c>
    </row>
    <row r="1150" spans="30:41" x14ac:dyDescent="0.25">
      <c r="AD1150" s="1067" t="str">
        <f t="shared" si="85"/>
        <v/>
      </c>
      <c r="AE1150" s="1063" t="str">
        <f>IF(ISNA(VLOOKUP(TB_prev[[#This Row],[Synt]],GL[[#Headers],[#Data],[subtotal label]],1,FALSE)),0,(VLOOKUP(TB_prev[[#This Row],[Synt]],GL[[#Headers],[#Data],[subtotal label]],1,FALSE)))</f>
        <v/>
      </c>
      <c r="AF1150" s="1063" t="e">
        <f>IF((TB_prev[[#This Row],[Synt]]-TB_prev[[#This Row],[Subtotal Y/N]])=0,0,VLOOKUP(TB_prev[[#This Row],[Synt]],GL[[Account]:[Line]],3,FALSE))</f>
        <v>#VALUE!</v>
      </c>
      <c r="AG1150" s="1063" t="e">
        <f>VLOOKUP(TB_prev[[#This Row],[Synt]],GL[[Account]:[B/P]],4,FALSE)</f>
        <v>#N/A</v>
      </c>
      <c r="AH1150" s="1066" t="e">
        <v>#VALUE!</v>
      </c>
      <c r="AI1150" s="1065" t="e">
        <f>TB_prev[[#This Row],[Synt]]&amp;TB_prev[[#This Row],[Line No. manual corr.]]</f>
        <v>#VALUE!</v>
      </c>
      <c r="AJ1150" s="1064">
        <f t="shared" si="86"/>
        <v>0</v>
      </c>
      <c r="AK1150" s="1064">
        <f t="shared" si="87"/>
        <v>0</v>
      </c>
      <c r="AL1150" s="1064">
        <f t="shared" si="88"/>
        <v>0</v>
      </c>
      <c r="AM1150" s="1064">
        <f t="shared" si="89"/>
        <v>0</v>
      </c>
      <c r="AN1150" s="1064"/>
      <c r="AO1150" s="1064">
        <f>TB_prev[[#This Row],[Closing balance]]+TB_prev[[#This Row],[Rounding]]</f>
        <v>0</v>
      </c>
    </row>
    <row r="1151" spans="30:41" x14ac:dyDescent="0.25">
      <c r="AD1151" s="1067" t="str">
        <f t="shared" si="85"/>
        <v/>
      </c>
      <c r="AE1151" s="1063" t="str">
        <f>IF(ISNA(VLOOKUP(TB_prev[[#This Row],[Synt]],GL[[#Headers],[#Data],[subtotal label]],1,FALSE)),0,(VLOOKUP(TB_prev[[#This Row],[Synt]],GL[[#Headers],[#Data],[subtotal label]],1,FALSE)))</f>
        <v/>
      </c>
      <c r="AF1151" s="1063" t="e">
        <f>IF((TB_prev[[#This Row],[Synt]]-TB_prev[[#This Row],[Subtotal Y/N]])=0,0,VLOOKUP(TB_prev[[#This Row],[Synt]],GL[[Account]:[Line]],3,FALSE))</f>
        <v>#VALUE!</v>
      </c>
      <c r="AG1151" s="1063" t="e">
        <f>VLOOKUP(TB_prev[[#This Row],[Synt]],GL[[Account]:[B/P]],4,FALSE)</f>
        <v>#N/A</v>
      </c>
      <c r="AH1151" s="1066" t="e">
        <v>#VALUE!</v>
      </c>
      <c r="AI1151" s="1065" t="e">
        <f>TB_prev[[#This Row],[Synt]]&amp;TB_prev[[#This Row],[Line No. manual corr.]]</f>
        <v>#VALUE!</v>
      </c>
      <c r="AJ1151" s="1064">
        <f t="shared" si="86"/>
        <v>0</v>
      </c>
      <c r="AK1151" s="1064">
        <f t="shared" si="87"/>
        <v>0</v>
      </c>
      <c r="AL1151" s="1064">
        <f t="shared" si="88"/>
        <v>0</v>
      </c>
      <c r="AM1151" s="1064">
        <f t="shared" si="89"/>
        <v>0</v>
      </c>
      <c r="AN1151" s="1064"/>
      <c r="AO1151" s="1064">
        <f>TB_prev[[#This Row],[Closing balance]]+TB_prev[[#This Row],[Rounding]]</f>
        <v>0</v>
      </c>
    </row>
    <row r="1152" spans="30:41" x14ac:dyDescent="0.25">
      <c r="AD1152" s="1067" t="str">
        <f t="shared" si="85"/>
        <v/>
      </c>
      <c r="AE1152" s="1063" t="str">
        <f>IF(ISNA(VLOOKUP(TB_prev[[#This Row],[Synt]],GL[[#Headers],[#Data],[subtotal label]],1,FALSE)),0,(VLOOKUP(TB_prev[[#This Row],[Synt]],GL[[#Headers],[#Data],[subtotal label]],1,FALSE)))</f>
        <v/>
      </c>
      <c r="AF1152" s="1063" t="e">
        <f>IF((TB_prev[[#This Row],[Synt]]-TB_prev[[#This Row],[Subtotal Y/N]])=0,0,VLOOKUP(TB_prev[[#This Row],[Synt]],GL[[Account]:[Line]],3,FALSE))</f>
        <v>#VALUE!</v>
      </c>
      <c r="AG1152" s="1063" t="e">
        <f>VLOOKUP(TB_prev[[#This Row],[Synt]],GL[[Account]:[B/P]],4,FALSE)</f>
        <v>#N/A</v>
      </c>
      <c r="AH1152" s="1066" t="e">
        <v>#VALUE!</v>
      </c>
      <c r="AI1152" s="1065" t="e">
        <f>TB_prev[[#This Row],[Synt]]&amp;TB_prev[[#This Row],[Line No. manual corr.]]</f>
        <v>#VALUE!</v>
      </c>
      <c r="AJ1152" s="1064">
        <f t="shared" si="86"/>
        <v>0</v>
      </c>
      <c r="AK1152" s="1064">
        <f t="shared" si="87"/>
        <v>0</v>
      </c>
      <c r="AL1152" s="1064">
        <f t="shared" si="88"/>
        <v>0</v>
      </c>
      <c r="AM1152" s="1064">
        <f t="shared" si="89"/>
        <v>0</v>
      </c>
      <c r="AN1152" s="1064"/>
      <c r="AO1152" s="1064">
        <f>TB_prev[[#This Row],[Closing balance]]+TB_prev[[#This Row],[Rounding]]</f>
        <v>0</v>
      </c>
    </row>
    <row r="1153" spans="30:41" x14ac:dyDescent="0.25">
      <c r="AD1153" s="1067" t="str">
        <f t="shared" si="85"/>
        <v/>
      </c>
      <c r="AE1153" s="1063" t="str">
        <f>IF(ISNA(VLOOKUP(TB_prev[[#This Row],[Synt]],GL[[#Headers],[#Data],[subtotal label]],1,FALSE)),0,(VLOOKUP(TB_prev[[#This Row],[Synt]],GL[[#Headers],[#Data],[subtotal label]],1,FALSE)))</f>
        <v/>
      </c>
      <c r="AF1153" s="1063" t="e">
        <f>IF((TB_prev[[#This Row],[Synt]]-TB_prev[[#This Row],[Subtotal Y/N]])=0,0,VLOOKUP(TB_prev[[#This Row],[Synt]],GL[[Account]:[Line]],3,FALSE))</f>
        <v>#VALUE!</v>
      </c>
      <c r="AG1153" s="1063" t="e">
        <f>VLOOKUP(TB_prev[[#This Row],[Synt]],GL[[Account]:[B/P]],4,FALSE)</f>
        <v>#N/A</v>
      </c>
      <c r="AH1153" s="1066" t="e">
        <v>#VALUE!</v>
      </c>
      <c r="AI1153" s="1065" t="e">
        <f>TB_prev[[#This Row],[Synt]]&amp;TB_prev[[#This Row],[Line No. manual corr.]]</f>
        <v>#VALUE!</v>
      </c>
      <c r="AJ1153" s="1064">
        <f t="shared" si="86"/>
        <v>0</v>
      </c>
      <c r="AK1153" s="1064">
        <f t="shared" si="87"/>
        <v>0</v>
      </c>
      <c r="AL1153" s="1064">
        <f t="shared" si="88"/>
        <v>0</v>
      </c>
      <c r="AM1153" s="1064">
        <f t="shared" si="89"/>
        <v>0</v>
      </c>
      <c r="AN1153" s="1064"/>
      <c r="AO1153" s="1064">
        <f>TB_prev[[#This Row],[Closing balance]]+TB_prev[[#This Row],[Rounding]]</f>
        <v>0</v>
      </c>
    </row>
    <row r="1154" spans="30:41" x14ac:dyDescent="0.25">
      <c r="AD1154" s="1067" t="str">
        <f t="shared" si="85"/>
        <v/>
      </c>
      <c r="AE1154" s="1063" t="str">
        <f>IF(ISNA(VLOOKUP(TB_prev[[#This Row],[Synt]],GL[[#Headers],[#Data],[subtotal label]],1,FALSE)),0,(VLOOKUP(TB_prev[[#This Row],[Synt]],GL[[#Headers],[#Data],[subtotal label]],1,FALSE)))</f>
        <v/>
      </c>
      <c r="AF1154" s="1063" t="e">
        <f>IF((TB_prev[[#This Row],[Synt]]-TB_prev[[#This Row],[Subtotal Y/N]])=0,0,VLOOKUP(TB_prev[[#This Row],[Synt]],GL[[Account]:[Line]],3,FALSE))</f>
        <v>#VALUE!</v>
      </c>
      <c r="AG1154" s="1063" t="e">
        <f>VLOOKUP(TB_prev[[#This Row],[Synt]],GL[[Account]:[B/P]],4,FALSE)</f>
        <v>#N/A</v>
      </c>
      <c r="AH1154" s="1066" t="e">
        <v>#VALUE!</v>
      </c>
      <c r="AI1154" s="1065" t="e">
        <f>TB_prev[[#This Row],[Synt]]&amp;TB_prev[[#This Row],[Line No. manual corr.]]</f>
        <v>#VALUE!</v>
      </c>
      <c r="AJ1154" s="1064">
        <f t="shared" si="86"/>
        <v>0</v>
      </c>
      <c r="AK1154" s="1064">
        <f t="shared" si="87"/>
        <v>0</v>
      </c>
      <c r="AL1154" s="1064">
        <f t="shared" si="88"/>
        <v>0</v>
      </c>
      <c r="AM1154" s="1064">
        <f t="shared" si="89"/>
        <v>0</v>
      </c>
      <c r="AN1154" s="1064"/>
      <c r="AO1154" s="1064">
        <f>TB_prev[[#This Row],[Closing balance]]+TB_prev[[#This Row],[Rounding]]</f>
        <v>0</v>
      </c>
    </row>
    <row r="1155" spans="30:41" x14ac:dyDescent="0.25">
      <c r="AD1155" s="1067" t="str">
        <f t="shared" si="85"/>
        <v/>
      </c>
      <c r="AE1155" s="1063" t="str">
        <f>IF(ISNA(VLOOKUP(TB_prev[[#This Row],[Synt]],GL[[#Headers],[#Data],[subtotal label]],1,FALSE)),0,(VLOOKUP(TB_prev[[#This Row],[Synt]],GL[[#Headers],[#Data],[subtotal label]],1,FALSE)))</f>
        <v/>
      </c>
      <c r="AF1155" s="1063" t="e">
        <f>IF((TB_prev[[#This Row],[Synt]]-TB_prev[[#This Row],[Subtotal Y/N]])=0,0,VLOOKUP(TB_prev[[#This Row],[Synt]],GL[[Account]:[Line]],3,FALSE))</f>
        <v>#VALUE!</v>
      </c>
      <c r="AG1155" s="1063" t="e">
        <f>VLOOKUP(TB_prev[[#This Row],[Synt]],GL[[Account]:[B/P]],4,FALSE)</f>
        <v>#N/A</v>
      </c>
      <c r="AH1155" s="1066" t="e">
        <v>#VALUE!</v>
      </c>
      <c r="AI1155" s="1065" t="e">
        <f>TB_prev[[#This Row],[Synt]]&amp;TB_prev[[#This Row],[Line No. manual corr.]]</f>
        <v>#VALUE!</v>
      </c>
      <c r="AJ1155" s="1064">
        <f t="shared" si="86"/>
        <v>0</v>
      </c>
      <c r="AK1155" s="1064">
        <f t="shared" si="87"/>
        <v>0</v>
      </c>
      <c r="AL1155" s="1064">
        <f t="shared" si="88"/>
        <v>0</v>
      </c>
      <c r="AM1155" s="1064">
        <f t="shared" si="89"/>
        <v>0</v>
      </c>
      <c r="AN1155" s="1064"/>
      <c r="AO1155" s="1064">
        <f>TB_prev[[#This Row],[Closing balance]]+TB_prev[[#This Row],[Rounding]]</f>
        <v>0</v>
      </c>
    </row>
    <row r="1156" spans="30:41" x14ac:dyDescent="0.25">
      <c r="AD1156" s="1067" t="str">
        <f t="shared" si="85"/>
        <v/>
      </c>
      <c r="AE1156" s="1063" t="str">
        <f>IF(ISNA(VLOOKUP(TB_prev[[#This Row],[Synt]],GL[[#Headers],[#Data],[subtotal label]],1,FALSE)),0,(VLOOKUP(TB_prev[[#This Row],[Synt]],GL[[#Headers],[#Data],[subtotal label]],1,FALSE)))</f>
        <v/>
      </c>
      <c r="AF1156" s="1063" t="e">
        <f>IF((TB_prev[[#This Row],[Synt]]-TB_prev[[#This Row],[Subtotal Y/N]])=0,0,VLOOKUP(TB_prev[[#This Row],[Synt]],GL[[Account]:[Line]],3,FALSE))</f>
        <v>#VALUE!</v>
      </c>
      <c r="AG1156" s="1063" t="e">
        <f>VLOOKUP(TB_prev[[#This Row],[Synt]],GL[[Account]:[B/P]],4,FALSE)</f>
        <v>#N/A</v>
      </c>
      <c r="AH1156" s="1066" t="e">
        <v>#VALUE!</v>
      </c>
      <c r="AI1156" s="1065" t="e">
        <f>TB_prev[[#This Row],[Synt]]&amp;TB_prev[[#This Row],[Line No. manual corr.]]</f>
        <v>#VALUE!</v>
      </c>
      <c r="AJ1156" s="1064">
        <f t="shared" si="86"/>
        <v>0</v>
      </c>
      <c r="AK1156" s="1064">
        <f t="shared" si="87"/>
        <v>0</v>
      </c>
      <c r="AL1156" s="1064">
        <f t="shared" si="88"/>
        <v>0</v>
      </c>
      <c r="AM1156" s="1064">
        <f t="shared" si="89"/>
        <v>0</v>
      </c>
      <c r="AN1156" s="1064"/>
      <c r="AO1156" s="1064">
        <f>TB_prev[[#This Row],[Closing balance]]+TB_prev[[#This Row],[Rounding]]</f>
        <v>0</v>
      </c>
    </row>
    <row r="1157" spans="30:41" x14ac:dyDescent="0.25">
      <c r="AD1157" s="1067" t="str">
        <f t="shared" si="85"/>
        <v/>
      </c>
      <c r="AE1157" s="1063" t="str">
        <f>IF(ISNA(VLOOKUP(TB_prev[[#This Row],[Synt]],GL[[#Headers],[#Data],[subtotal label]],1,FALSE)),0,(VLOOKUP(TB_prev[[#This Row],[Synt]],GL[[#Headers],[#Data],[subtotal label]],1,FALSE)))</f>
        <v/>
      </c>
      <c r="AF1157" s="1063" t="e">
        <f>IF((TB_prev[[#This Row],[Synt]]-TB_prev[[#This Row],[Subtotal Y/N]])=0,0,VLOOKUP(TB_prev[[#This Row],[Synt]],GL[[Account]:[Line]],3,FALSE))</f>
        <v>#VALUE!</v>
      </c>
      <c r="AG1157" s="1063" t="e">
        <f>VLOOKUP(TB_prev[[#This Row],[Synt]],GL[[Account]:[B/P]],4,FALSE)</f>
        <v>#N/A</v>
      </c>
      <c r="AH1157" s="1066" t="e">
        <v>#VALUE!</v>
      </c>
      <c r="AI1157" s="1065" t="e">
        <f>TB_prev[[#This Row],[Synt]]&amp;TB_prev[[#This Row],[Line No. manual corr.]]</f>
        <v>#VALUE!</v>
      </c>
      <c r="AJ1157" s="1064">
        <f t="shared" si="86"/>
        <v>0</v>
      </c>
      <c r="AK1157" s="1064">
        <f t="shared" si="87"/>
        <v>0</v>
      </c>
      <c r="AL1157" s="1064">
        <f t="shared" si="88"/>
        <v>0</v>
      </c>
      <c r="AM1157" s="1064">
        <f t="shared" si="89"/>
        <v>0</v>
      </c>
      <c r="AN1157" s="1064"/>
      <c r="AO1157" s="1064">
        <f>TB_prev[[#This Row],[Closing balance]]+TB_prev[[#This Row],[Rounding]]</f>
        <v>0</v>
      </c>
    </row>
    <row r="1158" spans="30:41" x14ac:dyDescent="0.25">
      <c r="AD1158" s="1067" t="str">
        <f t="shared" si="85"/>
        <v/>
      </c>
      <c r="AE1158" s="1063" t="str">
        <f>IF(ISNA(VLOOKUP(TB_prev[[#This Row],[Synt]],GL[[#Headers],[#Data],[subtotal label]],1,FALSE)),0,(VLOOKUP(TB_prev[[#This Row],[Synt]],GL[[#Headers],[#Data],[subtotal label]],1,FALSE)))</f>
        <v/>
      </c>
      <c r="AF1158" s="1063" t="e">
        <f>IF((TB_prev[[#This Row],[Synt]]-TB_prev[[#This Row],[Subtotal Y/N]])=0,0,VLOOKUP(TB_prev[[#This Row],[Synt]],GL[[Account]:[Line]],3,FALSE))</f>
        <v>#VALUE!</v>
      </c>
      <c r="AG1158" s="1063" t="e">
        <f>VLOOKUP(TB_prev[[#This Row],[Synt]],GL[[Account]:[B/P]],4,FALSE)</f>
        <v>#N/A</v>
      </c>
      <c r="AH1158" s="1066" t="e">
        <v>#VALUE!</v>
      </c>
      <c r="AI1158" s="1065" t="e">
        <f>TB_prev[[#This Row],[Synt]]&amp;TB_prev[[#This Row],[Line No. manual corr.]]</f>
        <v>#VALUE!</v>
      </c>
      <c r="AJ1158" s="1064">
        <f t="shared" si="86"/>
        <v>0</v>
      </c>
      <c r="AK1158" s="1064">
        <f t="shared" si="87"/>
        <v>0</v>
      </c>
      <c r="AL1158" s="1064">
        <f t="shared" si="88"/>
        <v>0</v>
      </c>
      <c r="AM1158" s="1064">
        <f t="shared" si="89"/>
        <v>0</v>
      </c>
      <c r="AN1158" s="1064"/>
      <c r="AO1158" s="1064">
        <f>TB_prev[[#This Row],[Closing balance]]+TB_prev[[#This Row],[Rounding]]</f>
        <v>0</v>
      </c>
    </row>
    <row r="1159" spans="30:41" x14ac:dyDescent="0.25">
      <c r="AD1159" s="1067" t="str">
        <f t="shared" si="85"/>
        <v/>
      </c>
      <c r="AE1159" s="1063" t="str">
        <f>IF(ISNA(VLOOKUP(TB_prev[[#This Row],[Synt]],GL[[#Headers],[#Data],[subtotal label]],1,FALSE)),0,(VLOOKUP(TB_prev[[#This Row],[Synt]],GL[[#Headers],[#Data],[subtotal label]],1,FALSE)))</f>
        <v/>
      </c>
      <c r="AF1159" s="1063" t="e">
        <f>IF((TB_prev[[#This Row],[Synt]]-TB_prev[[#This Row],[Subtotal Y/N]])=0,0,VLOOKUP(TB_prev[[#This Row],[Synt]],GL[[Account]:[Line]],3,FALSE))</f>
        <v>#VALUE!</v>
      </c>
      <c r="AG1159" s="1063" t="e">
        <f>VLOOKUP(TB_prev[[#This Row],[Synt]],GL[[Account]:[B/P]],4,FALSE)</f>
        <v>#N/A</v>
      </c>
      <c r="AH1159" s="1066" t="e">
        <v>#VALUE!</v>
      </c>
      <c r="AI1159" s="1065" t="e">
        <f>TB_prev[[#This Row],[Synt]]&amp;TB_prev[[#This Row],[Line No. manual corr.]]</f>
        <v>#VALUE!</v>
      </c>
      <c r="AJ1159" s="1064">
        <f t="shared" si="86"/>
        <v>0</v>
      </c>
      <c r="AK1159" s="1064">
        <f t="shared" si="87"/>
        <v>0</v>
      </c>
      <c r="AL1159" s="1064">
        <f t="shared" si="88"/>
        <v>0</v>
      </c>
      <c r="AM1159" s="1064">
        <f t="shared" si="89"/>
        <v>0</v>
      </c>
      <c r="AN1159" s="1064"/>
      <c r="AO1159" s="1064">
        <f>TB_prev[[#This Row],[Closing balance]]+TB_prev[[#This Row],[Rounding]]</f>
        <v>0</v>
      </c>
    </row>
    <row r="1160" spans="30:41" x14ac:dyDescent="0.25">
      <c r="AD1160" s="1067" t="str">
        <f t="shared" ref="AD1160:AD1223" si="90">LEFT(B1160,3)</f>
        <v/>
      </c>
      <c r="AE1160" s="1063" t="str">
        <f>IF(ISNA(VLOOKUP(TB_prev[[#This Row],[Synt]],GL[[#Headers],[#Data],[subtotal label]],1,FALSE)),0,(VLOOKUP(TB_prev[[#This Row],[Synt]],GL[[#Headers],[#Data],[subtotal label]],1,FALSE)))</f>
        <v/>
      </c>
      <c r="AF1160" s="1063" t="e">
        <f>IF((TB_prev[[#This Row],[Synt]]-TB_prev[[#This Row],[Subtotal Y/N]])=0,0,VLOOKUP(TB_prev[[#This Row],[Synt]],GL[[Account]:[Line]],3,FALSE))</f>
        <v>#VALUE!</v>
      </c>
      <c r="AG1160" s="1063" t="e">
        <f>VLOOKUP(TB_prev[[#This Row],[Synt]],GL[[Account]:[B/P]],4,FALSE)</f>
        <v>#N/A</v>
      </c>
      <c r="AH1160" s="1066" t="e">
        <v>#VALUE!</v>
      </c>
      <c r="AI1160" s="1065" t="e">
        <f>TB_prev[[#This Row],[Synt]]&amp;TB_prev[[#This Row],[Line No. manual corr.]]</f>
        <v>#VALUE!</v>
      </c>
      <c r="AJ1160" s="1064">
        <f t="shared" ref="AJ1160:AJ1223" si="91">K1160-N1160</f>
        <v>0</v>
      </c>
      <c r="AK1160" s="1064">
        <f t="shared" ref="AK1160:AK1223" si="92">Q1160</f>
        <v>0</v>
      </c>
      <c r="AL1160" s="1064">
        <f t="shared" ref="AL1160:AL1223" si="93">U1160</f>
        <v>0</v>
      </c>
      <c r="AM1160" s="1064">
        <f t="shared" ref="AM1160:AM1223" si="94">X1160-AB1160</f>
        <v>0</v>
      </c>
      <c r="AN1160" s="1064"/>
      <c r="AO1160" s="1064">
        <f>TB_prev[[#This Row],[Closing balance]]+TB_prev[[#This Row],[Rounding]]</f>
        <v>0</v>
      </c>
    </row>
    <row r="1161" spans="30:41" x14ac:dyDescent="0.25">
      <c r="AD1161" s="1067" t="str">
        <f t="shared" si="90"/>
        <v/>
      </c>
      <c r="AE1161" s="1063" t="str">
        <f>IF(ISNA(VLOOKUP(TB_prev[[#This Row],[Synt]],GL[[#Headers],[#Data],[subtotal label]],1,FALSE)),0,(VLOOKUP(TB_prev[[#This Row],[Synt]],GL[[#Headers],[#Data],[subtotal label]],1,FALSE)))</f>
        <v/>
      </c>
      <c r="AF1161" s="1063" t="e">
        <f>IF((TB_prev[[#This Row],[Synt]]-TB_prev[[#This Row],[Subtotal Y/N]])=0,0,VLOOKUP(TB_prev[[#This Row],[Synt]],GL[[Account]:[Line]],3,FALSE))</f>
        <v>#VALUE!</v>
      </c>
      <c r="AG1161" s="1063" t="e">
        <f>VLOOKUP(TB_prev[[#This Row],[Synt]],GL[[Account]:[B/P]],4,FALSE)</f>
        <v>#N/A</v>
      </c>
      <c r="AH1161" s="1066" t="e">
        <v>#VALUE!</v>
      </c>
      <c r="AI1161" s="1065" t="e">
        <f>TB_prev[[#This Row],[Synt]]&amp;TB_prev[[#This Row],[Line No. manual corr.]]</f>
        <v>#VALUE!</v>
      </c>
      <c r="AJ1161" s="1064">
        <f t="shared" si="91"/>
        <v>0</v>
      </c>
      <c r="AK1161" s="1064">
        <f t="shared" si="92"/>
        <v>0</v>
      </c>
      <c r="AL1161" s="1064">
        <f t="shared" si="93"/>
        <v>0</v>
      </c>
      <c r="AM1161" s="1064">
        <f t="shared" si="94"/>
        <v>0</v>
      </c>
      <c r="AN1161" s="1064"/>
      <c r="AO1161" s="1064">
        <f>TB_prev[[#This Row],[Closing balance]]+TB_prev[[#This Row],[Rounding]]</f>
        <v>0</v>
      </c>
    </row>
    <row r="1162" spans="30:41" x14ac:dyDescent="0.25">
      <c r="AD1162" s="1067" t="str">
        <f t="shared" si="90"/>
        <v/>
      </c>
      <c r="AE1162" s="1063" t="str">
        <f>IF(ISNA(VLOOKUP(TB_prev[[#This Row],[Synt]],GL[[#Headers],[#Data],[subtotal label]],1,FALSE)),0,(VLOOKUP(TB_prev[[#This Row],[Synt]],GL[[#Headers],[#Data],[subtotal label]],1,FALSE)))</f>
        <v/>
      </c>
      <c r="AF1162" s="1063" t="e">
        <f>IF((TB_prev[[#This Row],[Synt]]-TB_prev[[#This Row],[Subtotal Y/N]])=0,0,VLOOKUP(TB_prev[[#This Row],[Synt]],GL[[Account]:[Line]],3,FALSE))</f>
        <v>#VALUE!</v>
      </c>
      <c r="AG1162" s="1063" t="e">
        <f>VLOOKUP(TB_prev[[#This Row],[Synt]],GL[[Account]:[B/P]],4,FALSE)</f>
        <v>#N/A</v>
      </c>
      <c r="AH1162" s="1066" t="e">
        <v>#VALUE!</v>
      </c>
      <c r="AI1162" s="1065" t="e">
        <f>TB_prev[[#This Row],[Synt]]&amp;TB_prev[[#This Row],[Line No. manual corr.]]</f>
        <v>#VALUE!</v>
      </c>
      <c r="AJ1162" s="1064">
        <f t="shared" si="91"/>
        <v>0</v>
      </c>
      <c r="AK1162" s="1064">
        <f t="shared" si="92"/>
        <v>0</v>
      </c>
      <c r="AL1162" s="1064">
        <f t="shared" si="93"/>
        <v>0</v>
      </c>
      <c r="AM1162" s="1064">
        <f t="shared" si="94"/>
        <v>0</v>
      </c>
      <c r="AN1162" s="1064"/>
      <c r="AO1162" s="1064">
        <f>TB_prev[[#This Row],[Closing balance]]+TB_prev[[#This Row],[Rounding]]</f>
        <v>0</v>
      </c>
    </row>
    <row r="1163" spans="30:41" x14ac:dyDescent="0.25">
      <c r="AD1163" s="1067" t="str">
        <f t="shared" si="90"/>
        <v/>
      </c>
      <c r="AE1163" s="1063" t="str">
        <f>IF(ISNA(VLOOKUP(TB_prev[[#This Row],[Synt]],GL[[#Headers],[#Data],[subtotal label]],1,FALSE)),0,(VLOOKUP(TB_prev[[#This Row],[Synt]],GL[[#Headers],[#Data],[subtotal label]],1,FALSE)))</f>
        <v/>
      </c>
      <c r="AF1163" s="1063" t="e">
        <f>IF((TB_prev[[#This Row],[Synt]]-TB_prev[[#This Row],[Subtotal Y/N]])=0,0,VLOOKUP(TB_prev[[#This Row],[Synt]],GL[[Account]:[Line]],3,FALSE))</f>
        <v>#VALUE!</v>
      </c>
      <c r="AG1163" s="1063" t="e">
        <f>VLOOKUP(TB_prev[[#This Row],[Synt]],GL[[Account]:[B/P]],4,FALSE)</f>
        <v>#N/A</v>
      </c>
      <c r="AH1163" s="1066" t="e">
        <v>#VALUE!</v>
      </c>
      <c r="AI1163" s="1065" t="e">
        <f>TB_prev[[#This Row],[Synt]]&amp;TB_prev[[#This Row],[Line No. manual corr.]]</f>
        <v>#VALUE!</v>
      </c>
      <c r="AJ1163" s="1064">
        <f t="shared" si="91"/>
        <v>0</v>
      </c>
      <c r="AK1163" s="1064">
        <f t="shared" si="92"/>
        <v>0</v>
      </c>
      <c r="AL1163" s="1064">
        <f t="shared" si="93"/>
        <v>0</v>
      </c>
      <c r="AM1163" s="1064">
        <f t="shared" si="94"/>
        <v>0</v>
      </c>
      <c r="AN1163" s="1064"/>
      <c r="AO1163" s="1064">
        <f>TB_prev[[#This Row],[Closing balance]]+TB_prev[[#This Row],[Rounding]]</f>
        <v>0</v>
      </c>
    </row>
    <row r="1164" spans="30:41" x14ac:dyDescent="0.25">
      <c r="AD1164" s="1067" t="str">
        <f t="shared" si="90"/>
        <v/>
      </c>
      <c r="AE1164" s="1063" t="str">
        <f>IF(ISNA(VLOOKUP(TB_prev[[#This Row],[Synt]],GL[[#Headers],[#Data],[subtotal label]],1,FALSE)),0,(VLOOKUP(TB_prev[[#This Row],[Synt]],GL[[#Headers],[#Data],[subtotal label]],1,FALSE)))</f>
        <v/>
      </c>
      <c r="AF1164" s="1063" t="e">
        <f>IF((TB_prev[[#This Row],[Synt]]-TB_prev[[#This Row],[Subtotal Y/N]])=0,0,VLOOKUP(TB_prev[[#This Row],[Synt]],GL[[Account]:[Line]],3,FALSE))</f>
        <v>#VALUE!</v>
      </c>
      <c r="AG1164" s="1063" t="e">
        <f>VLOOKUP(TB_prev[[#This Row],[Synt]],GL[[Account]:[B/P]],4,FALSE)</f>
        <v>#N/A</v>
      </c>
      <c r="AH1164" s="1066" t="e">
        <v>#VALUE!</v>
      </c>
      <c r="AI1164" s="1065" t="e">
        <f>TB_prev[[#This Row],[Synt]]&amp;TB_prev[[#This Row],[Line No. manual corr.]]</f>
        <v>#VALUE!</v>
      </c>
      <c r="AJ1164" s="1064">
        <f t="shared" si="91"/>
        <v>0</v>
      </c>
      <c r="AK1164" s="1064">
        <f t="shared" si="92"/>
        <v>0</v>
      </c>
      <c r="AL1164" s="1064">
        <f t="shared" si="93"/>
        <v>0</v>
      </c>
      <c r="AM1164" s="1064">
        <f t="shared" si="94"/>
        <v>0</v>
      </c>
      <c r="AN1164" s="1064"/>
      <c r="AO1164" s="1064">
        <f>TB_prev[[#This Row],[Closing balance]]+TB_prev[[#This Row],[Rounding]]</f>
        <v>0</v>
      </c>
    </row>
    <row r="1165" spans="30:41" x14ac:dyDescent="0.25">
      <c r="AD1165" s="1067" t="str">
        <f t="shared" si="90"/>
        <v/>
      </c>
      <c r="AE1165" s="1063" t="str">
        <f>IF(ISNA(VLOOKUP(TB_prev[[#This Row],[Synt]],GL[[#Headers],[#Data],[subtotal label]],1,FALSE)),0,(VLOOKUP(TB_prev[[#This Row],[Synt]],GL[[#Headers],[#Data],[subtotal label]],1,FALSE)))</f>
        <v/>
      </c>
      <c r="AF1165" s="1063" t="e">
        <f>IF((TB_prev[[#This Row],[Synt]]-TB_prev[[#This Row],[Subtotal Y/N]])=0,0,VLOOKUP(TB_prev[[#This Row],[Synt]],GL[[Account]:[Line]],3,FALSE))</f>
        <v>#VALUE!</v>
      </c>
      <c r="AG1165" s="1063" t="e">
        <f>VLOOKUP(TB_prev[[#This Row],[Synt]],GL[[Account]:[B/P]],4,FALSE)</f>
        <v>#N/A</v>
      </c>
      <c r="AH1165" s="1066" t="e">
        <v>#VALUE!</v>
      </c>
      <c r="AI1165" s="1065" t="e">
        <f>TB_prev[[#This Row],[Synt]]&amp;TB_prev[[#This Row],[Line No. manual corr.]]</f>
        <v>#VALUE!</v>
      </c>
      <c r="AJ1165" s="1064">
        <f t="shared" si="91"/>
        <v>0</v>
      </c>
      <c r="AK1165" s="1064">
        <f t="shared" si="92"/>
        <v>0</v>
      </c>
      <c r="AL1165" s="1064">
        <f t="shared" si="93"/>
        <v>0</v>
      </c>
      <c r="AM1165" s="1064">
        <f t="shared" si="94"/>
        <v>0</v>
      </c>
      <c r="AN1165" s="1064"/>
      <c r="AO1165" s="1064">
        <f>TB_prev[[#This Row],[Closing balance]]+TB_prev[[#This Row],[Rounding]]</f>
        <v>0</v>
      </c>
    </row>
    <row r="1166" spans="30:41" x14ac:dyDescent="0.25">
      <c r="AD1166" s="1067" t="str">
        <f t="shared" si="90"/>
        <v/>
      </c>
      <c r="AE1166" s="1063" t="str">
        <f>IF(ISNA(VLOOKUP(TB_prev[[#This Row],[Synt]],GL[[#Headers],[#Data],[subtotal label]],1,FALSE)),0,(VLOOKUP(TB_prev[[#This Row],[Synt]],GL[[#Headers],[#Data],[subtotal label]],1,FALSE)))</f>
        <v/>
      </c>
      <c r="AF1166" s="1063" t="e">
        <f>IF((TB_prev[[#This Row],[Synt]]-TB_prev[[#This Row],[Subtotal Y/N]])=0,0,VLOOKUP(TB_prev[[#This Row],[Synt]],GL[[Account]:[Line]],3,FALSE))</f>
        <v>#VALUE!</v>
      </c>
      <c r="AG1166" s="1063" t="e">
        <f>VLOOKUP(TB_prev[[#This Row],[Synt]],GL[[Account]:[B/P]],4,FALSE)</f>
        <v>#N/A</v>
      </c>
      <c r="AH1166" s="1066" t="e">
        <v>#VALUE!</v>
      </c>
      <c r="AI1166" s="1065" t="e">
        <f>TB_prev[[#This Row],[Synt]]&amp;TB_prev[[#This Row],[Line No. manual corr.]]</f>
        <v>#VALUE!</v>
      </c>
      <c r="AJ1166" s="1064">
        <f t="shared" si="91"/>
        <v>0</v>
      </c>
      <c r="AK1166" s="1064">
        <f t="shared" si="92"/>
        <v>0</v>
      </c>
      <c r="AL1166" s="1064">
        <f t="shared" si="93"/>
        <v>0</v>
      </c>
      <c r="AM1166" s="1064">
        <f t="shared" si="94"/>
        <v>0</v>
      </c>
      <c r="AN1166" s="1064"/>
      <c r="AO1166" s="1064">
        <f>TB_prev[[#This Row],[Closing balance]]+TB_prev[[#This Row],[Rounding]]</f>
        <v>0</v>
      </c>
    </row>
    <row r="1167" spans="30:41" x14ac:dyDescent="0.25">
      <c r="AD1167" s="1067" t="str">
        <f t="shared" si="90"/>
        <v/>
      </c>
      <c r="AE1167" s="1063" t="str">
        <f>IF(ISNA(VLOOKUP(TB_prev[[#This Row],[Synt]],GL[[#Headers],[#Data],[subtotal label]],1,FALSE)),0,(VLOOKUP(TB_prev[[#This Row],[Synt]],GL[[#Headers],[#Data],[subtotal label]],1,FALSE)))</f>
        <v/>
      </c>
      <c r="AF1167" s="1063" t="e">
        <f>IF((TB_prev[[#This Row],[Synt]]-TB_prev[[#This Row],[Subtotal Y/N]])=0,0,VLOOKUP(TB_prev[[#This Row],[Synt]],GL[[Account]:[Line]],3,FALSE))</f>
        <v>#VALUE!</v>
      </c>
      <c r="AG1167" s="1063" t="e">
        <f>VLOOKUP(TB_prev[[#This Row],[Synt]],GL[[Account]:[B/P]],4,FALSE)</f>
        <v>#N/A</v>
      </c>
      <c r="AH1167" s="1066" t="e">
        <v>#VALUE!</v>
      </c>
      <c r="AI1167" s="1065" t="e">
        <f>TB_prev[[#This Row],[Synt]]&amp;TB_prev[[#This Row],[Line No. manual corr.]]</f>
        <v>#VALUE!</v>
      </c>
      <c r="AJ1167" s="1064">
        <f t="shared" si="91"/>
        <v>0</v>
      </c>
      <c r="AK1167" s="1064">
        <f t="shared" si="92"/>
        <v>0</v>
      </c>
      <c r="AL1167" s="1064">
        <f t="shared" si="93"/>
        <v>0</v>
      </c>
      <c r="AM1167" s="1064">
        <f t="shared" si="94"/>
        <v>0</v>
      </c>
      <c r="AN1167" s="1064"/>
      <c r="AO1167" s="1064">
        <f>TB_prev[[#This Row],[Closing balance]]+TB_prev[[#This Row],[Rounding]]</f>
        <v>0</v>
      </c>
    </row>
    <row r="1168" spans="30:41" x14ac:dyDescent="0.25">
      <c r="AD1168" s="1067" t="str">
        <f t="shared" si="90"/>
        <v/>
      </c>
      <c r="AE1168" s="1063" t="str">
        <f>IF(ISNA(VLOOKUP(TB_prev[[#This Row],[Synt]],GL[[#Headers],[#Data],[subtotal label]],1,FALSE)),0,(VLOOKUP(TB_prev[[#This Row],[Synt]],GL[[#Headers],[#Data],[subtotal label]],1,FALSE)))</f>
        <v/>
      </c>
      <c r="AF1168" s="1063" t="e">
        <f>IF((TB_prev[[#This Row],[Synt]]-TB_prev[[#This Row],[Subtotal Y/N]])=0,0,VLOOKUP(TB_prev[[#This Row],[Synt]],GL[[Account]:[Line]],3,FALSE))</f>
        <v>#VALUE!</v>
      </c>
      <c r="AG1168" s="1063" t="e">
        <f>VLOOKUP(TB_prev[[#This Row],[Synt]],GL[[Account]:[B/P]],4,FALSE)</f>
        <v>#N/A</v>
      </c>
      <c r="AH1168" s="1066" t="e">
        <v>#VALUE!</v>
      </c>
      <c r="AI1168" s="1065" t="e">
        <f>TB_prev[[#This Row],[Synt]]&amp;TB_prev[[#This Row],[Line No. manual corr.]]</f>
        <v>#VALUE!</v>
      </c>
      <c r="AJ1168" s="1064">
        <f t="shared" si="91"/>
        <v>0</v>
      </c>
      <c r="AK1168" s="1064">
        <f t="shared" si="92"/>
        <v>0</v>
      </c>
      <c r="AL1168" s="1064">
        <f t="shared" si="93"/>
        <v>0</v>
      </c>
      <c r="AM1168" s="1064">
        <f t="shared" si="94"/>
        <v>0</v>
      </c>
      <c r="AN1168" s="1064"/>
      <c r="AO1168" s="1064">
        <f>TB_prev[[#This Row],[Closing balance]]+TB_prev[[#This Row],[Rounding]]</f>
        <v>0</v>
      </c>
    </row>
    <row r="1169" spans="30:41" x14ac:dyDescent="0.25">
      <c r="AD1169" s="1067" t="str">
        <f t="shared" si="90"/>
        <v/>
      </c>
      <c r="AE1169" s="1063" t="str">
        <f>IF(ISNA(VLOOKUP(TB_prev[[#This Row],[Synt]],GL[[#Headers],[#Data],[subtotal label]],1,FALSE)),0,(VLOOKUP(TB_prev[[#This Row],[Synt]],GL[[#Headers],[#Data],[subtotal label]],1,FALSE)))</f>
        <v/>
      </c>
      <c r="AF1169" s="1063" t="e">
        <f>IF((TB_prev[[#This Row],[Synt]]-TB_prev[[#This Row],[Subtotal Y/N]])=0,0,VLOOKUP(TB_prev[[#This Row],[Synt]],GL[[Account]:[Line]],3,FALSE))</f>
        <v>#VALUE!</v>
      </c>
      <c r="AG1169" s="1063" t="e">
        <f>VLOOKUP(TB_prev[[#This Row],[Synt]],GL[[Account]:[B/P]],4,FALSE)</f>
        <v>#N/A</v>
      </c>
      <c r="AH1169" s="1066" t="e">
        <v>#VALUE!</v>
      </c>
      <c r="AI1169" s="1065" t="e">
        <f>TB_prev[[#This Row],[Synt]]&amp;TB_prev[[#This Row],[Line No. manual corr.]]</f>
        <v>#VALUE!</v>
      </c>
      <c r="AJ1169" s="1064">
        <f t="shared" si="91"/>
        <v>0</v>
      </c>
      <c r="AK1169" s="1064">
        <f t="shared" si="92"/>
        <v>0</v>
      </c>
      <c r="AL1169" s="1064">
        <f t="shared" si="93"/>
        <v>0</v>
      </c>
      <c r="AM1169" s="1064">
        <f t="shared" si="94"/>
        <v>0</v>
      </c>
      <c r="AN1169" s="1064"/>
      <c r="AO1169" s="1064">
        <f>TB_prev[[#This Row],[Closing balance]]+TB_prev[[#This Row],[Rounding]]</f>
        <v>0</v>
      </c>
    </row>
    <row r="1170" spans="30:41" x14ac:dyDescent="0.25">
      <c r="AD1170" s="1067" t="str">
        <f t="shared" si="90"/>
        <v/>
      </c>
      <c r="AE1170" s="1063" t="str">
        <f>IF(ISNA(VLOOKUP(TB_prev[[#This Row],[Synt]],GL[[#Headers],[#Data],[subtotal label]],1,FALSE)),0,(VLOOKUP(TB_prev[[#This Row],[Synt]],GL[[#Headers],[#Data],[subtotal label]],1,FALSE)))</f>
        <v/>
      </c>
      <c r="AF1170" s="1063" t="e">
        <f>IF((TB_prev[[#This Row],[Synt]]-TB_prev[[#This Row],[Subtotal Y/N]])=0,0,VLOOKUP(TB_prev[[#This Row],[Synt]],GL[[Account]:[Line]],3,FALSE))</f>
        <v>#VALUE!</v>
      </c>
      <c r="AG1170" s="1063" t="e">
        <f>VLOOKUP(TB_prev[[#This Row],[Synt]],GL[[Account]:[B/P]],4,FALSE)</f>
        <v>#N/A</v>
      </c>
      <c r="AH1170" s="1066" t="e">
        <v>#VALUE!</v>
      </c>
      <c r="AI1170" s="1065" t="e">
        <f>TB_prev[[#This Row],[Synt]]&amp;TB_prev[[#This Row],[Line No. manual corr.]]</f>
        <v>#VALUE!</v>
      </c>
      <c r="AJ1170" s="1064">
        <f t="shared" si="91"/>
        <v>0</v>
      </c>
      <c r="AK1170" s="1064">
        <f t="shared" si="92"/>
        <v>0</v>
      </c>
      <c r="AL1170" s="1064">
        <f t="shared" si="93"/>
        <v>0</v>
      </c>
      <c r="AM1170" s="1064">
        <f t="shared" si="94"/>
        <v>0</v>
      </c>
      <c r="AN1170" s="1064"/>
      <c r="AO1170" s="1064">
        <f>TB_prev[[#This Row],[Closing balance]]+TB_prev[[#This Row],[Rounding]]</f>
        <v>0</v>
      </c>
    </row>
    <row r="1171" spans="30:41" x14ac:dyDescent="0.25">
      <c r="AD1171" s="1067" t="str">
        <f t="shared" si="90"/>
        <v/>
      </c>
      <c r="AE1171" s="1063" t="str">
        <f>IF(ISNA(VLOOKUP(TB_prev[[#This Row],[Synt]],GL[[#Headers],[#Data],[subtotal label]],1,FALSE)),0,(VLOOKUP(TB_prev[[#This Row],[Synt]],GL[[#Headers],[#Data],[subtotal label]],1,FALSE)))</f>
        <v/>
      </c>
      <c r="AF1171" s="1063" t="e">
        <f>IF((TB_prev[[#This Row],[Synt]]-TB_prev[[#This Row],[Subtotal Y/N]])=0,0,VLOOKUP(TB_prev[[#This Row],[Synt]],GL[[Account]:[Line]],3,FALSE))</f>
        <v>#VALUE!</v>
      </c>
      <c r="AG1171" s="1063" t="e">
        <f>VLOOKUP(TB_prev[[#This Row],[Synt]],GL[[Account]:[B/P]],4,FALSE)</f>
        <v>#N/A</v>
      </c>
      <c r="AH1171" s="1066" t="e">
        <v>#VALUE!</v>
      </c>
      <c r="AI1171" s="1065" t="e">
        <f>TB_prev[[#This Row],[Synt]]&amp;TB_prev[[#This Row],[Line No. manual corr.]]</f>
        <v>#VALUE!</v>
      </c>
      <c r="AJ1171" s="1064">
        <f t="shared" si="91"/>
        <v>0</v>
      </c>
      <c r="AK1171" s="1064">
        <f t="shared" si="92"/>
        <v>0</v>
      </c>
      <c r="AL1171" s="1064">
        <f t="shared" si="93"/>
        <v>0</v>
      </c>
      <c r="AM1171" s="1064">
        <f t="shared" si="94"/>
        <v>0</v>
      </c>
      <c r="AN1171" s="1064"/>
      <c r="AO1171" s="1064">
        <f>TB_prev[[#This Row],[Closing balance]]+TB_prev[[#This Row],[Rounding]]</f>
        <v>0</v>
      </c>
    </row>
    <row r="1172" spans="30:41" x14ac:dyDescent="0.25">
      <c r="AD1172" s="1067" t="str">
        <f t="shared" si="90"/>
        <v/>
      </c>
      <c r="AE1172" s="1063" t="str">
        <f>IF(ISNA(VLOOKUP(TB_prev[[#This Row],[Synt]],GL[[#Headers],[#Data],[subtotal label]],1,FALSE)),0,(VLOOKUP(TB_prev[[#This Row],[Synt]],GL[[#Headers],[#Data],[subtotal label]],1,FALSE)))</f>
        <v/>
      </c>
      <c r="AF1172" s="1063" t="e">
        <f>IF((TB_prev[[#This Row],[Synt]]-TB_prev[[#This Row],[Subtotal Y/N]])=0,0,VLOOKUP(TB_prev[[#This Row],[Synt]],GL[[Account]:[Line]],3,FALSE))</f>
        <v>#VALUE!</v>
      </c>
      <c r="AG1172" s="1063" t="e">
        <f>VLOOKUP(TB_prev[[#This Row],[Synt]],GL[[Account]:[B/P]],4,FALSE)</f>
        <v>#N/A</v>
      </c>
      <c r="AH1172" s="1066" t="e">
        <v>#VALUE!</v>
      </c>
      <c r="AI1172" s="1065" t="e">
        <f>TB_prev[[#This Row],[Synt]]&amp;TB_prev[[#This Row],[Line No. manual corr.]]</f>
        <v>#VALUE!</v>
      </c>
      <c r="AJ1172" s="1064">
        <f t="shared" si="91"/>
        <v>0</v>
      </c>
      <c r="AK1172" s="1064">
        <f t="shared" si="92"/>
        <v>0</v>
      </c>
      <c r="AL1172" s="1064">
        <f t="shared" si="93"/>
        <v>0</v>
      </c>
      <c r="AM1172" s="1064">
        <f t="shared" si="94"/>
        <v>0</v>
      </c>
      <c r="AN1172" s="1064"/>
      <c r="AO1172" s="1064">
        <f>TB_prev[[#This Row],[Closing balance]]+TB_prev[[#This Row],[Rounding]]</f>
        <v>0</v>
      </c>
    </row>
    <row r="1173" spans="30:41" x14ac:dyDescent="0.25">
      <c r="AD1173" s="1067" t="str">
        <f t="shared" si="90"/>
        <v/>
      </c>
      <c r="AE1173" s="1063" t="str">
        <f>IF(ISNA(VLOOKUP(TB_prev[[#This Row],[Synt]],GL[[#Headers],[#Data],[subtotal label]],1,FALSE)),0,(VLOOKUP(TB_prev[[#This Row],[Synt]],GL[[#Headers],[#Data],[subtotal label]],1,FALSE)))</f>
        <v/>
      </c>
      <c r="AF1173" s="1063" t="e">
        <f>IF((TB_prev[[#This Row],[Synt]]-TB_prev[[#This Row],[Subtotal Y/N]])=0,0,VLOOKUP(TB_prev[[#This Row],[Synt]],GL[[Account]:[Line]],3,FALSE))</f>
        <v>#VALUE!</v>
      </c>
      <c r="AG1173" s="1063" t="e">
        <f>VLOOKUP(TB_prev[[#This Row],[Synt]],GL[[Account]:[B/P]],4,FALSE)</f>
        <v>#N/A</v>
      </c>
      <c r="AH1173" s="1066" t="e">
        <v>#VALUE!</v>
      </c>
      <c r="AI1173" s="1065" t="e">
        <f>TB_prev[[#This Row],[Synt]]&amp;TB_prev[[#This Row],[Line No. manual corr.]]</f>
        <v>#VALUE!</v>
      </c>
      <c r="AJ1173" s="1064">
        <f t="shared" si="91"/>
        <v>0</v>
      </c>
      <c r="AK1173" s="1064">
        <f t="shared" si="92"/>
        <v>0</v>
      </c>
      <c r="AL1173" s="1064">
        <f t="shared" si="93"/>
        <v>0</v>
      </c>
      <c r="AM1173" s="1064">
        <f t="shared" si="94"/>
        <v>0</v>
      </c>
      <c r="AN1173" s="1064"/>
      <c r="AO1173" s="1064">
        <f>TB_prev[[#This Row],[Closing balance]]+TB_prev[[#This Row],[Rounding]]</f>
        <v>0</v>
      </c>
    </row>
    <row r="1174" spans="30:41" x14ac:dyDescent="0.25">
      <c r="AD1174" s="1067" t="str">
        <f t="shared" si="90"/>
        <v/>
      </c>
      <c r="AE1174" s="1063" t="str">
        <f>IF(ISNA(VLOOKUP(TB_prev[[#This Row],[Synt]],GL[[#Headers],[#Data],[subtotal label]],1,FALSE)),0,(VLOOKUP(TB_prev[[#This Row],[Synt]],GL[[#Headers],[#Data],[subtotal label]],1,FALSE)))</f>
        <v/>
      </c>
      <c r="AF1174" s="1063" t="e">
        <f>IF((TB_prev[[#This Row],[Synt]]-TB_prev[[#This Row],[Subtotal Y/N]])=0,0,VLOOKUP(TB_prev[[#This Row],[Synt]],GL[[Account]:[Line]],3,FALSE))</f>
        <v>#VALUE!</v>
      </c>
      <c r="AG1174" s="1063" t="e">
        <f>VLOOKUP(TB_prev[[#This Row],[Synt]],GL[[Account]:[B/P]],4,FALSE)</f>
        <v>#N/A</v>
      </c>
      <c r="AH1174" s="1066" t="e">
        <v>#VALUE!</v>
      </c>
      <c r="AI1174" s="1065" t="e">
        <f>TB_prev[[#This Row],[Synt]]&amp;TB_prev[[#This Row],[Line No. manual corr.]]</f>
        <v>#VALUE!</v>
      </c>
      <c r="AJ1174" s="1064">
        <f t="shared" si="91"/>
        <v>0</v>
      </c>
      <c r="AK1174" s="1064">
        <f t="shared" si="92"/>
        <v>0</v>
      </c>
      <c r="AL1174" s="1064">
        <f t="shared" si="93"/>
        <v>0</v>
      </c>
      <c r="AM1174" s="1064">
        <f t="shared" si="94"/>
        <v>0</v>
      </c>
      <c r="AN1174" s="1064"/>
      <c r="AO1174" s="1064">
        <f>TB_prev[[#This Row],[Closing balance]]+TB_prev[[#This Row],[Rounding]]</f>
        <v>0</v>
      </c>
    </row>
    <row r="1175" spans="30:41" x14ac:dyDescent="0.25">
      <c r="AD1175" s="1067" t="str">
        <f t="shared" si="90"/>
        <v/>
      </c>
      <c r="AE1175" s="1063" t="str">
        <f>IF(ISNA(VLOOKUP(TB_prev[[#This Row],[Synt]],GL[[#Headers],[#Data],[subtotal label]],1,FALSE)),0,(VLOOKUP(TB_prev[[#This Row],[Synt]],GL[[#Headers],[#Data],[subtotal label]],1,FALSE)))</f>
        <v/>
      </c>
      <c r="AF1175" s="1063" t="e">
        <f>IF((TB_prev[[#This Row],[Synt]]-TB_prev[[#This Row],[Subtotal Y/N]])=0,0,VLOOKUP(TB_prev[[#This Row],[Synt]],GL[[Account]:[Line]],3,FALSE))</f>
        <v>#VALUE!</v>
      </c>
      <c r="AG1175" s="1063" t="e">
        <f>VLOOKUP(TB_prev[[#This Row],[Synt]],GL[[Account]:[B/P]],4,FALSE)</f>
        <v>#N/A</v>
      </c>
      <c r="AH1175" s="1066" t="e">
        <v>#VALUE!</v>
      </c>
      <c r="AI1175" s="1065" t="e">
        <f>TB_prev[[#This Row],[Synt]]&amp;TB_prev[[#This Row],[Line No. manual corr.]]</f>
        <v>#VALUE!</v>
      </c>
      <c r="AJ1175" s="1064">
        <f t="shared" si="91"/>
        <v>0</v>
      </c>
      <c r="AK1175" s="1064">
        <f t="shared" si="92"/>
        <v>0</v>
      </c>
      <c r="AL1175" s="1064">
        <f t="shared" si="93"/>
        <v>0</v>
      </c>
      <c r="AM1175" s="1064">
        <f t="shared" si="94"/>
        <v>0</v>
      </c>
      <c r="AN1175" s="1064"/>
      <c r="AO1175" s="1064">
        <f>TB_prev[[#This Row],[Closing balance]]+TB_prev[[#This Row],[Rounding]]</f>
        <v>0</v>
      </c>
    </row>
    <row r="1176" spans="30:41" x14ac:dyDescent="0.25">
      <c r="AD1176" s="1067" t="str">
        <f t="shared" si="90"/>
        <v/>
      </c>
      <c r="AE1176" s="1063" t="str">
        <f>IF(ISNA(VLOOKUP(TB_prev[[#This Row],[Synt]],GL[[#Headers],[#Data],[subtotal label]],1,FALSE)),0,(VLOOKUP(TB_prev[[#This Row],[Synt]],GL[[#Headers],[#Data],[subtotal label]],1,FALSE)))</f>
        <v/>
      </c>
      <c r="AF1176" s="1063" t="e">
        <f>IF((TB_prev[[#This Row],[Synt]]-TB_prev[[#This Row],[Subtotal Y/N]])=0,0,VLOOKUP(TB_prev[[#This Row],[Synt]],GL[[Account]:[Line]],3,FALSE))</f>
        <v>#VALUE!</v>
      </c>
      <c r="AG1176" s="1063" t="e">
        <f>VLOOKUP(TB_prev[[#This Row],[Synt]],GL[[Account]:[B/P]],4,FALSE)</f>
        <v>#N/A</v>
      </c>
      <c r="AH1176" s="1066" t="e">
        <v>#VALUE!</v>
      </c>
      <c r="AI1176" s="1065" t="e">
        <f>TB_prev[[#This Row],[Synt]]&amp;TB_prev[[#This Row],[Line No. manual corr.]]</f>
        <v>#VALUE!</v>
      </c>
      <c r="AJ1176" s="1064">
        <f t="shared" si="91"/>
        <v>0</v>
      </c>
      <c r="AK1176" s="1064">
        <f t="shared" si="92"/>
        <v>0</v>
      </c>
      <c r="AL1176" s="1064">
        <f t="shared" si="93"/>
        <v>0</v>
      </c>
      <c r="AM1176" s="1064">
        <f t="shared" si="94"/>
        <v>0</v>
      </c>
      <c r="AN1176" s="1064"/>
      <c r="AO1176" s="1064">
        <f>TB_prev[[#This Row],[Closing balance]]+TB_prev[[#This Row],[Rounding]]</f>
        <v>0</v>
      </c>
    </row>
    <row r="1177" spans="30:41" x14ac:dyDescent="0.25">
      <c r="AD1177" s="1067" t="str">
        <f t="shared" si="90"/>
        <v/>
      </c>
      <c r="AE1177" s="1063" t="str">
        <f>IF(ISNA(VLOOKUP(TB_prev[[#This Row],[Synt]],GL[[#Headers],[#Data],[subtotal label]],1,FALSE)),0,(VLOOKUP(TB_prev[[#This Row],[Synt]],GL[[#Headers],[#Data],[subtotal label]],1,FALSE)))</f>
        <v/>
      </c>
      <c r="AF1177" s="1063" t="e">
        <f>IF((TB_prev[[#This Row],[Synt]]-TB_prev[[#This Row],[Subtotal Y/N]])=0,0,VLOOKUP(TB_prev[[#This Row],[Synt]],GL[[Account]:[Line]],3,FALSE))</f>
        <v>#VALUE!</v>
      </c>
      <c r="AG1177" s="1063" t="e">
        <f>VLOOKUP(TB_prev[[#This Row],[Synt]],GL[[Account]:[B/P]],4,FALSE)</f>
        <v>#N/A</v>
      </c>
      <c r="AH1177" s="1066" t="e">
        <v>#VALUE!</v>
      </c>
      <c r="AI1177" s="1065" t="e">
        <f>TB_prev[[#This Row],[Synt]]&amp;TB_prev[[#This Row],[Line No. manual corr.]]</f>
        <v>#VALUE!</v>
      </c>
      <c r="AJ1177" s="1064">
        <f t="shared" si="91"/>
        <v>0</v>
      </c>
      <c r="AK1177" s="1064">
        <f t="shared" si="92"/>
        <v>0</v>
      </c>
      <c r="AL1177" s="1064">
        <f t="shared" si="93"/>
        <v>0</v>
      </c>
      <c r="AM1177" s="1064">
        <f t="shared" si="94"/>
        <v>0</v>
      </c>
      <c r="AN1177" s="1064"/>
      <c r="AO1177" s="1064">
        <f>TB_prev[[#This Row],[Closing balance]]+TB_prev[[#This Row],[Rounding]]</f>
        <v>0</v>
      </c>
    </row>
    <row r="1178" spans="30:41" x14ac:dyDescent="0.25">
      <c r="AD1178" s="1067" t="str">
        <f t="shared" si="90"/>
        <v/>
      </c>
      <c r="AE1178" s="1063" t="str">
        <f>IF(ISNA(VLOOKUP(TB_prev[[#This Row],[Synt]],GL[[#Headers],[#Data],[subtotal label]],1,FALSE)),0,(VLOOKUP(TB_prev[[#This Row],[Synt]],GL[[#Headers],[#Data],[subtotal label]],1,FALSE)))</f>
        <v/>
      </c>
      <c r="AF1178" s="1063" t="e">
        <f>IF((TB_prev[[#This Row],[Synt]]-TB_prev[[#This Row],[Subtotal Y/N]])=0,0,VLOOKUP(TB_prev[[#This Row],[Synt]],GL[[Account]:[Line]],3,FALSE))</f>
        <v>#VALUE!</v>
      </c>
      <c r="AG1178" s="1063" t="e">
        <f>VLOOKUP(TB_prev[[#This Row],[Synt]],GL[[Account]:[B/P]],4,FALSE)</f>
        <v>#N/A</v>
      </c>
      <c r="AH1178" s="1066" t="e">
        <v>#VALUE!</v>
      </c>
      <c r="AI1178" s="1065" t="e">
        <f>TB_prev[[#This Row],[Synt]]&amp;TB_prev[[#This Row],[Line No. manual corr.]]</f>
        <v>#VALUE!</v>
      </c>
      <c r="AJ1178" s="1064">
        <f t="shared" si="91"/>
        <v>0</v>
      </c>
      <c r="AK1178" s="1064">
        <f t="shared" si="92"/>
        <v>0</v>
      </c>
      <c r="AL1178" s="1064">
        <f t="shared" si="93"/>
        <v>0</v>
      </c>
      <c r="AM1178" s="1064">
        <f t="shared" si="94"/>
        <v>0</v>
      </c>
      <c r="AN1178" s="1064"/>
      <c r="AO1178" s="1064">
        <f>TB_prev[[#This Row],[Closing balance]]+TB_prev[[#This Row],[Rounding]]</f>
        <v>0</v>
      </c>
    </row>
    <row r="1179" spans="30:41" x14ac:dyDescent="0.25">
      <c r="AD1179" s="1067" t="str">
        <f t="shared" si="90"/>
        <v/>
      </c>
      <c r="AE1179" s="1063" t="str">
        <f>IF(ISNA(VLOOKUP(TB_prev[[#This Row],[Synt]],GL[[#Headers],[#Data],[subtotal label]],1,FALSE)),0,(VLOOKUP(TB_prev[[#This Row],[Synt]],GL[[#Headers],[#Data],[subtotal label]],1,FALSE)))</f>
        <v/>
      </c>
      <c r="AF1179" s="1063" t="e">
        <f>IF((TB_prev[[#This Row],[Synt]]-TB_prev[[#This Row],[Subtotal Y/N]])=0,0,VLOOKUP(TB_prev[[#This Row],[Synt]],GL[[Account]:[Line]],3,FALSE))</f>
        <v>#VALUE!</v>
      </c>
      <c r="AG1179" s="1063" t="e">
        <f>VLOOKUP(TB_prev[[#This Row],[Synt]],GL[[Account]:[B/P]],4,FALSE)</f>
        <v>#N/A</v>
      </c>
      <c r="AH1179" s="1066" t="e">
        <v>#VALUE!</v>
      </c>
      <c r="AI1179" s="1065" t="e">
        <f>TB_prev[[#This Row],[Synt]]&amp;TB_prev[[#This Row],[Line No. manual corr.]]</f>
        <v>#VALUE!</v>
      </c>
      <c r="AJ1179" s="1064">
        <f t="shared" si="91"/>
        <v>0</v>
      </c>
      <c r="AK1179" s="1064">
        <f t="shared" si="92"/>
        <v>0</v>
      </c>
      <c r="AL1179" s="1064">
        <f t="shared" si="93"/>
        <v>0</v>
      </c>
      <c r="AM1179" s="1064">
        <f t="shared" si="94"/>
        <v>0</v>
      </c>
      <c r="AN1179" s="1064"/>
      <c r="AO1179" s="1064">
        <f>TB_prev[[#This Row],[Closing balance]]+TB_prev[[#This Row],[Rounding]]</f>
        <v>0</v>
      </c>
    </row>
    <row r="1180" spans="30:41" x14ac:dyDescent="0.25">
      <c r="AD1180" s="1067" t="str">
        <f t="shared" si="90"/>
        <v/>
      </c>
      <c r="AE1180" s="1063" t="str">
        <f>IF(ISNA(VLOOKUP(TB_prev[[#This Row],[Synt]],GL[[#Headers],[#Data],[subtotal label]],1,FALSE)),0,(VLOOKUP(TB_prev[[#This Row],[Synt]],GL[[#Headers],[#Data],[subtotal label]],1,FALSE)))</f>
        <v/>
      </c>
      <c r="AF1180" s="1063" t="e">
        <f>IF((TB_prev[[#This Row],[Synt]]-TB_prev[[#This Row],[Subtotal Y/N]])=0,0,VLOOKUP(TB_prev[[#This Row],[Synt]],GL[[Account]:[Line]],3,FALSE))</f>
        <v>#VALUE!</v>
      </c>
      <c r="AG1180" s="1063" t="e">
        <f>VLOOKUP(TB_prev[[#This Row],[Synt]],GL[[Account]:[B/P]],4,FALSE)</f>
        <v>#N/A</v>
      </c>
      <c r="AH1180" s="1066" t="e">
        <v>#VALUE!</v>
      </c>
      <c r="AI1180" s="1065" t="e">
        <f>TB_prev[[#This Row],[Synt]]&amp;TB_prev[[#This Row],[Line No. manual corr.]]</f>
        <v>#VALUE!</v>
      </c>
      <c r="AJ1180" s="1064">
        <f t="shared" si="91"/>
        <v>0</v>
      </c>
      <c r="AK1180" s="1064">
        <f t="shared" si="92"/>
        <v>0</v>
      </c>
      <c r="AL1180" s="1064">
        <f t="shared" si="93"/>
        <v>0</v>
      </c>
      <c r="AM1180" s="1064">
        <f t="shared" si="94"/>
        <v>0</v>
      </c>
      <c r="AN1180" s="1064"/>
      <c r="AO1180" s="1064">
        <f>TB_prev[[#This Row],[Closing balance]]+TB_prev[[#This Row],[Rounding]]</f>
        <v>0</v>
      </c>
    </row>
    <row r="1181" spans="30:41" x14ac:dyDescent="0.25">
      <c r="AD1181" s="1067" t="str">
        <f t="shared" si="90"/>
        <v/>
      </c>
      <c r="AE1181" s="1063" t="str">
        <f>IF(ISNA(VLOOKUP(TB_prev[[#This Row],[Synt]],GL[[#Headers],[#Data],[subtotal label]],1,FALSE)),0,(VLOOKUP(TB_prev[[#This Row],[Synt]],GL[[#Headers],[#Data],[subtotal label]],1,FALSE)))</f>
        <v/>
      </c>
      <c r="AF1181" s="1063" t="e">
        <f>IF((TB_prev[[#This Row],[Synt]]-TB_prev[[#This Row],[Subtotal Y/N]])=0,0,VLOOKUP(TB_prev[[#This Row],[Synt]],GL[[Account]:[Line]],3,FALSE))</f>
        <v>#VALUE!</v>
      </c>
      <c r="AG1181" s="1063" t="e">
        <f>VLOOKUP(TB_prev[[#This Row],[Synt]],GL[[Account]:[B/P]],4,FALSE)</f>
        <v>#N/A</v>
      </c>
      <c r="AH1181" s="1066" t="e">
        <v>#VALUE!</v>
      </c>
      <c r="AI1181" s="1065" t="e">
        <f>TB_prev[[#This Row],[Synt]]&amp;TB_prev[[#This Row],[Line No. manual corr.]]</f>
        <v>#VALUE!</v>
      </c>
      <c r="AJ1181" s="1064">
        <f t="shared" si="91"/>
        <v>0</v>
      </c>
      <c r="AK1181" s="1064">
        <f t="shared" si="92"/>
        <v>0</v>
      </c>
      <c r="AL1181" s="1064">
        <f t="shared" si="93"/>
        <v>0</v>
      </c>
      <c r="AM1181" s="1064">
        <f t="shared" si="94"/>
        <v>0</v>
      </c>
      <c r="AN1181" s="1064"/>
      <c r="AO1181" s="1064">
        <f>TB_prev[[#This Row],[Closing balance]]+TB_prev[[#This Row],[Rounding]]</f>
        <v>0</v>
      </c>
    </row>
    <row r="1182" spans="30:41" x14ac:dyDescent="0.25">
      <c r="AD1182" s="1067" t="str">
        <f t="shared" si="90"/>
        <v/>
      </c>
      <c r="AE1182" s="1063" t="str">
        <f>IF(ISNA(VLOOKUP(TB_prev[[#This Row],[Synt]],GL[[#Headers],[#Data],[subtotal label]],1,FALSE)),0,(VLOOKUP(TB_prev[[#This Row],[Synt]],GL[[#Headers],[#Data],[subtotal label]],1,FALSE)))</f>
        <v/>
      </c>
      <c r="AF1182" s="1063" t="e">
        <f>IF((TB_prev[[#This Row],[Synt]]-TB_prev[[#This Row],[Subtotal Y/N]])=0,0,VLOOKUP(TB_prev[[#This Row],[Synt]],GL[[Account]:[Line]],3,FALSE))</f>
        <v>#VALUE!</v>
      </c>
      <c r="AG1182" s="1063" t="e">
        <f>VLOOKUP(TB_prev[[#This Row],[Synt]],GL[[Account]:[B/P]],4,FALSE)</f>
        <v>#N/A</v>
      </c>
      <c r="AH1182" s="1066" t="e">
        <v>#VALUE!</v>
      </c>
      <c r="AI1182" s="1065" t="e">
        <f>TB_prev[[#This Row],[Synt]]&amp;TB_prev[[#This Row],[Line No. manual corr.]]</f>
        <v>#VALUE!</v>
      </c>
      <c r="AJ1182" s="1064">
        <f t="shared" si="91"/>
        <v>0</v>
      </c>
      <c r="AK1182" s="1064">
        <f t="shared" si="92"/>
        <v>0</v>
      </c>
      <c r="AL1182" s="1064">
        <f t="shared" si="93"/>
        <v>0</v>
      </c>
      <c r="AM1182" s="1064">
        <f t="shared" si="94"/>
        <v>0</v>
      </c>
      <c r="AN1182" s="1064"/>
      <c r="AO1182" s="1064">
        <f>TB_prev[[#This Row],[Closing balance]]+TB_prev[[#This Row],[Rounding]]</f>
        <v>0</v>
      </c>
    </row>
    <row r="1183" spans="30:41" x14ac:dyDescent="0.25">
      <c r="AD1183" s="1067" t="str">
        <f t="shared" si="90"/>
        <v/>
      </c>
      <c r="AE1183" s="1063" t="str">
        <f>IF(ISNA(VLOOKUP(TB_prev[[#This Row],[Synt]],GL[[#Headers],[#Data],[subtotal label]],1,FALSE)),0,(VLOOKUP(TB_prev[[#This Row],[Synt]],GL[[#Headers],[#Data],[subtotal label]],1,FALSE)))</f>
        <v/>
      </c>
      <c r="AF1183" s="1063" t="e">
        <f>IF((TB_prev[[#This Row],[Synt]]-TB_prev[[#This Row],[Subtotal Y/N]])=0,0,VLOOKUP(TB_prev[[#This Row],[Synt]],GL[[Account]:[Line]],3,FALSE))</f>
        <v>#VALUE!</v>
      </c>
      <c r="AG1183" s="1063" t="e">
        <f>VLOOKUP(TB_prev[[#This Row],[Synt]],GL[[Account]:[B/P]],4,FALSE)</f>
        <v>#N/A</v>
      </c>
      <c r="AH1183" s="1066" t="e">
        <v>#VALUE!</v>
      </c>
      <c r="AI1183" s="1065" t="e">
        <f>TB_prev[[#This Row],[Synt]]&amp;TB_prev[[#This Row],[Line No. manual corr.]]</f>
        <v>#VALUE!</v>
      </c>
      <c r="AJ1183" s="1064">
        <f t="shared" si="91"/>
        <v>0</v>
      </c>
      <c r="AK1183" s="1064">
        <f t="shared" si="92"/>
        <v>0</v>
      </c>
      <c r="AL1183" s="1064">
        <f t="shared" si="93"/>
        <v>0</v>
      </c>
      <c r="AM1183" s="1064">
        <f t="shared" si="94"/>
        <v>0</v>
      </c>
      <c r="AN1183" s="1064"/>
      <c r="AO1183" s="1064">
        <f>TB_prev[[#This Row],[Closing balance]]+TB_prev[[#This Row],[Rounding]]</f>
        <v>0</v>
      </c>
    </row>
    <row r="1184" spans="30:41" x14ac:dyDescent="0.25">
      <c r="AD1184" s="1067" t="str">
        <f t="shared" si="90"/>
        <v/>
      </c>
      <c r="AE1184" s="1063" t="str">
        <f>IF(ISNA(VLOOKUP(TB_prev[[#This Row],[Synt]],GL[[#Headers],[#Data],[subtotal label]],1,FALSE)),0,(VLOOKUP(TB_prev[[#This Row],[Synt]],GL[[#Headers],[#Data],[subtotal label]],1,FALSE)))</f>
        <v/>
      </c>
      <c r="AF1184" s="1063" t="e">
        <f>IF((TB_prev[[#This Row],[Synt]]-TB_prev[[#This Row],[Subtotal Y/N]])=0,0,VLOOKUP(TB_prev[[#This Row],[Synt]],GL[[Account]:[Line]],3,FALSE))</f>
        <v>#VALUE!</v>
      </c>
      <c r="AG1184" s="1063" t="e">
        <f>VLOOKUP(TB_prev[[#This Row],[Synt]],GL[[Account]:[B/P]],4,FALSE)</f>
        <v>#N/A</v>
      </c>
      <c r="AH1184" s="1066" t="e">
        <v>#VALUE!</v>
      </c>
      <c r="AI1184" s="1065" t="e">
        <f>TB_prev[[#This Row],[Synt]]&amp;TB_prev[[#This Row],[Line No. manual corr.]]</f>
        <v>#VALUE!</v>
      </c>
      <c r="AJ1184" s="1064">
        <f t="shared" si="91"/>
        <v>0</v>
      </c>
      <c r="AK1184" s="1064">
        <f t="shared" si="92"/>
        <v>0</v>
      </c>
      <c r="AL1184" s="1064">
        <f t="shared" si="93"/>
        <v>0</v>
      </c>
      <c r="AM1184" s="1064">
        <f t="shared" si="94"/>
        <v>0</v>
      </c>
      <c r="AN1184" s="1064"/>
      <c r="AO1184" s="1064">
        <f>TB_prev[[#This Row],[Closing balance]]+TB_prev[[#This Row],[Rounding]]</f>
        <v>0</v>
      </c>
    </row>
    <row r="1185" spans="30:41" x14ac:dyDescent="0.25">
      <c r="AD1185" s="1067" t="str">
        <f t="shared" si="90"/>
        <v/>
      </c>
      <c r="AE1185" s="1063" t="str">
        <f>IF(ISNA(VLOOKUP(TB_prev[[#This Row],[Synt]],GL[[#Headers],[#Data],[subtotal label]],1,FALSE)),0,(VLOOKUP(TB_prev[[#This Row],[Synt]],GL[[#Headers],[#Data],[subtotal label]],1,FALSE)))</f>
        <v/>
      </c>
      <c r="AF1185" s="1063" t="e">
        <f>IF((TB_prev[[#This Row],[Synt]]-TB_prev[[#This Row],[Subtotal Y/N]])=0,0,VLOOKUP(TB_prev[[#This Row],[Synt]],GL[[Account]:[Line]],3,FALSE))</f>
        <v>#VALUE!</v>
      </c>
      <c r="AG1185" s="1063" t="e">
        <f>VLOOKUP(TB_prev[[#This Row],[Synt]],GL[[Account]:[B/P]],4,FALSE)</f>
        <v>#N/A</v>
      </c>
      <c r="AH1185" s="1066" t="e">
        <v>#VALUE!</v>
      </c>
      <c r="AI1185" s="1065" t="e">
        <f>TB_prev[[#This Row],[Synt]]&amp;TB_prev[[#This Row],[Line No. manual corr.]]</f>
        <v>#VALUE!</v>
      </c>
      <c r="AJ1185" s="1064">
        <f t="shared" si="91"/>
        <v>0</v>
      </c>
      <c r="AK1185" s="1064">
        <f t="shared" si="92"/>
        <v>0</v>
      </c>
      <c r="AL1185" s="1064">
        <f t="shared" si="93"/>
        <v>0</v>
      </c>
      <c r="AM1185" s="1064">
        <f t="shared" si="94"/>
        <v>0</v>
      </c>
      <c r="AN1185" s="1064"/>
      <c r="AO1185" s="1064">
        <f>TB_prev[[#This Row],[Closing balance]]+TB_prev[[#This Row],[Rounding]]</f>
        <v>0</v>
      </c>
    </row>
    <row r="1186" spans="30:41" x14ac:dyDescent="0.25">
      <c r="AD1186" s="1067" t="str">
        <f t="shared" si="90"/>
        <v/>
      </c>
      <c r="AE1186" s="1063" t="str">
        <f>IF(ISNA(VLOOKUP(TB_prev[[#This Row],[Synt]],GL[[#Headers],[#Data],[subtotal label]],1,FALSE)),0,(VLOOKUP(TB_prev[[#This Row],[Synt]],GL[[#Headers],[#Data],[subtotal label]],1,FALSE)))</f>
        <v/>
      </c>
      <c r="AF1186" s="1063" t="e">
        <f>IF((TB_prev[[#This Row],[Synt]]-TB_prev[[#This Row],[Subtotal Y/N]])=0,0,VLOOKUP(TB_prev[[#This Row],[Synt]],GL[[Account]:[Line]],3,FALSE))</f>
        <v>#VALUE!</v>
      </c>
      <c r="AG1186" s="1063" t="e">
        <f>VLOOKUP(TB_prev[[#This Row],[Synt]],GL[[Account]:[B/P]],4,FALSE)</f>
        <v>#N/A</v>
      </c>
      <c r="AH1186" s="1066" t="e">
        <v>#VALUE!</v>
      </c>
      <c r="AI1186" s="1065" t="e">
        <f>TB_prev[[#This Row],[Synt]]&amp;TB_prev[[#This Row],[Line No. manual corr.]]</f>
        <v>#VALUE!</v>
      </c>
      <c r="AJ1186" s="1064">
        <f t="shared" si="91"/>
        <v>0</v>
      </c>
      <c r="AK1186" s="1064">
        <f t="shared" si="92"/>
        <v>0</v>
      </c>
      <c r="AL1186" s="1064">
        <f t="shared" si="93"/>
        <v>0</v>
      </c>
      <c r="AM1186" s="1064">
        <f t="shared" si="94"/>
        <v>0</v>
      </c>
      <c r="AN1186" s="1064"/>
      <c r="AO1186" s="1064">
        <f>TB_prev[[#This Row],[Closing balance]]+TB_prev[[#This Row],[Rounding]]</f>
        <v>0</v>
      </c>
    </row>
    <row r="1187" spans="30:41" x14ac:dyDescent="0.25">
      <c r="AD1187" s="1067" t="str">
        <f t="shared" si="90"/>
        <v/>
      </c>
      <c r="AE1187" s="1063" t="str">
        <f>IF(ISNA(VLOOKUP(TB_prev[[#This Row],[Synt]],GL[[#Headers],[#Data],[subtotal label]],1,FALSE)),0,(VLOOKUP(TB_prev[[#This Row],[Synt]],GL[[#Headers],[#Data],[subtotal label]],1,FALSE)))</f>
        <v/>
      </c>
      <c r="AF1187" s="1063" t="e">
        <f>IF((TB_prev[[#This Row],[Synt]]-TB_prev[[#This Row],[Subtotal Y/N]])=0,0,VLOOKUP(TB_prev[[#This Row],[Synt]],GL[[Account]:[Line]],3,FALSE))</f>
        <v>#VALUE!</v>
      </c>
      <c r="AG1187" s="1063" t="e">
        <f>VLOOKUP(TB_prev[[#This Row],[Synt]],GL[[Account]:[B/P]],4,FALSE)</f>
        <v>#N/A</v>
      </c>
      <c r="AH1187" s="1066" t="e">
        <v>#VALUE!</v>
      </c>
      <c r="AI1187" s="1065" t="e">
        <f>TB_prev[[#This Row],[Synt]]&amp;TB_prev[[#This Row],[Line No. manual corr.]]</f>
        <v>#VALUE!</v>
      </c>
      <c r="AJ1187" s="1064">
        <f t="shared" si="91"/>
        <v>0</v>
      </c>
      <c r="AK1187" s="1064">
        <f t="shared" si="92"/>
        <v>0</v>
      </c>
      <c r="AL1187" s="1064">
        <f t="shared" si="93"/>
        <v>0</v>
      </c>
      <c r="AM1187" s="1064">
        <f t="shared" si="94"/>
        <v>0</v>
      </c>
      <c r="AN1187" s="1064"/>
      <c r="AO1187" s="1064">
        <f>TB_prev[[#This Row],[Closing balance]]+TB_prev[[#This Row],[Rounding]]</f>
        <v>0</v>
      </c>
    </row>
    <row r="1188" spans="30:41" x14ac:dyDescent="0.25">
      <c r="AD1188" s="1067" t="str">
        <f t="shared" si="90"/>
        <v/>
      </c>
      <c r="AE1188" s="1063" t="str">
        <f>IF(ISNA(VLOOKUP(TB_prev[[#This Row],[Synt]],GL[[#Headers],[#Data],[subtotal label]],1,FALSE)),0,(VLOOKUP(TB_prev[[#This Row],[Synt]],GL[[#Headers],[#Data],[subtotal label]],1,FALSE)))</f>
        <v/>
      </c>
      <c r="AF1188" s="1063" t="e">
        <f>IF((TB_prev[[#This Row],[Synt]]-TB_prev[[#This Row],[Subtotal Y/N]])=0,0,VLOOKUP(TB_prev[[#This Row],[Synt]],GL[[Account]:[Line]],3,FALSE))</f>
        <v>#VALUE!</v>
      </c>
      <c r="AG1188" s="1063" t="e">
        <f>VLOOKUP(TB_prev[[#This Row],[Synt]],GL[[Account]:[B/P]],4,FALSE)</f>
        <v>#N/A</v>
      </c>
      <c r="AH1188" s="1066" t="e">
        <v>#VALUE!</v>
      </c>
      <c r="AI1188" s="1065" t="e">
        <f>TB_prev[[#This Row],[Synt]]&amp;TB_prev[[#This Row],[Line No. manual corr.]]</f>
        <v>#VALUE!</v>
      </c>
      <c r="AJ1188" s="1064">
        <f t="shared" si="91"/>
        <v>0</v>
      </c>
      <c r="AK1188" s="1064">
        <f t="shared" si="92"/>
        <v>0</v>
      </c>
      <c r="AL1188" s="1064">
        <f t="shared" si="93"/>
        <v>0</v>
      </c>
      <c r="AM1188" s="1064">
        <f t="shared" si="94"/>
        <v>0</v>
      </c>
      <c r="AN1188" s="1064"/>
      <c r="AO1188" s="1064">
        <f>TB_prev[[#This Row],[Closing balance]]+TB_prev[[#This Row],[Rounding]]</f>
        <v>0</v>
      </c>
    </row>
    <row r="1189" spans="30:41" x14ac:dyDescent="0.25">
      <c r="AD1189" s="1067" t="str">
        <f t="shared" si="90"/>
        <v/>
      </c>
      <c r="AE1189" s="1063" t="str">
        <f>IF(ISNA(VLOOKUP(TB_prev[[#This Row],[Synt]],GL[[#Headers],[#Data],[subtotal label]],1,FALSE)),0,(VLOOKUP(TB_prev[[#This Row],[Synt]],GL[[#Headers],[#Data],[subtotal label]],1,FALSE)))</f>
        <v/>
      </c>
      <c r="AF1189" s="1063" t="e">
        <f>IF((TB_prev[[#This Row],[Synt]]-TB_prev[[#This Row],[Subtotal Y/N]])=0,0,VLOOKUP(TB_prev[[#This Row],[Synt]],GL[[Account]:[Line]],3,FALSE))</f>
        <v>#VALUE!</v>
      </c>
      <c r="AG1189" s="1063" t="e">
        <f>VLOOKUP(TB_prev[[#This Row],[Synt]],GL[[Account]:[B/P]],4,FALSE)</f>
        <v>#N/A</v>
      </c>
      <c r="AH1189" s="1066" t="e">
        <v>#VALUE!</v>
      </c>
      <c r="AI1189" s="1065" t="e">
        <f>TB_prev[[#This Row],[Synt]]&amp;TB_prev[[#This Row],[Line No. manual corr.]]</f>
        <v>#VALUE!</v>
      </c>
      <c r="AJ1189" s="1064">
        <f t="shared" si="91"/>
        <v>0</v>
      </c>
      <c r="AK1189" s="1064">
        <f t="shared" si="92"/>
        <v>0</v>
      </c>
      <c r="AL1189" s="1064">
        <f t="shared" si="93"/>
        <v>0</v>
      </c>
      <c r="AM1189" s="1064">
        <f t="shared" si="94"/>
        <v>0</v>
      </c>
      <c r="AN1189" s="1064"/>
      <c r="AO1189" s="1064">
        <f>TB_prev[[#This Row],[Closing balance]]+TB_prev[[#This Row],[Rounding]]</f>
        <v>0</v>
      </c>
    </row>
    <row r="1190" spans="30:41" x14ac:dyDescent="0.25">
      <c r="AD1190" s="1067" t="str">
        <f t="shared" si="90"/>
        <v/>
      </c>
      <c r="AE1190" s="1063" t="str">
        <f>IF(ISNA(VLOOKUP(TB_prev[[#This Row],[Synt]],GL[[#Headers],[#Data],[subtotal label]],1,FALSE)),0,(VLOOKUP(TB_prev[[#This Row],[Synt]],GL[[#Headers],[#Data],[subtotal label]],1,FALSE)))</f>
        <v/>
      </c>
      <c r="AF1190" s="1063" t="e">
        <f>IF((TB_prev[[#This Row],[Synt]]-TB_prev[[#This Row],[Subtotal Y/N]])=0,0,VLOOKUP(TB_prev[[#This Row],[Synt]],GL[[Account]:[Line]],3,FALSE))</f>
        <v>#VALUE!</v>
      </c>
      <c r="AG1190" s="1063" t="e">
        <f>VLOOKUP(TB_prev[[#This Row],[Synt]],GL[[Account]:[B/P]],4,FALSE)</f>
        <v>#N/A</v>
      </c>
      <c r="AH1190" s="1066" t="e">
        <v>#VALUE!</v>
      </c>
      <c r="AI1190" s="1065" t="e">
        <f>TB_prev[[#This Row],[Synt]]&amp;TB_prev[[#This Row],[Line No. manual corr.]]</f>
        <v>#VALUE!</v>
      </c>
      <c r="AJ1190" s="1064">
        <f t="shared" si="91"/>
        <v>0</v>
      </c>
      <c r="AK1190" s="1064">
        <f t="shared" si="92"/>
        <v>0</v>
      </c>
      <c r="AL1190" s="1064">
        <f t="shared" si="93"/>
        <v>0</v>
      </c>
      <c r="AM1190" s="1064">
        <f t="shared" si="94"/>
        <v>0</v>
      </c>
      <c r="AN1190" s="1064"/>
      <c r="AO1190" s="1064">
        <f>TB_prev[[#This Row],[Closing balance]]+TB_prev[[#This Row],[Rounding]]</f>
        <v>0</v>
      </c>
    </row>
    <row r="1191" spans="30:41" x14ac:dyDescent="0.25">
      <c r="AD1191" s="1067" t="str">
        <f t="shared" si="90"/>
        <v/>
      </c>
      <c r="AE1191" s="1063" t="str">
        <f>IF(ISNA(VLOOKUP(TB_prev[[#This Row],[Synt]],GL[[#Headers],[#Data],[subtotal label]],1,FALSE)),0,(VLOOKUP(TB_prev[[#This Row],[Synt]],GL[[#Headers],[#Data],[subtotal label]],1,FALSE)))</f>
        <v/>
      </c>
      <c r="AF1191" s="1063" t="e">
        <f>IF((TB_prev[[#This Row],[Synt]]-TB_prev[[#This Row],[Subtotal Y/N]])=0,0,VLOOKUP(TB_prev[[#This Row],[Synt]],GL[[Account]:[Line]],3,FALSE))</f>
        <v>#VALUE!</v>
      </c>
      <c r="AG1191" s="1063" t="e">
        <f>VLOOKUP(TB_prev[[#This Row],[Synt]],GL[[Account]:[B/P]],4,FALSE)</f>
        <v>#N/A</v>
      </c>
      <c r="AH1191" s="1066" t="e">
        <v>#VALUE!</v>
      </c>
      <c r="AI1191" s="1065" t="e">
        <f>TB_prev[[#This Row],[Synt]]&amp;TB_prev[[#This Row],[Line No. manual corr.]]</f>
        <v>#VALUE!</v>
      </c>
      <c r="AJ1191" s="1064">
        <f t="shared" si="91"/>
        <v>0</v>
      </c>
      <c r="AK1191" s="1064">
        <f t="shared" si="92"/>
        <v>0</v>
      </c>
      <c r="AL1191" s="1064">
        <f t="shared" si="93"/>
        <v>0</v>
      </c>
      <c r="AM1191" s="1064">
        <f t="shared" si="94"/>
        <v>0</v>
      </c>
      <c r="AN1191" s="1064"/>
      <c r="AO1191" s="1064">
        <f>TB_prev[[#This Row],[Closing balance]]+TB_prev[[#This Row],[Rounding]]</f>
        <v>0</v>
      </c>
    </row>
    <row r="1192" spans="30:41" x14ac:dyDescent="0.25">
      <c r="AD1192" s="1067" t="str">
        <f t="shared" si="90"/>
        <v/>
      </c>
      <c r="AE1192" s="1063" t="str">
        <f>IF(ISNA(VLOOKUP(TB_prev[[#This Row],[Synt]],GL[[#Headers],[#Data],[subtotal label]],1,FALSE)),0,(VLOOKUP(TB_prev[[#This Row],[Synt]],GL[[#Headers],[#Data],[subtotal label]],1,FALSE)))</f>
        <v/>
      </c>
      <c r="AF1192" s="1063" t="e">
        <f>IF((TB_prev[[#This Row],[Synt]]-TB_prev[[#This Row],[Subtotal Y/N]])=0,0,VLOOKUP(TB_prev[[#This Row],[Synt]],GL[[Account]:[Line]],3,FALSE))</f>
        <v>#VALUE!</v>
      </c>
      <c r="AG1192" s="1063" t="e">
        <f>VLOOKUP(TB_prev[[#This Row],[Synt]],GL[[Account]:[B/P]],4,FALSE)</f>
        <v>#N/A</v>
      </c>
      <c r="AH1192" s="1066" t="e">
        <v>#VALUE!</v>
      </c>
      <c r="AI1192" s="1065" t="e">
        <f>TB_prev[[#This Row],[Synt]]&amp;TB_prev[[#This Row],[Line No. manual corr.]]</f>
        <v>#VALUE!</v>
      </c>
      <c r="AJ1192" s="1064">
        <f t="shared" si="91"/>
        <v>0</v>
      </c>
      <c r="AK1192" s="1064">
        <f t="shared" si="92"/>
        <v>0</v>
      </c>
      <c r="AL1192" s="1064">
        <f t="shared" si="93"/>
        <v>0</v>
      </c>
      <c r="AM1192" s="1064">
        <f t="shared" si="94"/>
        <v>0</v>
      </c>
      <c r="AN1192" s="1064"/>
      <c r="AO1192" s="1064">
        <f>TB_prev[[#This Row],[Closing balance]]+TB_prev[[#This Row],[Rounding]]</f>
        <v>0</v>
      </c>
    </row>
    <row r="1193" spans="30:41" x14ac:dyDescent="0.25">
      <c r="AD1193" s="1067" t="str">
        <f t="shared" si="90"/>
        <v/>
      </c>
      <c r="AE1193" s="1063" t="str">
        <f>IF(ISNA(VLOOKUP(TB_prev[[#This Row],[Synt]],GL[[#Headers],[#Data],[subtotal label]],1,FALSE)),0,(VLOOKUP(TB_prev[[#This Row],[Synt]],GL[[#Headers],[#Data],[subtotal label]],1,FALSE)))</f>
        <v/>
      </c>
      <c r="AF1193" s="1063" t="e">
        <f>IF((TB_prev[[#This Row],[Synt]]-TB_prev[[#This Row],[Subtotal Y/N]])=0,0,VLOOKUP(TB_prev[[#This Row],[Synt]],GL[[Account]:[Line]],3,FALSE))</f>
        <v>#VALUE!</v>
      </c>
      <c r="AG1193" s="1063" t="e">
        <f>VLOOKUP(TB_prev[[#This Row],[Synt]],GL[[Account]:[B/P]],4,FALSE)</f>
        <v>#N/A</v>
      </c>
      <c r="AH1193" s="1066" t="e">
        <v>#VALUE!</v>
      </c>
      <c r="AI1193" s="1065" t="e">
        <f>TB_prev[[#This Row],[Synt]]&amp;TB_prev[[#This Row],[Line No. manual corr.]]</f>
        <v>#VALUE!</v>
      </c>
      <c r="AJ1193" s="1064">
        <f t="shared" si="91"/>
        <v>0</v>
      </c>
      <c r="AK1193" s="1064">
        <f t="shared" si="92"/>
        <v>0</v>
      </c>
      <c r="AL1193" s="1064">
        <f t="shared" si="93"/>
        <v>0</v>
      </c>
      <c r="AM1193" s="1064">
        <f t="shared" si="94"/>
        <v>0</v>
      </c>
      <c r="AN1193" s="1064"/>
      <c r="AO1193" s="1064">
        <f>TB_prev[[#This Row],[Closing balance]]+TB_prev[[#This Row],[Rounding]]</f>
        <v>0</v>
      </c>
    </row>
    <row r="1194" spans="30:41" x14ac:dyDescent="0.25">
      <c r="AD1194" s="1067" t="str">
        <f t="shared" si="90"/>
        <v/>
      </c>
      <c r="AE1194" s="1063" t="str">
        <f>IF(ISNA(VLOOKUP(TB_prev[[#This Row],[Synt]],GL[[#Headers],[#Data],[subtotal label]],1,FALSE)),0,(VLOOKUP(TB_prev[[#This Row],[Synt]],GL[[#Headers],[#Data],[subtotal label]],1,FALSE)))</f>
        <v/>
      </c>
      <c r="AF1194" s="1063" t="e">
        <f>IF((TB_prev[[#This Row],[Synt]]-TB_prev[[#This Row],[Subtotal Y/N]])=0,0,VLOOKUP(TB_prev[[#This Row],[Synt]],GL[[Account]:[Line]],3,FALSE))</f>
        <v>#VALUE!</v>
      </c>
      <c r="AG1194" s="1063" t="e">
        <f>VLOOKUP(TB_prev[[#This Row],[Synt]],GL[[Account]:[B/P]],4,FALSE)</f>
        <v>#N/A</v>
      </c>
      <c r="AH1194" s="1066" t="e">
        <v>#VALUE!</v>
      </c>
      <c r="AI1194" s="1065" t="e">
        <f>TB_prev[[#This Row],[Synt]]&amp;TB_prev[[#This Row],[Line No. manual corr.]]</f>
        <v>#VALUE!</v>
      </c>
      <c r="AJ1194" s="1064">
        <f t="shared" si="91"/>
        <v>0</v>
      </c>
      <c r="AK1194" s="1064">
        <f t="shared" si="92"/>
        <v>0</v>
      </c>
      <c r="AL1194" s="1064">
        <f t="shared" si="93"/>
        <v>0</v>
      </c>
      <c r="AM1194" s="1064">
        <f t="shared" si="94"/>
        <v>0</v>
      </c>
      <c r="AN1194" s="1064"/>
      <c r="AO1194" s="1064">
        <f>TB_prev[[#This Row],[Closing balance]]+TB_prev[[#This Row],[Rounding]]</f>
        <v>0</v>
      </c>
    </row>
    <row r="1195" spans="30:41" x14ac:dyDescent="0.25">
      <c r="AD1195" s="1067" t="str">
        <f t="shared" si="90"/>
        <v/>
      </c>
      <c r="AE1195" s="1063" t="str">
        <f>IF(ISNA(VLOOKUP(TB_prev[[#This Row],[Synt]],GL[[#Headers],[#Data],[subtotal label]],1,FALSE)),0,(VLOOKUP(TB_prev[[#This Row],[Synt]],GL[[#Headers],[#Data],[subtotal label]],1,FALSE)))</f>
        <v/>
      </c>
      <c r="AF1195" s="1063" t="e">
        <f>IF((TB_prev[[#This Row],[Synt]]-TB_prev[[#This Row],[Subtotal Y/N]])=0,0,VLOOKUP(TB_prev[[#This Row],[Synt]],GL[[Account]:[Line]],3,FALSE))</f>
        <v>#VALUE!</v>
      </c>
      <c r="AG1195" s="1063" t="e">
        <f>VLOOKUP(TB_prev[[#This Row],[Synt]],GL[[Account]:[B/P]],4,FALSE)</f>
        <v>#N/A</v>
      </c>
      <c r="AH1195" s="1066" t="e">
        <v>#VALUE!</v>
      </c>
      <c r="AI1195" s="1065" t="e">
        <f>TB_prev[[#This Row],[Synt]]&amp;TB_prev[[#This Row],[Line No. manual corr.]]</f>
        <v>#VALUE!</v>
      </c>
      <c r="AJ1195" s="1064">
        <f t="shared" si="91"/>
        <v>0</v>
      </c>
      <c r="AK1195" s="1064">
        <f t="shared" si="92"/>
        <v>0</v>
      </c>
      <c r="AL1195" s="1064">
        <f t="shared" si="93"/>
        <v>0</v>
      </c>
      <c r="AM1195" s="1064">
        <f t="shared" si="94"/>
        <v>0</v>
      </c>
      <c r="AN1195" s="1064"/>
      <c r="AO1195" s="1064">
        <f>TB_prev[[#This Row],[Closing balance]]+TB_prev[[#This Row],[Rounding]]</f>
        <v>0</v>
      </c>
    </row>
    <row r="1196" spans="30:41" x14ac:dyDescent="0.25">
      <c r="AD1196" s="1067" t="str">
        <f t="shared" si="90"/>
        <v/>
      </c>
      <c r="AE1196" s="1063" t="str">
        <f>IF(ISNA(VLOOKUP(TB_prev[[#This Row],[Synt]],GL[[#Headers],[#Data],[subtotal label]],1,FALSE)),0,(VLOOKUP(TB_prev[[#This Row],[Synt]],GL[[#Headers],[#Data],[subtotal label]],1,FALSE)))</f>
        <v/>
      </c>
      <c r="AF1196" s="1063" t="e">
        <f>IF((TB_prev[[#This Row],[Synt]]-TB_prev[[#This Row],[Subtotal Y/N]])=0,0,VLOOKUP(TB_prev[[#This Row],[Synt]],GL[[Account]:[Line]],3,FALSE))</f>
        <v>#VALUE!</v>
      </c>
      <c r="AG1196" s="1063" t="e">
        <f>VLOOKUP(TB_prev[[#This Row],[Synt]],GL[[Account]:[B/P]],4,FALSE)</f>
        <v>#N/A</v>
      </c>
      <c r="AH1196" s="1066" t="e">
        <v>#VALUE!</v>
      </c>
      <c r="AI1196" s="1065" t="e">
        <f>TB_prev[[#This Row],[Synt]]&amp;TB_prev[[#This Row],[Line No. manual corr.]]</f>
        <v>#VALUE!</v>
      </c>
      <c r="AJ1196" s="1064">
        <f t="shared" si="91"/>
        <v>0</v>
      </c>
      <c r="AK1196" s="1064">
        <f t="shared" si="92"/>
        <v>0</v>
      </c>
      <c r="AL1196" s="1064">
        <f t="shared" si="93"/>
        <v>0</v>
      </c>
      <c r="AM1196" s="1064">
        <f t="shared" si="94"/>
        <v>0</v>
      </c>
      <c r="AN1196" s="1064"/>
      <c r="AO1196" s="1064">
        <f>TB_prev[[#This Row],[Closing balance]]+TB_prev[[#This Row],[Rounding]]</f>
        <v>0</v>
      </c>
    </row>
    <row r="1197" spans="30:41" x14ac:dyDescent="0.25">
      <c r="AD1197" s="1067" t="str">
        <f t="shared" si="90"/>
        <v/>
      </c>
      <c r="AE1197" s="1063" t="str">
        <f>IF(ISNA(VLOOKUP(TB_prev[[#This Row],[Synt]],GL[[#Headers],[#Data],[subtotal label]],1,FALSE)),0,(VLOOKUP(TB_prev[[#This Row],[Synt]],GL[[#Headers],[#Data],[subtotal label]],1,FALSE)))</f>
        <v/>
      </c>
      <c r="AF1197" s="1063" t="e">
        <f>IF((TB_prev[[#This Row],[Synt]]-TB_prev[[#This Row],[Subtotal Y/N]])=0,0,VLOOKUP(TB_prev[[#This Row],[Synt]],GL[[Account]:[Line]],3,FALSE))</f>
        <v>#VALUE!</v>
      </c>
      <c r="AG1197" s="1063" t="e">
        <f>VLOOKUP(TB_prev[[#This Row],[Synt]],GL[[Account]:[B/P]],4,FALSE)</f>
        <v>#N/A</v>
      </c>
      <c r="AH1197" s="1066" t="e">
        <v>#VALUE!</v>
      </c>
      <c r="AI1197" s="1065" t="e">
        <f>TB_prev[[#This Row],[Synt]]&amp;TB_prev[[#This Row],[Line No. manual corr.]]</f>
        <v>#VALUE!</v>
      </c>
      <c r="AJ1197" s="1064">
        <f t="shared" si="91"/>
        <v>0</v>
      </c>
      <c r="AK1197" s="1064">
        <f t="shared" si="92"/>
        <v>0</v>
      </c>
      <c r="AL1197" s="1064">
        <f t="shared" si="93"/>
        <v>0</v>
      </c>
      <c r="AM1197" s="1064">
        <f t="shared" si="94"/>
        <v>0</v>
      </c>
      <c r="AN1197" s="1064"/>
      <c r="AO1197" s="1064">
        <f>TB_prev[[#This Row],[Closing balance]]+TB_prev[[#This Row],[Rounding]]</f>
        <v>0</v>
      </c>
    </row>
    <row r="1198" spans="30:41" x14ac:dyDescent="0.25">
      <c r="AD1198" s="1067" t="str">
        <f t="shared" si="90"/>
        <v/>
      </c>
      <c r="AE1198" s="1063" t="str">
        <f>IF(ISNA(VLOOKUP(TB_prev[[#This Row],[Synt]],GL[[#Headers],[#Data],[subtotal label]],1,FALSE)),0,(VLOOKUP(TB_prev[[#This Row],[Synt]],GL[[#Headers],[#Data],[subtotal label]],1,FALSE)))</f>
        <v/>
      </c>
      <c r="AF1198" s="1063" t="e">
        <f>IF((TB_prev[[#This Row],[Synt]]-TB_prev[[#This Row],[Subtotal Y/N]])=0,0,VLOOKUP(TB_prev[[#This Row],[Synt]],GL[[Account]:[Line]],3,FALSE))</f>
        <v>#VALUE!</v>
      </c>
      <c r="AG1198" s="1063" t="e">
        <f>VLOOKUP(TB_prev[[#This Row],[Synt]],GL[[Account]:[B/P]],4,FALSE)</f>
        <v>#N/A</v>
      </c>
      <c r="AH1198" s="1066" t="e">
        <v>#VALUE!</v>
      </c>
      <c r="AI1198" s="1065" t="e">
        <f>TB_prev[[#This Row],[Synt]]&amp;TB_prev[[#This Row],[Line No. manual corr.]]</f>
        <v>#VALUE!</v>
      </c>
      <c r="AJ1198" s="1064">
        <f t="shared" si="91"/>
        <v>0</v>
      </c>
      <c r="AK1198" s="1064">
        <f t="shared" si="92"/>
        <v>0</v>
      </c>
      <c r="AL1198" s="1064">
        <f t="shared" si="93"/>
        <v>0</v>
      </c>
      <c r="AM1198" s="1064">
        <f t="shared" si="94"/>
        <v>0</v>
      </c>
      <c r="AN1198" s="1064"/>
      <c r="AO1198" s="1064">
        <f>TB_prev[[#This Row],[Closing balance]]+TB_prev[[#This Row],[Rounding]]</f>
        <v>0</v>
      </c>
    </row>
    <row r="1199" spans="30:41" x14ac:dyDescent="0.25">
      <c r="AD1199" s="1067" t="str">
        <f t="shared" si="90"/>
        <v/>
      </c>
      <c r="AE1199" s="1063" t="str">
        <f>IF(ISNA(VLOOKUP(TB_prev[[#This Row],[Synt]],GL[[#Headers],[#Data],[subtotal label]],1,FALSE)),0,(VLOOKUP(TB_prev[[#This Row],[Synt]],GL[[#Headers],[#Data],[subtotal label]],1,FALSE)))</f>
        <v/>
      </c>
      <c r="AF1199" s="1063" t="e">
        <f>IF((TB_prev[[#This Row],[Synt]]-TB_prev[[#This Row],[Subtotal Y/N]])=0,0,VLOOKUP(TB_prev[[#This Row],[Synt]],GL[[Account]:[Line]],3,FALSE))</f>
        <v>#VALUE!</v>
      </c>
      <c r="AG1199" s="1063" t="e">
        <f>VLOOKUP(TB_prev[[#This Row],[Synt]],GL[[Account]:[B/P]],4,FALSE)</f>
        <v>#N/A</v>
      </c>
      <c r="AH1199" s="1066" t="e">
        <v>#VALUE!</v>
      </c>
      <c r="AI1199" s="1065" t="e">
        <f>TB_prev[[#This Row],[Synt]]&amp;TB_prev[[#This Row],[Line No. manual corr.]]</f>
        <v>#VALUE!</v>
      </c>
      <c r="AJ1199" s="1064">
        <f t="shared" si="91"/>
        <v>0</v>
      </c>
      <c r="AK1199" s="1064">
        <f t="shared" si="92"/>
        <v>0</v>
      </c>
      <c r="AL1199" s="1064">
        <f t="shared" si="93"/>
        <v>0</v>
      </c>
      <c r="AM1199" s="1064">
        <f t="shared" si="94"/>
        <v>0</v>
      </c>
      <c r="AN1199" s="1064"/>
      <c r="AO1199" s="1064">
        <f>TB_prev[[#This Row],[Closing balance]]+TB_prev[[#This Row],[Rounding]]</f>
        <v>0</v>
      </c>
    </row>
    <row r="1200" spans="30:41" x14ac:dyDescent="0.25">
      <c r="AD1200" s="1067" t="str">
        <f t="shared" si="90"/>
        <v/>
      </c>
      <c r="AE1200" s="1063" t="str">
        <f>IF(ISNA(VLOOKUP(TB_prev[[#This Row],[Synt]],GL[[#Headers],[#Data],[subtotal label]],1,FALSE)),0,(VLOOKUP(TB_prev[[#This Row],[Synt]],GL[[#Headers],[#Data],[subtotal label]],1,FALSE)))</f>
        <v/>
      </c>
      <c r="AF1200" s="1063" t="e">
        <f>IF((TB_prev[[#This Row],[Synt]]-TB_prev[[#This Row],[Subtotal Y/N]])=0,0,VLOOKUP(TB_prev[[#This Row],[Synt]],GL[[Account]:[Line]],3,FALSE))</f>
        <v>#VALUE!</v>
      </c>
      <c r="AG1200" s="1063" t="e">
        <f>VLOOKUP(TB_prev[[#This Row],[Synt]],GL[[Account]:[B/P]],4,FALSE)</f>
        <v>#N/A</v>
      </c>
      <c r="AH1200" s="1066" t="e">
        <v>#VALUE!</v>
      </c>
      <c r="AI1200" s="1065" t="e">
        <f>TB_prev[[#This Row],[Synt]]&amp;TB_prev[[#This Row],[Line No. manual corr.]]</f>
        <v>#VALUE!</v>
      </c>
      <c r="AJ1200" s="1064">
        <f t="shared" si="91"/>
        <v>0</v>
      </c>
      <c r="AK1200" s="1064">
        <f t="shared" si="92"/>
        <v>0</v>
      </c>
      <c r="AL1200" s="1064">
        <f t="shared" si="93"/>
        <v>0</v>
      </c>
      <c r="AM1200" s="1064">
        <f t="shared" si="94"/>
        <v>0</v>
      </c>
      <c r="AN1200" s="1064"/>
      <c r="AO1200" s="1064">
        <f>TB_prev[[#This Row],[Closing balance]]+TB_prev[[#This Row],[Rounding]]</f>
        <v>0</v>
      </c>
    </row>
    <row r="1201" spans="30:41" x14ac:dyDescent="0.25">
      <c r="AD1201" s="1067" t="str">
        <f t="shared" si="90"/>
        <v/>
      </c>
      <c r="AE1201" s="1063" t="str">
        <f>IF(ISNA(VLOOKUP(TB_prev[[#This Row],[Synt]],GL[[#Headers],[#Data],[subtotal label]],1,FALSE)),0,(VLOOKUP(TB_prev[[#This Row],[Synt]],GL[[#Headers],[#Data],[subtotal label]],1,FALSE)))</f>
        <v/>
      </c>
      <c r="AF1201" s="1063" t="e">
        <f>IF((TB_prev[[#This Row],[Synt]]-TB_prev[[#This Row],[Subtotal Y/N]])=0,0,VLOOKUP(TB_prev[[#This Row],[Synt]],GL[[Account]:[Line]],3,FALSE))</f>
        <v>#VALUE!</v>
      </c>
      <c r="AG1201" s="1063" t="e">
        <f>VLOOKUP(TB_prev[[#This Row],[Synt]],GL[[Account]:[B/P]],4,FALSE)</f>
        <v>#N/A</v>
      </c>
      <c r="AH1201" s="1066" t="e">
        <v>#VALUE!</v>
      </c>
      <c r="AI1201" s="1065" t="e">
        <f>TB_prev[[#This Row],[Synt]]&amp;TB_prev[[#This Row],[Line No. manual corr.]]</f>
        <v>#VALUE!</v>
      </c>
      <c r="AJ1201" s="1064">
        <f t="shared" si="91"/>
        <v>0</v>
      </c>
      <c r="AK1201" s="1064">
        <f t="shared" si="92"/>
        <v>0</v>
      </c>
      <c r="AL1201" s="1064">
        <f t="shared" si="93"/>
        <v>0</v>
      </c>
      <c r="AM1201" s="1064">
        <f t="shared" si="94"/>
        <v>0</v>
      </c>
      <c r="AN1201" s="1064"/>
      <c r="AO1201" s="1064">
        <f>TB_prev[[#This Row],[Closing balance]]+TB_prev[[#This Row],[Rounding]]</f>
        <v>0</v>
      </c>
    </row>
    <row r="1202" spans="30:41" x14ac:dyDescent="0.25">
      <c r="AD1202" s="1067" t="str">
        <f t="shared" si="90"/>
        <v/>
      </c>
      <c r="AE1202" s="1063" t="str">
        <f>IF(ISNA(VLOOKUP(TB_prev[[#This Row],[Synt]],GL[[#Headers],[#Data],[subtotal label]],1,FALSE)),0,(VLOOKUP(TB_prev[[#This Row],[Synt]],GL[[#Headers],[#Data],[subtotal label]],1,FALSE)))</f>
        <v/>
      </c>
      <c r="AF1202" s="1063" t="e">
        <f>IF((TB_prev[[#This Row],[Synt]]-TB_prev[[#This Row],[Subtotal Y/N]])=0,0,VLOOKUP(TB_prev[[#This Row],[Synt]],GL[[Account]:[Line]],3,FALSE))</f>
        <v>#VALUE!</v>
      </c>
      <c r="AG1202" s="1063" t="e">
        <f>VLOOKUP(TB_prev[[#This Row],[Synt]],GL[[Account]:[B/P]],4,FALSE)</f>
        <v>#N/A</v>
      </c>
      <c r="AH1202" s="1066" t="e">
        <v>#VALUE!</v>
      </c>
      <c r="AI1202" s="1065" t="e">
        <f>TB_prev[[#This Row],[Synt]]&amp;TB_prev[[#This Row],[Line No. manual corr.]]</f>
        <v>#VALUE!</v>
      </c>
      <c r="AJ1202" s="1064">
        <f t="shared" si="91"/>
        <v>0</v>
      </c>
      <c r="AK1202" s="1064">
        <f t="shared" si="92"/>
        <v>0</v>
      </c>
      <c r="AL1202" s="1064">
        <f t="shared" si="93"/>
        <v>0</v>
      </c>
      <c r="AM1202" s="1064">
        <f t="shared" si="94"/>
        <v>0</v>
      </c>
      <c r="AN1202" s="1064"/>
      <c r="AO1202" s="1064">
        <f>TB_prev[[#This Row],[Closing balance]]+TB_prev[[#This Row],[Rounding]]</f>
        <v>0</v>
      </c>
    </row>
    <row r="1203" spans="30:41" x14ac:dyDescent="0.25">
      <c r="AD1203" s="1067" t="str">
        <f t="shared" si="90"/>
        <v/>
      </c>
      <c r="AE1203" s="1063" t="str">
        <f>IF(ISNA(VLOOKUP(TB_prev[[#This Row],[Synt]],GL[[#Headers],[#Data],[subtotal label]],1,FALSE)),0,(VLOOKUP(TB_prev[[#This Row],[Synt]],GL[[#Headers],[#Data],[subtotal label]],1,FALSE)))</f>
        <v/>
      </c>
      <c r="AF1203" s="1063" t="e">
        <f>IF((TB_prev[[#This Row],[Synt]]-TB_prev[[#This Row],[Subtotal Y/N]])=0,0,VLOOKUP(TB_prev[[#This Row],[Synt]],GL[[Account]:[Line]],3,FALSE))</f>
        <v>#VALUE!</v>
      </c>
      <c r="AG1203" s="1063" t="e">
        <f>VLOOKUP(TB_prev[[#This Row],[Synt]],GL[[Account]:[B/P]],4,FALSE)</f>
        <v>#N/A</v>
      </c>
      <c r="AH1203" s="1066" t="e">
        <v>#VALUE!</v>
      </c>
      <c r="AI1203" s="1065" t="e">
        <f>TB_prev[[#This Row],[Synt]]&amp;TB_prev[[#This Row],[Line No. manual corr.]]</f>
        <v>#VALUE!</v>
      </c>
      <c r="AJ1203" s="1064">
        <f t="shared" si="91"/>
        <v>0</v>
      </c>
      <c r="AK1203" s="1064">
        <f t="shared" si="92"/>
        <v>0</v>
      </c>
      <c r="AL1203" s="1064">
        <f t="shared" si="93"/>
        <v>0</v>
      </c>
      <c r="AM1203" s="1064">
        <f t="shared" si="94"/>
        <v>0</v>
      </c>
      <c r="AN1203" s="1064"/>
      <c r="AO1203" s="1064">
        <f>TB_prev[[#This Row],[Closing balance]]+TB_prev[[#This Row],[Rounding]]</f>
        <v>0</v>
      </c>
    </row>
    <row r="1204" spans="30:41" x14ac:dyDescent="0.25">
      <c r="AD1204" s="1067" t="str">
        <f t="shared" si="90"/>
        <v/>
      </c>
      <c r="AE1204" s="1063" t="str">
        <f>IF(ISNA(VLOOKUP(TB_prev[[#This Row],[Synt]],GL[[#Headers],[#Data],[subtotal label]],1,FALSE)),0,(VLOOKUP(TB_prev[[#This Row],[Synt]],GL[[#Headers],[#Data],[subtotal label]],1,FALSE)))</f>
        <v/>
      </c>
      <c r="AF1204" s="1063" t="e">
        <f>IF((TB_prev[[#This Row],[Synt]]-TB_prev[[#This Row],[Subtotal Y/N]])=0,0,VLOOKUP(TB_prev[[#This Row],[Synt]],GL[[Account]:[Line]],3,FALSE))</f>
        <v>#VALUE!</v>
      </c>
      <c r="AG1204" s="1063" t="e">
        <f>VLOOKUP(TB_prev[[#This Row],[Synt]],GL[[Account]:[B/P]],4,FALSE)</f>
        <v>#N/A</v>
      </c>
      <c r="AH1204" s="1066" t="e">
        <v>#VALUE!</v>
      </c>
      <c r="AI1204" s="1065" t="e">
        <f>TB_prev[[#This Row],[Synt]]&amp;TB_prev[[#This Row],[Line No. manual corr.]]</f>
        <v>#VALUE!</v>
      </c>
      <c r="AJ1204" s="1064">
        <f t="shared" si="91"/>
        <v>0</v>
      </c>
      <c r="AK1204" s="1064">
        <f t="shared" si="92"/>
        <v>0</v>
      </c>
      <c r="AL1204" s="1064">
        <f t="shared" si="93"/>
        <v>0</v>
      </c>
      <c r="AM1204" s="1064">
        <f t="shared" si="94"/>
        <v>0</v>
      </c>
      <c r="AN1204" s="1064"/>
      <c r="AO1204" s="1064">
        <f>TB_prev[[#This Row],[Closing balance]]+TB_prev[[#This Row],[Rounding]]</f>
        <v>0</v>
      </c>
    </row>
    <row r="1205" spans="30:41" x14ac:dyDescent="0.25">
      <c r="AD1205" s="1067" t="str">
        <f t="shared" si="90"/>
        <v/>
      </c>
      <c r="AE1205" s="1063" t="str">
        <f>IF(ISNA(VLOOKUP(TB_prev[[#This Row],[Synt]],GL[[#Headers],[#Data],[subtotal label]],1,FALSE)),0,(VLOOKUP(TB_prev[[#This Row],[Synt]],GL[[#Headers],[#Data],[subtotal label]],1,FALSE)))</f>
        <v/>
      </c>
      <c r="AF1205" s="1063" t="e">
        <f>IF((TB_prev[[#This Row],[Synt]]-TB_prev[[#This Row],[Subtotal Y/N]])=0,0,VLOOKUP(TB_prev[[#This Row],[Synt]],GL[[Account]:[Line]],3,FALSE))</f>
        <v>#VALUE!</v>
      </c>
      <c r="AG1205" s="1063" t="e">
        <f>VLOOKUP(TB_prev[[#This Row],[Synt]],GL[[Account]:[B/P]],4,FALSE)</f>
        <v>#N/A</v>
      </c>
      <c r="AH1205" s="1066" t="e">
        <v>#VALUE!</v>
      </c>
      <c r="AI1205" s="1065" t="e">
        <f>TB_prev[[#This Row],[Synt]]&amp;TB_prev[[#This Row],[Line No. manual corr.]]</f>
        <v>#VALUE!</v>
      </c>
      <c r="AJ1205" s="1064">
        <f t="shared" si="91"/>
        <v>0</v>
      </c>
      <c r="AK1205" s="1064">
        <f t="shared" si="92"/>
        <v>0</v>
      </c>
      <c r="AL1205" s="1064">
        <f t="shared" si="93"/>
        <v>0</v>
      </c>
      <c r="AM1205" s="1064">
        <f t="shared" si="94"/>
        <v>0</v>
      </c>
      <c r="AN1205" s="1064"/>
      <c r="AO1205" s="1064">
        <f>TB_prev[[#This Row],[Closing balance]]+TB_prev[[#This Row],[Rounding]]</f>
        <v>0</v>
      </c>
    </row>
    <row r="1206" spans="30:41" x14ac:dyDescent="0.25">
      <c r="AD1206" s="1067" t="str">
        <f t="shared" si="90"/>
        <v/>
      </c>
      <c r="AE1206" s="1063" t="str">
        <f>IF(ISNA(VLOOKUP(TB_prev[[#This Row],[Synt]],GL[[#Headers],[#Data],[subtotal label]],1,FALSE)),0,(VLOOKUP(TB_prev[[#This Row],[Synt]],GL[[#Headers],[#Data],[subtotal label]],1,FALSE)))</f>
        <v/>
      </c>
      <c r="AF1206" s="1063" t="e">
        <f>IF((TB_prev[[#This Row],[Synt]]-TB_prev[[#This Row],[Subtotal Y/N]])=0,0,VLOOKUP(TB_prev[[#This Row],[Synt]],GL[[Account]:[Line]],3,FALSE))</f>
        <v>#VALUE!</v>
      </c>
      <c r="AG1206" s="1063" t="e">
        <f>VLOOKUP(TB_prev[[#This Row],[Synt]],GL[[Account]:[B/P]],4,FALSE)</f>
        <v>#N/A</v>
      </c>
      <c r="AH1206" s="1066" t="e">
        <v>#VALUE!</v>
      </c>
      <c r="AI1206" s="1065" t="e">
        <f>TB_prev[[#This Row],[Synt]]&amp;TB_prev[[#This Row],[Line No. manual corr.]]</f>
        <v>#VALUE!</v>
      </c>
      <c r="AJ1206" s="1064">
        <f t="shared" si="91"/>
        <v>0</v>
      </c>
      <c r="AK1206" s="1064">
        <f t="shared" si="92"/>
        <v>0</v>
      </c>
      <c r="AL1206" s="1064">
        <f t="shared" si="93"/>
        <v>0</v>
      </c>
      <c r="AM1206" s="1064">
        <f t="shared" si="94"/>
        <v>0</v>
      </c>
      <c r="AN1206" s="1064"/>
      <c r="AO1206" s="1064">
        <f>TB_prev[[#This Row],[Closing balance]]+TB_prev[[#This Row],[Rounding]]</f>
        <v>0</v>
      </c>
    </row>
    <row r="1207" spans="30:41" x14ac:dyDescent="0.25">
      <c r="AD1207" s="1067" t="str">
        <f t="shared" si="90"/>
        <v/>
      </c>
      <c r="AE1207" s="1063" t="str">
        <f>IF(ISNA(VLOOKUP(TB_prev[[#This Row],[Synt]],GL[[#Headers],[#Data],[subtotal label]],1,FALSE)),0,(VLOOKUP(TB_prev[[#This Row],[Synt]],GL[[#Headers],[#Data],[subtotal label]],1,FALSE)))</f>
        <v/>
      </c>
      <c r="AF1207" s="1063" t="e">
        <f>IF((TB_prev[[#This Row],[Synt]]-TB_prev[[#This Row],[Subtotal Y/N]])=0,0,VLOOKUP(TB_prev[[#This Row],[Synt]],GL[[Account]:[Line]],3,FALSE))</f>
        <v>#VALUE!</v>
      </c>
      <c r="AG1207" s="1063" t="e">
        <f>VLOOKUP(TB_prev[[#This Row],[Synt]],GL[[Account]:[B/P]],4,FALSE)</f>
        <v>#N/A</v>
      </c>
      <c r="AH1207" s="1066" t="e">
        <v>#VALUE!</v>
      </c>
      <c r="AI1207" s="1065" t="e">
        <f>TB_prev[[#This Row],[Synt]]&amp;TB_prev[[#This Row],[Line No. manual corr.]]</f>
        <v>#VALUE!</v>
      </c>
      <c r="AJ1207" s="1064">
        <f t="shared" si="91"/>
        <v>0</v>
      </c>
      <c r="AK1207" s="1064">
        <f t="shared" si="92"/>
        <v>0</v>
      </c>
      <c r="AL1207" s="1064">
        <f t="shared" si="93"/>
        <v>0</v>
      </c>
      <c r="AM1207" s="1064">
        <f t="shared" si="94"/>
        <v>0</v>
      </c>
      <c r="AN1207" s="1064"/>
      <c r="AO1207" s="1064">
        <f>TB_prev[[#This Row],[Closing balance]]+TB_prev[[#This Row],[Rounding]]</f>
        <v>0</v>
      </c>
    </row>
    <row r="1208" spans="30:41" x14ac:dyDescent="0.25">
      <c r="AD1208" s="1067" t="str">
        <f t="shared" si="90"/>
        <v/>
      </c>
      <c r="AE1208" s="1063" t="str">
        <f>IF(ISNA(VLOOKUP(TB_prev[[#This Row],[Synt]],GL[[#Headers],[#Data],[subtotal label]],1,FALSE)),0,(VLOOKUP(TB_prev[[#This Row],[Synt]],GL[[#Headers],[#Data],[subtotal label]],1,FALSE)))</f>
        <v/>
      </c>
      <c r="AF1208" s="1063" t="e">
        <f>IF((TB_prev[[#This Row],[Synt]]-TB_prev[[#This Row],[Subtotal Y/N]])=0,0,VLOOKUP(TB_prev[[#This Row],[Synt]],GL[[Account]:[Line]],3,FALSE))</f>
        <v>#VALUE!</v>
      </c>
      <c r="AG1208" s="1063" t="e">
        <f>VLOOKUP(TB_prev[[#This Row],[Synt]],GL[[Account]:[B/P]],4,FALSE)</f>
        <v>#N/A</v>
      </c>
      <c r="AH1208" s="1066" t="e">
        <v>#VALUE!</v>
      </c>
      <c r="AI1208" s="1065" t="e">
        <f>TB_prev[[#This Row],[Synt]]&amp;TB_prev[[#This Row],[Line No. manual corr.]]</f>
        <v>#VALUE!</v>
      </c>
      <c r="AJ1208" s="1064">
        <f t="shared" si="91"/>
        <v>0</v>
      </c>
      <c r="AK1208" s="1064">
        <f t="shared" si="92"/>
        <v>0</v>
      </c>
      <c r="AL1208" s="1064">
        <f t="shared" si="93"/>
        <v>0</v>
      </c>
      <c r="AM1208" s="1064">
        <f t="shared" si="94"/>
        <v>0</v>
      </c>
      <c r="AN1208" s="1064"/>
      <c r="AO1208" s="1064">
        <f>TB_prev[[#This Row],[Closing balance]]+TB_prev[[#This Row],[Rounding]]</f>
        <v>0</v>
      </c>
    </row>
    <row r="1209" spans="30:41" x14ac:dyDescent="0.25">
      <c r="AD1209" s="1067" t="str">
        <f t="shared" si="90"/>
        <v/>
      </c>
      <c r="AE1209" s="1063" t="str">
        <f>IF(ISNA(VLOOKUP(TB_prev[[#This Row],[Synt]],GL[[#Headers],[#Data],[subtotal label]],1,FALSE)),0,(VLOOKUP(TB_prev[[#This Row],[Synt]],GL[[#Headers],[#Data],[subtotal label]],1,FALSE)))</f>
        <v/>
      </c>
      <c r="AF1209" s="1063" t="e">
        <f>IF((TB_prev[[#This Row],[Synt]]-TB_prev[[#This Row],[Subtotal Y/N]])=0,0,VLOOKUP(TB_prev[[#This Row],[Synt]],GL[[Account]:[Line]],3,FALSE))</f>
        <v>#VALUE!</v>
      </c>
      <c r="AG1209" s="1063" t="e">
        <f>VLOOKUP(TB_prev[[#This Row],[Synt]],GL[[Account]:[B/P]],4,FALSE)</f>
        <v>#N/A</v>
      </c>
      <c r="AH1209" s="1066" t="e">
        <v>#VALUE!</v>
      </c>
      <c r="AI1209" s="1065" t="e">
        <f>TB_prev[[#This Row],[Synt]]&amp;TB_prev[[#This Row],[Line No. manual corr.]]</f>
        <v>#VALUE!</v>
      </c>
      <c r="AJ1209" s="1064">
        <f t="shared" si="91"/>
        <v>0</v>
      </c>
      <c r="AK1209" s="1064">
        <f t="shared" si="92"/>
        <v>0</v>
      </c>
      <c r="AL1209" s="1064">
        <f t="shared" si="93"/>
        <v>0</v>
      </c>
      <c r="AM1209" s="1064">
        <f t="shared" si="94"/>
        <v>0</v>
      </c>
      <c r="AN1209" s="1064"/>
      <c r="AO1209" s="1064">
        <f>TB_prev[[#This Row],[Closing balance]]+TB_prev[[#This Row],[Rounding]]</f>
        <v>0</v>
      </c>
    </row>
    <row r="1210" spans="30:41" x14ac:dyDescent="0.25">
      <c r="AD1210" s="1067" t="str">
        <f t="shared" si="90"/>
        <v/>
      </c>
      <c r="AE1210" s="1063" t="str">
        <f>IF(ISNA(VLOOKUP(TB_prev[[#This Row],[Synt]],GL[[#Headers],[#Data],[subtotal label]],1,FALSE)),0,(VLOOKUP(TB_prev[[#This Row],[Synt]],GL[[#Headers],[#Data],[subtotal label]],1,FALSE)))</f>
        <v/>
      </c>
      <c r="AF1210" s="1063" t="e">
        <f>IF((TB_prev[[#This Row],[Synt]]-TB_prev[[#This Row],[Subtotal Y/N]])=0,0,VLOOKUP(TB_prev[[#This Row],[Synt]],GL[[Account]:[Line]],3,FALSE))</f>
        <v>#VALUE!</v>
      </c>
      <c r="AG1210" s="1063" t="e">
        <f>VLOOKUP(TB_prev[[#This Row],[Synt]],GL[[Account]:[B/P]],4,FALSE)</f>
        <v>#N/A</v>
      </c>
      <c r="AH1210" s="1066" t="e">
        <v>#VALUE!</v>
      </c>
      <c r="AI1210" s="1065" t="e">
        <f>TB_prev[[#This Row],[Synt]]&amp;TB_prev[[#This Row],[Line No. manual corr.]]</f>
        <v>#VALUE!</v>
      </c>
      <c r="AJ1210" s="1064">
        <f t="shared" si="91"/>
        <v>0</v>
      </c>
      <c r="AK1210" s="1064">
        <f t="shared" si="92"/>
        <v>0</v>
      </c>
      <c r="AL1210" s="1064">
        <f t="shared" si="93"/>
        <v>0</v>
      </c>
      <c r="AM1210" s="1064">
        <f t="shared" si="94"/>
        <v>0</v>
      </c>
      <c r="AN1210" s="1064"/>
      <c r="AO1210" s="1064">
        <f>TB_prev[[#This Row],[Closing balance]]+TB_prev[[#This Row],[Rounding]]</f>
        <v>0</v>
      </c>
    </row>
    <row r="1211" spans="30:41" x14ac:dyDescent="0.25">
      <c r="AD1211" s="1067" t="str">
        <f t="shared" si="90"/>
        <v/>
      </c>
      <c r="AE1211" s="1063" t="str">
        <f>IF(ISNA(VLOOKUP(TB_prev[[#This Row],[Synt]],GL[[#Headers],[#Data],[subtotal label]],1,FALSE)),0,(VLOOKUP(TB_prev[[#This Row],[Synt]],GL[[#Headers],[#Data],[subtotal label]],1,FALSE)))</f>
        <v/>
      </c>
      <c r="AF1211" s="1063" t="e">
        <f>IF((TB_prev[[#This Row],[Synt]]-TB_prev[[#This Row],[Subtotal Y/N]])=0,0,VLOOKUP(TB_prev[[#This Row],[Synt]],GL[[Account]:[Line]],3,FALSE))</f>
        <v>#VALUE!</v>
      </c>
      <c r="AG1211" s="1063" t="e">
        <f>VLOOKUP(TB_prev[[#This Row],[Synt]],GL[[Account]:[B/P]],4,FALSE)</f>
        <v>#N/A</v>
      </c>
      <c r="AH1211" s="1066" t="e">
        <v>#VALUE!</v>
      </c>
      <c r="AI1211" s="1065" t="e">
        <f>TB_prev[[#This Row],[Synt]]&amp;TB_prev[[#This Row],[Line No. manual corr.]]</f>
        <v>#VALUE!</v>
      </c>
      <c r="AJ1211" s="1064">
        <f t="shared" si="91"/>
        <v>0</v>
      </c>
      <c r="AK1211" s="1064">
        <f t="shared" si="92"/>
        <v>0</v>
      </c>
      <c r="AL1211" s="1064">
        <f t="shared" si="93"/>
        <v>0</v>
      </c>
      <c r="AM1211" s="1064">
        <f t="shared" si="94"/>
        <v>0</v>
      </c>
      <c r="AN1211" s="1064"/>
      <c r="AO1211" s="1064">
        <f>TB_prev[[#This Row],[Closing balance]]+TB_prev[[#This Row],[Rounding]]</f>
        <v>0</v>
      </c>
    </row>
    <row r="1212" spans="30:41" x14ac:dyDescent="0.25">
      <c r="AD1212" s="1067" t="str">
        <f t="shared" si="90"/>
        <v/>
      </c>
      <c r="AE1212" s="1063" t="str">
        <f>IF(ISNA(VLOOKUP(TB_prev[[#This Row],[Synt]],GL[[#Headers],[#Data],[subtotal label]],1,FALSE)),0,(VLOOKUP(TB_prev[[#This Row],[Synt]],GL[[#Headers],[#Data],[subtotal label]],1,FALSE)))</f>
        <v/>
      </c>
      <c r="AF1212" s="1063" t="e">
        <f>IF((TB_prev[[#This Row],[Synt]]-TB_prev[[#This Row],[Subtotal Y/N]])=0,0,VLOOKUP(TB_prev[[#This Row],[Synt]],GL[[Account]:[Line]],3,FALSE))</f>
        <v>#VALUE!</v>
      </c>
      <c r="AG1212" s="1063" t="e">
        <f>VLOOKUP(TB_prev[[#This Row],[Synt]],GL[[Account]:[B/P]],4,FALSE)</f>
        <v>#N/A</v>
      </c>
      <c r="AH1212" s="1066" t="e">
        <v>#VALUE!</v>
      </c>
      <c r="AI1212" s="1065" t="e">
        <f>TB_prev[[#This Row],[Synt]]&amp;TB_prev[[#This Row],[Line No. manual corr.]]</f>
        <v>#VALUE!</v>
      </c>
      <c r="AJ1212" s="1064">
        <f t="shared" si="91"/>
        <v>0</v>
      </c>
      <c r="AK1212" s="1064">
        <f t="shared" si="92"/>
        <v>0</v>
      </c>
      <c r="AL1212" s="1064">
        <f t="shared" si="93"/>
        <v>0</v>
      </c>
      <c r="AM1212" s="1064">
        <f t="shared" si="94"/>
        <v>0</v>
      </c>
      <c r="AN1212" s="1064"/>
      <c r="AO1212" s="1064">
        <f>TB_prev[[#This Row],[Closing balance]]+TB_prev[[#This Row],[Rounding]]</f>
        <v>0</v>
      </c>
    </row>
    <row r="1213" spans="30:41" x14ac:dyDescent="0.25">
      <c r="AD1213" s="1067" t="str">
        <f t="shared" si="90"/>
        <v/>
      </c>
      <c r="AE1213" s="1063" t="str">
        <f>IF(ISNA(VLOOKUP(TB_prev[[#This Row],[Synt]],GL[[#Headers],[#Data],[subtotal label]],1,FALSE)),0,(VLOOKUP(TB_prev[[#This Row],[Synt]],GL[[#Headers],[#Data],[subtotal label]],1,FALSE)))</f>
        <v/>
      </c>
      <c r="AF1213" s="1063" t="e">
        <f>IF((TB_prev[[#This Row],[Synt]]-TB_prev[[#This Row],[Subtotal Y/N]])=0,0,VLOOKUP(TB_prev[[#This Row],[Synt]],GL[[Account]:[Line]],3,FALSE))</f>
        <v>#VALUE!</v>
      </c>
      <c r="AG1213" s="1063" t="e">
        <f>VLOOKUP(TB_prev[[#This Row],[Synt]],GL[[Account]:[B/P]],4,FALSE)</f>
        <v>#N/A</v>
      </c>
      <c r="AH1213" s="1066" t="e">
        <v>#VALUE!</v>
      </c>
      <c r="AI1213" s="1065" t="e">
        <f>TB_prev[[#This Row],[Synt]]&amp;TB_prev[[#This Row],[Line No. manual corr.]]</f>
        <v>#VALUE!</v>
      </c>
      <c r="AJ1213" s="1064">
        <f t="shared" si="91"/>
        <v>0</v>
      </c>
      <c r="AK1213" s="1064">
        <f t="shared" si="92"/>
        <v>0</v>
      </c>
      <c r="AL1213" s="1064">
        <f t="shared" si="93"/>
        <v>0</v>
      </c>
      <c r="AM1213" s="1064">
        <f t="shared" si="94"/>
        <v>0</v>
      </c>
      <c r="AN1213" s="1064"/>
      <c r="AO1213" s="1064">
        <f>TB_prev[[#This Row],[Closing balance]]+TB_prev[[#This Row],[Rounding]]</f>
        <v>0</v>
      </c>
    </row>
    <row r="1214" spans="30:41" x14ac:dyDescent="0.25">
      <c r="AD1214" s="1067" t="str">
        <f t="shared" si="90"/>
        <v/>
      </c>
      <c r="AE1214" s="1063" t="str">
        <f>IF(ISNA(VLOOKUP(TB_prev[[#This Row],[Synt]],GL[[#Headers],[#Data],[subtotal label]],1,FALSE)),0,(VLOOKUP(TB_prev[[#This Row],[Synt]],GL[[#Headers],[#Data],[subtotal label]],1,FALSE)))</f>
        <v/>
      </c>
      <c r="AF1214" s="1063" t="e">
        <f>IF((TB_prev[[#This Row],[Synt]]-TB_prev[[#This Row],[Subtotal Y/N]])=0,0,VLOOKUP(TB_prev[[#This Row],[Synt]],GL[[Account]:[Line]],3,FALSE))</f>
        <v>#VALUE!</v>
      </c>
      <c r="AG1214" s="1063" t="e">
        <f>VLOOKUP(TB_prev[[#This Row],[Synt]],GL[[Account]:[B/P]],4,FALSE)</f>
        <v>#N/A</v>
      </c>
      <c r="AH1214" s="1066" t="e">
        <v>#VALUE!</v>
      </c>
      <c r="AI1214" s="1065" t="e">
        <f>TB_prev[[#This Row],[Synt]]&amp;TB_prev[[#This Row],[Line No. manual corr.]]</f>
        <v>#VALUE!</v>
      </c>
      <c r="AJ1214" s="1064">
        <f t="shared" si="91"/>
        <v>0</v>
      </c>
      <c r="AK1214" s="1064">
        <f t="shared" si="92"/>
        <v>0</v>
      </c>
      <c r="AL1214" s="1064">
        <f t="shared" si="93"/>
        <v>0</v>
      </c>
      <c r="AM1214" s="1064">
        <f t="shared" si="94"/>
        <v>0</v>
      </c>
      <c r="AN1214" s="1064"/>
      <c r="AO1214" s="1064">
        <f>TB_prev[[#This Row],[Closing balance]]+TB_prev[[#This Row],[Rounding]]</f>
        <v>0</v>
      </c>
    </row>
    <row r="1215" spans="30:41" x14ac:dyDescent="0.25">
      <c r="AD1215" s="1067" t="str">
        <f t="shared" si="90"/>
        <v/>
      </c>
      <c r="AE1215" s="1063" t="str">
        <f>IF(ISNA(VLOOKUP(TB_prev[[#This Row],[Synt]],GL[[#Headers],[#Data],[subtotal label]],1,FALSE)),0,(VLOOKUP(TB_prev[[#This Row],[Synt]],GL[[#Headers],[#Data],[subtotal label]],1,FALSE)))</f>
        <v/>
      </c>
      <c r="AF1215" s="1063" t="e">
        <f>IF((TB_prev[[#This Row],[Synt]]-TB_prev[[#This Row],[Subtotal Y/N]])=0,0,VLOOKUP(TB_prev[[#This Row],[Synt]],GL[[Account]:[Line]],3,FALSE))</f>
        <v>#VALUE!</v>
      </c>
      <c r="AG1215" s="1063" t="e">
        <f>VLOOKUP(TB_prev[[#This Row],[Synt]],GL[[Account]:[B/P]],4,FALSE)</f>
        <v>#N/A</v>
      </c>
      <c r="AH1215" s="1066" t="e">
        <v>#VALUE!</v>
      </c>
      <c r="AI1215" s="1065" t="e">
        <f>TB_prev[[#This Row],[Synt]]&amp;TB_prev[[#This Row],[Line No. manual corr.]]</f>
        <v>#VALUE!</v>
      </c>
      <c r="AJ1215" s="1064">
        <f t="shared" si="91"/>
        <v>0</v>
      </c>
      <c r="AK1215" s="1064">
        <f t="shared" si="92"/>
        <v>0</v>
      </c>
      <c r="AL1215" s="1064">
        <f t="shared" si="93"/>
        <v>0</v>
      </c>
      <c r="AM1215" s="1064">
        <f t="shared" si="94"/>
        <v>0</v>
      </c>
      <c r="AN1215" s="1064"/>
      <c r="AO1215" s="1064">
        <f>TB_prev[[#This Row],[Closing balance]]+TB_prev[[#This Row],[Rounding]]</f>
        <v>0</v>
      </c>
    </row>
    <row r="1216" spans="30:41" x14ac:dyDescent="0.25">
      <c r="AD1216" s="1067" t="str">
        <f t="shared" si="90"/>
        <v/>
      </c>
      <c r="AE1216" s="1063" t="str">
        <f>IF(ISNA(VLOOKUP(TB_prev[[#This Row],[Synt]],GL[[#Headers],[#Data],[subtotal label]],1,FALSE)),0,(VLOOKUP(TB_prev[[#This Row],[Synt]],GL[[#Headers],[#Data],[subtotal label]],1,FALSE)))</f>
        <v/>
      </c>
      <c r="AF1216" s="1063" t="e">
        <f>IF((TB_prev[[#This Row],[Synt]]-TB_prev[[#This Row],[Subtotal Y/N]])=0,0,VLOOKUP(TB_prev[[#This Row],[Synt]],GL[[Account]:[Line]],3,FALSE))</f>
        <v>#VALUE!</v>
      </c>
      <c r="AG1216" s="1063" t="e">
        <f>VLOOKUP(TB_prev[[#This Row],[Synt]],GL[[Account]:[B/P]],4,FALSE)</f>
        <v>#N/A</v>
      </c>
      <c r="AH1216" s="1066" t="e">
        <v>#VALUE!</v>
      </c>
      <c r="AI1216" s="1065" t="e">
        <f>TB_prev[[#This Row],[Synt]]&amp;TB_prev[[#This Row],[Line No. manual corr.]]</f>
        <v>#VALUE!</v>
      </c>
      <c r="AJ1216" s="1064">
        <f t="shared" si="91"/>
        <v>0</v>
      </c>
      <c r="AK1216" s="1064">
        <f t="shared" si="92"/>
        <v>0</v>
      </c>
      <c r="AL1216" s="1064">
        <f t="shared" si="93"/>
        <v>0</v>
      </c>
      <c r="AM1216" s="1064">
        <f t="shared" si="94"/>
        <v>0</v>
      </c>
      <c r="AN1216" s="1064"/>
      <c r="AO1216" s="1064">
        <f>TB_prev[[#This Row],[Closing balance]]+TB_prev[[#This Row],[Rounding]]</f>
        <v>0</v>
      </c>
    </row>
    <row r="1217" spans="30:41" x14ac:dyDescent="0.25">
      <c r="AD1217" s="1067" t="str">
        <f t="shared" si="90"/>
        <v/>
      </c>
      <c r="AE1217" s="1063" t="str">
        <f>IF(ISNA(VLOOKUP(TB_prev[[#This Row],[Synt]],GL[[#Headers],[#Data],[subtotal label]],1,FALSE)),0,(VLOOKUP(TB_prev[[#This Row],[Synt]],GL[[#Headers],[#Data],[subtotal label]],1,FALSE)))</f>
        <v/>
      </c>
      <c r="AF1217" s="1063" t="e">
        <f>IF((TB_prev[[#This Row],[Synt]]-TB_prev[[#This Row],[Subtotal Y/N]])=0,0,VLOOKUP(TB_prev[[#This Row],[Synt]],GL[[Account]:[Line]],3,FALSE))</f>
        <v>#VALUE!</v>
      </c>
      <c r="AG1217" s="1063" t="e">
        <f>VLOOKUP(TB_prev[[#This Row],[Synt]],GL[[Account]:[B/P]],4,FALSE)</f>
        <v>#N/A</v>
      </c>
      <c r="AH1217" s="1066" t="e">
        <v>#VALUE!</v>
      </c>
      <c r="AI1217" s="1065" t="e">
        <f>TB_prev[[#This Row],[Synt]]&amp;TB_prev[[#This Row],[Line No. manual corr.]]</f>
        <v>#VALUE!</v>
      </c>
      <c r="AJ1217" s="1064">
        <f t="shared" si="91"/>
        <v>0</v>
      </c>
      <c r="AK1217" s="1064">
        <f t="shared" si="92"/>
        <v>0</v>
      </c>
      <c r="AL1217" s="1064">
        <f t="shared" si="93"/>
        <v>0</v>
      </c>
      <c r="AM1217" s="1064">
        <f t="shared" si="94"/>
        <v>0</v>
      </c>
      <c r="AN1217" s="1064"/>
      <c r="AO1217" s="1064">
        <f>TB_prev[[#This Row],[Closing balance]]+TB_prev[[#This Row],[Rounding]]</f>
        <v>0</v>
      </c>
    </row>
    <row r="1218" spans="30:41" x14ac:dyDescent="0.25">
      <c r="AD1218" s="1067" t="str">
        <f t="shared" si="90"/>
        <v/>
      </c>
      <c r="AE1218" s="1063" t="str">
        <f>IF(ISNA(VLOOKUP(TB_prev[[#This Row],[Synt]],GL[[#Headers],[#Data],[subtotal label]],1,FALSE)),0,(VLOOKUP(TB_prev[[#This Row],[Synt]],GL[[#Headers],[#Data],[subtotal label]],1,FALSE)))</f>
        <v/>
      </c>
      <c r="AF1218" s="1063" t="e">
        <f>IF((TB_prev[[#This Row],[Synt]]-TB_prev[[#This Row],[Subtotal Y/N]])=0,0,VLOOKUP(TB_prev[[#This Row],[Synt]],GL[[Account]:[Line]],3,FALSE))</f>
        <v>#VALUE!</v>
      </c>
      <c r="AG1218" s="1063" t="e">
        <f>VLOOKUP(TB_prev[[#This Row],[Synt]],GL[[Account]:[B/P]],4,FALSE)</f>
        <v>#N/A</v>
      </c>
      <c r="AH1218" s="1066" t="e">
        <v>#VALUE!</v>
      </c>
      <c r="AI1218" s="1065" t="e">
        <f>TB_prev[[#This Row],[Synt]]&amp;TB_prev[[#This Row],[Line No. manual corr.]]</f>
        <v>#VALUE!</v>
      </c>
      <c r="AJ1218" s="1064">
        <f t="shared" si="91"/>
        <v>0</v>
      </c>
      <c r="AK1218" s="1064">
        <f t="shared" si="92"/>
        <v>0</v>
      </c>
      <c r="AL1218" s="1064">
        <f t="shared" si="93"/>
        <v>0</v>
      </c>
      <c r="AM1218" s="1064">
        <f t="shared" si="94"/>
        <v>0</v>
      </c>
      <c r="AN1218" s="1064"/>
      <c r="AO1218" s="1064">
        <f>TB_prev[[#This Row],[Closing balance]]+TB_prev[[#This Row],[Rounding]]</f>
        <v>0</v>
      </c>
    </row>
    <row r="1219" spans="30:41" x14ac:dyDescent="0.25">
      <c r="AD1219" s="1067" t="str">
        <f t="shared" si="90"/>
        <v/>
      </c>
      <c r="AE1219" s="1063" t="str">
        <f>IF(ISNA(VLOOKUP(TB_prev[[#This Row],[Synt]],GL[[#Headers],[#Data],[subtotal label]],1,FALSE)),0,(VLOOKUP(TB_prev[[#This Row],[Synt]],GL[[#Headers],[#Data],[subtotal label]],1,FALSE)))</f>
        <v/>
      </c>
      <c r="AF1219" s="1063" t="e">
        <f>IF((TB_prev[[#This Row],[Synt]]-TB_prev[[#This Row],[Subtotal Y/N]])=0,0,VLOOKUP(TB_prev[[#This Row],[Synt]],GL[[Account]:[Line]],3,FALSE))</f>
        <v>#VALUE!</v>
      </c>
      <c r="AG1219" s="1063" t="e">
        <f>VLOOKUP(TB_prev[[#This Row],[Synt]],GL[[Account]:[B/P]],4,FALSE)</f>
        <v>#N/A</v>
      </c>
      <c r="AH1219" s="1066" t="e">
        <v>#VALUE!</v>
      </c>
      <c r="AI1219" s="1065" t="e">
        <f>TB_prev[[#This Row],[Synt]]&amp;TB_prev[[#This Row],[Line No. manual corr.]]</f>
        <v>#VALUE!</v>
      </c>
      <c r="AJ1219" s="1064">
        <f t="shared" si="91"/>
        <v>0</v>
      </c>
      <c r="AK1219" s="1064">
        <f t="shared" si="92"/>
        <v>0</v>
      </c>
      <c r="AL1219" s="1064">
        <f t="shared" si="93"/>
        <v>0</v>
      </c>
      <c r="AM1219" s="1064">
        <f t="shared" si="94"/>
        <v>0</v>
      </c>
      <c r="AN1219" s="1064"/>
      <c r="AO1219" s="1064">
        <f>TB_prev[[#This Row],[Closing balance]]+TB_prev[[#This Row],[Rounding]]</f>
        <v>0</v>
      </c>
    </row>
    <row r="1220" spans="30:41" x14ac:dyDescent="0.25">
      <c r="AD1220" s="1067" t="str">
        <f t="shared" si="90"/>
        <v/>
      </c>
      <c r="AE1220" s="1063" t="str">
        <f>IF(ISNA(VLOOKUP(TB_prev[[#This Row],[Synt]],GL[[#Headers],[#Data],[subtotal label]],1,FALSE)),0,(VLOOKUP(TB_prev[[#This Row],[Synt]],GL[[#Headers],[#Data],[subtotal label]],1,FALSE)))</f>
        <v/>
      </c>
      <c r="AF1220" s="1063" t="e">
        <f>IF((TB_prev[[#This Row],[Synt]]-TB_prev[[#This Row],[Subtotal Y/N]])=0,0,VLOOKUP(TB_prev[[#This Row],[Synt]],GL[[Account]:[Line]],3,FALSE))</f>
        <v>#VALUE!</v>
      </c>
      <c r="AG1220" s="1063" t="e">
        <f>VLOOKUP(TB_prev[[#This Row],[Synt]],GL[[Account]:[B/P]],4,FALSE)</f>
        <v>#N/A</v>
      </c>
      <c r="AH1220" s="1066" t="e">
        <v>#VALUE!</v>
      </c>
      <c r="AI1220" s="1065" t="e">
        <f>TB_prev[[#This Row],[Synt]]&amp;TB_prev[[#This Row],[Line No. manual corr.]]</f>
        <v>#VALUE!</v>
      </c>
      <c r="AJ1220" s="1064">
        <f t="shared" si="91"/>
        <v>0</v>
      </c>
      <c r="AK1220" s="1064">
        <f t="shared" si="92"/>
        <v>0</v>
      </c>
      <c r="AL1220" s="1064">
        <f t="shared" si="93"/>
        <v>0</v>
      </c>
      <c r="AM1220" s="1064">
        <f t="shared" si="94"/>
        <v>0</v>
      </c>
      <c r="AN1220" s="1064"/>
      <c r="AO1220" s="1064">
        <f>TB_prev[[#This Row],[Closing balance]]+TB_prev[[#This Row],[Rounding]]</f>
        <v>0</v>
      </c>
    </row>
    <row r="1221" spans="30:41" x14ac:dyDescent="0.25">
      <c r="AD1221" s="1067" t="str">
        <f t="shared" si="90"/>
        <v/>
      </c>
      <c r="AE1221" s="1063" t="str">
        <f>IF(ISNA(VLOOKUP(TB_prev[[#This Row],[Synt]],GL[[#Headers],[#Data],[subtotal label]],1,FALSE)),0,(VLOOKUP(TB_prev[[#This Row],[Synt]],GL[[#Headers],[#Data],[subtotal label]],1,FALSE)))</f>
        <v/>
      </c>
      <c r="AF1221" s="1063" t="e">
        <f>IF((TB_prev[[#This Row],[Synt]]-TB_prev[[#This Row],[Subtotal Y/N]])=0,0,VLOOKUP(TB_prev[[#This Row],[Synt]],GL[[Account]:[Line]],3,FALSE))</f>
        <v>#VALUE!</v>
      </c>
      <c r="AG1221" s="1063" t="e">
        <f>VLOOKUP(TB_prev[[#This Row],[Synt]],GL[[Account]:[B/P]],4,FALSE)</f>
        <v>#N/A</v>
      </c>
      <c r="AH1221" s="1066" t="e">
        <v>#VALUE!</v>
      </c>
      <c r="AI1221" s="1065" t="e">
        <f>TB_prev[[#This Row],[Synt]]&amp;TB_prev[[#This Row],[Line No. manual corr.]]</f>
        <v>#VALUE!</v>
      </c>
      <c r="AJ1221" s="1064">
        <f t="shared" si="91"/>
        <v>0</v>
      </c>
      <c r="AK1221" s="1064">
        <f t="shared" si="92"/>
        <v>0</v>
      </c>
      <c r="AL1221" s="1064">
        <f t="shared" si="93"/>
        <v>0</v>
      </c>
      <c r="AM1221" s="1064">
        <f t="shared" si="94"/>
        <v>0</v>
      </c>
      <c r="AN1221" s="1064"/>
      <c r="AO1221" s="1064">
        <f>TB_prev[[#This Row],[Closing balance]]+TB_prev[[#This Row],[Rounding]]</f>
        <v>0</v>
      </c>
    </row>
    <row r="1222" spans="30:41" x14ac:dyDescent="0.25">
      <c r="AD1222" s="1067" t="str">
        <f t="shared" si="90"/>
        <v/>
      </c>
      <c r="AE1222" s="1063" t="str">
        <f>IF(ISNA(VLOOKUP(TB_prev[[#This Row],[Synt]],GL[[#Headers],[#Data],[subtotal label]],1,FALSE)),0,(VLOOKUP(TB_prev[[#This Row],[Synt]],GL[[#Headers],[#Data],[subtotal label]],1,FALSE)))</f>
        <v/>
      </c>
      <c r="AF1222" s="1063" t="e">
        <f>IF((TB_prev[[#This Row],[Synt]]-TB_prev[[#This Row],[Subtotal Y/N]])=0,0,VLOOKUP(TB_prev[[#This Row],[Synt]],GL[[Account]:[Line]],3,FALSE))</f>
        <v>#VALUE!</v>
      </c>
      <c r="AG1222" s="1063" t="e">
        <f>VLOOKUP(TB_prev[[#This Row],[Synt]],GL[[Account]:[B/P]],4,FALSE)</f>
        <v>#N/A</v>
      </c>
      <c r="AH1222" s="1066" t="e">
        <v>#VALUE!</v>
      </c>
      <c r="AI1222" s="1065" t="e">
        <f>TB_prev[[#This Row],[Synt]]&amp;TB_prev[[#This Row],[Line No. manual corr.]]</f>
        <v>#VALUE!</v>
      </c>
      <c r="AJ1222" s="1064">
        <f t="shared" si="91"/>
        <v>0</v>
      </c>
      <c r="AK1222" s="1064">
        <f t="shared" si="92"/>
        <v>0</v>
      </c>
      <c r="AL1222" s="1064">
        <f t="shared" si="93"/>
        <v>0</v>
      </c>
      <c r="AM1222" s="1064">
        <f t="shared" si="94"/>
        <v>0</v>
      </c>
      <c r="AN1222" s="1064"/>
      <c r="AO1222" s="1064">
        <f>TB_prev[[#This Row],[Closing balance]]+TB_prev[[#This Row],[Rounding]]</f>
        <v>0</v>
      </c>
    </row>
    <row r="1223" spans="30:41" x14ac:dyDescent="0.25">
      <c r="AD1223" s="1067" t="str">
        <f t="shared" si="90"/>
        <v/>
      </c>
      <c r="AE1223" s="1063" t="str">
        <f>IF(ISNA(VLOOKUP(TB_prev[[#This Row],[Synt]],GL[[#Headers],[#Data],[subtotal label]],1,FALSE)),0,(VLOOKUP(TB_prev[[#This Row],[Synt]],GL[[#Headers],[#Data],[subtotal label]],1,FALSE)))</f>
        <v/>
      </c>
      <c r="AF1223" s="1063" t="e">
        <f>IF((TB_prev[[#This Row],[Synt]]-TB_prev[[#This Row],[Subtotal Y/N]])=0,0,VLOOKUP(TB_prev[[#This Row],[Synt]],GL[[Account]:[Line]],3,FALSE))</f>
        <v>#VALUE!</v>
      </c>
      <c r="AG1223" s="1063" t="e">
        <f>VLOOKUP(TB_prev[[#This Row],[Synt]],GL[[Account]:[B/P]],4,FALSE)</f>
        <v>#N/A</v>
      </c>
      <c r="AH1223" s="1066" t="e">
        <v>#VALUE!</v>
      </c>
      <c r="AI1223" s="1065" t="e">
        <f>TB_prev[[#This Row],[Synt]]&amp;TB_prev[[#This Row],[Line No. manual corr.]]</f>
        <v>#VALUE!</v>
      </c>
      <c r="AJ1223" s="1064">
        <f t="shared" si="91"/>
        <v>0</v>
      </c>
      <c r="AK1223" s="1064">
        <f t="shared" si="92"/>
        <v>0</v>
      </c>
      <c r="AL1223" s="1064">
        <f t="shared" si="93"/>
        <v>0</v>
      </c>
      <c r="AM1223" s="1064">
        <f t="shared" si="94"/>
        <v>0</v>
      </c>
      <c r="AN1223" s="1064"/>
      <c r="AO1223" s="1064">
        <f>TB_prev[[#This Row],[Closing balance]]+TB_prev[[#This Row],[Rounding]]</f>
        <v>0</v>
      </c>
    </row>
    <row r="1224" spans="30:41" x14ac:dyDescent="0.25">
      <c r="AD1224" s="1067" t="str">
        <f t="shared" ref="AD1224:AD1287" si="95">LEFT(B1224,3)</f>
        <v/>
      </c>
      <c r="AE1224" s="1063" t="str">
        <f>IF(ISNA(VLOOKUP(TB_prev[[#This Row],[Synt]],GL[[#Headers],[#Data],[subtotal label]],1,FALSE)),0,(VLOOKUP(TB_prev[[#This Row],[Synt]],GL[[#Headers],[#Data],[subtotal label]],1,FALSE)))</f>
        <v/>
      </c>
      <c r="AF1224" s="1063" t="e">
        <f>IF((TB_prev[[#This Row],[Synt]]-TB_prev[[#This Row],[Subtotal Y/N]])=0,0,VLOOKUP(TB_prev[[#This Row],[Synt]],GL[[Account]:[Line]],3,FALSE))</f>
        <v>#VALUE!</v>
      </c>
      <c r="AG1224" s="1063" t="e">
        <f>VLOOKUP(TB_prev[[#This Row],[Synt]],GL[[Account]:[B/P]],4,FALSE)</f>
        <v>#N/A</v>
      </c>
      <c r="AH1224" s="1066" t="e">
        <v>#VALUE!</v>
      </c>
      <c r="AI1224" s="1065" t="e">
        <f>TB_prev[[#This Row],[Synt]]&amp;TB_prev[[#This Row],[Line No. manual corr.]]</f>
        <v>#VALUE!</v>
      </c>
      <c r="AJ1224" s="1064">
        <f t="shared" ref="AJ1224:AJ1287" si="96">K1224-N1224</f>
        <v>0</v>
      </c>
      <c r="AK1224" s="1064">
        <f t="shared" ref="AK1224:AK1287" si="97">Q1224</f>
        <v>0</v>
      </c>
      <c r="AL1224" s="1064">
        <f t="shared" ref="AL1224:AL1287" si="98">U1224</f>
        <v>0</v>
      </c>
      <c r="AM1224" s="1064">
        <f t="shared" ref="AM1224:AM1287" si="99">X1224-AB1224</f>
        <v>0</v>
      </c>
      <c r="AN1224" s="1064"/>
      <c r="AO1224" s="1064">
        <f>TB_prev[[#This Row],[Closing balance]]+TB_prev[[#This Row],[Rounding]]</f>
        <v>0</v>
      </c>
    </row>
    <row r="1225" spans="30:41" x14ac:dyDescent="0.25">
      <c r="AD1225" s="1067" t="str">
        <f t="shared" si="95"/>
        <v/>
      </c>
      <c r="AE1225" s="1063" t="str">
        <f>IF(ISNA(VLOOKUP(TB_prev[[#This Row],[Synt]],GL[[#Headers],[#Data],[subtotal label]],1,FALSE)),0,(VLOOKUP(TB_prev[[#This Row],[Synt]],GL[[#Headers],[#Data],[subtotal label]],1,FALSE)))</f>
        <v/>
      </c>
      <c r="AF1225" s="1063" t="e">
        <f>IF((TB_prev[[#This Row],[Synt]]-TB_prev[[#This Row],[Subtotal Y/N]])=0,0,VLOOKUP(TB_prev[[#This Row],[Synt]],GL[[Account]:[Line]],3,FALSE))</f>
        <v>#VALUE!</v>
      </c>
      <c r="AG1225" s="1063" t="e">
        <f>VLOOKUP(TB_prev[[#This Row],[Synt]],GL[[Account]:[B/P]],4,FALSE)</f>
        <v>#N/A</v>
      </c>
      <c r="AH1225" s="1066" t="e">
        <v>#VALUE!</v>
      </c>
      <c r="AI1225" s="1065" t="e">
        <f>TB_prev[[#This Row],[Synt]]&amp;TB_prev[[#This Row],[Line No. manual corr.]]</f>
        <v>#VALUE!</v>
      </c>
      <c r="AJ1225" s="1064">
        <f t="shared" si="96"/>
        <v>0</v>
      </c>
      <c r="AK1225" s="1064">
        <f t="shared" si="97"/>
        <v>0</v>
      </c>
      <c r="AL1225" s="1064">
        <f t="shared" si="98"/>
        <v>0</v>
      </c>
      <c r="AM1225" s="1064">
        <f t="shared" si="99"/>
        <v>0</v>
      </c>
      <c r="AN1225" s="1064"/>
      <c r="AO1225" s="1064">
        <f>TB_prev[[#This Row],[Closing balance]]+TB_prev[[#This Row],[Rounding]]</f>
        <v>0</v>
      </c>
    </row>
    <row r="1226" spans="30:41" x14ac:dyDescent="0.25">
      <c r="AD1226" s="1067" t="str">
        <f t="shared" si="95"/>
        <v/>
      </c>
      <c r="AE1226" s="1063" t="str">
        <f>IF(ISNA(VLOOKUP(TB_prev[[#This Row],[Synt]],GL[[#Headers],[#Data],[subtotal label]],1,FALSE)),0,(VLOOKUP(TB_prev[[#This Row],[Synt]],GL[[#Headers],[#Data],[subtotal label]],1,FALSE)))</f>
        <v/>
      </c>
      <c r="AF1226" s="1063" t="e">
        <f>IF((TB_prev[[#This Row],[Synt]]-TB_prev[[#This Row],[Subtotal Y/N]])=0,0,VLOOKUP(TB_prev[[#This Row],[Synt]],GL[[Account]:[Line]],3,FALSE))</f>
        <v>#VALUE!</v>
      </c>
      <c r="AG1226" s="1063" t="e">
        <f>VLOOKUP(TB_prev[[#This Row],[Synt]],GL[[Account]:[B/P]],4,FALSE)</f>
        <v>#N/A</v>
      </c>
      <c r="AH1226" s="1066" t="e">
        <v>#VALUE!</v>
      </c>
      <c r="AI1226" s="1065" t="e">
        <f>TB_prev[[#This Row],[Synt]]&amp;TB_prev[[#This Row],[Line No. manual corr.]]</f>
        <v>#VALUE!</v>
      </c>
      <c r="AJ1226" s="1064">
        <f t="shared" si="96"/>
        <v>0</v>
      </c>
      <c r="AK1226" s="1064">
        <f t="shared" si="97"/>
        <v>0</v>
      </c>
      <c r="AL1226" s="1064">
        <f t="shared" si="98"/>
        <v>0</v>
      </c>
      <c r="AM1226" s="1064">
        <f t="shared" si="99"/>
        <v>0</v>
      </c>
      <c r="AN1226" s="1064"/>
      <c r="AO1226" s="1064">
        <f>TB_prev[[#This Row],[Closing balance]]+TB_prev[[#This Row],[Rounding]]</f>
        <v>0</v>
      </c>
    </row>
    <row r="1227" spans="30:41" x14ac:dyDescent="0.25">
      <c r="AD1227" s="1067" t="str">
        <f t="shared" si="95"/>
        <v/>
      </c>
      <c r="AE1227" s="1063" t="str">
        <f>IF(ISNA(VLOOKUP(TB_prev[[#This Row],[Synt]],GL[[#Headers],[#Data],[subtotal label]],1,FALSE)),0,(VLOOKUP(TB_prev[[#This Row],[Synt]],GL[[#Headers],[#Data],[subtotal label]],1,FALSE)))</f>
        <v/>
      </c>
      <c r="AF1227" s="1063" t="e">
        <f>IF((TB_prev[[#This Row],[Synt]]-TB_prev[[#This Row],[Subtotal Y/N]])=0,0,VLOOKUP(TB_prev[[#This Row],[Synt]],GL[[Account]:[Line]],3,FALSE))</f>
        <v>#VALUE!</v>
      </c>
      <c r="AG1227" s="1063" t="e">
        <f>VLOOKUP(TB_prev[[#This Row],[Synt]],GL[[Account]:[B/P]],4,FALSE)</f>
        <v>#N/A</v>
      </c>
      <c r="AH1227" s="1066" t="e">
        <v>#VALUE!</v>
      </c>
      <c r="AI1227" s="1065" t="e">
        <f>TB_prev[[#This Row],[Synt]]&amp;TB_prev[[#This Row],[Line No. manual corr.]]</f>
        <v>#VALUE!</v>
      </c>
      <c r="AJ1227" s="1064">
        <f t="shared" si="96"/>
        <v>0</v>
      </c>
      <c r="AK1227" s="1064">
        <f t="shared" si="97"/>
        <v>0</v>
      </c>
      <c r="AL1227" s="1064">
        <f t="shared" si="98"/>
        <v>0</v>
      </c>
      <c r="AM1227" s="1064">
        <f t="shared" si="99"/>
        <v>0</v>
      </c>
      <c r="AN1227" s="1064"/>
      <c r="AO1227" s="1064">
        <f>TB_prev[[#This Row],[Closing balance]]+TB_prev[[#This Row],[Rounding]]</f>
        <v>0</v>
      </c>
    </row>
    <row r="1228" spans="30:41" x14ac:dyDescent="0.25">
      <c r="AD1228" s="1067" t="str">
        <f t="shared" si="95"/>
        <v/>
      </c>
      <c r="AE1228" s="1063" t="str">
        <f>IF(ISNA(VLOOKUP(TB_prev[[#This Row],[Synt]],GL[[#Headers],[#Data],[subtotal label]],1,FALSE)),0,(VLOOKUP(TB_prev[[#This Row],[Synt]],GL[[#Headers],[#Data],[subtotal label]],1,FALSE)))</f>
        <v/>
      </c>
      <c r="AF1228" s="1063" t="e">
        <f>IF((TB_prev[[#This Row],[Synt]]-TB_prev[[#This Row],[Subtotal Y/N]])=0,0,VLOOKUP(TB_prev[[#This Row],[Synt]],GL[[Account]:[Line]],3,FALSE))</f>
        <v>#VALUE!</v>
      </c>
      <c r="AG1228" s="1063" t="e">
        <f>VLOOKUP(TB_prev[[#This Row],[Synt]],GL[[Account]:[B/P]],4,FALSE)</f>
        <v>#N/A</v>
      </c>
      <c r="AH1228" s="1066" t="e">
        <v>#VALUE!</v>
      </c>
      <c r="AI1228" s="1065" t="e">
        <f>TB_prev[[#This Row],[Synt]]&amp;TB_prev[[#This Row],[Line No. manual corr.]]</f>
        <v>#VALUE!</v>
      </c>
      <c r="AJ1228" s="1064">
        <f t="shared" si="96"/>
        <v>0</v>
      </c>
      <c r="AK1228" s="1064">
        <f t="shared" si="97"/>
        <v>0</v>
      </c>
      <c r="AL1228" s="1064">
        <f t="shared" si="98"/>
        <v>0</v>
      </c>
      <c r="AM1228" s="1064">
        <f t="shared" si="99"/>
        <v>0</v>
      </c>
      <c r="AN1228" s="1064"/>
      <c r="AO1228" s="1064">
        <f>TB_prev[[#This Row],[Closing balance]]+TB_prev[[#This Row],[Rounding]]</f>
        <v>0</v>
      </c>
    </row>
    <row r="1229" spans="30:41" x14ac:dyDescent="0.25">
      <c r="AD1229" s="1067" t="str">
        <f t="shared" si="95"/>
        <v/>
      </c>
      <c r="AE1229" s="1063" t="str">
        <f>IF(ISNA(VLOOKUP(TB_prev[[#This Row],[Synt]],GL[[#Headers],[#Data],[subtotal label]],1,FALSE)),0,(VLOOKUP(TB_prev[[#This Row],[Synt]],GL[[#Headers],[#Data],[subtotal label]],1,FALSE)))</f>
        <v/>
      </c>
      <c r="AF1229" s="1063" t="e">
        <f>IF((TB_prev[[#This Row],[Synt]]-TB_prev[[#This Row],[Subtotal Y/N]])=0,0,VLOOKUP(TB_prev[[#This Row],[Synt]],GL[[Account]:[Line]],3,FALSE))</f>
        <v>#VALUE!</v>
      </c>
      <c r="AG1229" s="1063" t="e">
        <f>VLOOKUP(TB_prev[[#This Row],[Synt]],GL[[Account]:[B/P]],4,FALSE)</f>
        <v>#N/A</v>
      </c>
      <c r="AH1229" s="1066" t="e">
        <v>#VALUE!</v>
      </c>
      <c r="AI1229" s="1065" t="e">
        <f>TB_prev[[#This Row],[Synt]]&amp;TB_prev[[#This Row],[Line No. manual corr.]]</f>
        <v>#VALUE!</v>
      </c>
      <c r="AJ1229" s="1064">
        <f t="shared" si="96"/>
        <v>0</v>
      </c>
      <c r="AK1229" s="1064">
        <f t="shared" si="97"/>
        <v>0</v>
      </c>
      <c r="AL1229" s="1064">
        <f t="shared" si="98"/>
        <v>0</v>
      </c>
      <c r="AM1229" s="1064">
        <f t="shared" si="99"/>
        <v>0</v>
      </c>
      <c r="AN1229" s="1064"/>
      <c r="AO1229" s="1064">
        <f>TB_prev[[#This Row],[Closing balance]]+TB_prev[[#This Row],[Rounding]]</f>
        <v>0</v>
      </c>
    </row>
    <row r="1230" spans="30:41" x14ac:dyDescent="0.25">
      <c r="AD1230" s="1067" t="str">
        <f t="shared" si="95"/>
        <v/>
      </c>
      <c r="AE1230" s="1063" t="str">
        <f>IF(ISNA(VLOOKUP(TB_prev[[#This Row],[Synt]],GL[[#Headers],[#Data],[subtotal label]],1,FALSE)),0,(VLOOKUP(TB_prev[[#This Row],[Synt]],GL[[#Headers],[#Data],[subtotal label]],1,FALSE)))</f>
        <v/>
      </c>
      <c r="AF1230" s="1063" t="e">
        <f>IF((TB_prev[[#This Row],[Synt]]-TB_prev[[#This Row],[Subtotal Y/N]])=0,0,VLOOKUP(TB_prev[[#This Row],[Synt]],GL[[Account]:[Line]],3,FALSE))</f>
        <v>#VALUE!</v>
      </c>
      <c r="AG1230" s="1063" t="e">
        <f>VLOOKUP(TB_prev[[#This Row],[Synt]],GL[[Account]:[B/P]],4,FALSE)</f>
        <v>#N/A</v>
      </c>
      <c r="AH1230" s="1066" t="e">
        <v>#VALUE!</v>
      </c>
      <c r="AI1230" s="1065" t="e">
        <f>TB_prev[[#This Row],[Synt]]&amp;TB_prev[[#This Row],[Line No. manual corr.]]</f>
        <v>#VALUE!</v>
      </c>
      <c r="AJ1230" s="1064">
        <f t="shared" si="96"/>
        <v>0</v>
      </c>
      <c r="AK1230" s="1064">
        <f t="shared" si="97"/>
        <v>0</v>
      </c>
      <c r="AL1230" s="1064">
        <f t="shared" si="98"/>
        <v>0</v>
      </c>
      <c r="AM1230" s="1064">
        <f t="shared" si="99"/>
        <v>0</v>
      </c>
      <c r="AN1230" s="1064"/>
      <c r="AO1230" s="1064">
        <f>TB_prev[[#This Row],[Closing balance]]+TB_prev[[#This Row],[Rounding]]</f>
        <v>0</v>
      </c>
    </row>
    <row r="1231" spans="30:41" x14ac:dyDescent="0.25">
      <c r="AD1231" s="1067" t="str">
        <f t="shared" si="95"/>
        <v/>
      </c>
      <c r="AE1231" s="1063" t="str">
        <f>IF(ISNA(VLOOKUP(TB_prev[[#This Row],[Synt]],GL[[#Headers],[#Data],[subtotal label]],1,FALSE)),0,(VLOOKUP(TB_prev[[#This Row],[Synt]],GL[[#Headers],[#Data],[subtotal label]],1,FALSE)))</f>
        <v/>
      </c>
      <c r="AF1231" s="1063" t="e">
        <f>IF((TB_prev[[#This Row],[Synt]]-TB_prev[[#This Row],[Subtotal Y/N]])=0,0,VLOOKUP(TB_prev[[#This Row],[Synt]],GL[[Account]:[Line]],3,FALSE))</f>
        <v>#VALUE!</v>
      </c>
      <c r="AG1231" s="1063" t="e">
        <f>VLOOKUP(TB_prev[[#This Row],[Synt]],GL[[Account]:[B/P]],4,FALSE)</f>
        <v>#N/A</v>
      </c>
      <c r="AH1231" s="1066" t="e">
        <v>#VALUE!</v>
      </c>
      <c r="AI1231" s="1065" t="e">
        <f>TB_prev[[#This Row],[Synt]]&amp;TB_prev[[#This Row],[Line No. manual corr.]]</f>
        <v>#VALUE!</v>
      </c>
      <c r="AJ1231" s="1064">
        <f t="shared" si="96"/>
        <v>0</v>
      </c>
      <c r="AK1231" s="1064">
        <f t="shared" si="97"/>
        <v>0</v>
      </c>
      <c r="AL1231" s="1064">
        <f t="shared" si="98"/>
        <v>0</v>
      </c>
      <c r="AM1231" s="1064">
        <f t="shared" si="99"/>
        <v>0</v>
      </c>
      <c r="AN1231" s="1064"/>
      <c r="AO1231" s="1064">
        <f>TB_prev[[#This Row],[Closing balance]]+TB_prev[[#This Row],[Rounding]]</f>
        <v>0</v>
      </c>
    </row>
    <row r="1232" spans="30:41" x14ac:dyDescent="0.25">
      <c r="AD1232" s="1067" t="str">
        <f t="shared" si="95"/>
        <v/>
      </c>
      <c r="AE1232" s="1063" t="str">
        <f>IF(ISNA(VLOOKUP(TB_prev[[#This Row],[Synt]],GL[[#Headers],[#Data],[subtotal label]],1,FALSE)),0,(VLOOKUP(TB_prev[[#This Row],[Synt]],GL[[#Headers],[#Data],[subtotal label]],1,FALSE)))</f>
        <v/>
      </c>
      <c r="AF1232" s="1063" t="e">
        <f>IF((TB_prev[[#This Row],[Synt]]-TB_prev[[#This Row],[Subtotal Y/N]])=0,0,VLOOKUP(TB_prev[[#This Row],[Synt]],GL[[Account]:[Line]],3,FALSE))</f>
        <v>#VALUE!</v>
      </c>
      <c r="AG1232" s="1063" t="e">
        <f>VLOOKUP(TB_prev[[#This Row],[Synt]],GL[[Account]:[B/P]],4,FALSE)</f>
        <v>#N/A</v>
      </c>
      <c r="AH1232" s="1066" t="e">
        <v>#VALUE!</v>
      </c>
      <c r="AI1232" s="1065" t="e">
        <f>TB_prev[[#This Row],[Synt]]&amp;TB_prev[[#This Row],[Line No. manual corr.]]</f>
        <v>#VALUE!</v>
      </c>
      <c r="AJ1232" s="1064">
        <f t="shared" si="96"/>
        <v>0</v>
      </c>
      <c r="AK1232" s="1064">
        <f t="shared" si="97"/>
        <v>0</v>
      </c>
      <c r="AL1232" s="1064">
        <f t="shared" si="98"/>
        <v>0</v>
      </c>
      <c r="AM1232" s="1064">
        <f t="shared" si="99"/>
        <v>0</v>
      </c>
      <c r="AN1232" s="1064"/>
      <c r="AO1232" s="1064">
        <f>TB_prev[[#This Row],[Closing balance]]+TB_prev[[#This Row],[Rounding]]</f>
        <v>0</v>
      </c>
    </row>
    <row r="1233" spans="30:41" x14ac:dyDescent="0.25">
      <c r="AD1233" s="1067" t="str">
        <f t="shared" si="95"/>
        <v/>
      </c>
      <c r="AE1233" s="1063" t="str">
        <f>IF(ISNA(VLOOKUP(TB_prev[[#This Row],[Synt]],GL[[#Headers],[#Data],[subtotal label]],1,FALSE)),0,(VLOOKUP(TB_prev[[#This Row],[Synt]],GL[[#Headers],[#Data],[subtotal label]],1,FALSE)))</f>
        <v/>
      </c>
      <c r="AF1233" s="1063" t="e">
        <f>IF((TB_prev[[#This Row],[Synt]]-TB_prev[[#This Row],[Subtotal Y/N]])=0,0,VLOOKUP(TB_prev[[#This Row],[Synt]],GL[[Account]:[Line]],3,FALSE))</f>
        <v>#VALUE!</v>
      </c>
      <c r="AG1233" s="1063" t="e">
        <f>VLOOKUP(TB_prev[[#This Row],[Synt]],GL[[Account]:[B/P]],4,FALSE)</f>
        <v>#N/A</v>
      </c>
      <c r="AH1233" s="1066" t="e">
        <v>#VALUE!</v>
      </c>
      <c r="AI1233" s="1065" t="e">
        <f>TB_prev[[#This Row],[Synt]]&amp;TB_prev[[#This Row],[Line No. manual corr.]]</f>
        <v>#VALUE!</v>
      </c>
      <c r="AJ1233" s="1064">
        <f t="shared" si="96"/>
        <v>0</v>
      </c>
      <c r="AK1233" s="1064">
        <f t="shared" si="97"/>
        <v>0</v>
      </c>
      <c r="AL1233" s="1064">
        <f t="shared" si="98"/>
        <v>0</v>
      </c>
      <c r="AM1233" s="1064">
        <f t="shared" si="99"/>
        <v>0</v>
      </c>
      <c r="AN1233" s="1064"/>
      <c r="AO1233" s="1064">
        <f>TB_prev[[#This Row],[Closing balance]]+TB_prev[[#This Row],[Rounding]]</f>
        <v>0</v>
      </c>
    </row>
    <row r="1234" spans="30:41" x14ac:dyDescent="0.25">
      <c r="AD1234" s="1067" t="str">
        <f t="shared" si="95"/>
        <v/>
      </c>
      <c r="AE1234" s="1063" t="str">
        <f>IF(ISNA(VLOOKUP(TB_prev[[#This Row],[Synt]],GL[[#Headers],[#Data],[subtotal label]],1,FALSE)),0,(VLOOKUP(TB_prev[[#This Row],[Synt]],GL[[#Headers],[#Data],[subtotal label]],1,FALSE)))</f>
        <v/>
      </c>
      <c r="AF1234" s="1063" t="e">
        <f>IF((TB_prev[[#This Row],[Synt]]-TB_prev[[#This Row],[Subtotal Y/N]])=0,0,VLOOKUP(TB_prev[[#This Row],[Synt]],GL[[Account]:[Line]],3,FALSE))</f>
        <v>#VALUE!</v>
      </c>
      <c r="AG1234" s="1063" t="e">
        <f>VLOOKUP(TB_prev[[#This Row],[Synt]],GL[[Account]:[B/P]],4,FALSE)</f>
        <v>#N/A</v>
      </c>
      <c r="AH1234" s="1066" t="e">
        <v>#VALUE!</v>
      </c>
      <c r="AI1234" s="1065" t="e">
        <f>TB_prev[[#This Row],[Synt]]&amp;TB_prev[[#This Row],[Line No. manual corr.]]</f>
        <v>#VALUE!</v>
      </c>
      <c r="AJ1234" s="1064">
        <f t="shared" si="96"/>
        <v>0</v>
      </c>
      <c r="AK1234" s="1064">
        <f t="shared" si="97"/>
        <v>0</v>
      </c>
      <c r="AL1234" s="1064">
        <f t="shared" si="98"/>
        <v>0</v>
      </c>
      <c r="AM1234" s="1064">
        <f t="shared" si="99"/>
        <v>0</v>
      </c>
      <c r="AN1234" s="1064"/>
      <c r="AO1234" s="1064">
        <f>TB_prev[[#This Row],[Closing balance]]+TB_prev[[#This Row],[Rounding]]</f>
        <v>0</v>
      </c>
    </row>
    <row r="1235" spans="30:41" x14ac:dyDescent="0.25">
      <c r="AD1235" s="1067" t="str">
        <f t="shared" si="95"/>
        <v/>
      </c>
      <c r="AE1235" s="1063" t="str">
        <f>IF(ISNA(VLOOKUP(TB_prev[[#This Row],[Synt]],GL[[#Headers],[#Data],[subtotal label]],1,FALSE)),0,(VLOOKUP(TB_prev[[#This Row],[Synt]],GL[[#Headers],[#Data],[subtotal label]],1,FALSE)))</f>
        <v/>
      </c>
      <c r="AF1235" s="1063" t="e">
        <f>IF((TB_prev[[#This Row],[Synt]]-TB_prev[[#This Row],[Subtotal Y/N]])=0,0,VLOOKUP(TB_prev[[#This Row],[Synt]],GL[[Account]:[Line]],3,FALSE))</f>
        <v>#VALUE!</v>
      </c>
      <c r="AG1235" s="1063" t="e">
        <f>VLOOKUP(TB_prev[[#This Row],[Synt]],GL[[Account]:[B/P]],4,FALSE)</f>
        <v>#N/A</v>
      </c>
      <c r="AH1235" s="1066" t="e">
        <v>#VALUE!</v>
      </c>
      <c r="AI1235" s="1065" t="e">
        <f>TB_prev[[#This Row],[Synt]]&amp;TB_prev[[#This Row],[Line No. manual corr.]]</f>
        <v>#VALUE!</v>
      </c>
      <c r="AJ1235" s="1064">
        <f t="shared" si="96"/>
        <v>0</v>
      </c>
      <c r="AK1235" s="1064">
        <f t="shared" si="97"/>
        <v>0</v>
      </c>
      <c r="AL1235" s="1064">
        <f t="shared" si="98"/>
        <v>0</v>
      </c>
      <c r="AM1235" s="1064">
        <f t="shared" si="99"/>
        <v>0</v>
      </c>
      <c r="AN1235" s="1064"/>
      <c r="AO1235" s="1064">
        <f>TB_prev[[#This Row],[Closing balance]]+TB_prev[[#This Row],[Rounding]]</f>
        <v>0</v>
      </c>
    </row>
    <row r="1236" spans="30:41" x14ac:dyDescent="0.25">
      <c r="AD1236" s="1067" t="str">
        <f t="shared" si="95"/>
        <v/>
      </c>
      <c r="AE1236" s="1063" t="str">
        <f>IF(ISNA(VLOOKUP(TB_prev[[#This Row],[Synt]],GL[[#Headers],[#Data],[subtotal label]],1,FALSE)),0,(VLOOKUP(TB_prev[[#This Row],[Synt]],GL[[#Headers],[#Data],[subtotal label]],1,FALSE)))</f>
        <v/>
      </c>
      <c r="AF1236" s="1063" t="e">
        <f>IF((TB_prev[[#This Row],[Synt]]-TB_prev[[#This Row],[Subtotal Y/N]])=0,0,VLOOKUP(TB_prev[[#This Row],[Synt]],GL[[Account]:[Line]],3,FALSE))</f>
        <v>#VALUE!</v>
      </c>
      <c r="AG1236" s="1063" t="e">
        <f>VLOOKUP(TB_prev[[#This Row],[Synt]],GL[[Account]:[B/P]],4,FALSE)</f>
        <v>#N/A</v>
      </c>
      <c r="AH1236" s="1066" t="e">
        <v>#VALUE!</v>
      </c>
      <c r="AI1236" s="1065" t="e">
        <f>TB_prev[[#This Row],[Synt]]&amp;TB_prev[[#This Row],[Line No. manual corr.]]</f>
        <v>#VALUE!</v>
      </c>
      <c r="AJ1236" s="1064">
        <f t="shared" si="96"/>
        <v>0</v>
      </c>
      <c r="AK1236" s="1064">
        <f t="shared" si="97"/>
        <v>0</v>
      </c>
      <c r="AL1236" s="1064">
        <f t="shared" si="98"/>
        <v>0</v>
      </c>
      <c r="AM1236" s="1064">
        <f t="shared" si="99"/>
        <v>0</v>
      </c>
      <c r="AN1236" s="1064"/>
      <c r="AO1236" s="1064">
        <f>TB_prev[[#This Row],[Closing balance]]+TB_prev[[#This Row],[Rounding]]</f>
        <v>0</v>
      </c>
    </row>
    <row r="1237" spans="30:41" x14ac:dyDescent="0.25">
      <c r="AD1237" s="1067" t="str">
        <f t="shared" si="95"/>
        <v/>
      </c>
      <c r="AE1237" s="1063" t="str">
        <f>IF(ISNA(VLOOKUP(TB_prev[[#This Row],[Synt]],GL[[#Headers],[#Data],[subtotal label]],1,FALSE)),0,(VLOOKUP(TB_prev[[#This Row],[Synt]],GL[[#Headers],[#Data],[subtotal label]],1,FALSE)))</f>
        <v/>
      </c>
      <c r="AF1237" s="1063" t="e">
        <f>IF((TB_prev[[#This Row],[Synt]]-TB_prev[[#This Row],[Subtotal Y/N]])=0,0,VLOOKUP(TB_prev[[#This Row],[Synt]],GL[[Account]:[Line]],3,FALSE))</f>
        <v>#VALUE!</v>
      </c>
      <c r="AG1237" s="1063" t="e">
        <f>VLOOKUP(TB_prev[[#This Row],[Synt]],GL[[Account]:[B/P]],4,FALSE)</f>
        <v>#N/A</v>
      </c>
      <c r="AH1237" s="1066" t="e">
        <v>#VALUE!</v>
      </c>
      <c r="AI1237" s="1065" t="e">
        <f>TB_prev[[#This Row],[Synt]]&amp;TB_prev[[#This Row],[Line No. manual corr.]]</f>
        <v>#VALUE!</v>
      </c>
      <c r="AJ1237" s="1064">
        <f t="shared" si="96"/>
        <v>0</v>
      </c>
      <c r="AK1237" s="1064">
        <f t="shared" si="97"/>
        <v>0</v>
      </c>
      <c r="AL1237" s="1064">
        <f t="shared" si="98"/>
        <v>0</v>
      </c>
      <c r="AM1237" s="1064">
        <f t="shared" si="99"/>
        <v>0</v>
      </c>
      <c r="AN1237" s="1064"/>
      <c r="AO1237" s="1064">
        <f>TB_prev[[#This Row],[Closing balance]]+TB_prev[[#This Row],[Rounding]]</f>
        <v>0</v>
      </c>
    </row>
    <row r="1238" spans="30:41" x14ac:dyDescent="0.25">
      <c r="AD1238" s="1067" t="str">
        <f t="shared" si="95"/>
        <v/>
      </c>
      <c r="AE1238" s="1063" t="str">
        <f>IF(ISNA(VLOOKUP(TB_prev[[#This Row],[Synt]],GL[[#Headers],[#Data],[subtotal label]],1,FALSE)),0,(VLOOKUP(TB_prev[[#This Row],[Synt]],GL[[#Headers],[#Data],[subtotal label]],1,FALSE)))</f>
        <v/>
      </c>
      <c r="AF1238" s="1063" t="e">
        <f>IF((TB_prev[[#This Row],[Synt]]-TB_prev[[#This Row],[Subtotal Y/N]])=0,0,VLOOKUP(TB_prev[[#This Row],[Synt]],GL[[Account]:[Line]],3,FALSE))</f>
        <v>#VALUE!</v>
      </c>
      <c r="AG1238" s="1063" t="e">
        <f>VLOOKUP(TB_prev[[#This Row],[Synt]],GL[[Account]:[B/P]],4,FALSE)</f>
        <v>#N/A</v>
      </c>
      <c r="AH1238" s="1066" t="e">
        <v>#VALUE!</v>
      </c>
      <c r="AI1238" s="1065" t="e">
        <f>TB_prev[[#This Row],[Synt]]&amp;TB_prev[[#This Row],[Line No. manual corr.]]</f>
        <v>#VALUE!</v>
      </c>
      <c r="AJ1238" s="1064">
        <f t="shared" si="96"/>
        <v>0</v>
      </c>
      <c r="AK1238" s="1064">
        <f t="shared" si="97"/>
        <v>0</v>
      </c>
      <c r="AL1238" s="1064">
        <f t="shared" si="98"/>
        <v>0</v>
      </c>
      <c r="AM1238" s="1064">
        <f t="shared" si="99"/>
        <v>0</v>
      </c>
      <c r="AN1238" s="1064"/>
      <c r="AO1238" s="1064">
        <f>TB_prev[[#This Row],[Closing balance]]+TB_prev[[#This Row],[Rounding]]</f>
        <v>0</v>
      </c>
    </row>
    <row r="1239" spans="30:41" x14ac:dyDescent="0.25">
      <c r="AD1239" s="1067" t="str">
        <f t="shared" si="95"/>
        <v/>
      </c>
      <c r="AE1239" s="1063" t="str">
        <f>IF(ISNA(VLOOKUP(TB_prev[[#This Row],[Synt]],GL[[#Headers],[#Data],[subtotal label]],1,FALSE)),0,(VLOOKUP(TB_prev[[#This Row],[Synt]],GL[[#Headers],[#Data],[subtotal label]],1,FALSE)))</f>
        <v/>
      </c>
      <c r="AF1239" s="1063" t="e">
        <f>IF((TB_prev[[#This Row],[Synt]]-TB_prev[[#This Row],[Subtotal Y/N]])=0,0,VLOOKUP(TB_prev[[#This Row],[Synt]],GL[[Account]:[Line]],3,FALSE))</f>
        <v>#VALUE!</v>
      </c>
      <c r="AG1239" s="1063" t="e">
        <f>VLOOKUP(TB_prev[[#This Row],[Synt]],GL[[Account]:[B/P]],4,FALSE)</f>
        <v>#N/A</v>
      </c>
      <c r="AH1239" s="1066" t="e">
        <v>#VALUE!</v>
      </c>
      <c r="AI1239" s="1065" t="e">
        <f>TB_prev[[#This Row],[Synt]]&amp;TB_prev[[#This Row],[Line No. manual corr.]]</f>
        <v>#VALUE!</v>
      </c>
      <c r="AJ1239" s="1064">
        <f t="shared" si="96"/>
        <v>0</v>
      </c>
      <c r="AK1239" s="1064">
        <f t="shared" si="97"/>
        <v>0</v>
      </c>
      <c r="AL1239" s="1064">
        <f t="shared" si="98"/>
        <v>0</v>
      </c>
      <c r="AM1239" s="1064">
        <f t="shared" si="99"/>
        <v>0</v>
      </c>
      <c r="AN1239" s="1064"/>
      <c r="AO1239" s="1064">
        <f>TB_prev[[#This Row],[Closing balance]]+TB_prev[[#This Row],[Rounding]]</f>
        <v>0</v>
      </c>
    </row>
    <row r="1240" spans="30:41" x14ac:dyDescent="0.25">
      <c r="AD1240" s="1067" t="str">
        <f t="shared" si="95"/>
        <v/>
      </c>
      <c r="AE1240" s="1063" t="str">
        <f>IF(ISNA(VLOOKUP(TB_prev[[#This Row],[Synt]],GL[[#Headers],[#Data],[subtotal label]],1,FALSE)),0,(VLOOKUP(TB_prev[[#This Row],[Synt]],GL[[#Headers],[#Data],[subtotal label]],1,FALSE)))</f>
        <v/>
      </c>
      <c r="AF1240" s="1063" t="e">
        <f>IF((TB_prev[[#This Row],[Synt]]-TB_prev[[#This Row],[Subtotal Y/N]])=0,0,VLOOKUP(TB_prev[[#This Row],[Synt]],GL[[Account]:[Line]],3,FALSE))</f>
        <v>#VALUE!</v>
      </c>
      <c r="AG1240" s="1063" t="e">
        <f>VLOOKUP(TB_prev[[#This Row],[Synt]],GL[[Account]:[B/P]],4,FALSE)</f>
        <v>#N/A</v>
      </c>
      <c r="AH1240" s="1066" t="e">
        <v>#VALUE!</v>
      </c>
      <c r="AI1240" s="1065" t="e">
        <f>TB_prev[[#This Row],[Synt]]&amp;TB_prev[[#This Row],[Line No. manual corr.]]</f>
        <v>#VALUE!</v>
      </c>
      <c r="AJ1240" s="1064">
        <f t="shared" si="96"/>
        <v>0</v>
      </c>
      <c r="AK1240" s="1064">
        <f t="shared" si="97"/>
        <v>0</v>
      </c>
      <c r="AL1240" s="1064">
        <f t="shared" si="98"/>
        <v>0</v>
      </c>
      <c r="AM1240" s="1064">
        <f t="shared" si="99"/>
        <v>0</v>
      </c>
      <c r="AN1240" s="1064"/>
      <c r="AO1240" s="1064">
        <f>TB_prev[[#This Row],[Closing balance]]+TB_prev[[#This Row],[Rounding]]</f>
        <v>0</v>
      </c>
    </row>
    <row r="1241" spans="30:41" x14ac:dyDescent="0.25">
      <c r="AD1241" s="1067" t="str">
        <f t="shared" si="95"/>
        <v/>
      </c>
      <c r="AE1241" s="1063" t="str">
        <f>IF(ISNA(VLOOKUP(TB_prev[[#This Row],[Synt]],GL[[#Headers],[#Data],[subtotal label]],1,FALSE)),0,(VLOOKUP(TB_prev[[#This Row],[Synt]],GL[[#Headers],[#Data],[subtotal label]],1,FALSE)))</f>
        <v/>
      </c>
      <c r="AF1241" s="1063" t="e">
        <f>IF((TB_prev[[#This Row],[Synt]]-TB_prev[[#This Row],[Subtotal Y/N]])=0,0,VLOOKUP(TB_prev[[#This Row],[Synt]],GL[[Account]:[Line]],3,FALSE))</f>
        <v>#VALUE!</v>
      </c>
      <c r="AG1241" s="1063" t="e">
        <f>VLOOKUP(TB_prev[[#This Row],[Synt]],GL[[Account]:[B/P]],4,FALSE)</f>
        <v>#N/A</v>
      </c>
      <c r="AH1241" s="1066" t="e">
        <v>#VALUE!</v>
      </c>
      <c r="AI1241" s="1065" t="e">
        <f>TB_prev[[#This Row],[Synt]]&amp;TB_prev[[#This Row],[Line No. manual corr.]]</f>
        <v>#VALUE!</v>
      </c>
      <c r="AJ1241" s="1064">
        <f t="shared" si="96"/>
        <v>0</v>
      </c>
      <c r="AK1241" s="1064">
        <f t="shared" si="97"/>
        <v>0</v>
      </c>
      <c r="AL1241" s="1064">
        <f t="shared" si="98"/>
        <v>0</v>
      </c>
      <c r="AM1241" s="1064">
        <f t="shared" si="99"/>
        <v>0</v>
      </c>
      <c r="AN1241" s="1064"/>
      <c r="AO1241" s="1064">
        <f>TB_prev[[#This Row],[Closing balance]]+TB_prev[[#This Row],[Rounding]]</f>
        <v>0</v>
      </c>
    </row>
    <row r="1242" spans="30:41" x14ac:dyDescent="0.25">
      <c r="AD1242" s="1067" t="str">
        <f t="shared" si="95"/>
        <v/>
      </c>
      <c r="AE1242" s="1063" t="str">
        <f>IF(ISNA(VLOOKUP(TB_prev[[#This Row],[Synt]],GL[[#Headers],[#Data],[subtotal label]],1,FALSE)),0,(VLOOKUP(TB_prev[[#This Row],[Synt]],GL[[#Headers],[#Data],[subtotal label]],1,FALSE)))</f>
        <v/>
      </c>
      <c r="AF1242" s="1063" t="e">
        <f>IF((TB_prev[[#This Row],[Synt]]-TB_prev[[#This Row],[Subtotal Y/N]])=0,0,VLOOKUP(TB_prev[[#This Row],[Synt]],GL[[Account]:[Line]],3,FALSE))</f>
        <v>#VALUE!</v>
      </c>
      <c r="AG1242" s="1063" t="e">
        <f>VLOOKUP(TB_prev[[#This Row],[Synt]],GL[[Account]:[B/P]],4,FALSE)</f>
        <v>#N/A</v>
      </c>
      <c r="AH1242" s="1066" t="e">
        <v>#VALUE!</v>
      </c>
      <c r="AI1242" s="1065" t="e">
        <f>TB_prev[[#This Row],[Synt]]&amp;TB_prev[[#This Row],[Line No. manual corr.]]</f>
        <v>#VALUE!</v>
      </c>
      <c r="AJ1242" s="1064">
        <f t="shared" si="96"/>
        <v>0</v>
      </c>
      <c r="AK1242" s="1064">
        <f t="shared" si="97"/>
        <v>0</v>
      </c>
      <c r="AL1242" s="1064">
        <f t="shared" si="98"/>
        <v>0</v>
      </c>
      <c r="AM1242" s="1064">
        <f t="shared" si="99"/>
        <v>0</v>
      </c>
      <c r="AN1242" s="1064"/>
      <c r="AO1242" s="1064">
        <f>TB_prev[[#This Row],[Closing balance]]+TB_prev[[#This Row],[Rounding]]</f>
        <v>0</v>
      </c>
    </row>
    <row r="1243" spans="30:41" x14ac:dyDescent="0.25">
      <c r="AD1243" s="1067" t="str">
        <f t="shared" si="95"/>
        <v/>
      </c>
      <c r="AE1243" s="1063" t="str">
        <f>IF(ISNA(VLOOKUP(TB_prev[[#This Row],[Synt]],GL[[#Headers],[#Data],[subtotal label]],1,FALSE)),0,(VLOOKUP(TB_prev[[#This Row],[Synt]],GL[[#Headers],[#Data],[subtotal label]],1,FALSE)))</f>
        <v/>
      </c>
      <c r="AF1243" s="1063" t="e">
        <f>IF((TB_prev[[#This Row],[Synt]]-TB_prev[[#This Row],[Subtotal Y/N]])=0,0,VLOOKUP(TB_prev[[#This Row],[Synt]],GL[[Account]:[Line]],3,FALSE))</f>
        <v>#VALUE!</v>
      </c>
      <c r="AG1243" s="1063" t="e">
        <f>VLOOKUP(TB_prev[[#This Row],[Synt]],GL[[Account]:[B/P]],4,FALSE)</f>
        <v>#N/A</v>
      </c>
      <c r="AH1243" s="1066" t="e">
        <v>#VALUE!</v>
      </c>
      <c r="AI1243" s="1065" t="e">
        <f>TB_prev[[#This Row],[Synt]]&amp;TB_prev[[#This Row],[Line No. manual corr.]]</f>
        <v>#VALUE!</v>
      </c>
      <c r="AJ1243" s="1064">
        <f t="shared" si="96"/>
        <v>0</v>
      </c>
      <c r="AK1243" s="1064">
        <f t="shared" si="97"/>
        <v>0</v>
      </c>
      <c r="AL1243" s="1064">
        <f t="shared" si="98"/>
        <v>0</v>
      </c>
      <c r="AM1243" s="1064">
        <f t="shared" si="99"/>
        <v>0</v>
      </c>
      <c r="AN1243" s="1064"/>
      <c r="AO1243" s="1064">
        <f>TB_prev[[#This Row],[Closing balance]]+TB_prev[[#This Row],[Rounding]]</f>
        <v>0</v>
      </c>
    </row>
    <row r="1244" spans="30:41" x14ac:dyDescent="0.25">
      <c r="AD1244" s="1067" t="str">
        <f t="shared" si="95"/>
        <v/>
      </c>
      <c r="AE1244" s="1063" t="str">
        <f>IF(ISNA(VLOOKUP(TB_prev[[#This Row],[Synt]],GL[[#Headers],[#Data],[subtotal label]],1,FALSE)),0,(VLOOKUP(TB_prev[[#This Row],[Synt]],GL[[#Headers],[#Data],[subtotal label]],1,FALSE)))</f>
        <v/>
      </c>
      <c r="AF1244" s="1063" t="e">
        <f>IF((TB_prev[[#This Row],[Synt]]-TB_prev[[#This Row],[Subtotal Y/N]])=0,0,VLOOKUP(TB_prev[[#This Row],[Synt]],GL[[Account]:[Line]],3,FALSE))</f>
        <v>#VALUE!</v>
      </c>
      <c r="AG1244" s="1063" t="e">
        <f>VLOOKUP(TB_prev[[#This Row],[Synt]],GL[[Account]:[B/P]],4,FALSE)</f>
        <v>#N/A</v>
      </c>
      <c r="AH1244" s="1066" t="e">
        <v>#VALUE!</v>
      </c>
      <c r="AI1244" s="1065" t="e">
        <f>TB_prev[[#This Row],[Synt]]&amp;TB_prev[[#This Row],[Line No. manual corr.]]</f>
        <v>#VALUE!</v>
      </c>
      <c r="AJ1244" s="1064">
        <f t="shared" si="96"/>
        <v>0</v>
      </c>
      <c r="AK1244" s="1064">
        <f t="shared" si="97"/>
        <v>0</v>
      </c>
      <c r="AL1244" s="1064">
        <f t="shared" si="98"/>
        <v>0</v>
      </c>
      <c r="AM1244" s="1064">
        <f t="shared" si="99"/>
        <v>0</v>
      </c>
      <c r="AN1244" s="1064"/>
      <c r="AO1244" s="1064">
        <f>TB_prev[[#This Row],[Closing balance]]+TB_prev[[#This Row],[Rounding]]</f>
        <v>0</v>
      </c>
    </row>
    <row r="1245" spans="30:41" x14ac:dyDescent="0.25">
      <c r="AD1245" s="1067" t="str">
        <f t="shared" si="95"/>
        <v/>
      </c>
      <c r="AE1245" s="1063" t="str">
        <f>IF(ISNA(VLOOKUP(TB_prev[[#This Row],[Synt]],GL[[#Headers],[#Data],[subtotal label]],1,FALSE)),0,(VLOOKUP(TB_prev[[#This Row],[Synt]],GL[[#Headers],[#Data],[subtotal label]],1,FALSE)))</f>
        <v/>
      </c>
      <c r="AF1245" s="1063" t="e">
        <f>IF((TB_prev[[#This Row],[Synt]]-TB_prev[[#This Row],[Subtotal Y/N]])=0,0,VLOOKUP(TB_prev[[#This Row],[Synt]],GL[[Account]:[Line]],3,FALSE))</f>
        <v>#VALUE!</v>
      </c>
      <c r="AG1245" s="1063" t="e">
        <f>VLOOKUP(TB_prev[[#This Row],[Synt]],GL[[Account]:[B/P]],4,FALSE)</f>
        <v>#N/A</v>
      </c>
      <c r="AH1245" s="1066" t="e">
        <v>#VALUE!</v>
      </c>
      <c r="AI1245" s="1065" t="e">
        <f>TB_prev[[#This Row],[Synt]]&amp;TB_prev[[#This Row],[Line No. manual corr.]]</f>
        <v>#VALUE!</v>
      </c>
      <c r="AJ1245" s="1064">
        <f t="shared" si="96"/>
        <v>0</v>
      </c>
      <c r="AK1245" s="1064">
        <f t="shared" si="97"/>
        <v>0</v>
      </c>
      <c r="AL1245" s="1064">
        <f t="shared" si="98"/>
        <v>0</v>
      </c>
      <c r="AM1245" s="1064">
        <f t="shared" si="99"/>
        <v>0</v>
      </c>
      <c r="AN1245" s="1064"/>
      <c r="AO1245" s="1064">
        <f>TB_prev[[#This Row],[Closing balance]]+TB_prev[[#This Row],[Rounding]]</f>
        <v>0</v>
      </c>
    </row>
    <row r="1246" spans="30:41" x14ac:dyDescent="0.25">
      <c r="AD1246" s="1067" t="str">
        <f t="shared" si="95"/>
        <v/>
      </c>
      <c r="AE1246" s="1063" t="str">
        <f>IF(ISNA(VLOOKUP(TB_prev[[#This Row],[Synt]],GL[[#Headers],[#Data],[subtotal label]],1,FALSE)),0,(VLOOKUP(TB_prev[[#This Row],[Synt]],GL[[#Headers],[#Data],[subtotal label]],1,FALSE)))</f>
        <v/>
      </c>
      <c r="AF1246" s="1063" t="e">
        <f>IF((TB_prev[[#This Row],[Synt]]-TB_prev[[#This Row],[Subtotal Y/N]])=0,0,VLOOKUP(TB_prev[[#This Row],[Synt]],GL[[Account]:[Line]],3,FALSE))</f>
        <v>#VALUE!</v>
      </c>
      <c r="AG1246" s="1063" t="e">
        <f>VLOOKUP(TB_prev[[#This Row],[Synt]],GL[[Account]:[B/P]],4,FALSE)</f>
        <v>#N/A</v>
      </c>
      <c r="AH1246" s="1066" t="e">
        <v>#VALUE!</v>
      </c>
      <c r="AI1246" s="1065" t="e">
        <f>TB_prev[[#This Row],[Synt]]&amp;TB_prev[[#This Row],[Line No. manual corr.]]</f>
        <v>#VALUE!</v>
      </c>
      <c r="AJ1246" s="1064">
        <f t="shared" si="96"/>
        <v>0</v>
      </c>
      <c r="AK1246" s="1064">
        <f t="shared" si="97"/>
        <v>0</v>
      </c>
      <c r="AL1246" s="1064">
        <f t="shared" si="98"/>
        <v>0</v>
      </c>
      <c r="AM1246" s="1064">
        <f t="shared" si="99"/>
        <v>0</v>
      </c>
      <c r="AN1246" s="1064"/>
      <c r="AO1246" s="1064">
        <f>TB_prev[[#This Row],[Closing balance]]+TB_prev[[#This Row],[Rounding]]</f>
        <v>0</v>
      </c>
    </row>
    <row r="1247" spans="30:41" x14ac:dyDescent="0.25">
      <c r="AD1247" s="1067" t="str">
        <f t="shared" si="95"/>
        <v/>
      </c>
      <c r="AE1247" s="1063" t="str">
        <f>IF(ISNA(VLOOKUP(TB_prev[[#This Row],[Synt]],GL[[#Headers],[#Data],[subtotal label]],1,FALSE)),0,(VLOOKUP(TB_prev[[#This Row],[Synt]],GL[[#Headers],[#Data],[subtotal label]],1,FALSE)))</f>
        <v/>
      </c>
      <c r="AF1247" s="1063" t="e">
        <f>IF((TB_prev[[#This Row],[Synt]]-TB_prev[[#This Row],[Subtotal Y/N]])=0,0,VLOOKUP(TB_prev[[#This Row],[Synt]],GL[[Account]:[Line]],3,FALSE))</f>
        <v>#VALUE!</v>
      </c>
      <c r="AG1247" s="1063" t="e">
        <f>VLOOKUP(TB_prev[[#This Row],[Synt]],GL[[Account]:[B/P]],4,FALSE)</f>
        <v>#N/A</v>
      </c>
      <c r="AH1247" s="1066" t="e">
        <v>#VALUE!</v>
      </c>
      <c r="AI1247" s="1065" t="e">
        <f>TB_prev[[#This Row],[Synt]]&amp;TB_prev[[#This Row],[Line No. manual corr.]]</f>
        <v>#VALUE!</v>
      </c>
      <c r="AJ1247" s="1064">
        <f t="shared" si="96"/>
        <v>0</v>
      </c>
      <c r="AK1247" s="1064">
        <f t="shared" si="97"/>
        <v>0</v>
      </c>
      <c r="AL1247" s="1064">
        <f t="shared" si="98"/>
        <v>0</v>
      </c>
      <c r="AM1247" s="1064">
        <f t="shared" si="99"/>
        <v>0</v>
      </c>
      <c r="AN1247" s="1064"/>
      <c r="AO1247" s="1064">
        <f>TB_prev[[#This Row],[Closing balance]]+TB_prev[[#This Row],[Rounding]]</f>
        <v>0</v>
      </c>
    </row>
    <row r="1248" spans="30:41" x14ac:dyDescent="0.25">
      <c r="AD1248" s="1067" t="str">
        <f t="shared" si="95"/>
        <v/>
      </c>
      <c r="AE1248" s="1063" t="str">
        <f>IF(ISNA(VLOOKUP(TB_prev[[#This Row],[Synt]],GL[[#Headers],[#Data],[subtotal label]],1,FALSE)),0,(VLOOKUP(TB_prev[[#This Row],[Synt]],GL[[#Headers],[#Data],[subtotal label]],1,FALSE)))</f>
        <v/>
      </c>
      <c r="AF1248" s="1063" t="e">
        <f>IF((TB_prev[[#This Row],[Synt]]-TB_prev[[#This Row],[Subtotal Y/N]])=0,0,VLOOKUP(TB_prev[[#This Row],[Synt]],GL[[Account]:[Line]],3,FALSE))</f>
        <v>#VALUE!</v>
      </c>
      <c r="AG1248" s="1063" t="e">
        <f>VLOOKUP(TB_prev[[#This Row],[Synt]],GL[[Account]:[B/P]],4,FALSE)</f>
        <v>#N/A</v>
      </c>
      <c r="AH1248" s="1066" t="e">
        <v>#VALUE!</v>
      </c>
      <c r="AI1248" s="1065" t="e">
        <f>TB_prev[[#This Row],[Synt]]&amp;TB_prev[[#This Row],[Line No. manual corr.]]</f>
        <v>#VALUE!</v>
      </c>
      <c r="AJ1248" s="1064">
        <f t="shared" si="96"/>
        <v>0</v>
      </c>
      <c r="AK1248" s="1064">
        <f t="shared" si="97"/>
        <v>0</v>
      </c>
      <c r="AL1248" s="1064">
        <f t="shared" si="98"/>
        <v>0</v>
      </c>
      <c r="AM1248" s="1064">
        <f t="shared" si="99"/>
        <v>0</v>
      </c>
      <c r="AN1248" s="1064"/>
      <c r="AO1248" s="1064">
        <f>TB_prev[[#This Row],[Closing balance]]+TB_prev[[#This Row],[Rounding]]</f>
        <v>0</v>
      </c>
    </row>
    <row r="1249" spans="30:41" x14ac:dyDescent="0.25">
      <c r="AD1249" s="1067" t="str">
        <f t="shared" si="95"/>
        <v/>
      </c>
      <c r="AE1249" s="1063" t="str">
        <f>IF(ISNA(VLOOKUP(TB_prev[[#This Row],[Synt]],GL[[#Headers],[#Data],[subtotal label]],1,FALSE)),0,(VLOOKUP(TB_prev[[#This Row],[Synt]],GL[[#Headers],[#Data],[subtotal label]],1,FALSE)))</f>
        <v/>
      </c>
      <c r="AF1249" s="1063" t="e">
        <f>IF((TB_prev[[#This Row],[Synt]]-TB_prev[[#This Row],[Subtotal Y/N]])=0,0,VLOOKUP(TB_prev[[#This Row],[Synt]],GL[[Account]:[Line]],3,FALSE))</f>
        <v>#VALUE!</v>
      </c>
      <c r="AG1249" s="1063" t="e">
        <f>VLOOKUP(TB_prev[[#This Row],[Synt]],GL[[Account]:[B/P]],4,FALSE)</f>
        <v>#N/A</v>
      </c>
      <c r="AH1249" s="1066" t="e">
        <v>#VALUE!</v>
      </c>
      <c r="AI1249" s="1065" t="e">
        <f>TB_prev[[#This Row],[Synt]]&amp;TB_prev[[#This Row],[Line No. manual corr.]]</f>
        <v>#VALUE!</v>
      </c>
      <c r="AJ1249" s="1064">
        <f t="shared" si="96"/>
        <v>0</v>
      </c>
      <c r="AK1249" s="1064">
        <f t="shared" si="97"/>
        <v>0</v>
      </c>
      <c r="AL1249" s="1064">
        <f t="shared" si="98"/>
        <v>0</v>
      </c>
      <c r="AM1249" s="1064">
        <f t="shared" si="99"/>
        <v>0</v>
      </c>
      <c r="AN1249" s="1064"/>
      <c r="AO1249" s="1064">
        <f>TB_prev[[#This Row],[Closing balance]]+TB_prev[[#This Row],[Rounding]]</f>
        <v>0</v>
      </c>
    </row>
    <row r="1250" spans="30:41" x14ac:dyDescent="0.25">
      <c r="AD1250" s="1067" t="str">
        <f t="shared" si="95"/>
        <v/>
      </c>
      <c r="AE1250" s="1063" t="str">
        <f>IF(ISNA(VLOOKUP(TB_prev[[#This Row],[Synt]],GL[[#Headers],[#Data],[subtotal label]],1,FALSE)),0,(VLOOKUP(TB_prev[[#This Row],[Synt]],GL[[#Headers],[#Data],[subtotal label]],1,FALSE)))</f>
        <v/>
      </c>
      <c r="AF1250" s="1063" t="e">
        <f>IF((TB_prev[[#This Row],[Synt]]-TB_prev[[#This Row],[Subtotal Y/N]])=0,0,VLOOKUP(TB_prev[[#This Row],[Synt]],GL[[Account]:[Line]],3,FALSE))</f>
        <v>#VALUE!</v>
      </c>
      <c r="AG1250" s="1063" t="e">
        <f>VLOOKUP(TB_prev[[#This Row],[Synt]],GL[[Account]:[B/P]],4,FALSE)</f>
        <v>#N/A</v>
      </c>
      <c r="AH1250" s="1066" t="e">
        <v>#VALUE!</v>
      </c>
      <c r="AI1250" s="1065" t="e">
        <f>TB_prev[[#This Row],[Synt]]&amp;TB_prev[[#This Row],[Line No. manual corr.]]</f>
        <v>#VALUE!</v>
      </c>
      <c r="AJ1250" s="1064">
        <f t="shared" si="96"/>
        <v>0</v>
      </c>
      <c r="AK1250" s="1064">
        <f t="shared" si="97"/>
        <v>0</v>
      </c>
      <c r="AL1250" s="1064">
        <f t="shared" si="98"/>
        <v>0</v>
      </c>
      <c r="AM1250" s="1064">
        <f t="shared" si="99"/>
        <v>0</v>
      </c>
      <c r="AN1250" s="1064"/>
      <c r="AO1250" s="1064">
        <f>TB_prev[[#This Row],[Closing balance]]+TB_prev[[#This Row],[Rounding]]</f>
        <v>0</v>
      </c>
    </row>
    <row r="1251" spans="30:41" x14ac:dyDescent="0.25">
      <c r="AD1251" s="1067" t="str">
        <f t="shared" si="95"/>
        <v/>
      </c>
      <c r="AE1251" s="1063" t="str">
        <f>IF(ISNA(VLOOKUP(TB_prev[[#This Row],[Synt]],GL[[#Headers],[#Data],[subtotal label]],1,FALSE)),0,(VLOOKUP(TB_prev[[#This Row],[Synt]],GL[[#Headers],[#Data],[subtotal label]],1,FALSE)))</f>
        <v/>
      </c>
      <c r="AF1251" s="1063" t="e">
        <f>IF((TB_prev[[#This Row],[Synt]]-TB_prev[[#This Row],[Subtotal Y/N]])=0,0,VLOOKUP(TB_prev[[#This Row],[Synt]],GL[[Account]:[Line]],3,FALSE))</f>
        <v>#VALUE!</v>
      </c>
      <c r="AG1251" s="1063" t="e">
        <f>VLOOKUP(TB_prev[[#This Row],[Synt]],GL[[Account]:[B/P]],4,FALSE)</f>
        <v>#N/A</v>
      </c>
      <c r="AH1251" s="1066" t="e">
        <v>#VALUE!</v>
      </c>
      <c r="AI1251" s="1065" t="e">
        <f>TB_prev[[#This Row],[Synt]]&amp;TB_prev[[#This Row],[Line No. manual corr.]]</f>
        <v>#VALUE!</v>
      </c>
      <c r="AJ1251" s="1064">
        <f t="shared" si="96"/>
        <v>0</v>
      </c>
      <c r="AK1251" s="1064">
        <f t="shared" si="97"/>
        <v>0</v>
      </c>
      <c r="AL1251" s="1064">
        <f t="shared" si="98"/>
        <v>0</v>
      </c>
      <c r="AM1251" s="1064">
        <f t="shared" si="99"/>
        <v>0</v>
      </c>
      <c r="AN1251" s="1064"/>
      <c r="AO1251" s="1064">
        <f>TB_prev[[#This Row],[Closing balance]]+TB_prev[[#This Row],[Rounding]]</f>
        <v>0</v>
      </c>
    </row>
    <row r="1252" spans="30:41" x14ac:dyDescent="0.25">
      <c r="AD1252" s="1067" t="str">
        <f t="shared" si="95"/>
        <v/>
      </c>
      <c r="AE1252" s="1063" t="str">
        <f>IF(ISNA(VLOOKUP(TB_prev[[#This Row],[Synt]],GL[[#Headers],[#Data],[subtotal label]],1,FALSE)),0,(VLOOKUP(TB_prev[[#This Row],[Synt]],GL[[#Headers],[#Data],[subtotal label]],1,FALSE)))</f>
        <v/>
      </c>
      <c r="AF1252" s="1063" t="e">
        <f>IF((TB_prev[[#This Row],[Synt]]-TB_prev[[#This Row],[Subtotal Y/N]])=0,0,VLOOKUP(TB_prev[[#This Row],[Synt]],GL[[Account]:[Line]],3,FALSE))</f>
        <v>#VALUE!</v>
      </c>
      <c r="AG1252" s="1063" t="e">
        <f>VLOOKUP(TB_prev[[#This Row],[Synt]],GL[[Account]:[B/P]],4,FALSE)</f>
        <v>#N/A</v>
      </c>
      <c r="AH1252" s="1066" t="e">
        <v>#VALUE!</v>
      </c>
      <c r="AI1252" s="1065" t="e">
        <f>TB_prev[[#This Row],[Synt]]&amp;TB_prev[[#This Row],[Line No. manual corr.]]</f>
        <v>#VALUE!</v>
      </c>
      <c r="AJ1252" s="1064">
        <f t="shared" si="96"/>
        <v>0</v>
      </c>
      <c r="AK1252" s="1064">
        <f t="shared" si="97"/>
        <v>0</v>
      </c>
      <c r="AL1252" s="1064">
        <f t="shared" si="98"/>
        <v>0</v>
      </c>
      <c r="AM1252" s="1064">
        <f t="shared" si="99"/>
        <v>0</v>
      </c>
      <c r="AN1252" s="1064"/>
      <c r="AO1252" s="1064">
        <f>TB_prev[[#This Row],[Closing balance]]+TB_prev[[#This Row],[Rounding]]</f>
        <v>0</v>
      </c>
    </row>
    <row r="1253" spans="30:41" x14ac:dyDescent="0.25">
      <c r="AD1253" s="1067" t="str">
        <f t="shared" si="95"/>
        <v/>
      </c>
      <c r="AE1253" s="1063" t="str">
        <f>IF(ISNA(VLOOKUP(TB_prev[[#This Row],[Synt]],GL[[#Headers],[#Data],[subtotal label]],1,FALSE)),0,(VLOOKUP(TB_prev[[#This Row],[Synt]],GL[[#Headers],[#Data],[subtotal label]],1,FALSE)))</f>
        <v/>
      </c>
      <c r="AF1253" s="1063" t="e">
        <f>IF((TB_prev[[#This Row],[Synt]]-TB_prev[[#This Row],[Subtotal Y/N]])=0,0,VLOOKUP(TB_prev[[#This Row],[Synt]],GL[[Account]:[Line]],3,FALSE))</f>
        <v>#VALUE!</v>
      </c>
      <c r="AG1253" s="1063" t="e">
        <f>VLOOKUP(TB_prev[[#This Row],[Synt]],GL[[Account]:[B/P]],4,FALSE)</f>
        <v>#N/A</v>
      </c>
      <c r="AH1253" s="1066" t="e">
        <v>#VALUE!</v>
      </c>
      <c r="AI1253" s="1065" t="e">
        <f>TB_prev[[#This Row],[Synt]]&amp;TB_prev[[#This Row],[Line No. manual corr.]]</f>
        <v>#VALUE!</v>
      </c>
      <c r="AJ1253" s="1064">
        <f t="shared" si="96"/>
        <v>0</v>
      </c>
      <c r="AK1253" s="1064">
        <f t="shared" si="97"/>
        <v>0</v>
      </c>
      <c r="AL1253" s="1064">
        <f t="shared" si="98"/>
        <v>0</v>
      </c>
      <c r="AM1253" s="1064">
        <f t="shared" si="99"/>
        <v>0</v>
      </c>
      <c r="AN1253" s="1064"/>
      <c r="AO1253" s="1064">
        <f>TB_prev[[#This Row],[Closing balance]]+TB_prev[[#This Row],[Rounding]]</f>
        <v>0</v>
      </c>
    </row>
    <row r="1254" spans="30:41" x14ac:dyDescent="0.25">
      <c r="AD1254" s="1067" t="str">
        <f t="shared" si="95"/>
        <v/>
      </c>
      <c r="AE1254" s="1063" t="str">
        <f>IF(ISNA(VLOOKUP(TB_prev[[#This Row],[Synt]],GL[[#Headers],[#Data],[subtotal label]],1,FALSE)),0,(VLOOKUP(TB_prev[[#This Row],[Synt]],GL[[#Headers],[#Data],[subtotal label]],1,FALSE)))</f>
        <v/>
      </c>
      <c r="AF1254" s="1063" t="e">
        <f>IF((TB_prev[[#This Row],[Synt]]-TB_prev[[#This Row],[Subtotal Y/N]])=0,0,VLOOKUP(TB_prev[[#This Row],[Synt]],GL[[Account]:[Line]],3,FALSE))</f>
        <v>#VALUE!</v>
      </c>
      <c r="AG1254" s="1063" t="e">
        <f>VLOOKUP(TB_prev[[#This Row],[Synt]],GL[[Account]:[B/P]],4,FALSE)</f>
        <v>#N/A</v>
      </c>
      <c r="AH1254" s="1066" t="e">
        <v>#VALUE!</v>
      </c>
      <c r="AI1254" s="1065" t="e">
        <f>TB_prev[[#This Row],[Synt]]&amp;TB_prev[[#This Row],[Line No. manual corr.]]</f>
        <v>#VALUE!</v>
      </c>
      <c r="AJ1254" s="1064">
        <f t="shared" si="96"/>
        <v>0</v>
      </c>
      <c r="AK1254" s="1064">
        <f t="shared" si="97"/>
        <v>0</v>
      </c>
      <c r="AL1254" s="1064">
        <f t="shared" si="98"/>
        <v>0</v>
      </c>
      <c r="AM1254" s="1064">
        <f t="shared" si="99"/>
        <v>0</v>
      </c>
      <c r="AN1254" s="1064"/>
      <c r="AO1254" s="1064">
        <f>TB_prev[[#This Row],[Closing balance]]+TB_prev[[#This Row],[Rounding]]</f>
        <v>0</v>
      </c>
    </row>
    <row r="1255" spans="30:41" x14ac:dyDescent="0.25">
      <c r="AD1255" s="1067" t="str">
        <f t="shared" si="95"/>
        <v/>
      </c>
      <c r="AE1255" s="1063" t="str">
        <f>IF(ISNA(VLOOKUP(TB_prev[[#This Row],[Synt]],GL[[#Headers],[#Data],[subtotal label]],1,FALSE)),0,(VLOOKUP(TB_prev[[#This Row],[Synt]],GL[[#Headers],[#Data],[subtotal label]],1,FALSE)))</f>
        <v/>
      </c>
      <c r="AF1255" s="1063" t="e">
        <f>IF((TB_prev[[#This Row],[Synt]]-TB_prev[[#This Row],[Subtotal Y/N]])=0,0,VLOOKUP(TB_prev[[#This Row],[Synt]],GL[[Account]:[Line]],3,FALSE))</f>
        <v>#VALUE!</v>
      </c>
      <c r="AG1255" s="1063" t="e">
        <f>VLOOKUP(TB_prev[[#This Row],[Synt]],GL[[Account]:[B/P]],4,FALSE)</f>
        <v>#N/A</v>
      </c>
      <c r="AH1255" s="1066" t="e">
        <v>#VALUE!</v>
      </c>
      <c r="AI1255" s="1065" t="e">
        <f>TB_prev[[#This Row],[Synt]]&amp;TB_prev[[#This Row],[Line No. manual corr.]]</f>
        <v>#VALUE!</v>
      </c>
      <c r="AJ1255" s="1064">
        <f t="shared" si="96"/>
        <v>0</v>
      </c>
      <c r="AK1255" s="1064">
        <f t="shared" si="97"/>
        <v>0</v>
      </c>
      <c r="AL1255" s="1064">
        <f t="shared" si="98"/>
        <v>0</v>
      </c>
      <c r="AM1255" s="1064">
        <f t="shared" si="99"/>
        <v>0</v>
      </c>
      <c r="AN1255" s="1064"/>
      <c r="AO1255" s="1064">
        <f>TB_prev[[#This Row],[Closing balance]]+TB_prev[[#This Row],[Rounding]]</f>
        <v>0</v>
      </c>
    </row>
    <row r="1256" spans="30:41" x14ac:dyDescent="0.25">
      <c r="AD1256" s="1067" t="str">
        <f t="shared" si="95"/>
        <v/>
      </c>
      <c r="AE1256" s="1063" t="str">
        <f>IF(ISNA(VLOOKUP(TB_prev[[#This Row],[Synt]],GL[[#Headers],[#Data],[subtotal label]],1,FALSE)),0,(VLOOKUP(TB_prev[[#This Row],[Synt]],GL[[#Headers],[#Data],[subtotal label]],1,FALSE)))</f>
        <v/>
      </c>
      <c r="AF1256" s="1063" t="e">
        <f>IF((TB_prev[[#This Row],[Synt]]-TB_prev[[#This Row],[Subtotal Y/N]])=0,0,VLOOKUP(TB_prev[[#This Row],[Synt]],GL[[Account]:[Line]],3,FALSE))</f>
        <v>#VALUE!</v>
      </c>
      <c r="AG1256" s="1063" t="e">
        <f>VLOOKUP(TB_prev[[#This Row],[Synt]],GL[[Account]:[B/P]],4,FALSE)</f>
        <v>#N/A</v>
      </c>
      <c r="AH1256" s="1066" t="e">
        <v>#VALUE!</v>
      </c>
      <c r="AI1256" s="1065" t="e">
        <f>TB_prev[[#This Row],[Synt]]&amp;TB_prev[[#This Row],[Line No. manual corr.]]</f>
        <v>#VALUE!</v>
      </c>
      <c r="AJ1256" s="1064">
        <f t="shared" si="96"/>
        <v>0</v>
      </c>
      <c r="AK1256" s="1064">
        <f t="shared" si="97"/>
        <v>0</v>
      </c>
      <c r="AL1256" s="1064">
        <f t="shared" si="98"/>
        <v>0</v>
      </c>
      <c r="AM1256" s="1064">
        <f t="shared" si="99"/>
        <v>0</v>
      </c>
      <c r="AN1256" s="1064"/>
      <c r="AO1256" s="1064">
        <f>TB_prev[[#This Row],[Closing balance]]+TB_prev[[#This Row],[Rounding]]</f>
        <v>0</v>
      </c>
    </row>
    <row r="1257" spans="30:41" x14ac:dyDescent="0.25">
      <c r="AD1257" s="1067" t="str">
        <f t="shared" si="95"/>
        <v/>
      </c>
      <c r="AE1257" s="1063" t="str">
        <f>IF(ISNA(VLOOKUP(TB_prev[[#This Row],[Synt]],GL[[#Headers],[#Data],[subtotal label]],1,FALSE)),0,(VLOOKUP(TB_prev[[#This Row],[Synt]],GL[[#Headers],[#Data],[subtotal label]],1,FALSE)))</f>
        <v/>
      </c>
      <c r="AF1257" s="1063" t="e">
        <f>IF((TB_prev[[#This Row],[Synt]]-TB_prev[[#This Row],[Subtotal Y/N]])=0,0,VLOOKUP(TB_prev[[#This Row],[Synt]],GL[[Account]:[Line]],3,FALSE))</f>
        <v>#VALUE!</v>
      </c>
      <c r="AG1257" s="1063" t="e">
        <f>VLOOKUP(TB_prev[[#This Row],[Synt]],GL[[Account]:[B/P]],4,FALSE)</f>
        <v>#N/A</v>
      </c>
      <c r="AH1257" s="1066" t="e">
        <v>#VALUE!</v>
      </c>
      <c r="AI1257" s="1065" t="e">
        <f>TB_prev[[#This Row],[Synt]]&amp;TB_prev[[#This Row],[Line No. manual corr.]]</f>
        <v>#VALUE!</v>
      </c>
      <c r="AJ1257" s="1064">
        <f t="shared" si="96"/>
        <v>0</v>
      </c>
      <c r="AK1257" s="1064">
        <f t="shared" si="97"/>
        <v>0</v>
      </c>
      <c r="AL1257" s="1064">
        <f t="shared" si="98"/>
        <v>0</v>
      </c>
      <c r="AM1257" s="1064">
        <f t="shared" si="99"/>
        <v>0</v>
      </c>
      <c r="AN1257" s="1064"/>
      <c r="AO1257" s="1064">
        <f>TB_prev[[#This Row],[Closing balance]]+TB_prev[[#This Row],[Rounding]]</f>
        <v>0</v>
      </c>
    </row>
    <row r="1258" spans="30:41" x14ac:dyDescent="0.25">
      <c r="AD1258" s="1067" t="str">
        <f t="shared" si="95"/>
        <v/>
      </c>
      <c r="AE1258" s="1063" t="str">
        <f>IF(ISNA(VLOOKUP(TB_prev[[#This Row],[Synt]],GL[[#Headers],[#Data],[subtotal label]],1,FALSE)),0,(VLOOKUP(TB_prev[[#This Row],[Synt]],GL[[#Headers],[#Data],[subtotal label]],1,FALSE)))</f>
        <v/>
      </c>
      <c r="AF1258" s="1063" t="e">
        <f>IF((TB_prev[[#This Row],[Synt]]-TB_prev[[#This Row],[Subtotal Y/N]])=0,0,VLOOKUP(TB_prev[[#This Row],[Synt]],GL[[Account]:[Line]],3,FALSE))</f>
        <v>#VALUE!</v>
      </c>
      <c r="AG1258" s="1063" t="e">
        <f>VLOOKUP(TB_prev[[#This Row],[Synt]],GL[[Account]:[B/P]],4,FALSE)</f>
        <v>#N/A</v>
      </c>
      <c r="AH1258" s="1066" t="e">
        <v>#VALUE!</v>
      </c>
      <c r="AI1258" s="1065" t="e">
        <f>TB_prev[[#This Row],[Synt]]&amp;TB_prev[[#This Row],[Line No. manual corr.]]</f>
        <v>#VALUE!</v>
      </c>
      <c r="AJ1258" s="1064">
        <f t="shared" si="96"/>
        <v>0</v>
      </c>
      <c r="AK1258" s="1064">
        <f t="shared" si="97"/>
        <v>0</v>
      </c>
      <c r="AL1258" s="1064">
        <f t="shared" si="98"/>
        <v>0</v>
      </c>
      <c r="AM1258" s="1064">
        <f t="shared" si="99"/>
        <v>0</v>
      </c>
      <c r="AN1258" s="1064"/>
      <c r="AO1258" s="1064">
        <f>TB_prev[[#This Row],[Closing balance]]+TB_prev[[#This Row],[Rounding]]</f>
        <v>0</v>
      </c>
    </row>
    <row r="1259" spans="30:41" x14ac:dyDescent="0.25">
      <c r="AD1259" s="1067" t="str">
        <f t="shared" si="95"/>
        <v/>
      </c>
      <c r="AE1259" s="1063" t="str">
        <f>IF(ISNA(VLOOKUP(TB_prev[[#This Row],[Synt]],GL[[#Headers],[#Data],[subtotal label]],1,FALSE)),0,(VLOOKUP(TB_prev[[#This Row],[Synt]],GL[[#Headers],[#Data],[subtotal label]],1,FALSE)))</f>
        <v/>
      </c>
      <c r="AF1259" s="1063" t="e">
        <f>IF((TB_prev[[#This Row],[Synt]]-TB_prev[[#This Row],[Subtotal Y/N]])=0,0,VLOOKUP(TB_prev[[#This Row],[Synt]],GL[[Account]:[Line]],3,FALSE))</f>
        <v>#VALUE!</v>
      </c>
      <c r="AG1259" s="1063" t="e">
        <f>VLOOKUP(TB_prev[[#This Row],[Synt]],GL[[Account]:[B/P]],4,FALSE)</f>
        <v>#N/A</v>
      </c>
      <c r="AH1259" s="1066" t="e">
        <v>#VALUE!</v>
      </c>
      <c r="AI1259" s="1065" t="e">
        <f>TB_prev[[#This Row],[Synt]]&amp;TB_prev[[#This Row],[Line No. manual corr.]]</f>
        <v>#VALUE!</v>
      </c>
      <c r="AJ1259" s="1064">
        <f t="shared" si="96"/>
        <v>0</v>
      </c>
      <c r="AK1259" s="1064">
        <f t="shared" si="97"/>
        <v>0</v>
      </c>
      <c r="AL1259" s="1064">
        <f t="shared" si="98"/>
        <v>0</v>
      </c>
      <c r="AM1259" s="1064">
        <f t="shared" si="99"/>
        <v>0</v>
      </c>
      <c r="AN1259" s="1064"/>
      <c r="AO1259" s="1064">
        <f>TB_prev[[#This Row],[Closing balance]]+TB_prev[[#This Row],[Rounding]]</f>
        <v>0</v>
      </c>
    </row>
    <row r="1260" spans="30:41" x14ac:dyDescent="0.25">
      <c r="AD1260" s="1067" t="str">
        <f t="shared" si="95"/>
        <v/>
      </c>
      <c r="AE1260" s="1063" t="str">
        <f>IF(ISNA(VLOOKUP(TB_prev[[#This Row],[Synt]],GL[[#Headers],[#Data],[subtotal label]],1,FALSE)),0,(VLOOKUP(TB_prev[[#This Row],[Synt]],GL[[#Headers],[#Data],[subtotal label]],1,FALSE)))</f>
        <v/>
      </c>
      <c r="AF1260" s="1063" t="e">
        <f>IF((TB_prev[[#This Row],[Synt]]-TB_prev[[#This Row],[Subtotal Y/N]])=0,0,VLOOKUP(TB_prev[[#This Row],[Synt]],GL[[Account]:[Line]],3,FALSE))</f>
        <v>#VALUE!</v>
      </c>
      <c r="AG1260" s="1063" t="e">
        <f>VLOOKUP(TB_prev[[#This Row],[Synt]],GL[[Account]:[B/P]],4,FALSE)</f>
        <v>#N/A</v>
      </c>
      <c r="AH1260" s="1066" t="e">
        <v>#VALUE!</v>
      </c>
      <c r="AI1260" s="1065" t="e">
        <f>TB_prev[[#This Row],[Synt]]&amp;TB_prev[[#This Row],[Line No. manual corr.]]</f>
        <v>#VALUE!</v>
      </c>
      <c r="AJ1260" s="1064">
        <f t="shared" si="96"/>
        <v>0</v>
      </c>
      <c r="AK1260" s="1064">
        <f t="shared" si="97"/>
        <v>0</v>
      </c>
      <c r="AL1260" s="1064">
        <f t="shared" si="98"/>
        <v>0</v>
      </c>
      <c r="AM1260" s="1064">
        <f t="shared" si="99"/>
        <v>0</v>
      </c>
      <c r="AN1260" s="1064"/>
      <c r="AO1260" s="1064">
        <f>TB_prev[[#This Row],[Closing balance]]+TB_prev[[#This Row],[Rounding]]</f>
        <v>0</v>
      </c>
    </row>
    <row r="1261" spans="30:41" x14ac:dyDescent="0.25">
      <c r="AD1261" s="1067" t="str">
        <f t="shared" si="95"/>
        <v/>
      </c>
      <c r="AE1261" s="1063" t="str">
        <f>IF(ISNA(VLOOKUP(TB_prev[[#This Row],[Synt]],GL[[#Headers],[#Data],[subtotal label]],1,FALSE)),0,(VLOOKUP(TB_prev[[#This Row],[Synt]],GL[[#Headers],[#Data],[subtotal label]],1,FALSE)))</f>
        <v/>
      </c>
      <c r="AF1261" s="1063" t="e">
        <f>IF((TB_prev[[#This Row],[Synt]]-TB_prev[[#This Row],[Subtotal Y/N]])=0,0,VLOOKUP(TB_prev[[#This Row],[Synt]],GL[[Account]:[Line]],3,FALSE))</f>
        <v>#VALUE!</v>
      </c>
      <c r="AG1261" s="1063" t="e">
        <f>VLOOKUP(TB_prev[[#This Row],[Synt]],GL[[Account]:[B/P]],4,FALSE)</f>
        <v>#N/A</v>
      </c>
      <c r="AH1261" s="1066" t="e">
        <v>#VALUE!</v>
      </c>
      <c r="AI1261" s="1065" t="e">
        <f>TB_prev[[#This Row],[Synt]]&amp;TB_prev[[#This Row],[Line No. manual corr.]]</f>
        <v>#VALUE!</v>
      </c>
      <c r="AJ1261" s="1064">
        <f t="shared" si="96"/>
        <v>0</v>
      </c>
      <c r="AK1261" s="1064">
        <f t="shared" si="97"/>
        <v>0</v>
      </c>
      <c r="AL1261" s="1064">
        <f t="shared" si="98"/>
        <v>0</v>
      </c>
      <c r="AM1261" s="1064">
        <f t="shared" si="99"/>
        <v>0</v>
      </c>
      <c r="AN1261" s="1064"/>
      <c r="AO1261" s="1064">
        <f>TB_prev[[#This Row],[Closing balance]]+TB_prev[[#This Row],[Rounding]]</f>
        <v>0</v>
      </c>
    </row>
    <row r="1262" spans="30:41" x14ac:dyDescent="0.25">
      <c r="AD1262" s="1067" t="str">
        <f t="shared" si="95"/>
        <v/>
      </c>
      <c r="AE1262" s="1063" t="str">
        <f>IF(ISNA(VLOOKUP(TB_prev[[#This Row],[Synt]],GL[[#Headers],[#Data],[subtotal label]],1,FALSE)),0,(VLOOKUP(TB_prev[[#This Row],[Synt]],GL[[#Headers],[#Data],[subtotal label]],1,FALSE)))</f>
        <v/>
      </c>
      <c r="AF1262" s="1063" t="e">
        <f>IF((TB_prev[[#This Row],[Synt]]-TB_prev[[#This Row],[Subtotal Y/N]])=0,0,VLOOKUP(TB_prev[[#This Row],[Synt]],GL[[Account]:[Line]],3,FALSE))</f>
        <v>#VALUE!</v>
      </c>
      <c r="AG1262" s="1063" t="e">
        <f>VLOOKUP(TB_prev[[#This Row],[Synt]],GL[[Account]:[B/P]],4,FALSE)</f>
        <v>#N/A</v>
      </c>
      <c r="AH1262" s="1066" t="e">
        <v>#VALUE!</v>
      </c>
      <c r="AI1262" s="1065" t="e">
        <f>TB_prev[[#This Row],[Synt]]&amp;TB_prev[[#This Row],[Line No. manual corr.]]</f>
        <v>#VALUE!</v>
      </c>
      <c r="AJ1262" s="1064">
        <f t="shared" si="96"/>
        <v>0</v>
      </c>
      <c r="AK1262" s="1064">
        <f t="shared" si="97"/>
        <v>0</v>
      </c>
      <c r="AL1262" s="1064">
        <f t="shared" si="98"/>
        <v>0</v>
      </c>
      <c r="AM1262" s="1064">
        <f t="shared" si="99"/>
        <v>0</v>
      </c>
      <c r="AN1262" s="1064"/>
      <c r="AO1262" s="1064">
        <f>TB_prev[[#This Row],[Closing balance]]+TB_prev[[#This Row],[Rounding]]</f>
        <v>0</v>
      </c>
    </row>
    <row r="1263" spans="30:41" x14ac:dyDescent="0.25">
      <c r="AD1263" s="1067" t="str">
        <f t="shared" si="95"/>
        <v/>
      </c>
      <c r="AE1263" s="1063" t="str">
        <f>IF(ISNA(VLOOKUP(TB_prev[[#This Row],[Synt]],GL[[#Headers],[#Data],[subtotal label]],1,FALSE)),0,(VLOOKUP(TB_prev[[#This Row],[Synt]],GL[[#Headers],[#Data],[subtotal label]],1,FALSE)))</f>
        <v/>
      </c>
      <c r="AF1263" s="1063" t="e">
        <f>IF((TB_prev[[#This Row],[Synt]]-TB_prev[[#This Row],[Subtotal Y/N]])=0,0,VLOOKUP(TB_prev[[#This Row],[Synt]],GL[[Account]:[Line]],3,FALSE))</f>
        <v>#VALUE!</v>
      </c>
      <c r="AG1263" s="1063" t="e">
        <f>VLOOKUP(TB_prev[[#This Row],[Synt]],GL[[Account]:[B/P]],4,FALSE)</f>
        <v>#N/A</v>
      </c>
      <c r="AH1263" s="1066" t="e">
        <v>#VALUE!</v>
      </c>
      <c r="AI1263" s="1065" t="e">
        <f>TB_prev[[#This Row],[Synt]]&amp;TB_prev[[#This Row],[Line No. manual corr.]]</f>
        <v>#VALUE!</v>
      </c>
      <c r="AJ1263" s="1064">
        <f t="shared" si="96"/>
        <v>0</v>
      </c>
      <c r="AK1263" s="1064">
        <f t="shared" si="97"/>
        <v>0</v>
      </c>
      <c r="AL1263" s="1064">
        <f t="shared" si="98"/>
        <v>0</v>
      </c>
      <c r="AM1263" s="1064">
        <f t="shared" si="99"/>
        <v>0</v>
      </c>
      <c r="AN1263" s="1064"/>
      <c r="AO1263" s="1064">
        <f>TB_prev[[#This Row],[Closing balance]]+TB_prev[[#This Row],[Rounding]]</f>
        <v>0</v>
      </c>
    </row>
    <row r="1264" spans="30:41" x14ac:dyDescent="0.25">
      <c r="AD1264" s="1067" t="str">
        <f t="shared" si="95"/>
        <v/>
      </c>
      <c r="AE1264" s="1063" t="str">
        <f>IF(ISNA(VLOOKUP(TB_prev[[#This Row],[Synt]],GL[[#Headers],[#Data],[subtotal label]],1,FALSE)),0,(VLOOKUP(TB_prev[[#This Row],[Synt]],GL[[#Headers],[#Data],[subtotal label]],1,FALSE)))</f>
        <v/>
      </c>
      <c r="AF1264" s="1063" t="e">
        <f>IF((TB_prev[[#This Row],[Synt]]-TB_prev[[#This Row],[Subtotal Y/N]])=0,0,VLOOKUP(TB_prev[[#This Row],[Synt]],GL[[Account]:[Line]],3,FALSE))</f>
        <v>#VALUE!</v>
      </c>
      <c r="AG1264" s="1063" t="e">
        <f>VLOOKUP(TB_prev[[#This Row],[Synt]],GL[[Account]:[B/P]],4,FALSE)</f>
        <v>#N/A</v>
      </c>
      <c r="AH1264" s="1066" t="e">
        <v>#VALUE!</v>
      </c>
      <c r="AI1264" s="1065" t="e">
        <f>TB_prev[[#This Row],[Synt]]&amp;TB_prev[[#This Row],[Line No. manual corr.]]</f>
        <v>#VALUE!</v>
      </c>
      <c r="AJ1264" s="1064">
        <f t="shared" si="96"/>
        <v>0</v>
      </c>
      <c r="AK1264" s="1064">
        <f t="shared" si="97"/>
        <v>0</v>
      </c>
      <c r="AL1264" s="1064">
        <f t="shared" si="98"/>
        <v>0</v>
      </c>
      <c r="AM1264" s="1064">
        <f t="shared" si="99"/>
        <v>0</v>
      </c>
      <c r="AN1264" s="1064"/>
      <c r="AO1264" s="1064">
        <f>TB_prev[[#This Row],[Closing balance]]+TB_prev[[#This Row],[Rounding]]</f>
        <v>0</v>
      </c>
    </row>
    <row r="1265" spans="30:41" x14ac:dyDescent="0.25">
      <c r="AD1265" s="1067" t="str">
        <f t="shared" si="95"/>
        <v/>
      </c>
      <c r="AE1265" s="1063" t="str">
        <f>IF(ISNA(VLOOKUP(TB_prev[[#This Row],[Synt]],GL[[#Headers],[#Data],[subtotal label]],1,FALSE)),0,(VLOOKUP(TB_prev[[#This Row],[Synt]],GL[[#Headers],[#Data],[subtotal label]],1,FALSE)))</f>
        <v/>
      </c>
      <c r="AF1265" s="1063" t="e">
        <f>IF((TB_prev[[#This Row],[Synt]]-TB_prev[[#This Row],[Subtotal Y/N]])=0,0,VLOOKUP(TB_prev[[#This Row],[Synt]],GL[[Account]:[Line]],3,FALSE))</f>
        <v>#VALUE!</v>
      </c>
      <c r="AG1265" s="1063" t="e">
        <f>VLOOKUP(TB_prev[[#This Row],[Synt]],GL[[Account]:[B/P]],4,FALSE)</f>
        <v>#N/A</v>
      </c>
      <c r="AH1265" s="1066" t="e">
        <v>#VALUE!</v>
      </c>
      <c r="AI1265" s="1065" t="e">
        <f>TB_prev[[#This Row],[Synt]]&amp;TB_prev[[#This Row],[Line No. manual corr.]]</f>
        <v>#VALUE!</v>
      </c>
      <c r="AJ1265" s="1064">
        <f t="shared" si="96"/>
        <v>0</v>
      </c>
      <c r="AK1265" s="1064">
        <f t="shared" si="97"/>
        <v>0</v>
      </c>
      <c r="AL1265" s="1064">
        <f t="shared" si="98"/>
        <v>0</v>
      </c>
      <c r="AM1265" s="1064">
        <f t="shared" si="99"/>
        <v>0</v>
      </c>
      <c r="AN1265" s="1064"/>
      <c r="AO1265" s="1064">
        <f>TB_prev[[#This Row],[Closing balance]]+TB_prev[[#This Row],[Rounding]]</f>
        <v>0</v>
      </c>
    </row>
    <row r="1266" spans="30:41" x14ac:dyDescent="0.25">
      <c r="AD1266" s="1067" t="str">
        <f t="shared" si="95"/>
        <v/>
      </c>
      <c r="AE1266" s="1063" t="str">
        <f>IF(ISNA(VLOOKUP(TB_prev[[#This Row],[Synt]],GL[[#Headers],[#Data],[subtotal label]],1,FALSE)),0,(VLOOKUP(TB_prev[[#This Row],[Synt]],GL[[#Headers],[#Data],[subtotal label]],1,FALSE)))</f>
        <v/>
      </c>
      <c r="AF1266" s="1063" t="e">
        <f>IF((TB_prev[[#This Row],[Synt]]-TB_prev[[#This Row],[Subtotal Y/N]])=0,0,VLOOKUP(TB_prev[[#This Row],[Synt]],GL[[Account]:[Line]],3,FALSE))</f>
        <v>#VALUE!</v>
      </c>
      <c r="AG1266" s="1063" t="e">
        <f>VLOOKUP(TB_prev[[#This Row],[Synt]],GL[[Account]:[B/P]],4,FALSE)</f>
        <v>#N/A</v>
      </c>
      <c r="AH1266" s="1066" t="e">
        <v>#VALUE!</v>
      </c>
      <c r="AI1266" s="1065" t="e">
        <f>TB_prev[[#This Row],[Synt]]&amp;TB_prev[[#This Row],[Line No. manual corr.]]</f>
        <v>#VALUE!</v>
      </c>
      <c r="AJ1266" s="1064">
        <f t="shared" si="96"/>
        <v>0</v>
      </c>
      <c r="AK1266" s="1064">
        <f t="shared" si="97"/>
        <v>0</v>
      </c>
      <c r="AL1266" s="1064">
        <f t="shared" si="98"/>
        <v>0</v>
      </c>
      <c r="AM1266" s="1064">
        <f t="shared" si="99"/>
        <v>0</v>
      </c>
      <c r="AN1266" s="1064"/>
      <c r="AO1266" s="1064">
        <f>TB_prev[[#This Row],[Closing balance]]+TB_prev[[#This Row],[Rounding]]</f>
        <v>0</v>
      </c>
    </row>
    <row r="1267" spans="30:41" x14ac:dyDescent="0.25">
      <c r="AD1267" s="1067" t="str">
        <f t="shared" si="95"/>
        <v/>
      </c>
      <c r="AE1267" s="1063" t="str">
        <f>IF(ISNA(VLOOKUP(TB_prev[[#This Row],[Synt]],GL[[#Headers],[#Data],[subtotal label]],1,FALSE)),0,(VLOOKUP(TB_prev[[#This Row],[Synt]],GL[[#Headers],[#Data],[subtotal label]],1,FALSE)))</f>
        <v/>
      </c>
      <c r="AF1267" s="1063" t="e">
        <f>IF((TB_prev[[#This Row],[Synt]]-TB_prev[[#This Row],[Subtotal Y/N]])=0,0,VLOOKUP(TB_prev[[#This Row],[Synt]],GL[[Account]:[Line]],3,FALSE))</f>
        <v>#VALUE!</v>
      </c>
      <c r="AG1267" s="1063" t="e">
        <f>VLOOKUP(TB_prev[[#This Row],[Synt]],GL[[Account]:[B/P]],4,FALSE)</f>
        <v>#N/A</v>
      </c>
      <c r="AH1267" s="1066" t="e">
        <v>#VALUE!</v>
      </c>
      <c r="AI1267" s="1065" t="e">
        <f>TB_prev[[#This Row],[Synt]]&amp;TB_prev[[#This Row],[Line No. manual corr.]]</f>
        <v>#VALUE!</v>
      </c>
      <c r="AJ1267" s="1064">
        <f t="shared" si="96"/>
        <v>0</v>
      </c>
      <c r="AK1267" s="1064">
        <f t="shared" si="97"/>
        <v>0</v>
      </c>
      <c r="AL1267" s="1064">
        <f t="shared" si="98"/>
        <v>0</v>
      </c>
      <c r="AM1267" s="1064">
        <f t="shared" si="99"/>
        <v>0</v>
      </c>
      <c r="AN1267" s="1064"/>
      <c r="AO1267" s="1064">
        <f>TB_prev[[#This Row],[Closing balance]]+TB_prev[[#This Row],[Rounding]]</f>
        <v>0</v>
      </c>
    </row>
    <row r="1268" spans="30:41" x14ac:dyDescent="0.25">
      <c r="AD1268" s="1067" t="str">
        <f t="shared" si="95"/>
        <v/>
      </c>
      <c r="AE1268" s="1063" t="str">
        <f>IF(ISNA(VLOOKUP(TB_prev[[#This Row],[Synt]],GL[[#Headers],[#Data],[subtotal label]],1,FALSE)),0,(VLOOKUP(TB_prev[[#This Row],[Synt]],GL[[#Headers],[#Data],[subtotal label]],1,FALSE)))</f>
        <v/>
      </c>
      <c r="AF1268" s="1063" t="e">
        <f>IF((TB_prev[[#This Row],[Synt]]-TB_prev[[#This Row],[Subtotal Y/N]])=0,0,VLOOKUP(TB_prev[[#This Row],[Synt]],GL[[Account]:[Line]],3,FALSE))</f>
        <v>#VALUE!</v>
      </c>
      <c r="AG1268" s="1063" t="e">
        <f>VLOOKUP(TB_prev[[#This Row],[Synt]],GL[[Account]:[B/P]],4,FALSE)</f>
        <v>#N/A</v>
      </c>
      <c r="AH1268" s="1066" t="e">
        <v>#VALUE!</v>
      </c>
      <c r="AI1268" s="1065" t="e">
        <f>TB_prev[[#This Row],[Synt]]&amp;TB_prev[[#This Row],[Line No. manual corr.]]</f>
        <v>#VALUE!</v>
      </c>
      <c r="AJ1268" s="1064">
        <f t="shared" si="96"/>
        <v>0</v>
      </c>
      <c r="AK1268" s="1064">
        <f t="shared" si="97"/>
        <v>0</v>
      </c>
      <c r="AL1268" s="1064">
        <f t="shared" si="98"/>
        <v>0</v>
      </c>
      <c r="AM1268" s="1064">
        <f t="shared" si="99"/>
        <v>0</v>
      </c>
      <c r="AN1268" s="1064"/>
      <c r="AO1268" s="1064">
        <f>TB_prev[[#This Row],[Closing balance]]+TB_prev[[#This Row],[Rounding]]</f>
        <v>0</v>
      </c>
    </row>
    <row r="1269" spans="30:41" x14ac:dyDescent="0.25">
      <c r="AD1269" s="1067" t="str">
        <f t="shared" si="95"/>
        <v/>
      </c>
      <c r="AE1269" s="1063" t="str">
        <f>IF(ISNA(VLOOKUP(TB_prev[[#This Row],[Synt]],GL[[#Headers],[#Data],[subtotal label]],1,FALSE)),0,(VLOOKUP(TB_prev[[#This Row],[Synt]],GL[[#Headers],[#Data],[subtotal label]],1,FALSE)))</f>
        <v/>
      </c>
      <c r="AF1269" s="1063" t="e">
        <f>IF((TB_prev[[#This Row],[Synt]]-TB_prev[[#This Row],[Subtotal Y/N]])=0,0,VLOOKUP(TB_prev[[#This Row],[Synt]],GL[[Account]:[Line]],3,FALSE))</f>
        <v>#VALUE!</v>
      </c>
      <c r="AG1269" s="1063" t="e">
        <f>VLOOKUP(TB_prev[[#This Row],[Synt]],GL[[Account]:[B/P]],4,FALSE)</f>
        <v>#N/A</v>
      </c>
      <c r="AH1269" s="1066" t="e">
        <v>#VALUE!</v>
      </c>
      <c r="AI1269" s="1065" t="e">
        <f>TB_prev[[#This Row],[Synt]]&amp;TB_prev[[#This Row],[Line No. manual corr.]]</f>
        <v>#VALUE!</v>
      </c>
      <c r="AJ1269" s="1064">
        <f t="shared" si="96"/>
        <v>0</v>
      </c>
      <c r="AK1269" s="1064">
        <f t="shared" si="97"/>
        <v>0</v>
      </c>
      <c r="AL1269" s="1064">
        <f t="shared" si="98"/>
        <v>0</v>
      </c>
      <c r="AM1269" s="1064">
        <f t="shared" si="99"/>
        <v>0</v>
      </c>
      <c r="AN1269" s="1064"/>
      <c r="AO1269" s="1064">
        <f>TB_prev[[#This Row],[Closing balance]]+TB_prev[[#This Row],[Rounding]]</f>
        <v>0</v>
      </c>
    </row>
    <row r="1270" spans="30:41" x14ac:dyDescent="0.25">
      <c r="AD1270" s="1067" t="str">
        <f t="shared" si="95"/>
        <v/>
      </c>
      <c r="AE1270" s="1063" t="str">
        <f>IF(ISNA(VLOOKUP(TB_prev[[#This Row],[Synt]],GL[[#Headers],[#Data],[subtotal label]],1,FALSE)),0,(VLOOKUP(TB_prev[[#This Row],[Synt]],GL[[#Headers],[#Data],[subtotal label]],1,FALSE)))</f>
        <v/>
      </c>
      <c r="AF1270" s="1063" t="e">
        <f>IF((TB_prev[[#This Row],[Synt]]-TB_prev[[#This Row],[Subtotal Y/N]])=0,0,VLOOKUP(TB_prev[[#This Row],[Synt]],GL[[Account]:[Line]],3,FALSE))</f>
        <v>#VALUE!</v>
      </c>
      <c r="AG1270" s="1063" t="e">
        <f>VLOOKUP(TB_prev[[#This Row],[Synt]],GL[[Account]:[B/P]],4,FALSE)</f>
        <v>#N/A</v>
      </c>
      <c r="AH1270" s="1066" t="e">
        <v>#VALUE!</v>
      </c>
      <c r="AI1270" s="1065" t="e">
        <f>TB_prev[[#This Row],[Synt]]&amp;TB_prev[[#This Row],[Line No. manual corr.]]</f>
        <v>#VALUE!</v>
      </c>
      <c r="AJ1270" s="1064">
        <f t="shared" si="96"/>
        <v>0</v>
      </c>
      <c r="AK1270" s="1064">
        <f t="shared" si="97"/>
        <v>0</v>
      </c>
      <c r="AL1270" s="1064">
        <f t="shared" si="98"/>
        <v>0</v>
      </c>
      <c r="AM1270" s="1064">
        <f t="shared" si="99"/>
        <v>0</v>
      </c>
      <c r="AN1270" s="1064"/>
      <c r="AO1270" s="1064">
        <f>TB_prev[[#This Row],[Closing balance]]+TB_prev[[#This Row],[Rounding]]</f>
        <v>0</v>
      </c>
    </row>
    <row r="1271" spans="30:41" x14ac:dyDescent="0.25">
      <c r="AD1271" s="1067" t="str">
        <f t="shared" si="95"/>
        <v/>
      </c>
      <c r="AE1271" s="1063" t="str">
        <f>IF(ISNA(VLOOKUP(TB_prev[[#This Row],[Synt]],GL[[#Headers],[#Data],[subtotal label]],1,FALSE)),0,(VLOOKUP(TB_prev[[#This Row],[Synt]],GL[[#Headers],[#Data],[subtotal label]],1,FALSE)))</f>
        <v/>
      </c>
      <c r="AF1271" s="1063" t="e">
        <f>IF((TB_prev[[#This Row],[Synt]]-TB_prev[[#This Row],[Subtotal Y/N]])=0,0,VLOOKUP(TB_prev[[#This Row],[Synt]],GL[[Account]:[Line]],3,FALSE))</f>
        <v>#VALUE!</v>
      </c>
      <c r="AG1271" s="1063" t="e">
        <f>VLOOKUP(TB_prev[[#This Row],[Synt]],GL[[Account]:[B/P]],4,FALSE)</f>
        <v>#N/A</v>
      </c>
      <c r="AH1271" s="1066" t="e">
        <v>#VALUE!</v>
      </c>
      <c r="AI1271" s="1065" t="e">
        <f>TB_prev[[#This Row],[Synt]]&amp;TB_prev[[#This Row],[Line No. manual corr.]]</f>
        <v>#VALUE!</v>
      </c>
      <c r="AJ1271" s="1064">
        <f t="shared" si="96"/>
        <v>0</v>
      </c>
      <c r="AK1271" s="1064">
        <f t="shared" si="97"/>
        <v>0</v>
      </c>
      <c r="AL1271" s="1064">
        <f t="shared" si="98"/>
        <v>0</v>
      </c>
      <c r="AM1271" s="1064">
        <f t="shared" si="99"/>
        <v>0</v>
      </c>
      <c r="AN1271" s="1064"/>
      <c r="AO1271" s="1064">
        <f>TB_prev[[#This Row],[Closing balance]]+TB_prev[[#This Row],[Rounding]]</f>
        <v>0</v>
      </c>
    </row>
    <row r="1272" spans="30:41" x14ac:dyDescent="0.25">
      <c r="AD1272" s="1067" t="str">
        <f t="shared" si="95"/>
        <v/>
      </c>
      <c r="AE1272" s="1063" t="str">
        <f>IF(ISNA(VLOOKUP(TB_prev[[#This Row],[Synt]],GL[[#Headers],[#Data],[subtotal label]],1,FALSE)),0,(VLOOKUP(TB_prev[[#This Row],[Synt]],GL[[#Headers],[#Data],[subtotal label]],1,FALSE)))</f>
        <v/>
      </c>
      <c r="AF1272" s="1063" t="e">
        <f>IF((TB_prev[[#This Row],[Synt]]-TB_prev[[#This Row],[Subtotal Y/N]])=0,0,VLOOKUP(TB_prev[[#This Row],[Synt]],GL[[Account]:[Line]],3,FALSE))</f>
        <v>#VALUE!</v>
      </c>
      <c r="AG1272" s="1063" t="e">
        <f>VLOOKUP(TB_prev[[#This Row],[Synt]],GL[[Account]:[B/P]],4,FALSE)</f>
        <v>#N/A</v>
      </c>
      <c r="AH1272" s="1066" t="e">
        <v>#VALUE!</v>
      </c>
      <c r="AI1272" s="1065" t="e">
        <f>TB_prev[[#This Row],[Synt]]&amp;TB_prev[[#This Row],[Line No. manual corr.]]</f>
        <v>#VALUE!</v>
      </c>
      <c r="AJ1272" s="1064">
        <f t="shared" si="96"/>
        <v>0</v>
      </c>
      <c r="AK1272" s="1064">
        <f t="shared" si="97"/>
        <v>0</v>
      </c>
      <c r="AL1272" s="1064">
        <f t="shared" si="98"/>
        <v>0</v>
      </c>
      <c r="AM1272" s="1064">
        <f t="shared" si="99"/>
        <v>0</v>
      </c>
      <c r="AN1272" s="1064"/>
      <c r="AO1272" s="1064">
        <f>TB_prev[[#This Row],[Closing balance]]+TB_prev[[#This Row],[Rounding]]</f>
        <v>0</v>
      </c>
    </row>
    <row r="1273" spans="30:41" x14ac:dyDescent="0.25">
      <c r="AD1273" s="1067" t="str">
        <f t="shared" si="95"/>
        <v/>
      </c>
      <c r="AE1273" s="1063" t="str">
        <f>IF(ISNA(VLOOKUP(TB_prev[[#This Row],[Synt]],GL[[#Headers],[#Data],[subtotal label]],1,FALSE)),0,(VLOOKUP(TB_prev[[#This Row],[Synt]],GL[[#Headers],[#Data],[subtotal label]],1,FALSE)))</f>
        <v/>
      </c>
      <c r="AF1273" s="1063" t="e">
        <f>IF((TB_prev[[#This Row],[Synt]]-TB_prev[[#This Row],[Subtotal Y/N]])=0,0,VLOOKUP(TB_prev[[#This Row],[Synt]],GL[[Account]:[Line]],3,FALSE))</f>
        <v>#VALUE!</v>
      </c>
      <c r="AG1273" s="1063" t="e">
        <f>VLOOKUP(TB_prev[[#This Row],[Synt]],GL[[Account]:[B/P]],4,FALSE)</f>
        <v>#N/A</v>
      </c>
      <c r="AH1273" s="1066" t="e">
        <v>#VALUE!</v>
      </c>
      <c r="AI1273" s="1065" t="e">
        <f>TB_prev[[#This Row],[Synt]]&amp;TB_prev[[#This Row],[Line No. manual corr.]]</f>
        <v>#VALUE!</v>
      </c>
      <c r="AJ1273" s="1064">
        <f t="shared" si="96"/>
        <v>0</v>
      </c>
      <c r="AK1273" s="1064">
        <f t="shared" si="97"/>
        <v>0</v>
      </c>
      <c r="AL1273" s="1064">
        <f t="shared" si="98"/>
        <v>0</v>
      </c>
      <c r="AM1273" s="1064">
        <f t="shared" si="99"/>
        <v>0</v>
      </c>
      <c r="AN1273" s="1064"/>
      <c r="AO1273" s="1064">
        <f>TB_prev[[#This Row],[Closing balance]]+TB_prev[[#This Row],[Rounding]]</f>
        <v>0</v>
      </c>
    </row>
    <row r="1274" spans="30:41" x14ac:dyDescent="0.25">
      <c r="AD1274" s="1067" t="str">
        <f t="shared" si="95"/>
        <v/>
      </c>
      <c r="AE1274" s="1063" t="str">
        <f>IF(ISNA(VLOOKUP(TB_prev[[#This Row],[Synt]],GL[[#Headers],[#Data],[subtotal label]],1,FALSE)),0,(VLOOKUP(TB_prev[[#This Row],[Synt]],GL[[#Headers],[#Data],[subtotal label]],1,FALSE)))</f>
        <v/>
      </c>
      <c r="AF1274" s="1063" t="e">
        <f>IF((TB_prev[[#This Row],[Synt]]-TB_prev[[#This Row],[Subtotal Y/N]])=0,0,VLOOKUP(TB_prev[[#This Row],[Synt]],GL[[Account]:[Line]],3,FALSE))</f>
        <v>#VALUE!</v>
      </c>
      <c r="AG1274" s="1063" t="e">
        <f>VLOOKUP(TB_prev[[#This Row],[Synt]],GL[[Account]:[B/P]],4,FALSE)</f>
        <v>#N/A</v>
      </c>
      <c r="AH1274" s="1066" t="e">
        <v>#VALUE!</v>
      </c>
      <c r="AI1274" s="1065" t="e">
        <f>TB_prev[[#This Row],[Synt]]&amp;TB_prev[[#This Row],[Line No. manual corr.]]</f>
        <v>#VALUE!</v>
      </c>
      <c r="AJ1274" s="1064">
        <f t="shared" si="96"/>
        <v>0</v>
      </c>
      <c r="AK1274" s="1064">
        <f t="shared" si="97"/>
        <v>0</v>
      </c>
      <c r="AL1274" s="1064">
        <f t="shared" si="98"/>
        <v>0</v>
      </c>
      <c r="AM1274" s="1064">
        <f t="shared" si="99"/>
        <v>0</v>
      </c>
      <c r="AN1274" s="1064"/>
      <c r="AO1274" s="1064">
        <f>TB_prev[[#This Row],[Closing balance]]+TB_prev[[#This Row],[Rounding]]</f>
        <v>0</v>
      </c>
    </row>
    <row r="1275" spans="30:41" x14ac:dyDescent="0.25">
      <c r="AD1275" s="1067" t="str">
        <f t="shared" si="95"/>
        <v/>
      </c>
      <c r="AE1275" s="1063" t="str">
        <f>IF(ISNA(VLOOKUP(TB_prev[[#This Row],[Synt]],GL[[#Headers],[#Data],[subtotal label]],1,FALSE)),0,(VLOOKUP(TB_prev[[#This Row],[Synt]],GL[[#Headers],[#Data],[subtotal label]],1,FALSE)))</f>
        <v/>
      </c>
      <c r="AF1275" s="1063" t="e">
        <f>IF((TB_prev[[#This Row],[Synt]]-TB_prev[[#This Row],[Subtotal Y/N]])=0,0,VLOOKUP(TB_prev[[#This Row],[Synt]],GL[[Account]:[Line]],3,FALSE))</f>
        <v>#VALUE!</v>
      </c>
      <c r="AG1275" s="1063" t="e">
        <f>VLOOKUP(TB_prev[[#This Row],[Synt]],GL[[Account]:[B/P]],4,FALSE)</f>
        <v>#N/A</v>
      </c>
      <c r="AH1275" s="1066" t="e">
        <v>#VALUE!</v>
      </c>
      <c r="AI1275" s="1065" t="e">
        <f>TB_prev[[#This Row],[Synt]]&amp;TB_prev[[#This Row],[Line No. manual corr.]]</f>
        <v>#VALUE!</v>
      </c>
      <c r="AJ1275" s="1064">
        <f t="shared" si="96"/>
        <v>0</v>
      </c>
      <c r="AK1275" s="1064">
        <f t="shared" si="97"/>
        <v>0</v>
      </c>
      <c r="AL1275" s="1064">
        <f t="shared" si="98"/>
        <v>0</v>
      </c>
      <c r="AM1275" s="1064">
        <f t="shared" si="99"/>
        <v>0</v>
      </c>
      <c r="AN1275" s="1064"/>
      <c r="AO1275" s="1064">
        <f>TB_prev[[#This Row],[Closing balance]]+TB_prev[[#This Row],[Rounding]]</f>
        <v>0</v>
      </c>
    </row>
    <row r="1276" spans="30:41" x14ac:dyDescent="0.25">
      <c r="AD1276" s="1067" t="str">
        <f t="shared" si="95"/>
        <v/>
      </c>
      <c r="AE1276" s="1063" t="str">
        <f>IF(ISNA(VLOOKUP(TB_prev[[#This Row],[Synt]],GL[[#Headers],[#Data],[subtotal label]],1,FALSE)),0,(VLOOKUP(TB_prev[[#This Row],[Synt]],GL[[#Headers],[#Data],[subtotal label]],1,FALSE)))</f>
        <v/>
      </c>
      <c r="AF1276" s="1063" t="e">
        <f>IF((TB_prev[[#This Row],[Synt]]-TB_prev[[#This Row],[Subtotal Y/N]])=0,0,VLOOKUP(TB_prev[[#This Row],[Synt]],GL[[Account]:[Line]],3,FALSE))</f>
        <v>#VALUE!</v>
      </c>
      <c r="AG1276" s="1063" t="e">
        <f>VLOOKUP(TB_prev[[#This Row],[Synt]],GL[[Account]:[B/P]],4,FALSE)</f>
        <v>#N/A</v>
      </c>
      <c r="AH1276" s="1066" t="e">
        <v>#VALUE!</v>
      </c>
      <c r="AI1276" s="1065" t="e">
        <f>TB_prev[[#This Row],[Synt]]&amp;TB_prev[[#This Row],[Line No. manual corr.]]</f>
        <v>#VALUE!</v>
      </c>
      <c r="AJ1276" s="1064">
        <f t="shared" si="96"/>
        <v>0</v>
      </c>
      <c r="AK1276" s="1064">
        <f t="shared" si="97"/>
        <v>0</v>
      </c>
      <c r="AL1276" s="1064">
        <f t="shared" si="98"/>
        <v>0</v>
      </c>
      <c r="AM1276" s="1064">
        <f t="shared" si="99"/>
        <v>0</v>
      </c>
      <c r="AN1276" s="1064"/>
      <c r="AO1276" s="1064">
        <f>TB_prev[[#This Row],[Closing balance]]+TB_prev[[#This Row],[Rounding]]</f>
        <v>0</v>
      </c>
    </row>
    <row r="1277" spans="30:41" x14ac:dyDescent="0.25">
      <c r="AD1277" s="1067" t="str">
        <f t="shared" si="95"/>
        <v/>
      </c>
      <c r="AE1277" s="1063" t="str">
        <f>IF(ISNA(VLOOKUP(TB_prev[[#This Row],[Synt]],GL[[#Headers],[#Data],[subtotal label]],1,FALSE)),0,(VLOOKUP(TB_prev[[#This Row],[Synt]],GL[[#Headers],[#Data],[subtotal label]],1,FALSE)))</f>
        <v/>
      </c>
      <c r="AF1277" s="1063" t="e">
        <f>IF((TB_prev[[#This Row],[Synt]]-TB_prev[[#This Row],[Subtotal Y/N]])=0,0,VLOOKUP(TB_prev[[#This Row],[Synt]],GL[[Account]:[Line]],3,FALSE))</f>
        <v>#VALUE!</v>
      </c>
      <c r="AG1277" s="1063" t="e">
        <f>VLOOKUP(TB_prev[[#This Row],[Synt]],GL[[Account]:[B/P]],4,FALSE)</f>
        <v>#N/A</v>
      </c>
      <c r="AH1277" s="1066" t="e">
        <v>#VALUE!</v>
      </c>
      <c r="AI1277" s="1065" t="e">
        <f>TB_prev[[#This Row],[Synt]]&amp;TB_prev[[#This Row],[Line No. manual corr.]]</f>
        <v>#VALUE!</v>
      </c>
      <c r="AJ1277" s="1064">
        <f t="shared" si="96"/>
        <v>0</v>
      </c>
      <c r="AK1277" s="1064">
        <f t="shared" si="97"/>
        <v>0</v>
      </c>
      <c r="AL1277" s="1064">
        <f t="shared" si="98"/>
        <v>0</v>
      </c>
      <c r="AM1277" s="1064">
        <f t="shared" si="99"/>
        <v>0</v>
      </c>
      <c r="AN1277" s="1064"/>
      <c r="AO1277" s="1064">
        <f>TB_prev[[#This Row],[Closing balance]]+TB_prev[[#This Row],[Rounding]]</f>
        <v>0</v>
      </c>
    </row>
    <row r="1278" spans="30:41" x14ac:dyDescent="0.25">
      <c r="AD1278" s="1067" t="str">
        <f t="shared" si="95"/>
        <v/>
      </c>
      <c r="AE1278" s="1063" t="str">
        <f>IF(ISNA(VLOOKUP(TB_prev[[#This Row],[Synt]],GL[[#Headers],[#Data],[subtotal label]],1,FALSE)),0,(VLOOKUP(TB_prev[[#This Row],[Synt]],GL[[#Headers],[#Data],[subtotal label]],1,FALSE)))</f>
        <v/>
      </c>
      <c r="AF1278" s="1063" t="e">
        <f>IF((TB_prev[[#This Row],[Synt]]-TB_prev[[#This Row],[Subtotal Y/N]])=0,0,VLOOKUP(TB_prev[[#This Row],[Synt]],GL[[Account]:[Line]],3,FALSE))</f>
        <v>#VALUE!</v>
      </c>
      <c r="AG1278" s="1063" t="e">
        <f>VLOOKUP(TB_prev[[#This Row],[Synt]],GL[[Account]:[B/P]],4,FALSE)</f>
        <v>#N/A</v>
      </c>
      <c r="AH1278" s="1066" t="e">
        <v>#VALUE!</v>
      </c>
      <c r="AI1278" s="1065" t="e">
        <f>TB_prev[[#This Row],[Synt]]&amp;TB_prev[[#This Row],[Line No. manual corr.]]</f>
        <v>#VALUE!</v>
      </c>
      <c r="AJ1278" s="1064">
        <f t="shared" si="96"/>
        <v>0</v>
      </c>
      <c r="AK1278" s="1064">
        <f t="shared" si="97"/>
        <v>0</v>
      </c>
      <c r="AL1278" s="1064">
        <f t="shared" si="98"/>
        <v>0</v>
      </c>
      <c r="AM1278" s="1064">
        <f t="shared" si="99"/>
        <v>0</v>
      </c>
      <c r="AN1278" s="1064"/>
      <c r="AO1278" s="1064">
        <f>TB_prev[[#This Row],[Closing balance]]+TB_prev[[#This Row],[Rounding]]</f>
        <v>0</v>
      </c>
    </row>
    <row r="1279" spans="30:41" x14ac:dyDescent="0.25">
      <c r="AD1279" s="1067" t="str">
        <f t="shared" si="95"/>
        <v/>
      </c>
      <c r="AE1279" s="1063" t="str">
        <f>IF(ISNA(VLOOKUP(TB_prev[[#This Row],[Synt]],GL[[#Headers],[#Data],[subtotal label]],1,FALSE)),0,(VLOOKUP(TB_prev[[#This Row],[Synt]],GL[[#Headers],[#Data],[subtotal label]],1,FALSE)))</f>
        <v/>
      </c>
      <c r="AF1279" s="1063" t="e">
        <f>IF((TB_prev[[#This Row],[Synt]]-TB_prev[[#This Row],[Subtotal Y/N]])=0,0,VLOOKUP(TB_prev[[#This Row],[Synt]],GL[[Account]:[Line]],3,FALSE))</f>
        <v>#VALUE!</v>
      </c>
      <c r="AG1279" s="1063" t="e">
        <f>VLOOKUP(TB_prev[[#This Row],[Synt]],GL[[Account]:[B/P]],4,FALSE)</f>
        <v>#N/A</v>
      </c>
      <c r="AH1279" s="1066" t="e">
        <v>#VALUE!</v>
      </c>
      <c r="AI1279" s="1065" t="e">
        <f>TB_prev[[#This Row],[Synt]]&amp;TB_prev[[#This Row],[Line No. manual corr.]]</f>
        <v>#VALUE!</v>
      </c>
      <c r="AJ1279" s="1064">
        <f t="shared" si="96"/>
        <v>0</v>
      </c>
      <c r="AK1279" s="1064">
        <f t="shared" si="97"/>
        <v>0</v>
      </c>
      <c r="AL1279" s="1064">
        <f t="shared" si="98"/>
        <v>0</v>
      </c>
      <c r="AM1279" s="1064">
        <f t="shared" si="99"/>
        <v>0</v>
      </c>
      <c r="AN1279" s="1064"/>
      <c r="AO1279" s="1064">
        <f>TB_prev[[#This Row],[Closing balance]]+TB_prev[[#This Row],[Rounding]]</f>
        <v>0</v>
      </c>
    </row>
    <row r="1280" spans="30:41" x14ac:dyDescent="0.25">
      <c r="AD1280" s="1067" t="str">
        <f t="shared" si="95"/>
        <v/>
      </c>
      <c r="AE1280" s="1063" t="str">
        <f>IF(ISNA(VLOOKUP(TB_prev[[#This Row],[Synt]],GL[[#Headers],[#Data],[subtotal label]],1,FALSE)),0,(VLOOKUP(TB_prev[[#This Row],[Synt]],GL[[#Headers],[#Data],[subtotal label]],1,FALSE)))</f>
        <v/>
      </c>
      <c r="AF1280" s="1063" t="e">
        <f>IF((TB_prev[[#This Row],[Synt]]-TB_prev[[#This Row],[Subtotal Y/N]])=0,0,VLOOKUP(TB_prev[[#This Row],[Synt]],GL[[Account]:[Line]],3,FALSE))</f>
        <v>#VALUE!</v>
      </c>
      <c r="AG1280" s="1063" t="e">
        <f>VLOOKUP(TB_prev[[#This Row],[Synt]],GL[[Account]:[B/P]],4,FALSE)</f>
        <v>#N/A</v>
      </c>
      <c r="AH1280" s="1066" t="e">
        <v>#VALUE!</v>
      </c>
      <c r="AI1280" s="1065" t="e">
        <f>TB_prev[[#This Row],[Synt]]&amp;TB_prev[[#This Row],[Line No. manual corr.]]</f>
        <v>#VALUE!</v>
      </c>
      <c r="AJ1280" s="1064">
        <f t="shared" si="96"/>
        <v>0</v>
      </c>
      <c r="AK1280" s="1064">
        <f t="shared" si="97"/>
        <v>0</v>
      </c>
      <c r="AL1280" s="1064">
        <f t="shared" si="98"/>
        <v>0</v>
      </c>
      <c r="AM1280" s="1064">
        <f t="shared" si="99"/>
        <v>0</v>
      </c>
      <c r="AN1280" s="1064"/>
      <c r="AO1280" s="1064">
        <f>TB_prev[[#This Row],[Closing balance]]+TB_prev[[#This Row],[Rounding]]</f>
        <v>0</v>
      </c>
    </row>
    <row r="1281" spans="30:41" x14ac:dyDescent="0.25">
      <c r="AD1281" s="1067" t="str">
        <f t="shared" si="95"/>
        <v/>
      </c>
      <c r="AE1281" s="1063" t="str">
        <f>IF(ISNA(VLOOKUP(TB_prev[[#This Row],[Synt]],GL[[#Headers],[#Data],[subtotal label]],1,FALSE)),0,(VLOOKUP(TB_prev[[#This Row],[Synt]],GL[[#Headers],[#Data],[subtotal label]],1,FALSE)))</f>
        <v/>
      </c>
      <c r="AF1281" s="1063" t="e">
        <f>IF((TB_prev[[#This Row],[Synt]]-TB_prev[[#This Row],[Subtotal Y/N]])=0,0,VLOOKUP(TB_prev[[#This Row],[Synt]],GL[[Account]:[Line]],3,FALSE))</f>
        <v>#VALUE!</v>
      </c>
      <c r="AG1281" s="1063" t="e">
        <f>VLOOKUP(TB_prev[[#This Row],[Synt]],GL[[Account]:[B/P]],4,FALSE)</f>
        <v>#N/A</v>
      </c>
      <c r="AH1281" s="1066" t="e">
        <v>#VALUE!</v>
      </c>
      <c r="AI1281" s="1065" t="e">
        <f>TB_prev[[#This Row],[Synt]]&amp;TB_prev[[#This Row],[Line No. manual corr.]]</f>
        <v>#VALUE!</v>
      </c>
      <c r="AJ1281" s="1064">
        <f t="shared" si="96"/>
        <v>0</v>
      </c>
      <c r="AK1281" s="1064">
        <f t="shared" si="97"/>
        <v>0</v>
      </c>
      <c r="AL1281" s="1064">
        <f t="shared" si="98"/>
        <v>0</v>
      </c>
      <c r="AM1281" s="1064">
        <f t="shared" si="99"/>
        <v>0</v>
      </c>
      <c r="AN1281" s="1064"/>
      <c r="AO1281" s="1064">
        <f>TB_prev[[#This Row],[Closing balance]]+TB_prev[[#This Row],[Rounding]]</f>
        <v>0</v>
      </c>
    </row>
    <row r="1282" spans="30:41" x14ac:dyDescent="0.25">
      <c r="AD1282" s="1067" t="str">
        <f t="shared" si="95"/>
        <v/>
      </c>
      <c r="AE1282" s="1063" t="str">
        <f>IF(ISNA(VLOOKUP(TB_prev[[#This Row],[Synt]],GL[[#Headers],[#Data],[subtotal label]],1,FALSE)),0,(VLOOKUP(TB_prev[[#This Row],[Synt]],GL[[#Headers],[#Data],[subtotal label]],1,FALSE)))</f>
        <v/>
      </c>
      <c r="AF1282" s="1063" t="e">
        <f>IF((TB_prev[[#This Row],[Synt]]-TB_prev[[#This Row],[Subtotal Y/N]])=0,0,VLOOKUP(TB_prev[[#This Row],[Synt]],GL[[Account]:[Line]],3,FALSE))</f>
        <v>#VALUE!</v>
      </c>
      <c r="AG1282" s="1063" t="e">
        <f>VLOOKUP(TB_prev[[#This Row],[Synt]],GL[[Account]:[B/P]],4,FALSE)</f>
        <v>#N/A</v>
      </c>
      <c r="AH1282" s="1066" t="e">
        <v>#VALUE!</v>
      </c>
      <c r="AI1282" s="1065" t="e">
        <f>TB_prev[[#This Row],[Synt]]&amp;TB_prev[[#This Row],[Line No. manual corr.]]</f>
        <v>#VALUE!</v>
      </c>
      <c r="AJ1282" s="1064">
        <f t="shared" si="96"/>
        <v>0</v>
      </c>
      <c r="AK1282" s="1064">
        <f t="shared" si="97"/>
        <v>0</v>
      </c>
      <c r="AL1282" s="1064">
        <f t="shared" si="98"/>
        <v>0</v>
      </c>
      <c r="AM1282" s="1064">
        <f t="shared" si="99"/>
        <v>0</v>
      </c>
      <c r="AN1282" s="1064"/>
      <c r="AO1282" s="1064">
        <f>TB_prev[[#This Row],[Closing balance]]+TB_prev[[#This Row],[Rounding]]</f>
        <v>0</v>
      </c>
    </row>
    <row r="1283" spans="30:41" x14ac:dyDescent="0.25">
      <c r="AD1283" s="1067" t="str">
        <f t="shared" si="95"/>
        <v/>
      </c>
      <c r="AE1283" s="1063" t="str">
        <f>IF(ISNA(VLOOKUP(TB_prev[[#This Row],[Synt]],GL[[#Headers],[#Data],[subtotal label]],1,FALSE)),0,(VLOOKUP(TB_prev[[#This Row],[Synt]],GL[[#Headers],[#Data],[subtotal label]],1,FALSE)))</f>
        <v/>
      </c>
      <c r="AF1283" s="1063" t="e">
        <f>IF((TB_prev[[#This Row],[Synt]]-TB_prev[[#This Row],[Subtotal Y/N]])=0,0,VLOOKUP(TB_prev[[#This Row],[Synt]],GL[[Account]:[Line]],3,FALSE))</f>
        <v>#VALUE!</v>
      </c>
      <c r="AG1283" s="1063" t="e">
        <f>VLOOKUP(TB_prev[[#This Row],[Synt]],GL[[Account]:[B/P]],4,FALSE)</f>
        <v>#N/A</v>
      </c>
      <c r="AH1283" s="1066" t="e">
        <v>#VALUE!</v>
      </c>
      <c r="AI1283" s="1065" t="e">
        <f>TB_prev[[#This Row],[Synt]]&amp;TB_prev[[#This Row],[Line No. manual corr.]]</f>
        <v>#VALUE!</v>
      </c>
      <c r="AJ1283" s="1064">
        <f t="shared" si="96"/>
        <v>0</v>
      </c>
      <c r="AK1283" s="1064">
        <f t="shared" si="97"/>
        <v>0</v>
      </c>
      <c r="AL1283" s="1064">
        <f t="shared" si="98"/>
        <v>0</v>
      </c>
      <c r="AM1283" s="1064">
        <f t="shared" si="99"/>
        <v>0</v>
      </c>
      <c r="AN1283" s="1064"/>
      <c r="AO1283" s="1064">
        <f>TB_prev[[#This Row],[Closing balance]]+TB_prev[[#This Row],[Rounding]]</f>
        <v>0</v>
      </c>
    </row>
    <row r="1284" spans="30:41" x14ac:dyDescent="0.25">
      <c r="AD1284" s="1067" t="str">
        <f t="shared" si="95"/>
        <v/>
      </c>
      <c r="AE1284" s="1063" t="str">
        <f>IF(ISNA(VLOOKUP(TB_prev[[#This Row],[Synt]],GL[[#Headers],[#Data],[subtotal label]],1,FALSE)),0,(VLOOKUP(TB_prev[[#This Row],[Synt]],GL[[#Headers],[#Data],[subtotal label]],1,FALSE)))</f>
        <v/>
      </c>
      <c r="AF1284" s="1063" t="e">
        <f>IF((TB_prev[[#This Row],[Synt]]-TB_prev[[#This Row],[Subtotal Y/N]])=0,0,VLOOKUP(TB_prev[[#This Row],[Synt]],GL[[Account]:[Line]],3,FALSE))</f>
        <v>#VALUE!</v>
      </c>
      <c r="AG1284" s="1063" t="e">
        <f>VLOOKUP(TB_prev[[#This Row],[Synt]],GL[[Account]:[B/P]],4,FALSE)</f>
        <v>#N/A</v>
      </c>
      <c r="AH1284" s="1066" t="e">
        <v>#VALUE!</v>
      </c>
      <c r="AI1284" s="1065" t="e">
        <f>TB_prev[[#This Row],[Synt]]&amp;TB_prev[[#This Row],[Line No. manual corr.]]</f>
        <v>#VALUE!</v>
      </c>
      <c r="AJ1284" s="1064">
        <f t="shared" si="96"/>
        <v>0</v>
      </c>
      <c r="AK1284" s="1064">
        <f t="shared" si="97"/>
        <v>0</v>
      </c>
      <c r="AL1284" s="1064">
        <f t="shared" si="98"/>
        <v>0</v>
      </c>
      <c r="AM1284" s="1064">
        <f t="shared" si="99"/>
        <v>0</v>
      </c>
      <c r="AN1284" s="1064"/>
      <c r="AO1284" s="1064">
        <f>TB_prev[[#This Row],[Closing balance]]+TB_prev[[#This Row],[Rounding]]</f>
        <v>0</v>
      </c>
    </row>
    <row r="1285" spans="30:41" x14ac:dyDescent="0.25">
      <c r="AD1285" s="1067" t="str">
        <f t="shared" si="95"/>
        <v/>
      </c>
      <c r="AE1285" s="1063" t="str">
        <f>IF(ISNA(VLOOKUP(TB_prev[[#This Row],[Synt]],GL[[#Headers],[#Data],[subtotal label]],1,FALSE)),0,(VLOOKUP(TB_prev[[#This Row],[Synt]],GL[[#Headers],[#Data],[subtotal label]],1,FALSE)))</f>
        <v/>
      </c>
      <c r="AF1285" s="1063" t="e">
        <f>IF((TB_prev[[#This Row],[Synt]]-TB_prev[[#This Row],[Subtotal Y/N]])=0,0,VLOOKUP(TB_prev[[#This Row],[Synt]],GL[[Account]:[Line]],3,FALSE))</f>
        <v>#VALUE!</v>
      </c>
      <c r="AG1285" s="1063" t="e">
        <f>VLOOKUP(TB_prev[[#This Row],[Synt]],GL[[Account]:[B/P]],4,FALSE)</f>
        <v>#N/A</v>
      </c>
      <c r="AH1285" s="1066" t="e">
        <v>#VALUE!</v>
      </c>
      <c r="AI1285" s="1065" t="e">
        <f>TB_prev[[#This Row],[Synt]]&amp;TB_prev[[#This Row],[Line No. manual corr.]]</f>
        <v>#VALUE!</v>
      </c>
      <c r="AJ1285" s="1064">
        <f t="shared" si="96"/>
        <v>0</v>
      </c>
      <c r="AK1285" s="1064">
        <f t="shared" si="97"/>
        <v>0</v>
      </c>
      <c r="AL1285" s="1064">
        <f t="shared" si="98"/>
        <v>0</v>
      </c>
      <c r="AM1285" s="1064">
        <f t="shared" si="99"/>
        <v>0</v>
      </c>
      <c r="AN1285" s="1064"/>
      <c r="AO1285" s="1064">
        <f>TB_prev[[#This Row],[Closing balance]]+TB_prev[[#This Row],[Rounding]]</f>
        <v>0</v>
      </c>
    </row>
    <row r="1286" spans="30:41" x14ac:dyDescent="0.25">
      <c r="AD1286" s="1067" t="str">
        <f t="shared" si="95"/>
        <v/>
      </c>
      <c r="AE1286" s="1063" t="str">
        <f>IF(ISNA(VLOOKUP(TB_prev[[#This Row],[Synt]],GL[[#Headers],[#Data],[subtotal label]],1,FALSE)),0,(VLOOKUP(TB_prev[[#This Row],[Synt]],GL[[#Headers],[#Data],[subtotal label]],1,FALSE)))</f>
        <v/>
      </c>
      <c r="AF1286" s="1063" t="e">
        <f>IF((TB_prev[[#This Row],[Synt]]-TB_prev[[#This Row],[Subtotal Y/N]])=0,0,VLOOKUP(TB_prev[[#This Row],[Synt]],GL[[Account]:[Line]],3,FALSE))</f>
        <v>#VALUE!</v>
      </c>
      <c r="AG1286" s="1063" t="e">
        <f>VLOOKUP(TB_prev[[#This Row],[Synt]],GL[[Account]:[B/P]],4,FALSE)</f>
        <v>#N/A</v>
      </c>
      <c r="AH1286" s="1066" t="e">
        <v>#VALUE!</v>
      </c>
      <c r="AI1286" s="1065" t="e">
        <f>TB_prev[[#This Row],[Synt]]&amp;TB_prev[[#This Row],[Line No. manual corr.]]</f>
        <v>#VALUE!</v>
      </c>
      <c r="AJ1286" s="1064">
        <f t="shared" si="96"/>
        <v>0</v>
      </c>
      <c r="AK1286" s="1064">
        <f t="shared" si="97"/>
        <v>0</v>
      </c>
      <c r="AL1286" s="1064">
        <f t="shared" si="98"/>
        <v>0</v>
      </c>
      <c r="AM1286" s="1064">
        <f t="shared" si="99"/>
        <v>0</v>
      </c>
      <c r="AN1286" s="1064"/>
      <c r="AO1286" s="1064">
        <f>TB_prev[[#This Row],[Closing balance]]+TB_prev[[#This Row],[Rounding]]</f>
        <v>0</v>
      </c>
    </row>
    <row r="1287" spans="30:41" x14ac:dyDescent="0.25">
      <c r="AD1287" s="1067" t="str">
        <f t="shared" si="95"/>
        <v/>
      </c>
      <c r="AE1287" s="1063" t="str">
        <f>IF(ISNA(VLOOKUP(TB_prev[[#This Row],[Synt]],GL[[#Headers],[#Data],[subtotal label]],1,FALSE)),0,(VLOOKUP(TB_prev[[#This Row],[Synt]],GL[[#Headers],[#Data],[subtotal label]],1,FALSE)))</f>
        <v/>
      </c>
      <c r="AF1287" s="1063" t="e">
        <f>IF((TB_prev[[#This Row],[Synt]]-TB_prev[[#This Row],[Subtotal Y/N]])=0,0,VLOOKUP(TB_prev[[#This Row],[Synt]],GL[[Account]:[Line]],3,FALSE))</f>
        <v>#VALUE!</v>
      </c>
      <c r="AG1287" s="1063" t="e">
        <f>VLOOKUP(TB_prev[[#This Row],[Synt]],GL[[Account]:[B/P]],4,FALSE)</f>
        <v>#N/A</v>
      </c>
      <c r="AH1287" s="1066" t="e">
        <v>#VALUE!</v>
      </c>
      <c r="AI1287" s="1065" t="e">
        <f>TB_prev[[#This Row],[Synt]]&amp;TB_prev[[#This Row],[Line No. manual corr.]]</f>
        <v>#VALUE!</v>
      </c>
      <c r="AJ1287" s="1064">
        <f t="shared" si="96"/>
        <v>0</v>
      </c>
      <c r="AK1287" s="1064">
        <f t="shared" si="97"/>
        <v>0</v>
      </c>
      <c r="AL1287" s="1064">
        <f t="shared" si="98"/>
        <v>0</v>
      </c>
      <c r="AM1287" s="1064">
        <f t="shared" si="99"/>
        <v>0</v>
      </c>
      <c r="AN1287" s="1064"/>
      <c r="AO1287" s="1064">
        <f>TB_prev[[#This Row],[Closing balance]]+TB_prev[[#This Row],[Rounding]]</f>
        <v>0</v>
      </c>
    </row>
    <row r="1288" spans="30:41" x14ac:dyDescent="0.25">
      <c r="AD1288" s="1067" t="str">
        <f t="shared" ref="AD1288:AD1351" si="100">LEFT(B1288,3)</f>
        <v/>
      </c>
      <c r="AE1288" s="1063" t="str">
        <f>IF(ISNA(VLOOKUP(TB_prev[[#This Row],[Synt]],GL[[#Headers],[#Data],[subtotal label]],1,FALSE)),0,(VLOOKUP(TB_prev[[#This Row],[Synt]],GL[[#Headers],[#Data],[subtotal label]],1,FALSE)))</f>
        <v/>
      </c>
      <c r="AF1288" s="1063" t="e">
        <f>IF((TB_prev[[#This Row],[Synt]]-TB_prev[[#This Row],[Subtotal Y/N]])=0,0,VLOOKUP(TB_prev[[#This Row],[Synt]],GL[[Account]:[Line]],3,FALSE))</f>
        <v>#VALUE!</v>
      </c>
      <c r="AG1288" s="1063" t="e">
        <f>VLOOKUP(TB_prev[[#This Row],[Synt]],GL[[Account]:[B/P]],4,FALSE)</f>
        <v>#N/A</v>
      </c>
      <c r="AH1288" s="1066" t="e">
        <v>#VALUE!</v>
      </c>
      <c r="AI1288" s="1065" t="e">
        <f>TB_prev[[#This Row],[Synt]]&amp;TB_prev[[#This Row],[Line No. manual corr.]]</f>
        <v>#VALUE!</v>
      </c>
      <c r="AJ1288" s="1064">
        <f t="shared" ref="AJ1288:AJ1351" si="101">K1288-N1288</f>
        <v>0</v>
      </c>
      <c r="AK1288" s="1064">
        <f t="shared" ref="AK1288:AK1351" si="102">Q1288</f>
        <v>0</v>
      </c>
      <c r="AL1288" s="1064">
        <f t="shared" ref="AL1288:AL1351" si="103">U1288</f>
        <v>0</v>
      </c>
      <c r="AM1288" s="1064">
        <f t="shared" ref="AM1288:AM1351" si="104">X1288-AB1288</f>
        <v>0</v>
      </c>
      <c r="AN1288" s="1064"/>
      <c r="AO1288" s="1064">
        <f>TB_prev[[#This Row],[Closing balance]]+TB_prev[[#This Row],[Rounding]]</f>
        <v>0</v>
      </c>
    </row>
    <row r="1289" spans="30:41" x14ac:dyDescent="0.25">
      <c r="AD1289" s="1067" t="str">
        <f t="shared" si="100"/>
        <v/>
      </c>
      <c r="AE1289" s="1063" t="str">
        <f>IF(ISNA(VLOOKUP(TB_prev[[#This Row],[Synt]],GL[[#Headers],[#Data],[subtotal label]],1,FALSE)),0,(VLOOKUP(TB_prev[[#This Row],[Synt]],GL[[#Headers],[#Data],[subtotal label]],1,FALSE)))</f>
        <v/>
      </c>
      <c r="AF1289" s="1063" t="e">
        <f>IF((TB_prev[[#This Row],[Synt]]-TB_prev[[#This Row],[Subtotal Y/N]])=0,0,VLOOKUP(TB_prev[[#This Row],[Synt]],GL[[Account]:[Line]],3,FALSE))</f>
        <v>#VALUE!</v>
      </c>
      <c r="AG1289" s="1063" t="e">
        <f>VLOOKUP(TB_prev[[#This Row],[Synt]],GL[[Account]:[B/P]],4,FALSE)</f>
        <v>#N/A</v>
      </c>
      <c r="AH1289" s="1066" t="e">
        <v>#VALUE!</v>
      </c>
      <c r="AI1289" s="1065" t="e">
        <f>TB_prev[[#This Row],[Synt]]&amp;TB_prev[[#This Row],[Line No. manual corr.]]</f>
        <v>#VALUE!</v>
      </c>
      <c r="AJ1289" s="1064">
        <f t="shared" si="101"/>
        <v>0</v>
      </c>
      <c r="AK1289" s="1064">
        <f t="shared" si="102"/>
        <v>0</v>
      </c>
      <c r="AL1289" s="1064">
        <f t="shared" si="103"/>
        <v>0</v>
      </c>
      <c r="AM1289" s="1064">
        <f t="shared" si="104"/>
        <v>0</v>
      </c>
      <c r="AN1289" s="1064"/>
      <c r="AO1289" s="1064">
        <f>TB_prev[[#This Row],[Closing balance]]+TB_prev[[#This Row],[Rounding]]</f>
        <v>0</v>
      </c>
    </row>
    <row r="1290" spans="30:41" x14ac:dyDescent="0.25">
      <c r="AD1290" s="1067" t="str">
        <f t="shared" si="100"/>
        <v/>
      </c>
      <c r="AE1290" s="1063" t="str">
        <f>IF(ISNA(VLOOKUP(TB_prev[[#This Row],[Synt]],GL[[#Headers],[#Data],[subtotal label]],1,FALSE)),0,(VLOOKUP(TB_prev[[#This Row],[Synt]],GL[[#Headers],[#Data],[subtotal label]],1,FALSE)))</f>
        <v/>
      </c>
      <c r="AF1290" s="1063" t="e">
        <f>IF((TB_prev[[#This Row],[Synt]]-TB_prev[[#This Row],[Subtotal Y/N]])=0,0,VLOOKUP(TB_prev[[#This Row],[Synt]],GL[[Account]:[Line]],3,FALSE))</f>
        <v>#VALUE!</v>
      </c>
      <c r="AG1290" s="1063" t="e">
        <f>VLOOKUP(TB_prev[[#This Row],[Synt]],GL[[Account]:[B/P]],4,FALSE)</f>
        <v>#N/A</v>
      </c>
      <c r="AH1290" s="1066" t="e">
        <v>#VALUE!</v>
      </c>
      <c r="AI1290" s="1065" t="e">
        <f>TB_prev[[#This Row],[Synt]]&amp;TB_prev[[#This Row],[Line No. manual corr.]]</f>
        <v>#VALUE!</v>
      </c>
      <c r="AJ1290" s="1064">
        <f t="shared" si="101"/>
        <v>0</v>
      </c>
      <c r="AK1290" s="1064">
        <f t="shared" si="102"/>
        <v>0</v>
      </c>
      <c r="AL1290" s="1064">
        <f t="shared" si="103"/>
        <v>0</v>
      </c>
      <c r="AM1290" s="1064">
        <f t="shared" si="104"/>
        <v>0</v>
      </c>
      <c r="AN1290" s="1064"/>
      <c r="AO1290" s="1064">
        <f>TB_prev[[#This Row],[Closing balance]]+TB_prev[[#This Row],[Rounding]]</f>
        <v>0</v>
      </c>
    </row>
    <row r="1291" spans="30:41" x14ac:dyDescent="0.25">
      <c r="AD1291" s="1067" t="str">
        <f t="shared" si="100"/>
        <v/>
      </c>
      <c r="AE1291" s="1063" t="str">
        <f>IF(ISNA(VLOOKUP(TB_prev[[#This Row],[Synt]],GL[[#Headers],[#Data],[subtotal label]],1,FALSE)),0,(VLOOKUP(TB_prev[[#This Row],[Synt]],GL[[#Headers],[#Data],[subtotal label]],1,FALSE)))</f>
        <v/>
      </c>
      <c r="AF1291" s="1063" t="e">
        <f>IF((TB_prev[[#This Row],[Synt]]-TB_prev[[#This Row],[Subtotal Y/N]])=0,0,VLOOKUP(TB_prev[[#This Row],[Synt]],GL[[Account]:[Line]],3,FALSE))</f>
        <v>#VALUE!</v>
      </c>
      <c r="AG1291" s="1063" t="e">
        <f>VLOOKUP(TB_prev[[#This Row],[Synt]],GL[[Account]:[B/P]],4,FALSE)</f>
        <v>#N/A</v>
      </c>
      <c r="AH1291" s="1066" t="e">
        <v>#VALUE!</v>
      </c>
      <c r="AI1291" s="1065" t="e">
        <f>TB_prev[[#This Row],[Synt]]&amp;TB_prev[[#This Row],[Line No. manual corr.]]</f>
        <v>#VALUE!</v>
      </c>
      <c r="AJ1291" s="1064">
        <f t="shared" si="101"/>
        <v>0</v>
      </c>
      <c r="AK1291" s="1064">
        <f t="shared" si="102"/>
        <v>0</v>
      </c>
      <c r="AL1291" s="1064">
        <f t="shared" si="103"/>
        <v>0</v>
      </c>
      <c r="AM1291" s="1064">
        <f t="shared" si="104"/>
        <v>0</v>
      </c>
      <c r="AN1291" s="1064"/>
      <c r="AO1291" s="1064">
        <f>TB_prev[[#This Row],[Closing balance]]+TB_prev[[#This Row],[Rounding]]</f>
        <v>0</v>
      </c>
    </row>
    <row r="1292" spans="30:41" x14ac:dyDescent="0.25">
      <c r="AD1292" s="1067" t="str">
        <f t="shared" si="100"/>
        <v/>
      </c>
      <c r="AE1292" s="1063" t="str">
        <f>IF(ISNA(VLOOKUP(TB_prev[[#This Row],[Synt]],GL[[#Headers],[#Data],[subtotal label]],1,FALSE)),0,(VLOOKUP(TB_prev[[#This Row],[Synt]],GL[[#Headers],[#Data],[subtotal label]],1,FALSE)))</f>
        <v/>
      </c>
      <c r="AF1292" s="1063" t="e">
        <f>IF((TB_prev[[#This Row],[Synt]]-TB_prev[[#This Row],[Subtotal Y/N]])=0,0,VLOOKUP(TB_prev[[#This Row],[Synt]],GL[[Account]:[Line]],3,FALSE))</f>
        <v>#VALUE!</v>
      </c>
      <c r="AG1292" s="1063" t="e">
        <f>VLOOKUP(TB_prev[[#This Row],[Synt]],GL[[Account]:[B/P]],4,FALSE)</f>
        <v>#N/A</v>
      </c>
      <c r="AH1292" s="1066" t="e">
        <v>#VALUE!</v>
      </c>
      <c r="AI1292" s="1065" t="e">
        <f>TB_prev[[#This Row],[Synt]]&amp;TB_prev[[#This Row],[Line No. manual corr.]]</f>
        <v>#VALUE!</v>
      </c>
      <c r="AJ1292" s="1064">
        <f t="shared" si="101"/>
        <v>0</v>
      </c>
      <c r="AK1292" s="1064">
        <f t="shared" si="102"/>
        <v>0</v>
      </c>
      <c r="AL1292" s="1064">
        <f t="shared" si="103"/>
        <v>0</v>
      </c>
      <c r="AM1292" s="1064">
        <f t="shared" si="104"/>
        <v>0</v>
      </c>
      <c r="AN1292" s="1064"/>
      <c r="AO1292" s="1064">
        <f>TB_prev[[#This Row],[Closing balance]]+TB_prev[[#This Row],[Rounding]]</f>
        <v>0</v>
      </c>
    </row>
    <row r="1293" spans="30:41" x14ac:dyDescent="0.25">
      <c r="AD1293" s="1067" t="str">
        <f t="shared" si="100"/>
        <v/>
      </c>
      <c r="AE1293" s="1063" t="str">
        <f>IF(ISNA(VLOOKUP(TB_prev[[#This Row],[Synt]],GL[[#Headers],[#Data],[subtotal label]],1,FALSE)),0,(VLOOKUP(TB_prev[[#This Row],[Synt]],GL[[#Headers],[#Data],[subtotal label]],1,FALSE)))</f>
        <v/>
      </c>
      <c r="AF1293" s="1063" t="e">
        <f>IF((TB_prev[[#This Row],[Synt]]-TB_prev[[#This Row],[Subtotal Y/N]])=0,0,VLOOKUP(TB_prev[[#This Row],[Synt]],GL[[Account]:[Line]],3,FALSE))</f>
        <v>#VALUE!</v>
      </c>
      <c r="AG1293" s="1063" t="e">
        <f>VLOOKUP(TB_prev[[#This Row],[Synt]],GL[[Account]:[B/P]],4,FALSE)</f>
        <v>#N/A</v>
      </c>
      <c r="AH1293" s="1066" t="e">
        <v>#VALUE!</v>
      </c>
      <c r="AI1293" s="1065" t="e">
        <f>TB_prev[[#This Row],[Synt]]&amp;TB_prev[[#This Row],[Line No. manual corr.]]</f>
        <v>#VALUE!</v>
      </c>
      <c r="AJ1293" s="1064">
        <f t="shared" si="101"/>
        <v>0</v>
      </c>
      <c r="AK1293" s="1064">
        <f t="shared" si="102"/>
        <v>0</v>
      </c>
      <c r="AL1293" s="1064">
        <f t="shared" si="103"/>
        <v>0</v>
      </c>
      <c r="AM1293" s="1064">
        <f t="shared" si="104"/>
        <v>0</v>
      </c>
      <c r="AN1293" s="1064"/>
      <c r="AO1293" s="1064">
        <f>TB_prev[[#This Row],[Closing balance]]+TB_prev[[#This Row],[Rounding]]</f>
        <v>0</v>
      </c>
    </row>
    <row r="1294" spans="30:41" x14ac:dyDescent="0.25">
      <c r="AD1294" s="1067" t="str">
        <f t="shared" si="100"/>
        <v/>
      </c>
      <c r="AE1294" s="1063" t="str">
        <f>IF(ISNA(VLOOKUP(TB_prev[[#This Row],[Synt]],GL[[#Headers],[#Data],[subtotal label]],1,FALSE)),0,(VLOOKUP(TB_prev[[#This Row],[Synt]],GL[[#Headers],[#Data],[subtotal label]],1,FALSE)))</f>
        <v/>
      </c>
      <c r="AF1294" s="1063" t="e">
        <f>IF((TB_prev[[#This Row],[Synt]]-TB_prev[[#This Row],[Subtotal Y/N]])=0,0,VLOOKUP(TB_prev[[#This Row],[Synt]],GL[[Account]:[Line]],3,FALSE))</f>
        <v>#VALUE!</v>
      </c>
      <c r="AG1294" s="1063" t="e">
        <f>VLOOKUP(TB_prev[[#This Row],[Synt]],GL[[Account]:[B/P]],4,FALSE)</f>
        <v>#N/A</v>
      </c>
      <c r="AH1294" s="1066" t="e">
        <v>#VALUE!</v>
      </c>
      <c r="AI1294" s="1065" t="e">
        <f>TB_prev[[#This Row],[Synt]]&amp;TB_prev[[#This Row],[Line No. manual corr.]]</f>
        <v>#VALUE!</v>
      </c>
      <c r="AJ1294" s="1064">
        <f t="shared" si="101"/>
        <v>0</v>
      </c>
      <c r="AK1294" s="1064">
        <f t="shared" si="102"/>
        <v>0</v>
      </c>
      <c r="AL1294" s="1064">
        <f t="shared" si="103"/>
        <v>0</v>
      </c>
      <c r="AM1294" s="1064">
        <f t="shared" si="104"/>
        <v>0</v>
      </c>
      <c r="AN1294" s="1064"/>
      <c r="AO1294" s="1064">
        <f>TB_prev[[#This Row],[Closing balance]]+TB_prev[[#This Row],[Rounding]]</f>
        <v>0</v>
      </c>
    </row>
    <row r="1295" spans="30:41" x14ac:dyDescent="0.25">
      <c r="AD1295" s="1067" t="str">
        <f t="shared" si="100"/>
        <v/>
      </c>
      <c r="AE1295" s="1063" t="str">
        <f>IF(ISNA(VLOOKUP(TB_prev[[#This Row],[Synt]],GL[[#Headers],[#Data],[subtotal label]],1,FALSE)),0,(VLOOKUP(TB_prev[[#This Row],[Synt]],GL[[#Headers],[#Data],[subtotal label]],1,FALSE)))</f>
        <v/>
      </c>
      <c r="AF1295" s="1063" t="e">
        <f>IF((TB_prev[[#This Row],[Synt]]-TB_prev[[#This Row],[Subtotal Y/N]])=0,0,VLOOKUP(TB_prev[[#This Row],[Synt]],GL[[Account]:[Line]],3,FALSE))</f>
        <v>#VALUE!</v>
      </c>
      <c r="AG1295" s="1063" t="e">
        <f>VLOOKUP(TB_prev[[#This Row],[Synt]],GL[[Account]:[B/P]],4,FALSE)</f>
        <v>#N/A</v>
      </c>
      <c r="AH1295" s="1066" t="e">
        <v>#VALUE!</v>
      </c>
      <c r="AI1295" s="1065" t="e">
        <f>TB_prev[[#This Row],[Synt]]&amp;TB_prev[[#This Row],[Line No. manual corr.]]</f>
        <v>#VALUE!</v>
      </c>
      <c r="AJ1295" s="1064">
        <f t="shared" si="101"/>
        <v>0</v>
      </c>
      <c r="AK1295" s="1064">
        <f t="shared" si="102"/>
        <v>0</v>
      </c>
      <c r="AL1295" s="1064">
        <f t="shared" si="103"/>
        <v>0</v>
      </c>
      <c r="AM1295" s="1064">
        <f t="shared" si="104"/>
        <v>0</v>
      </c>
      <c r="AN1295" s="1064"/>
      <c r="AO1295" s="1064">
        <f>TB_prev[[#This Row],[Closing balance]]+TB_prev[[#This Row],[Rounding]]</f>
        <v>0</v>
      </c>
    </row>
    <row r="1296" spans="30:41" x14ac:dyDescent="0.25">
      <c r="AD1296" s="1067" t="str">
        <f t="shared" si="100"/>
        <v/>
      </c>
      <c r="AE1296" s="1063" t="str">
        <f>IF(ISNA(VLOOKUP(TB_prev[[#This Row],[Synt]],GL[[#Headers],[#Data],[subtotal label]],1,FALSE)),0,(VLOOKUP(TB_prev[[#This Row],[Synt]],GL[[#Headers],[#Data],[subtotal label]],1,FALSE)))</f>
        <v/>
      </c>
      <c r="AF1296" s="1063" t="e">
        <f>IF((TB_prev[[#This Row],[Synt]]-TB_prev[[#This Row],[Subtotal Y/N]])=0,0,VLOOKUP(TB_prev[[#This Row],[Synt]],GL[[Account]:[Line]],3,FALSE))</f>
        <v>#VALUE!</v>
      </c>
      <c r="AG1296" s="1063" t="e">
        <f>VLOOKUP(TB_prev[[#This Row],[Synt]],GL[[Account]:[B/P]],4,FALSE)</f>
        <v>#N/A</v>
      </c>
      <c r="AH1296" s="1066" t="e">
        <v>#VALUE!</v>
      </c>
      <c r="AI1296" s="1065" t="e">
        <f>TB_prev[[#This Row],[Synt]]&amp;TB_prev[[#This Row],[Line No. manual corr.]]</f>
        <v>#VALUE!</v>
      </c>
      <c r="AJ1296" s="1064">
        <f t="shared" si="101"/>
        <v>0</v>
      </c>
      <c r="AK1296" s="1064">
        <f t="shared" si="102"/>
        <v>0</v>
      </c>
      <c r="AL1296" s="1064">
        <f t="shared" si="103"/>
        <v>0</v>
      </c>
      <c r="AM1296" s="1064">
        <f t="shared" si="104"/>
        <v>0</v>
      </c>
      <c r="AN1296" s="1064"/>
      <c r="AO1296" s="1064">
        <f>TB_prev[[#This Row],[Closing balance]]+TB_prev[[#This Row],[Rounding]]</f>
        <v>0</v>
      </c>
    </row>
    <row r="1297" spans="30:41" x14ac:dyDescent="0.25">
      <c r="AD1297" s="1067" t="str">
        <f t="shared" si="100"/>
        <v/>
      </c>
      <c r="AE1297" s="1063" t="str">
        <f>IF(ISNA(VLOOKUP(TB_prev[[#This Row],[Synt]],GL[[#Headers],[#Data],[subtotal label]],1,FALSE)),0,(VLOOKUP(TB_prev[[#This Row],[Synt]],GL[[#Headers],[#Data],[subtotal label]],1,FALSE)))</f>
        <v/>
      </c>
      <c r="AF1297" s="1063" t="e">
        <f>IF((TB_prev[[#This Row],[Synt]]-TB_prev[[#This Row],[Subtotal Y/N]])=0,0,VLOOKUP(TB_prev[[#This Row],[Synt]],GL[[Account]:[Line]],3,FALSE))</f>
        <v>#VALUE!</v>
      </c>
      <c r="AG1297" s="1063" t="e">
        <f>VLOOKUP(TB_prev[[#This Row],[Synt]],GL[[Account]:[B/P]],4,FALSE)</f>
        <v>#N/A</v>
      </c>
      <c r="AH1297" s="1066" t="e">
        <v>#VALUE!</v>
      </c>
      <c r="AI1297" s="1065" t="e">
        <f>TB_prev[[#This Row],[Synt]]&amp;TB_prev[[#This Row],[Line No. manual corr.]]</f>
        <v>#VALUE!</v>
      </c>
      <c r="AJ1297" s="1064">
        <f t="shared" si="101"/>
        <v>0</v>
      </c>
      <c r="AK1297" s="1064">
        <f t="shared" si="102"/>
        <v>0</v>
      </c>
      <c r="AL1297" s="1064">
        <f t="shared" si="103"/>
        <v>0</v>
      </c>
      <c r="AM1297" s="1064">
        <f t="shared" si="104"/>
        <v>0</v>
      </c>
      <c r="AN1297" s="1064"/>
      <c r="AO1297" s="1064">
        <f>TB_prev[[#This Row],[Closing balance]]+TB_prev[[#This Row],[Rounding]]</f>
        <v>0</v>
      </c>
    </row>
    <row r="1298" spans="30:41" x14ac:dyDescent="0.25">
      <c r="AD1298" s="1067" t="str">
        <f t="shared" si="100"/>
        <v/>
      </c>
      <c r="AE1298" s="1063" t="str">
        <f>IF(ISNA(VLOOKUP(TB_prev[[#This Row],[Synt]],GL[[#Headers],[#Data],[subtotal label]],1,FALSE)),0,(VLOOKUP(TB_prev[[#This Row],[Synt]],GL[[#Headers],[#Data],[subtotal label]],1,FALSE)))</f>
        <v/>
      </c>
      <c r="AF1298" s="1063" t="e">
        <f>IF((TB_prev[[#This Row],[Synt]]-TB_prev[[#This Row],[Subtotal Y/N]])=0,0,VLOOKUP(TB_prev[[#This Row],[Synt]],GL[[Account]:[Line]],3,FALSE))</f>
        <v>#VALUE!</v>
      </c>
      <c r="AG1298" s="1063" t="e">
        <f>VLOOKUP(TB_prev[[#This Row],[Synt]],GL[[Account]:[B/P]],4,FALSE)</f>
        <v>#N/A</v>
      </c>
      <c r="AH1298" s="1066" t="e">
        <v>#VALUE!</v>
      </c>
      <c r="AI1298" s="1065" t="e">
        <f>TB_prev[[#This Row],[Synt]]&amp;TB_prev[[#This Row],[Line No. manual corr.]]</f>
        <v>#VALUE!</v>
      </c>
      <c r="AJ1298" s="1064">
        <f t="shared" si="101"/>
        <v>0</v>
      </c>
      <c r="AK1298" s="1064">
        <f t="shared" si="102"/>
        <v>0</v>
      </c>
      <c r="AL1298" s="1064">
        <f t="shared" si="103"/>
        <v>0</v>
      </c>
      <c r="AM1298" s="1064">
        <f t="shared" si="104"/>
        <v>0</v>
      </c>
      <c r="AN1298" s="1064"/>
      <c r="AO1298" s="1064">
        <f>TB_prev[[#This Row],[Closing balance]]+TB_prev[[#This Row],[Rounding]]</f>
        <v>0</v>
      </c>
    </row>
    <row r="1299" spans="30:41" x14ac:dyDescent="0.25">
      <c r="AD1299" s="1067" t="str">
        <f t="shared" si="100"/>
        <v/>
      </c>
      <c r="AE1299" s="1063" t="str">
        <f>IF(ISNA(VLOOKUP(TB_prev[[#This Row],[Synt]],GL[[#Headers],[#Data],[subtotal label]],1,FALSE)),0,(VLOOKUP(TB_prev[[#This Row],[Synt]],GL[[#Headers],[#Data],[subtotal label]],1,FALSE)))</f>
        <v/>
      </c>
      <c r="AF1299" s="1063" t="e">
        <f>IF((TB_prev[[#This Row],[Synt]]-TB_prev[[#This Row],[Subtotal Y/N]])=0,0,VLOOKUP(TB_prev[[#This Row],[Synt]],GL[[Account]:[Line]],3,FALSE))</f>
        <v>#VALUE!</v>
      </c>
      <c r="AG1299" s="1063" t="e">
        <f>VLOOKUP(TB_prev[[#This Row],[Synt]],GL[[Account]:[B/P]],4,FALSE)</f>
        <v>#N/A</v>
      </c>
      <c r="AH1299" s="1066" t="e">
        <v>#VALUE!</v>
      </c>
      <c r="AI1299" s="1065" t="e">
        <f>TB_prev[[#This Row],[Synt]]&amp;TB_prev[[#This Row],[Line No. manual corr.]]</f>
        <v>#VALUE!</v>
      </c>
      <c r="AJ1299" s="1064">
        <f t="shared" si="101"/>
        <v>0</v>
      </c>
      <c r="AK1299" s="1064">
        <f t="shared" si="102"/>
        <v>0</v>
      </c>
      <c r="AL1299" s="1064">
        <f t="shared" si="103"/>
        <v>0</v>
      </c>
      <c r="AM1299" s="1064">
        <f t="shared" si="104"/>
        <v>0</v>
      </c>
      <c r="AN1299" s="1064"/>
      <c r="AO1299" s="1064">
        <f>TB_prev[[#This Row],[Closing balance]]+TB_prev[[#This Row],[Rounding]]</f>
        <v>0</v>
      </c>
    </row>
    <row r="1300" spans="30:41" x14ac:dyDescent="0.25">
      <c r="AD1300" s="1067" t="str">
        <f t="shared" si="100"/>
        <v/>
      </c>
      <c r="AE1300" s="1063" t="str">
        <f>IF(ISNA(VLOOKUP(TB_prev[[#This Row],[Synt]],GL[[#Headers],[#Data],[subtotal label]],1,FALSE)),0,(VLOOKUP(TB_prev[[#This Row],[Synt]],GL[[#Headers],[#Data],[subtotal label]],1,FALSE)))</f>
        <v/>
      </c>
      <c r="AF1300" s="1063" t="e">
        <f>IF((TB_prev[[#This Row],[Synt]]-TB_prev[[#This Row],[Subtotal Y/N]])=0,0,VLOOKUP(TB_prev[[#This Row],[Synt]],GL[[Account]:[Line]],3,FALSE))</f>
        <v>#VALUE!</v>
      </c>
      <c r="AG1300" s="1063" t="e">
        <f>VLOOKUP(TB_prev[[#This Row],[Synt]],GL[[Account]:[B/P]],4,FALSE)</f>
        <v>#N/A</v>
      </c>
      <c r="AH1300" s="1066" t="e">
        <v>#VALUE!</v>
      </c>
      <c r="AI1300" s="1065" t="e">
        <f>TB_prev[[#This Row],[Synt]]&amp;TB_prev[[#This Row],[Line No. manual corr.]]</f>
        <v>#VALUE!</v>
      </c>
      <c r="AJ1300" s="1064">
        <f t="shared" si="101"/>
        <v>0</v>
      </c>
      <c r="AK1300" s="1064">
        <f t="shared" si="102"/>
        <v>0</v>
      </c>
      <c r="AL1300" s="1064">
        <f t="shared" si="103"/>
        <v>0</v>
      </c>
      <c r="AM1300" s="1064">
        <f t="shared" si="104"/>
        <v>0</v>
      </c>
      <c r="AN1300" s="1064"/>
      <c r="AO1300" s="1064">
        <f>TB_prev[[#This Row],[Closing balance]]+TB_prev[[#This Row],[Rounding]]</f>
        <v>0</v>
      </c>
    </row>
    <row r="1301" spans="30:41" x14ac:dyDescent="0.25">
      <c r="AD1301" s="1067" t="str">
        <f t="shared" si="100"/>
        <v/>
      </c>
      <c r="AE1301" s="1063" t="str">
        <f>IF(ISNA(VLOOKUP(TB_prev[[#This Row],[Synt]],GL[[#Headers],[#Data],[subtotal label]],1,FALSE)),0,(VLOOKUP(TB_prev[[#This Row],[Synt]],GL[[#Headers],[#Data],[subtotal label]],1,FALSE)))</f>
        <v/>
      </c>
      <c r="AF1301" s="1063" t="e">
        <f>IF((TB_prev[[#This Row],[Synt]]-TB_prev[[#This Row],[Subtotal Y/N]])=0,0,VLOOKUP(TB_prev[[#This Row],[Synt]],GL[[Account]:[Line]],3,FALSE))</f>
        <v>#VALUE!</v>
      </c>
      <c r="AG1301" s="1063" t="e">
        <f>VLOOKUP(TB_prev[[#This Row],[Synt]],GL[[Account]:[B/P]],4,FALSE)</f>
        <v>#N/A</v>
      </c>
      <c r="AH1301" s="1066" t="e">
        <v>#VALUE!</v>
      </c>
      <c r="AI1301" s="1065" t="e">
        <f>TB_prev[[#This Row],[Synt]]&amp;TB_prev[[#This Row],[Line No. manual corr.]]</f>
        <v>#VALUE!</v>
      </c>
      <c r="AJ1301" s="1064">
        <f t="shared" si="101"/>
        <v>0</v>
      </c>
      <c r="AK1301" s="1064">
        <f t="shared" si="102"/>
        <v>0</v>
      </c>
      <c r="AL1301" s="1064">
        <f t="shared" si="103"/>
        <v>0</v>
      </c>
      <c r="AM1301" s="1064">
        <f t="shared" si="104"/>
        <v>0</v>
      </c>
      <c r="AN1301" s="1064"/>
      <c r="AO1301" s="1064">
        <f>TB_prev[[#This Row],[Closing balance]]+TB_prev[[#This Row],[Rounding]]</f>
        <v>0</v>
      </c>
    </row>
    <row r="1302" spans="30:41" x14ac:dyDescent="0.25">
      <c r="AD1302" s="1067" t="str">
        <f t="shared" si="100"/>
        <v/>
      </c>
      <c r="AE1302" s="1063" t="str">
        <f>IF(ISNA(VLOOKUP(TB_prev[[#This Row],[Synt]],GL[[#Headers],[#Data],[subtotal label]],1,FALSE)),0,(VLOOKUP(TB_prev[[#This Row],[Synt]],GL[[#Headers],[#Data],[subtotal label]],1,FALSE)))</f>
        <v/>
      </c>
      <c r="AF1302" s="1063" t="e">
        <f>IF((TB_prev[[#This Row],[Synt]]-TB_prev[[#This Row],[Subtotal Y/N]])=0,0,VLOOKUP(TB_prev[[#This Row],[Synt]],GL[[Account]:[Line]],3,FALSE))</f>
        <v>#VALUE!</v>
      </c>
      <c r="AG1302" s="1063" t="e">
        <f>VLOOKUP(TB_prev[[#This Row],[Synt]],GL[[Account]:[B/P]],4,FALSE)</f>
        <v>#N/A</v>
      </c>
      <c r="AH1302" s="1066" t="e">
        <v>#VALUE!</v>
      </c>
      <c r="AI1302" s="1065" t="e">
        <f>TB_prev[[#This Row],[Synt]]&amp;TB_prev[[#This Row],[Line No. manual corr.]]</f>
        <v>#VALUE!</v>
      </c>
      <c r="AJ1302" s="1064">
        <f t="shared" si="101"/>
        <v>0</v>
      </c>
      <c r="AK1302" s="1064">
        <f t="shared" si="102"/>
        <v>0</v>
      </c>
      <c r="AL1302" s="1064">
        <f t="shared" si="103"/>
        <v>0</v>
      </c>
      <c r="AM1302" s="1064">
        <f t="shared" si="104"/>
        <v>0</v>
      </c>
      <c r="AN1302" s="1064"/>
      <c r="AO1302" s="1064">
        <f>TB_prev[[#This Row],[Closing balance]]+TB_prev[[#This Row],[Rounding]]</f>
        <v>0</v>
      </c>
    </row>
    <row r="1303" spans="30:41" x14ac:dyDescent="0.25">
      <c r="AD1303" s="1067" t="str">
        <f t="shared" si="100"/>
        <v/>
      </c>
      <c r="AE1303" s="1063" t="str">
        <f>IF(ISNA(VLOOKUP(TB_prev[[#This Row],[Synt]],GL[[#Headers],[#Data],[subtotal label]],1,FALSE)),0,(VLOOKUP(TB_prev[[#This Row],[Synt]],GL[[#Headers],[#Data],[subtotal label]],1,FALSE)))</f>
        <v/>
      </c>
      <c r="AF1303" s="1063" t="e">
        <f>IF((TB_prev[[#This Row],[Synt]]-TB_prev[[#This Row],[Subtotal Y/N]])=0,0,VLOOKUP(TB_prev[[#This Row],[Synt]],GL[[Account]:[Line]],3,FALSE))</f>
        <v>#VALUE!</v>
      </c>
      <c r="AG1303" s="1063" t="e">
        <f>VLOOKUP(TB_prev[[#This Row],[Synt]],GL[[Account]:[B/P]],4,FALSE)</f>
        <v>#N/A</v>
      </c>
      <c r="AH1303" s="1066" t="e">
        <v>#VALUE!</v>
      </c>
      <c r="AI1303" s="1065" t="e">
        <f>TB_prev[[#This Row],[Synt]]&amp;TB_prev[[#This Row],[Line No. manual corr.]]</f>
        <v>#VALUE!</v>
      </c>
      <c r="AJ1303" s="1064">
        <f t="shared" si="101"/>
        <v>0</v>
      </c>
      <c r="AK1303" s="1064">
        <f t="shared" si="102"/>
        <v>0</v>
      </c>
      <c r="AL1303" s="1064">
        <f t="shared" si="103"/>
        <v>0</v>
      </c>
      <c r="AM1303" s="1064">
        <f t="shared" si="104"/>
        <v>0</v>
      </c>
      <c r="AN1303" s="1064"/>
      <c r="AO1303" s="1064">
        <f>TB_prev[[#This Row],[Closing balance]]+TB_prev[[#This Row],[Rounding]]</f>
        <v>0</v>
      </c>
    </row>
    <row r="1304" spans="30:41" x14ac:dyDescent="0.25">
      <c r="AD1304" s="1067" t="str">
        <f t="shared" si="100"/>
        <v/>
      </c>
      <c r="AE1304" s="1063" t="str">
        <f>IF(ISNA(VLOOKUP(TB_prev[[#This Row],[Synt]],GL[[#Headers],[#Data],[subtotal label]],1,FALSE)),0,(VLOOKUP(TB_prev[[#This Row],[Synt]],GL[[#Headers],[#Data],[subtotal label]],1,FALSE)))</f>
        <v/>
      </c>
      <c r="AF1304" s="1063" t="e">
        <f>IF((TB_prev[[#This Row],[Synt]]-TB_prev[[#This Row],[Subtotal Y/N]])=0,0,VLOOKUP(TB_prev[[#This Row],[Synt]],GL[[Account]:[Line]],3,FALSE))</f>
        <v>#VALUE!</v>
      </c>
      <c r="AG1304" s="1063" t="e">
        <f>VLOOKUP(TB_prev[[#This Row],[Synt]],GL[[Account]:[B/P]],4,FALSE)</f>
        <v>#N/A</v>
      </c>
      <c r="AH1304" s="1066" t="e">
        <v>#VALUE!</v>
      </c>
      <c r="AI1304" s="1065" t="e">
        <f>TB_prev[[#This Row],[Synt]]&amp;TB_prev[[#This Row],[Line No. manual corr.]]</f>
        <v>#VALUE!</v>
      </c>
      <c r="AJ1304" s="1064">
        <f t="shared" si="101"/>
        <v>0</v>
      </c>
      <c r="AK1304" s="1064">
        <f t="shared" si="102"/>
        <v>0</v>
      </c>
      <c r="AL1304" s="1064">
        <f t="shared" si="103"/>
        <v>0</v>
      </c>
      <c r="AM1304" s="1064">
        <f t="shared" si="104"/>
        <v>0</v>
      </c>
      <c r="AN1304" s="1064"/>
      <c r="AO1304" s="1064">
        <f>TB_prev[[#This Row],[Closing balance]]+TB_prev[[#This Row],[Rounding]]</f>
        <v>0</v>
      </c>
    </row>
    <row r="1305" spans="30:41" x14ac:dyDescent="0.25">
      <c r="AD1305" s="1067" t="str">
        <f t="shared" si="100"/>
        <v/>
      </c>
      <c r="AE1305" s="1063" t="str">
        <f>IF(ISNA(VLOOKUP(TB_prev[[#This Row],[Synt]],GL[[#Headers],[#Data],[subtotal label]],1,FALSE)),0,(VLOOKUP(TB_prev[[#This Row],[Synt]],GL[[#Headers],[#Data],[subtotal label]],1,FALSE)))</f>
        <v/>
      </c>
      <c r="AF1305" s="1063" t="e">
        <f>IF((TB_prev[[#This Row],[Synt]]-TB_prev[[#This Row],[Subtotal Y/N]])=0,0,VLOOKUP(TB_prev[[#This Row],[Synt]],GL[[Account]:[Line]],3,FALSE))</f>
        <v>#VALUE!</v>
      </c>
      <c r="AG1305" s="1063" t="e">
        <f>VLOOKUP(TB_prev[[#This Row],[Synt]],GL[[Account]:[B/P]],4,FALSE)</f>
        <v>#N/A</v>
      </c>
      <c r="AH1305" s="1066" t="e">
        <v>#VALUE!</v>
      </c>
      <c r="AI1305" s="1065" t="e">
        <f>TB_prev[[#This Row],[Synt]]&amp;TB_prev[[#This Row],[Line No. manual corr.]]</f>
        <v>#VALUE!</v>
      </c>
      <c r="AJ1305" s="1064">
        <f t="shared" si="101"/>
        <v>0</v>
      </c>
      <c r="AK1305" s="1064">
        <f t="shared" si="102"/>
        <v>0</v>
      </c>
      <c r="AL1305" s="1064">
        <f t="shared" si="103"/>
        <v>0</v>
      </c>
      <c r="AM1305" s="1064">
        <f t="shared" si="104"/>
        <v>0</v>
      </c>
      <c r="AN1305" s="1064"/>
      <c r="AO1305" s="1064">
        <f>TB_prev[[#This Row],[Closing balance]]+TB_prev[[#This Row],[Rounding]]</f>
        <v>0</v>
      </c>
    </row>
    <row r="1306" spans="30:41" x14ac:dyDescent="0.25">
      <c r="AD1306" s="1067" t="str">
        <f t="shared" si="100"/>
        <v/>
      </c>
      <c r="AE1306" s="1063" t="str">
        <f>IF(ISNA(VLOOKUP(TB_prev[[#This Row],[Synt]],GL[[#Headers],[#Data],[subtotal label]],1,FALSE)),0,(VLOOKUP(TB_prev[[#This Row],[Synt]],GL[[#Headers],[#Data],[subtotal label]],1,FALSE)))</f>
        <v/>
      </c>
      <c r="AF1306" s="1063" t="e">
        <f>IF((TB_prev[[#This Row],[Synt]]-TB_prev[[#This Row],[Subtotal Y/N]])=0,0,VLOOKUP(TB_prev[[#This Row],[Synt]],GL[[Account]:[Line]],3,FALSE))</f>
        <v>#VALUE!</v>
      </c>
      <c r="AG1306" s="1063" t="e">
        <f>VLOOKUP(TB_prev[[#This Row],[Synt]],GL[[Account]:[B/P]],4,FALSE)</f>
        <v>#N/A</v>
      </c>
      <c r="AH1306" s="1066" t="e">
        <v>#VALUE!</v>
      </c>
      <c r="AI1306" s="1065" t="e">
        <f>TB_prev[[#This Row],[Synt]]&amp;TB_prev[[#This Row],[Line No. manual corr.]]</f>
        <v>#VALUE!</v>
      </c>
      <c r="AJ1306" s="1064">
        <f t="shared" si="101"/>
        <v>0</v>
      </c>
      <c r="AK1306" s="1064">
        <f t="shared" si="102"/>
        <v>0</v>
      </c>
      <c r="AL1306" s="1064">
        <f t="shared" si="103"/>
        <v>0</v>
      </c>
      <c r="AM1306" s="1064">
        <f t="shared" si="104"/>
        <v>0</v>
      </c>
      <c r="AN1306" s="1064"/>
      <c r="AO1306" s="1064">
        <f>TB_prev[[#This Row],[Closing balance]]+TB_prev[[#This Row],[Rounding]]</f>
        <v>0</v>
      </c>
    </row>
    <row r="1307" spans="30:41" x14ac:dyDescent="0.25">
      <c r="AD1307" s="1067" t="str">
        <f t="shared" si="100"/>
        <v/>
      </c>
      <c r="AE1307" s="1063" t="str">
        <f>IF(ISNA(VLOOKUP(TB_prev[[#This Row],[Synt]],GL[[#Headers],[#Data],[subtotal label]],1,FALSE)),0,(VLOOKUP(TB_prev[[#This Row],[Synt]],GL[[#Headers],[#Data],[subtotal label]],1,FALSE)))</f>
        <v/>
      </c>
      <c r="AF1307" s="1063" t="e">
        <f>IF((TB_prev[[#This Row],[Synt]]-TB_prev[[#This Row],[Subtotal Y/N]])=0,0,VLOOKUP(TB_prev[[#This Row],[Synt]],GL[[Account]:[Line]],3,FALSE))</f>
        <v>#VALUE!</v>
      </c>
      <c r="AG1307" s="1063" t="e">
        <f>VLOOKUP(TB_prev[[#This Row],[Synt]],GL[[Account]:[B/P]],4,FALSE)</f>
        <v>#N/A</v>
      </c>
      <c r="AH1307" s="1066" t="e">
        <v>#VALUE!</v>
      </c>
      <c r="AI1307" s="1065" t="e">
        <f>TB_prev[[#This Row],[Synt]]&amp;TB_prev[[#This Row],[Line No. manual corr.]]</f>
        <v>#VALUE!</v>
      </c>
      <c r="AJ1307" s="1064">
        <f t="shared" si="101"/>
        <v>0</v>
      </c>
      <c r="AK1307" s="1064">
        <f t="shared" si="102"/>
        <v>0</v>
      </c>
      <c r="AL1307" s="1064">
        <f t="shared" si="103"/>
        <v>0</v>
      </c>
      <c r="AM1307" s="1064">
        <f t="shared" si="104"/>
        <v>0</v>
      </c>
      <c r="AN1307" s="1064"/>
      <c r="AO1307" s="1064">
        <f>TB_prev[[#This Row],[Closing balance]]+TB_prev[[#This Row],[Rounding]]</f>
        <v>0</v>
      </c>
    </row>
    <row r="1308" spans="30:41" x14ac:dyDescent="0.25">
      <c r="AD1308" s="1067" t="str">
        <f t="shared" si="100"/>
        <v/>
      </c>
      <c r="AE1308" s="1063" t="str">
        <f>IF(ISNA(VLOOKUP(TB_prev[[#This Row],[Synt]],GL[[#Headers],[#Data],[subtotal label]],1,FALSE)),0,(VLOOKUP(TB_prev[[#This Row],[Synt]],GL[[#Headers],[#Data],[subtotal label]],1,FALSE)))</f>
        <v/>
      </c>
      <c r="AF1308" s="1063" t="e">
        <f>IF((TB_prev[[#This Row],[Synt]]-TB_prev[[#This Row],[Subtotal Y/N]])=0,0,VLOOKUP(TB_prev[[#This Row],[Synt]],GL[[Account]:[Line]],3,FALSE))</f>
        <v>#VALUE!</v>
      </c>
      <c r="AG1308" s="1063" t="e">
        <f>VLOOKUP(TB_prev[[#This Row],[Synt]],GL[[Account]:[B/P]],4,FALSE)</f>
        <v>#N/A</v>
      </c>
      <c r="AH1308" s="1066" t="e">
        <v>#VALUE!</v>
      </c>
      <c r="AI1308" s="1065" t="e">
        <f>TB_prev[[#This Row],[Synt]]&amp;TB_prev[[#This Row],[Line No. manual corr.]]</f>
        <v>#VALUE!</v>
      </c>
      <c r="AJ1308" s="1064">
        <f t="shared" si="101"/>
        <v>0</v>
      </c>
      <c r="AK1308" s="1064">
        <f t="shared" si="102"/>
        <v>0</v>
      </c>
      <c r="AL1308" s="1064">
        <f t="shared" si="103"/>
        <v>0</v>
      </c>
      <c r="AM1308" s="1064">
        <f t="shared" si="104"/>
        <v>0</v>
      </c>
      <c r="AN1308" s="1064"/>
      <c r="AO1308" s="1064">
        <f>TB_prev[[#This Row],[Closing balance]]+TB_prev[[#This Row],[Rounding]]</f>
        <v>0</v>
      </c>
    </row>
    <row r="1309" spans="30:41" x14ac:dyDescent="0.25">
      <c r="AD1309" s="1067" t="str">
        <f t="shared" si="100"/>
        <v/>
      </c>
      <c r="AE1309" s="1063" t="str">
        <f>IF(ISNA(VLOOKUP(TB_prev[[#This Row],[Synt]],GL[[#Headers],[#Data],[subtotal label]],1,FALSE)),0,(VLOOKUP(TB_prev[[#This Row],[Synt]],GL[[#Headers],[#Data],[subtotal label]],1,FALSE)))</f>
        <v/>
      </c>
      <c r="AF1309" s="1063" t="e">
        <f>IF((TB_prev[[#This Row],[Synt]]-TB_prev[[#This Row],[Subtotal Y/N]])=0,0,VLOOKUP(TB_prev[[#This Row],[Synt]],GL[[Account]:[Line]],3,FALSE))</f>
        <v>#VALUE!</v>
      </c>
      <c r="AG1309" s="1063" t="e">
        <f>VLOOKUP(TB_prev[[#This Row],[Synt]],GL[[Account]:[B/P]],4,FALSE)</f>
        <v>#N/A</v>
      </c>
      <c r="AH1309" s="1066" t="e">
        <v>#VALUE!</v>
      </c>
      <c r="AI1309" s="1065" t="e">
        <f>TB_prev[[#This Row],[Synt]]&amp;TB_prev[[#This Row],[Line No. manual corr.]]</f>
        <v>#VALUE!</v>
      </c>
      <c r="AJ1309" s="1064">
        <f t="shared" si="101"/>
        <v>0</v>
      </c>
      <c r="AK1309" s="1064">
        <f t="shared" si="102"/>
        <v>0</v>
      </c>
      <c r="AL1309" s="1064">
        <f t="shared" si="103"/>
        <v>0</v>
      </c>
      <c r="AM1309" s="1064">
        <f t="shared" si="104"/>
        <v>0</v>
      </c>
      <c r="AN1309" s="1064"/>
      <c r="AO1309" s="1064">
        <f>TB_prev[[#This Row],[Closing balance]]+TB_prev[[#This Row],[Rounding]]</f>
        <v>0</v>
      </c>
    </row>
    <row r="1310" spans="30:41" x14ac:dyDescent="0.25">
      <c r="AD1310" s="1067" t="str">
        <f t="shared" si="100"/>
        <v/>
      </c>
      <c r="AE1310" s="1063" t="str">
        <f>IF(ISNA(VLOOKUP(TB_prev[[#This Row],[Synt]],GL[[#Headers],[#Data],[subtotal label]],1,FALSE)),0,(VLOOKUP(TB_prev[[#This Row],[Synt]],GL[[#Headers],[#Data],[subtotal label]],1,FALSE)))</f>
        <v/>
      </c>
      <c r="AF1310" s="1063" t="e">
        <f>IF((TB_prev[[#This Row],[Synt]]-TB_prev[[#This Row],[Subtotal Y/N]])=0,0,VLOOKUP(TB_prev[[#This Row],[Synt]],GL[[Account]:[Line]],3,FALSE))</f>
        <v>#VALUE!</v>
      </c>
      <c r="AG1310" s="1063" t="e">
        <f>VLOOKUP(TB_prev[[#This Row],[Synt]],GL[[Account]:[B/P]],4,FALSE)</f>
        <v>#N/A</v>
      </c>
      <c r="AH1310" s="1066" t="e">
        <v>#VALUE!</v>
      </c>
      <c r="AI1310" s="1065" t="e">
        <f>TB_prev[[#This Row],[Synt]]&amp;TB_prev[[#This Row],[Line No. manual corr.]]</f>
        <v>#VALUE!</v>
      </c>
      <c r="AJ1310" s="1064">
        <f t="shared" si="101"/>
        <v>0</v>
      </c>
      <c r="AK1310" s="1064">
        <f t="shared" si="102"/>
        <v>0</v>
      </c>
      <c r="AL1310" s="1064">
        <f t="shared" si="103"/>
        <v>0</v>
      </c>
      <c r="AM1310" s="1064">
        <f t="shared" si="104"/>
        <v>0</v>
      </c>
      <c r="AN1310" s="1064"/>
      <c r="AO1310" s="1064">
        <f>TB_prev[[#This Row],[Closing balance]]+TB_prev[[#This Row],[Rounding]]</f>
        <v>0</v>
      </c>
    </row>
    <row r="1311" spans="30:41" x14ac:dyDescent="0.25">
      <c r="AD1311" s="1067" t="str">
        <f t="shared" si="100"/>
        <v/>
      </c>
      <c r="AE1311" s="1063" t="str">
        <f>IF(ISNA(VLOOKUP(TB_prev[[#This Row],[Synt]],GL[[#Headers],[#Data],[subtotal label]],1,FALSE)),0,(VLOOKUP(TB_prev[[#This Row],[Synt]],GL[[#Headers],[#Data],[subtotal label]],1,FALSE)))</f>
        <v/>
      </c>
      <c r="AF1311" s="1063" t="e">
        <f>IF((TB_prev[[#This Row],[Synt]]-TB_prev[[#This Row],[Subtotal Y/N]])=0,0,VLOOKUP(TB_prev[[#This Row],[Synt]],GL[[Account]:[Line]],3,FALSE))</f>
        <v>#VALUE!</v>
      </c>
      <c r="AG1311" s="1063" t="e">
        <f>VLOOKUP(TB_prev[[#This Row],[Synt]],GL[[Account]:[B/P]],4,FALSE)</f>
        <v>#N/A</v>
      </c>
      <c r="AH1311" s="1066" t="e">
        <v>#VALUE!</v>
      </c>
      <c r="AI1311" s="1065" t="e">
        <f>TB_prev[[#This Row],[Synt]]&amp;TB_prev[[#This Row],[Line No. manual corr.]]</f>
        <v>#VALUE!</v>
      </c>
      <c r="AJ1311" s="1064">
        <f t="shared" si="101"/>
        <v>0</v>
      </c>
      <c r="AK1311" s="1064">
        <f t="shared" si="102"/>
        <v>0</v>
      </c>
      <c r="AL1311" s="1064">
        <f t="shared" si="103"/>
        <v>0</v>
      </c>
      <c r="AM1311" s="1064">
        <f t="shared" si="104"/>
        <v>0</v>
      </c>
      <c r="AN1311" s="1064"/>
      <c r="AO1311" s="1064">
        <f>TB_prev[[#This Row],[Closing balance]]+TB_prev[[#This Row],[Rounding]]</f>
        <v>0</v>
      </c>
    </row>
    <row r="1312" spans="30:41" x14ac:dyDescent="0.25">
      <c r="AD1312" s="1067" t="str">
        <f t="shared" si="100"/>
        <v/>
      </c>
      <c r="AE1312" s="1063" t="str">
        <f>IF(ISNA(VLOOKUP(TB_prev[[#This Row],[Synt]],GL[[#Headers],[#Data],[subtotal label]],1,FALSE)),0,(VLOOKUP(TB_prev[[#This Row],[Synt]],GL[[#Headers],[#Data],[subtotal label]],1,FALSE)))</f>
        <v/>
      </c>
      <c r="AF1312" s="1063" t="e">
        <f>IF((TB_prev[[#This Row],[Synt]]-TB_prev[[#This Row],[Subtotal Y/N]])=0,0,VLOOKUP(TB_prev[[#This Row],[Synt]],GL[[Account]:[Line]],3,FALSE))</f>
        <v>#VALUE!</v>
      </c>
      <c r="AG1312" s="1063" t="e">
        <f>VLOOKUP(TB_prev[[#This Row],[Synt]],GL[[Account]:[B/P]],4,FALSE)</f>
        <v>#N/A</v>
      </c>
      <c r="AH1312" s="1066" t="e">
        <v>#VALUE!</v>
      </c>
      <c r="AI1312" s="1065" t="e">
        <f>TB_prev[[#This Row],[Synt]]&amp;TB_prev[[#This Row],[Line No. manual corr.]]</f>
        <v>#VALUE!</v>
      </c>
      <c r="AJ1312" s="1064">
        <f t="shared" si="101"/>
        <v>0</v>
      </c>
      <c r="AK1312" s="1064">
        <f t="shared" si="102"/>
        <v>0</v>
      </c>
      <c r="AL1312" s="1064">
        <f t="shared" si="103"/>
        <v>0</v>
      </c>
      <c r="AM1312" s="1064">
        <f t="shared" si="104"/>
        <v>0</v>
      </c>
      <c r="AN1312" s="1064"/>
      <c r="AO1312" s="1064">
        <f>TB_prev[[#This Row],[Closing balance]]+TB_prev[[#This Row],[Rounding]]</f>
        <v>0</v>
      </c>
    </row>
    <row r="1313" spans="30:41" x14ac:dyDescent="0.25">
      <c r="AD1313" s="1067" t="str">
        <f t="shared" si="100"/>
        <v/>
      </c>
      <c r="AE1313" s="1063" t="str">
        <f>IF(ISNA(VLOOKUP(TB_prev[[#This Row],[Synt]],GL[[#Headers],[#Data],[subtotal label]],1,FALSE)),0,(VLOOKUP(TB_prev[[#This Row],[Synt]],GL[[#Headers],[#Data],[subtotal label]],1,FALSE)))</f>
        <v/>
      </c>
      <c r="AF1313" s="1063" t="e">
        <f>IF((TB_prev[[#This Row],[Synt]]-TB_prev[[#This Row],[Subtotal Y/N]])=0,0,VLOOKUP(TB_prev[[#This Row],[Synt]],GL[[Account]:[Line]],3,FALSE))</f>
        <v>#VALUE!</v>
      </c>
      <c r="AG1313" s="1063" t="e">
        <f>VLOOKUP(TB_prev[[#This Row],[Synt]],GL[[Account]:[B/P]],4,FALSE)</f>
        <v>#N/A</v>
      </c>
      <c r="AH1313" s="1066" t="e">
        <v>#VALUE!</v>
      </c>
      <c r="AI1313" s="1065" t="e">
        <f>TB_prev[[#This Row],[Synt]]&amp;TB_prev[[#This Row],[Line No. manual corr.]]</f>
        <v>#VALUE!</v>
      </c>
      <c r="AJ1313" s="1064">
        <f t="shared" si="101"/>
        <v>0</v>
      </c>
      <c r="AK1313" s="1064">
        <f t="shared" si="102"/>
        <v>0</v>
      </c>
      <c r="AL1313" s="1064">
        <f t="shared" si="103"/>
        <v>0</v>
      </c>
      <c r="AM1313" s="1064">
        <f t="shared" si="104"/>
        <v>0</v>
      </c>
      <c r="AN1313" s="1064"/>
      <c r="AO1313" s="1064">
        <f>TB_prev[[#This Row],[Closing balance]]+TB_prev[[#This Row],[Rounding]]</f>
        <v>0</v>
      </c>
    </row>
    <row r="1314" spans="30:41" x14ac:dyDescent="0.25">
      <c r="AD1314" s="1067" t="str">
        <f t="shared" si="100"/>
        <v/>
      </c>
      <c r="AE1314" s="1063" t="str">
        <f>IF(ISNA(VLOOKUP(TB_prev[[#This Row],[Synt]],GL[[#Headers],[#Data],[subtotal label]],1,FALSE)),0,(VLOOKUP(TB_prev[[#This Row],[Synt]],GL[[#Headers],[#Data],[subtotal label]],1,FALSE)))</f>
        <v/>
      </c>
      <c r="AF1314" s="1063" t="e">
        <f>IF((TB_prev[[#This Row],[Synt]]-TB_prev[[#This Row],[Subtotal Y/N]])=0,0,VLOOKUP(TB_prev[[#This Row],[Synt]],GL[[Account]:[Line]],3,FALSE))</f>
        <v>#VALUE!</v>
      </c>
      <c r="AG1314" s="1063" t="e">
        <f>VLOOKUP(TB_prev[[#This Row],[Synt]],GL[[Account]:[B/P]],4,FALSE)</f>
        <v>#N/A</v>
      </c>
      <c r="AH1314" s="1066" t="e">
        <v>#VALUE!</v>
      </c>
      <c r="AI1314" s="1065" t="e">
        <f>TB_prev[[#This Row],[Synt]]&amp;TB_prev[[#This Row],[Line No. manual corr.]]</f>
        <v>#VALUE!</v>
      </c>
      <c r="AJ1314" s="1064">
        <f t="shared" si="101"/>
        <v>0</v>
      </c>
      <c r="AK1314" s="1064">
        <f t="shared" si="102"/>
        <v>0</v>
      </c>
      <c r="AL1314" s="1064">
        <f t="shared" si="103"/>
        <v>0</v>
      </c>
      <c r="AM1314" s="1064">
        <f t="shared" si="104"/>
        <v>0</v>
      </c>
      <c r="AN1314" s="1064"/>
      <c r="AO1314" s="1064">
        <f>TB_prev[[#This Row],[Closing balance]]+TB_prev[[#This Row],[Rounding]]</f>
        <v>0</v>
      </c>
    </row>
    <row r="1315" spans="30:41" x14ac:dyDescent="0.25">
      <c r="AD1315" s="1067" t="str">
        <f t="shared" si="100"/>
        <v/>
      </c>
      <c r="AE1315" s="1063" t="str">
        <f>IF(ISNA(VLOOKUP(TB_prev[[#This Row],[Synt]],GL[[#Headers],[#Data],[subtotal label]],1,FALSE)),0,(VLOOKUP(TB_prev[[#This Row],[Synt]],GL[[#Headers],[#Data],[subtotal label]],1,FALSE)))</f>
        <v/>
      </c>
      <c r="AF1315" s="1063" t="e">
        <f>IF((TB_prev[[#This Row],[Synt]]-TB_prev[[#This Row],[Subtotal Y/N]])=0,0,VLOOKUP(TB_prev[[#This Row],[Synt]],GL[[Account]:[Line]],3,FALSE))</f>
        <v>#VALUE!</v>
      </c>
      <c r="AG1315" s="1063" t="e">
        <f>VLOOKUP(TB_prev[[#This Row],[Synt]],GL[[Account]:[B/P]],4,FALSE)</f>
        <v>#N/A</v>
      </c>
      <c r="AH1315" s="1066" t="e">
        <v>#VALUE!</v>
      </c>
      <c r="AI1315" s="1065" t="e">
        <f>TB_prev[[#This Row],[Synt]]&amp;TB_prev[[#This Row],[Line No. manual corr.]]</f>
        <v>#VALUE!</v>
      </c>
      <c r="AJ1315" s="1064">
        <f t="shared" si="101"/>
        <v>0</v>
      </c>
      <c r="AK1315" s="1064">
        <f t="shared" si="102"/>
        <v>0</v>
      </c>
      <c r="AL1315" s="1064">
        <f t="shared" si="103"/>
        <v>0</v>
      </c>
      <c r="AM1315" s="1064">
        <f t="shared" si="104"/>
        <v>0</v>
      </c>
      <c r="AN1315" s="1064"/>
      <c r="AO1315" s="1064">
        <f>TB_prev[[#This Row],[Closing balance]]+TB_prev[[#This Row],[Rounding]]</f>
        <v>0</v>
      </c>
    </row>
    <row r="1316" spans="30:41" x14ac:dyDescent="0.25">
      <c r="AD1316" s="1067" t="str">
        <f t="shared" si="100"/>
        <v/>
      </c>
      <c r="AE1316" s="1063" t="str">
        <f>IF(ISNA(VLOOKUP(TB_prev[[#This Row],[Synt]],GL[[#Headers],[#Data],[subtotal label]],1,FALSE)),0,(VLOOKUP(TB_prev[[#This Row],[Synt]],GL[[#Headers],[#Data],[subtotal label]],1,FALSE)))</f>
        <v/>
      </c>
      <c r="AF1316" s="1063" t="e">
        <f>IF((TB_prev[[#This Row],[Synt]]-TB_prev[[#This Row],[Subtotal Y/N]])=0,0,VLOOKUP(TB_prev[[#This Row],[Synt]],GL[[Account]:[Line]],3,FALSE))</f>
        <v>#VALUE!</v>
      </c>
      <c r="AG1316" s="1063" t="e">
        <f>VLOOKUP(TB_prev[[#This Row],[Synt]],GL[[Account]:[B/P]],4,FALSE)</f>
        <v>#N/A</v>
      </c>
      <c r="AH1316" s="1066" t="e">
        <v>#VALUE!</v>
      </c>
      <c r="AI1316" s="1065" t="e">
        <f>TB_prev[[#This Row],[Synt]]&amp;TB_prev[[#This Row],[Line No. manual corr.]]</f>
        <v>#VALUE!</v>
      </c>
      <c r="AJ1316" s="1064">
        <f t="shared" si="101"/>
        <v>0</v>
      </c>
      <c r="AK1316" s="1064">
        <f t="shared" si="102"/>
        <v>0</v>
      </c>
      <c r="AL1316" s="1064">
        <f t="shared" si="103"/>
        <v>0</v>
      </c>
      <c r="AM1316" s="1064">
        <f t="shared" si="104"/>
        <v>0</v>
      </c>
      <c r="AN1316" s="1064"/>
      <c r="AO1316" s="1064">
        <f>TB_prev[[#This Row],[Closing balance]]+TB_prev[[#This Row],[Rounding]]</f>
        <v>0</v>
      </c>
    </row>
    <row r="1317" spans="30:41" x14ac:dyDescent="0.25">
      <c r="AD1317" s="1067" t="str">
        <f t="shared" si="100"/>
        <v/>
      </c>
      <c r="AE1317" s="1063" t="str">
        <f>IF(ISNA(VLOOKUP(TB_prev[[#This Row],[Synt]],GL[[#Headers],[#Data],[subtotal label]],1,FALSE)),0,(VLOOKUP(TB_prev[[#This Row],[Synt]],GL[[#Headers],[#Data],[subtotal label]],1,FALSE)))</f>
        <v/>
      </c>
      <c r="AF1317" s="1063" t="e">
        <f>IF((TB_prev[[#This Row],[Synt]]-TB_prev[[#This Row],[Subtotal Y/N]])=0,0,VLOOKUP(TB_prev[[#This Row],[Synt]],GL[[Account]:[Line]],3,FALSE))</f>
        <v>#VALUE!</v>
      </c>
      <c r="AG1317" s="1063" t="e">
        <f>VLOOKUP(TB_prev[[#This Row],[Synt]],GL[[Account]:[B/P]],4,FALSE)</f>
        <v>#N/A</v>
      </c>
      <c r="AH1317" s="1066" t="e">
        <v>#VALUE!</v>
      </c>
      <c r="AI1317" s="1065" t="e">
        <f>TB_prev[[#This Row],[Synt]]&amp;TB_prev[[#This Row],[Line No. manual corr.]]</f>
        <v>#VALUE!</v>
      </c>
      <c r="AJ1317" s="1064">
        <f t="shared" si="101"/>
        <v>0</v>
      </c>
      <c r="AK1317" s="1064">
        <f t="shared" si="102"/>
        <v>0</v>
      </c>
      <c r="AL1317" s="1064">
        <f t="shared" si="103"/>
        <v>0</v>
      </c>
      <c r="AM1317" s="1064">
        <f t="shared" si="104"/>
        <v>0</v>
      </c>
      <c r="AN1317" s="1064"/>
      <c r="AO1317" s="1064">
        <f>TB_prev[[#This Row],[Closing balance]]+TB_prev[[#This Row],[Rounding]]</f>
        <v>0</v>
      </c>
    </row>
    <row r="1318" spans="30:41" x14ac:dyDescent="0.25">
      <c r="AD1318" s="1067" t="str">
        <f t="shared" si="100"/>
        <v/>
      </c>
      <c r="AE1318" s="1063" t="str">
        <f>IF(ISNA(VLOOKUP(TB_prev[[#This Row],[Synt]],GL[[#Headers],[#Data],[subtotal label]],1,FALSE)),0,(VLOOKUP(TB_prev[[#This Row],[Synt]],GL[[#Headers],[#Data],[subtotal label]],1,FALSE)))</f>
        <v/>
      </c>
      <c r="AF1318" s="1063" t="e">
        <f>IF((TB_prev[[#This Row],[Synt]]-TB_prev[[#This Row],[Subtotal Y/N]])=0,0,VLOOKUP(TB_prev[[#This Row],[Synt]],GL[[Account]:[Line]],3,FALSE))</f>
        <v>#VALUE!</v>
      </c>
      <c r="AG1318" s="1063" t="e">
        <f>VLOOKUP(TB_prev[[#This Row],[Synt]],GL[[Account]:[B/P]],4,FALSE)</f>
        <v>#N/A</v>
      </c>
      <c r="AH1318" s="1066" t="e">
        <v>#VALUE!</v>
      </c>
      <c r="AI1318" s="1065" t="e">
        <f>TB_prev[[#This Row],[Synt]]&amp;TB_prev[[#This Row],[Line No. manual corr.]]</f>
        <v>#VALUE!</v>
      </c>
      <c r="AJ1318" s="1064">
        <f t="shared" si="101"/>
        <v>0</v>
      </c>
      <c r="AK1318" s="1064">
        <f t="shared" si="102"/>
        <v>0</v>
      </c>
      <c r="AL1318" s="1064">
        <f t="shared" si="103"/>
        <v>0</v>
      </c>
      <c r="AM1318" s="1064">
        <f t="shared" si="104"/>
        <v>0</v>
      </c>
      <c r="AN1318" s="1064"/>
      <c r="AO1318" s="1064">
        <f>TB_prev[[#This Row],[Closing balance]]+TB_prev[[#This Row],[Rounding]]</f>
        <v>0</v>
      </c>
    </row>
    <row r="1319" spans="30:41" x14ac:dyDescent="0.25">
      <c r="AD1319" s="1067" t="str">
        <f t="shared" si="100"/>
        <v/>
      </c>
      <c r="AE1319" s="1063" t="str">
        <f>IF(ISNA(VLOOKUP(TB_prev[[#This Row],[Synt]],GL[[#Headers],[#Data],[subtotal label]],1,FALSE)),0,(VLOOKUP(TB_prev[[#This Row],[Synt]],GL[[#Headers],[#Data],[subtotal label]],1,FALSE)))</f>
        <v/>
      </c>
      <c r="AF1319" s="1063" t="e">
        <f>IF((TB_prev[[#This Row],[Synt]]-TB_prev[[#This Row],[Subtotal Y/N]])=0,0,VLOOKUP(TB_prev[[#This Row],[Synt]],GL[[Account]:[Line]],3,FALSE))</f>
        <v>#VALUE!</v>
      </c>
      <c r="AG1319" s="1063" t="e">
        <f>VLOOKUP(TB_prev[[#This Row],[Synt]],GL[[Account]:[B/P]],4,FALSE)</f>
        <v>#N/A</v>
      </c>
      <c r="AH1319" s="1066" t="e">
        <v>#VALUE!</v>
      </c>
      <c r="AI1319" s="1065" t="e">
        <f>TB_prev[[#This Row],[Synt]]&amp;TB_prev[[#This Row],[Line No. manual corr.]]</f>
        <v>#VALUE!</v>
      </c>
      <c r="AJ1319" s="1064">
        <f t="shared" si="101"/>
        <v>0</v>
      </c>
      <c r="AK1319" s="1064">
        <f t="shared" si="102"/>
        <v>0</v>
      </c>
      <c r="AL1319" s="1064">
        <f t="shared" si="103"/>
        <v>0</v>
      </c>
      <c r="AM1319" s="1064">
        <f t="shared" si="104"/>
        <v>0</v>
      </c>
      <c r="AN1319" s="1064"/>
      <c r="AO1319" s="1064">
        <f>TB_prev[[#This Row],[Closing balance]]+TB_prev[[#This Row],[Rounding]]</f>
        <v>0</v>
      </c>
    </row>
    <row r="1320" spans="30:41" x14ac:dyDescent="0.25">
      <c r="AD1320" s="1067" t="str">
        <f t="shared" si="100"/>
        <v/>
      </c>
      <c r="AE1320" s="1063" t="str">
        <f>IF(ISNA(VLOOKUP(TB_prev[[#This Row],[Synt]],GL[[#Headers],[#Data],[subtotal label]],1,FALSE)),0,(VLOOKUP(TB_prev[[#This Row],[Synt]],GL[[#Headers],[#Data],[subtotal label]],1,FALSE)))</f>
        <v/>
      </c>
      <c r="AF1320" s="1063" t="e">
        <f>IF((TB_prev[[#This Row],[Synt]]-TB_prev[[#This Row],[Subtotal Y/N]])=0,0,VLOOKUP(TB_prev[[#This Row],[Synt]],GL[[Account]:[Line]],3,FALSE))</f>
        <v>#VALUE!</v>
      </c>
      <c r="AG1320" s="1063" t="e">
        <f>VLOOKUP(TB_prev[[#This Row],[Synt]],GL[[Account]:[B/P]],4,FALSE)</f>
        <v>#N/A</v>
      </c>
      <c r="AH1320" s="1066" t="e">
        <v>#VALUE!</v>
      </c>
      <c r="AI1320" s="1065" t="e">
        <f>TB_prev[[#This Row],[Synt]]&amp;TB_prev[[#This Row],[Line No. manual corr.]]</f>
        <v>#VALUE!</v>
      </c>
      <c r="AJ1320" s="1064">
        <f t="shared" si="101"/>
        <v>0</v>
      </c>
      <c r="AK1320" s="1064">
        <f t="shared" si="102"/>
        <v>0</v>
      </c>
      <c r="AL1320" s="1064">
        <f t="shared" si="103"/>
        <v>0</v>
      </c>
      <c r="AM1320" s="1064">
        <f t="shared" si="104"/>
        <v>0</v>
      </c>
      <c r="AN1320" s="1064"/>
      <c r="AO1320" s="1064">
        <f>TB_prev[[#This Row],[Closing balance]]+TB_prev[[#This Row],[Rounding]]</f>
        <v>0</v>
      </c>
    </row>
    <row r="1321" spans="30:41" x14ac:dyDescent="0.25">
      <c r="AD1321" s="1067" t="str">
        <f t="shared" si="100"/>
        <v/>
      </c>
      <c r="AE1321" s="1063" t="str">
        <f>IF(ISNA(VLOOKUP(TB_prev[[#This Row],[Synt]],GL[[#Headers],[#Data],[subtotal label]],1,FALSE)),0,(VLOOKUP(TB_prev[[#This Row],[Synt]],GL[[#Headers],[#Data],[subtotal label]],1,FALSE)))</f>
        <v/>
      </c>
      <c r="AF1321" s="1063" t="e">
        <f>IF((TB_prev[[#This Row],[Synt]]-TB_prev[[#This Row],[Subtotal Y/N]])=0,0,VLOOKUP(TB_prev[[#This Row],[Synt]],GL[[Account]:[Line]],3,FALSE))</f>
        <v>#VALUE!</v>
      </c>
      <c r="AG1321" s="1063" t="e">
        <f>VLOOKUP(TB_prev[[#This Row],[Synt]],GL[[Account]:[B/P]],4,FALSE)</f>
        <v>#N/A</v>
      </c>
      <c r="AH1321" s="1066" t="e">
        <v>#VALUE!</v>
      </c>
      <c r="AI1321" s="1065" t="e">
        <f>TB_prev[[#This Row],[Synt]]&amp;TB_prev[[#This Row],[Line No. manual corr.]]</f>
        <v>#VALUE!</v>
      </c>
      <c r="AJ1321" s="1064">
        <f t="shared" si="101"/>
        <v>0</v>
      </c>
      <c r="AK1321" s="1064">
        <f t="shared" si="102"/>
        <v>0</v>
      </c>
      <c r="AL1321" s="1064">
        <f t="shared" si="103"/>
        <v>0</v>
      </c>
      <c r="AM1321" s="1064">
        <f t="shared" si="104"/>
        <v>0</v>
      </c>
      <c r="AN1321" s="1064"/>
      <c r="AO1321" s="1064">
        <f>TB_prev[[#This Row],[Closing balance]]+TB_prev[[#This Row],[Rounding]]</f>
        <v>0</v>
      </c>
    </row>
    <row r="1322" spans="30:41" x14ac:dyDescent="0.25">
      <c r="AD1322" s="1067" t="str">
        <f t="shared" si="100"/>
        <v/>
      </c>
      <c r="AE1322" s="1063" t="str">
        <f>IF(ISNA(VLOOKUP(TB_prev[[#This Row],[Synt]],GL[[#Headers],[#Data],[subtotal label]],1,FALSE)),0,(VLOOKUP(TB_prev[[#This Row],[Synt]],GL[[#Headers],[#Data],[subtotal label]],1,FALSE)))</f>
        <v/>
      </c>
      <c r="AF1322" s="1063" t="e">
        <f>IF((TB_prev[[#This Row],[Synt]]-TB_prev[[#This Row],[Subtotal Y/N]])=0,0,VLOOKUP(TB_prev[[#This Row],[Synt]],GL[[Account]:[Line]],3,FALSE))</f>
        <v>#VALUE!</v>
      </c>
      <c r="AG1322" s="1063" t="e">
        <f>VLOOKUP(TB_prev[[#This Row],[Synt]],GL[[Account]:[B/P]],4,FALSE)</f>
        <v>#N/A</v>
      </c>
      <c r="AH1322" s="1066" t="e">
        <v>#VALUE!</v>
      </c>
      <c r="AI1322" s="1065" t="e">
        <f>TB_prev[[#This Row],[Synt]]&amp;TB_prev[[#This Row],[Line No. manual corr.]]</f>
        <v>#VALUE!</v>
      </c>
      <c r="AJ1322" s="1064">
        <f t="shared" si="101"/>
        <v>0</v>
      </c>
      <c r="AK1322" s="1064">
        <f t="shared" si="102"/>
        <v>0</v>
      </c>
      <c r="AL1322" s="1064">
        <f t="shared" si="103"/>
        <v>0</v>
      </c>
      <c r="AM1322" s="1064">
        <f t="shared" si="104"/>
        <v>0</v>
      </c>
      <c r="AN1322" s="1064"/>
      <c r="AO1322" s="1064">
        <f>TB_prev[[#This Row],[Closing balance]]+TB_prev[[#This Row],[Rounding]]</f>
        <v>0</v>
      </c>
    </row>
    <row r="1323" spans="30:41" x14ac:dyDescent="0.25">
      <c r="AD1323" s="1067" t="str">
        <f t="shared" si="100"/>
        <v/>
      </c>
      <c r="AE1323" s="1063" t="str">
        <f>IF(ISNA(VLOOKUP(TB_prev[[#This Row],[Synt]],GL[[#Headers],[#Data],[subtotal label]],1,FALSE)),0,(VLOOKUP(TB_prev[[#This Row],[Synt]],GL[[#Headers],[#Data],[subtotal label]],1,FALSE)))</f>
        <v/>
      </c>
      <c r="AF1323" s="1063" t="e">
        <f>IF((TB_prev[[#This Row],[Synt]]-TB_prev[[#This Row],[Subtotal Y/N]])=0,0,VLOOKUP(TB_prev[[#This Row],[Synt]],GL[[Account]:[Line]],3,FALSE))</f>
        <v>#VALUE!</v>
      </c>
      <c r="AG1323" s="1063" t="e">
        <f>VLOOKUP(TB_prev[[#This Row],[Synt]],GL[[Account]:[B/P]],4,FALSE)</f>
        <v>#N/A</v>
      </c>
      <c r="AH1323" s="1066" t="e">
        <v>#VALUE!</v>
      </c>
      <c r="AI1323" s="1065" t="e">
        <f>TB_prev[[#This Row],[Synt]]&amp;TB_prev[[#This Row],[Line No. manual corr.]]</f>
        <v>#VALUE!</v>
      </c>
      <c r="AJ1323" s="1064">
        <f t="shared" si="101"/>
        <v>0</v>
      </c>
      <c r="AK1323" s="1064">
        <f t="shared" si="102"/>
        <v>0</v>
      </c>
      <c r="AL1323" s="1064">
        <f t="shared" si="103"/>
        <v>0</v>
      </c>
      <c r="AM1323" s="1064">
        <f t="shared" si="104"/>
        <v>0</v>
      </c>
      <c r="AN1323" s="1064"/>
      <c r="AO1323" s="1064">
        <f>TB_prev[[#This Row],[Closing balance]]+TB_prev[[#This Row],[Rounding]]</f>
        <v>0</v>
      </c>
    </row>
    <row r="1324" spans="30:41" x14ac:dyDescent="0.25">
      <c r="AD1324" s="1067" t="str">
        <f t="shared" si="100"/>
        <v/>
      </c>
      <c r="AE1324" s="1063" t="str">
        <f>IF(ISNA(VLOOKUP(TB_prev[[#This Row],[Synt]],GL[[#Headers],[#Data],[subtotal label]],1,FALSE)),0,(VLOOKUP(TB_prev[[#This Row],[Synt]],GL[[#Headers],[#Data],[subtotal label]],1,FALSE)))</f>
        <v/>
      </c>
      <c r="AF1324" s="1063" t="e">
        <f>IF((TB_prev[[#This Row],[Synt]]-TB_prev[[#This Row],[Subtotal Y/N]])=0,0,VLOOKUP(TB_prev[[#This Row],[Synt]],GL[[Account]:[Line]],3,FALSE))</f>
        <v>#VALUE!</v>
      </c>
      <c r="AG1324" s="1063" t="e">
        <f>VLOOKUP(TB_prev[[#This Row],[Synt]],GL[[Account]:[B/P]],4,FALSE)</f>
        <v>#N/A</v>
      </c>
      <c r="AH1324" s="1066" t="e">
        <v>#VALUE!</v>
      </c>
      <c r="AI1324" s="1065" t="e">
        <f>TB_prev[[#This Row],[Synt]]&amp;TB_prev[[#This Row],[Line No. manual corr.]]</f>
        <v>#VALUE!</v>
      </c>
      <c r="AJ1324" s="1064">
        <f t="shared" si="101"/>
        <v>0</v>
      </c>
      <c r="AK1324" s="1064">
        <f t="shared" si="102"/>
        <v>0</v>
      </c>
      <c r="AL1324" s="1064">
        <f t="shared" si="103"/>
        <v>0</v>
      </c>
      <c r="AM1324" s="1064">
        <f t="shared" si="104"/>
        <v>0</v>
      </c>
      <c r="AN1324" s="1064"/>
      <c r="AO1324" s="1064">
        <f>TB_prev[[#This Row],[Closing balance]]+TB_prev[[#This Row],[Rounding]]</f>
        <v>0</v>
      </c>
    </row>
    <row r="1325" spans="30:41" x14ac:dyDescent="0.25">
      <c r="AD1325" s="1067" t="str">
        <f t="shared" si="100"/>
        <v/>
      </c>
      <c r="AE1325" s="1063" t="str">
        <f>IF(ISNA(VLOOKUP(TB_prev[[#This Row],[Synt]],GL[[#Headers],[#Data],[subtotal label]],1,FALSE)),0,(VLOOKUP(TB_prev[[#This Row],[Synt]],GL[[#Headers],[#Data],[subtotal label]],1,FALSE)))</f>
        <v/>
      </c>
      <c r="AF1325" s="1063" t="e">
        <f>IF((TB_prev[[#This Row],[Synt]]-TB_prev[[#This Row],[Subtotal Y/N]])=0,0,VLOOKUP(TB_prev[[#This Row],[Synt]],GL[[Account]:[Line]],3,FALSE))</f>
        <v>#VALUE!</v>
      </c>
      <c r="AG1325" s="1063" t="e">
        <f>VLOOKUP(TB_prev[[#This Row],[Synt]],GL[[Account]:[B/P]],4,FALSE)</f>
        <v>#N/A</v>
      </c>
      <c r="AH1325" s="1066" t="e">
        <v>#VALUE!</v>
      </c>
      <c r="AI1325" s="1065" t="e">
        <f>TB_prev[[#This Row],[Synt]]&amp;TB_prev[[#This Row],[Line No. manual corr.]]</f>
        <v>#VALUE!</v>
      </c>
      <c r="AJ1325" s="1064">
        <f t="shared" si="101"/>
        <v>0</v>
      </c>
      <c r="AK1325" s="1064">
        <f t="shared" si="102"/>
        <v>0</v>
      </c>
      <c r="AL1325" s="1064">
        <f t="shared" si="103"/>
        <v>0</v>
      </c>
      <c r="AM1325" s="1064">
        <f t="shared" si="104"/>
        <v>0</v>
      </c>
      <c r="AN1325" s="1064"/>
      <c r="AO1325" s="1064">
        <f>TB_prev[[#This Row],[Closing balance]]+TB_prev[[#This Row],[Rounding]]</f>
        <v>0</v>
      </c>
    </row>
    <row r="1326" spans="30:41" x14ac:dyDescent="0.25">
      <c r="AD1326" s="1067" t="str">
        <f t="shared" si="100"/>
        <v/>
      </c>
      <c r="AE1326" s="1063" t="str">
        <f>IF(ISNA(VLOOKUP(TB_prev[[#This Row],[Synt]],GL[[#Headers],[#Data],[subtotal label]],1,FALSE)),0,(VLOOKUP(TB_prev[[#This Row],[Synt]],GL[[#Headers],[#Data],[subtotal label]],1,FALSE)))</f>
        <v/>
      </c>
      <c r="AF1326" s="1063" t="e">
        <f>IF((TB_prev[[#This Row],[Synt]]-TB_prev[[#This Row],[Subtotal Y/N]])=0,0,VLOOKUP(TB_prev[[#This Row],[Synt]],GL[[Account]:[Line]],3,FALSE))</f>
        <v>#VALUE!</v>
      </c>
      <c r="AG1326" s="1063" t="e">
        <f>VLOOKUP(TB_prev[[#This Row],[Synt]],GL[[Account]:[B/P]],4,FALSE)</f>
        <v>#N/A</v>
      </c>
      <c r="AH1326" s="1066" t="e">
        <v>#VALUE!</v>
      </c>
      <c r="AI1326" s="1065" t="e">
        <f>TB_prev[[#This Row],[Synt]]&amp;TB_prev[[#This Row],[Line No. manual corr.]]</f>
        <v>#VALUE!</v>
      </c>
      <c r="AJ1326" s="1064">
        <f t="shared" si="101"/>
        <v>0</v>
      </c>
      <c r="AK1326" s="1064">
        <f t="shared" si="102"/>
        <v>0</v>
      </c>
      <c r="AL1326" s="1064">
        <f t="shared" si="103"/>
        <v>0</v>
      </c>
      <c r="AM1326" s="1064">
        <f t="shared" si="104"/>
        <v>0</v>
      </c>
      <c r="AN1326" s="1064"/>
      <c r="AO1326" s="1064">
        <f>TB_prev[[#This Row],[Closing balance]]+TB_prev[[#This Row],[Rounding]]</f>
        <v>0</v>
      </c>
    </row>
    <row r="1327" spans="30:41" x14ac:dyDescent="0.25">
      <c r="AD1327" s="1067" t="str">
        <f t="shared" si="100"/>
        <v/>
      </c>
      <c r="AE1327" s="1063" t="str">
        <f>IF(ISNA(VLOOKUP(TB_prev[[#This Row],[Synt]],GL[[#Headers],[#Data],[subtotal label]],1,FALSE)),0,(VLOOKUP(TB_prev[[#This Row],[Synt]],GL[[#Headers],[#Data],[subtotal label]],1,FALSE)))</f>
        <v/>
      </c>
      <c r="AF1327" s="1063" t="e">
        <f>IF((TB_prev[[#This Row],[Synt]]-TB_prev[[#This Row],[Subtotal Y/N]])=0,0,VLOOKUP(TB_prev[[#This Row],[Synt]],GL[[Account]:[Line]],3,FALSE))</f>
        <v>#VALUE!</v>
      </c>
      <c r="AG1327" s="1063" t="e">
        <f>VLOOKUP(TB_prev[[#This Row],[Synt]],GL[[Account]:[B/P]],4,FALSE)</f>
        <v>#N/A</v>
      </c>
      <c r="AH1327" s="1066" t="e">
        <v>#VALUE!</v>
      </c>
      <c r="AI1327" s="1065" t="e">
        <f>TB_prev[[#This Row],[Synt]]&amp;TB_prev[[#This Row],[Line No. manual corr.]]</f>
        <v>#VALUE!</v>
      </c>
      <c r="AJ1327" s="1064">
        <f t="shared" si="101"/>
        <v>0</v>
      </c>
      <c r="AK1327" s="1064">
        <f t="shared" si="102"/>
        <v>0</v>
      </c>
      <c r="AL1327" s="1064">
        <f t="shared" si="103"/>
        <v>0</v>
      </c>
      <c r="AM1327" s="1064">
        <f t="shared" si="104"/>
        <v>0</v>
      </c>
      <c r="AN1327" s="1064"/>
      <c r="AO1327" s="1064">
        <f>TB_prev[[#This Row],[Closing balance]]+TB_prev[[#This Row],[Rounding]]</f>
        <v>0</v>
      </c>
    </row>
    <row r="1328" spans="30:41" x14ac:dyDescent="0.25">
      <c r="AD1328" s="1067" t="str">
        <f t="shared" si="100"/>
        <v/>
      </c>
      <c r="AE1328" s="1063" t="str">
        <f>IF(ISNA(VLOOKUP(TB_prev[[#This Row],[Synt]],GL[[#Headers],[#Data],[subtotal label]],1,FALSE)),0,(VLOOKUP(TB_prev[[#This Row],[Synt]],GL[[#Headers],[#Data],[subtotal label]],1,FALSE)))</f>
        <v/>
      </c>
      <c r="AF1328" s="1063" t="e">
        <f>IF((TB_prev[[#This Row],[Synt]]-TB_prev[[#This Row],[Subtotal Y/N]])=0,0,VLOOKUP(TB_prev[[#This Row],[Synt]],GL[[Account]:[Line]],3,FALSE))</f>
        <v>#VALUE!</v>
      </c>
      <c r="AG1328" s="1063" t="e">
        <f>VLOOKUP(TB_prev[[#This Row],[Synt]],GL[[Account]:[B/P]],4,FALSE)</f>
        <v>#N/A</v>
      </c>
      <c r="AH1328" s="1066" t="e">
        <v>#VALUE!</v>
      </c>
      <c r="AI1328" s="1065" t="e">
        <f>TB_prev[[#This Row],[Synt]]&amp;TB_prev[[#This Row],[Line No. manual corr.]]</f>
        <v>#VALUE!</v>
      </c>
      <c r="AJ1328" s="1064">
        <f t="shared" si="101"/>
        <v>0</v>
      </c>
      <c r="AK1328" s="1064">
        <f t="shared" si="102"/>
        <v>0</v>
      </c>
      <c r="AL1328" s="1064">
        <f t="shared" si="103"/>
        <v>0</v>
      </c>
      <c r="AM1328" s="1064">
        <f t="shared" si="104"/>
        <v>0</v>
      </c>
      <c r="AN1328" s="1064"/>
      <c r="AO1328" s="1064">
        <f>TB_prev[[#This Row],[Closing balance]]+TB_prev[[#This Row],[Rounding]]</f>
        <v>0</v>
      </c>
    </row>
    <row r="1329" spans="30:41" x14ac:dyDescent="0.25">
      <c r="AD1329" s="1067" t="str">
        <f t="shared" si="100"/>
        <v/>
      </c>
      <c r="AE1329" s="1063" t="str">
        <f>IF(ISNA(VLOOKUP(TB_prev[[#This Row],[Synt]],GL[[#Headers],[#Data],[subtotal label]],1,FALSE)),0,(VLOOKUP(TB_prev[[#This Row],[Synt]],GL[[#Headers],[#Data],[subtotal label]],1,FALSE)))</f>
        <v/>
      </c>
      <c r="AF1329" s="1063" t="e">
        <f>IF((TB_prev[[#This Row],[Synt]]-TB_prev[[#This Row],[Subtotal Y/N]])=0,0,VLOOKUP(TB_prev[[#This Row],[Synt]],GL[[Account]:[Line]],3,FALSE))</f>
        <v>#VALUE!</v>
      </c>
      <c r="AG1329" s="1063" t="e">
        <f>VLOOKUP(TB_prev[[#This Row],[Synt]],GL[[Account]:[B/P]],4,FALSE)</f>
        <v>#N/A</v>
      </c>
      <c r="AH1329" s="1066" t="e">
        <v>#VALUE!</v>
      </c>
      <c r="AI1329" s="1065" t="e">
        <f>TB_prev[[#This Row],[Synt]]&amp;TB_prev[[#This Row],[Line No. manual corr.]]</f>
        <v>#VALUE!</v>
      </c>
      <c r="AJ1329" s="1064">
        <f t="shared" si="101"/>
        <v>0</v>
      </c>
      <c r="AK1329" s="1064">
        <f t="shared" si="102"/>
        <v>0</v>
      </c>
      <c r="AL1329" s="1064">
        <f t="shared" si="103"/>
        <v>0</v>
      </c>
      <c r="AM1329" s="1064">
        <f t="shared" si="104"/>
        <v>0</v>
      </c>
      <c r="AN1329" s="1064"/>
      <c r="AO1329" s="1064">
        <f>TB_prev[[#This Row],[Closing balance]]+TB_prev[[#This Row],[Rounding]]</f>
        <v>0</v>
      </c>
    </row>
    <row r="1330" spans="30:41" x14ac:dyDescent="0.25">
      <c r="AD1330" s="1067" t="str">
        <f t="shared" si="100"/>
        <v/>
      </c>
      <c r="AE1330" s="1063" t="str">
        <f>IF(ISNA(VLOOKUP(TB_prev[[#This Row],[Synt]],GL[[#Headers],[#Data],[subtotal label]],1,FALSE)),0,(VLOOKUP(TB_prev[[#This Row],[Synt]],GL[[#Headers],[#Data],[subtotal label]],1,FALSE)))</f>
        <v/>
      </c>
      <c r="AF1330" s="1063" t="e">
        <f>IF((TB_prev[[#This Row],[Synt]]-TB_prev[[#This Row],[Subtotal Y/N]])=0,0,VLOOKUP(TB_prev[[#This Row],[Synt]],GL[[Account]:[Line]],3,FALSE))</f>
        <v>#VALUE!</v>
      </c>
      <c r="AG1330" s="1063" t="e">
        <f>VLOOKUP(TB_prev[[#This Row],[Synt]],GL[[Account]:[B/P]],4,FALSE)</f>
        <v>#N/A</v>
      </c>
      <c r="AH1330" s="1066" t="e">
        <v>#VALUE!</v>
      </c>
      <c r="AI1330" s="1065" t="e">
        <f>TB_prev[[#This Row],[Synt]]&amp;TB_prev[[#This Row],[Line No. manual corr.]]</f>
        <v>#VALUE!</v>
      </c>
      <c r="AJ1330" s="1064">
        <f t="shared" si="101"/>
        <v>0</v>
      </c>
      <c r="AK1330" s="1064">
        <f t="shared" si="102"/>
        <v>0</v>
      </c>
      <c r="AL1330" s="1064">
        <f t="shared" si="103"/>
        <v>0</v>
      </c>
      <c r="AM1330" s="1064">
        <f t="shared" si="104"/>
        <v>0</v>
      </c>
      <c r="AN1330" s="1064"/>
      <c r="AO1330" s="1064">
        <f>TB_prev[[#This Row],[Closing balance]]+TB_prev[[#This Row],[Rounding]]</f>
        <v>0</v>
      </c>
    </row>
    <row r="1331" spans="30:41" x14ac:dyDescent="0.25">
      <c r="AD1331" s="1067" t="str">
        <f t="shared" si="100"/>
        <v/>
      </c>
      <c r="AE1331" s="1063" t="str">
        <f>IF(ISNA(VLOOKUP(TB_prev[[#This Row],[Synt]],GL[[#Headers],[#Data],[subtotal label]],1,FALSE)),0,(VLOOKUP(TB_prev[[#This Row],[Synt]],GL[[#Headers],[#Data],[subtotal label]],1,FALSE)))</f>
        <v/>
      </c>
      <c r="AF1331" s="1063" t="e">
        <f>IF((TB_prev[[#This Row],[Synt]]-TB_prev[[#This Row],[Subtotal Y/N]])=0,0,VLOOKUP(TB_prev[[#This Row],[Synt]],GL[[Account]:[Line]],3,FALSE))</f>
        <v>#VALUE!</v>
      </c>
      <c r="AG1331" s="1063" t="e">
        <f>VLOOKUP(TB_prev[[#This Row],[Synt]],GL[[Account]:[B/P]],4,FALSE)</f>
        <v>#N/A</v>
      </c>
      <c r="AH1331" s="1066" t="e">
        <v>#VALUE!</v>
      </c>
      <c r="AI1331" s="1065" t="e">
        <f>TB_prev[[#This Row],[Synt]]&amp;TB_prev[[#This Row],[Line No. manual corr.]]</f>
        <v>#VALUE!</v>
      </c>
      <c r="AJ1331" s="1064">
        <f t="shared" si="101"/>
        <v>0</v>
      </c>
      <c r="AK1331" s="1064">
        <f t="shared" si="102"/>
        <v>0</v>
      </c>
      <c r="AL1331" s="1064">
        <f t="shared" si="103"/>
        <v>0</v>
      </c>
      <c r="AM1331" s="1064">
        <f t="shared" si="104"/>
        <v>0</v>
      </c>
      <c r="AN1331" s="1064"/>
      <c r="AO1331" s="1064">
        <f>TB_prev[[#This Row],[Closing balance]]+TB_prev[[#This Row],[Rounding]]</f>
        <v>0</v>
      </c>
    </row>
    <row r="1332" spans="30:41" x14ac:dyDescent="0.25">
      <c r="AD1332" s="1067" t="str">
        <f t="shared" si="100"/>
        <v/>
      </c>
      <c r="AE1332" s="1063" t="str">
        <f>IF(ISNA(VLOOKUP(TB_prev[[#This Row],[Synt]],GL[[#Headers],[#Data],[subtotal label]],1,FALSE)),0,(VLOOKUP(TB_prev[[#This Row],[Synt]],GL[[#Headers],[#Data],[subtotal label]],1,FALSE)))</f>
        <v/>
      </c>
      <c r="AF1332" s="1063" t="e">
        <f>IF((TB_prev[[#This Row],[Synt]]-TB_prev[[#This Row],[Subtotal Y/N]])=0,0,VLOOKUP(TB_prev[[#This Row],[Synt]],GL[[Account]:[Line]],3,FALSE))</f>
        <v>#VALUE!</v>
      </c>
      <c r="AG1332" s="1063" t="e">
        <f>VLOOKUP(TB_prev[[#This Row],[Synt]],GL[[Account]:[B/P]],4,FALSE)</f>
        <v>#N/A</v>
      </c>
      <c r="AH1332" s="1066" t="e">
        <v>#VALUE!</v>
      </c>
      <c r="AI1332" s="1065" t="e">
        <f>TB_prev[[#This Row],[Synt]]&amp;TB_prev[[#This Row],[Line No. manual corr.]]</f>
        <v>#VALUE!</v>
      </c>
      <c r="AJ1332" s="1064">
        <f t="shared" si="101"/>
        <v>0</v>
      </c>
      <c r="AK1332" s="1064">
        <f t="shared" si="102"/>
        <v>0</v>
      </c>
      <c r="AL1332" s="1064">
        <f t="shared" si="103"/>
        <v>0</v>
      </c>
      <c r="AM1332" s="1064">
        <f t="shared" si="104"/>
        <v>0</v>
      </c>
      <c r="AN1332" s="1064"/>
      <c r="AO1332" s="1064">
        <f>TB_prev[[#This Row],[Closing balance]]+TB_prev[[#This Row],[Rounding]]</f>
        <v>0</v>
      </c>
    </row>
    <row r="1333" spans="30:41" x14ac:dyDescent="0.25">
      <c r="AD1333" s="1067" t="str">
        <f t="shared" si="100"/>
        <v/>
      </c>
      <c r="AE1333" s="1063" t="str">
        <f>IF(ISNA(VLOOKUP(TB_prev[[#This Row],[Synt]],GL[[#Headers],[#Data],[subtotal label]],1,FALSE)),0,(VLOOKUP(TB_prev[[#This Row],[Synt]],GL[[#Headers],[#Data],[subtotal label]],1,FALSE)))</f>
        <v/>
      </c>
      <c r="AF1333" s="1063" t="e">
        <f>IF((TB_prev[[#This Row],[Synt]]-TB_prev[[#This Row],[Subtotal Y/N]])=0,0,VLOOKUP(TB_prev[[#This Row],[Synt]],GL[[Account]:[Line]],3,FALSE))</f>
        <v>#VALUE!</v>
      </c>
      <c r="AG1333" s="1063" t="e">
        <f>VLOOKUP(TB_prev[[#This Row],[Synt]],GL[[Account]:[B/P]],4,FALSE)</f>
        <v>#N/A</v>
      </c>
      <c r="AH1333" s="1066" t="e">
        <v>#VALUE!</v>
      </c>
      <c r="AI1333" s="1065" t="e">
        <f>TB_prev[[#This Row],[Synt]]&amp;TB_prev[[#This Row],[Line No. manual corr.]]</f>
        <v>#VALUE!</v>
      </c>
      <c r="AJ1333" s="1064">
        <f t="shared" si="101"/>
        <v>0</v>
      </c>
      <c r="AK1333" s="1064">
        <f t="shared" si="102"/>
        <v>0</v>
      </c>
      <c r="AL1333" s="1064">
        <f t="shared" si="103"/>
        <v>0</v>
      </c>
      <c r="AM1333" s="1064">
        <f t="shared" si="104"/>
        <v>0</v>
      </c>
      <c r="AN1333" s="1064"/>
      <c r="AO1333" s="1064">
        <f>TB_prev[[#This Row],[Closing balance]]+TB_prev[[#This Row],[Rounding]]</f>
        <v>0</v>
      </c>
    </row>
    <row r="1334" spans="30:41" x14ac:dyDescent="0.25">
      <c r="AD1334" s="1067" t="str">
        <f t="shared" si="100"/>
        <v/>
      </c>
      <c r="AE1334" s="1063" t="str">
        <f>IF(ISNA(VLOOKUP(TB_prev[[#This Row],[Synt]],GL[[#Headers],[#Data],[subtotal label]],1,FALSE)),0,(VLOOKUP(TB_prev[[#This Row],[Synt]],GL[[#Headers],[#Data],[subtotal label]],1,FALSE)))</f>
        <v/>
      </c>
      <c r="AF1334" s="1063" t="e">
        <f>IF((TB_prev[[#This Row],[Synt]]-TB_prev[[#This Row],[Subtotal Y/N]])=0,0,VLOOKUP(TB_prev[[#This Row],[Synt]],GL[[Account]:[Line]],3,FALSE))</f>
        <v>#VALUE!</v>
      </c>
      <c r="AG1334" s="1063" t="e">
        <f>VLOOKUP(TB_prev[[#This Row],[Synt]],GL[[Account]:[B/P]],4,FALSE)</f>
        <v>#N/A</v>
      </c>
      <c r="AH1334" s="1066" t="e">
        <v>#VALUE!</v>
      </c>
      <c r="AI1334" s="1065" t="e">
        <f>TB_prev[[#This Row],[Synt]]&amp;TB_prev[[#This Row],[Line No. manual corr.]]</f>
        <v>#VALUE!</v>
      </c>
      <c r="AJ1334" s="1064">
        <f t="shared" si="101"/>
        <v>0</v>
      </c>
      <c r="AK1334" s="1064">
        <f t="shared" si="102"/>
        <v>0</v>
      </c>
      <c r="AL1334" s="1064">
        <f t="shared" si="103"/>
        <v>0</v>
      </c>
      <c r="AM1334" s="1064">
        <f t="shared" si="104"/>
        <v>0</v>
      </c>
      <c r="AN1334" s="1064"/>
      <c r="AO1334" s="1064">
        <f>TB_prev[[#This Row],[Closing balance]]+TB_prev[[#This Row],[Rounding]]</f>
        <v>0</v>
      </c>
    </row>
    <row r="1335" spans="30:41" x14ac:dyDescent="0.25">
      <c r="AD1335" s="1067" t="str">
        <f t="shared" si="100"/>
        <v/>
      </c>
      <c r="AE1335" s="1063" t="str">
        <f>IF(ISNA(VLOOKUP(TB_prev[[#This Row],[Synt]],GL[[#Headers],[#Data],[subtotal label]],1,FALSE)),0,(VLOOKUP(TB_prev[[#This Row],[Synt]],GL[[#Headers],[#Data],[subtotal label]],1,FALSE)))</f>
        <v/>
      </c>
      <c r="AF1335" s="1063" t="e">
        <f>IF((TB_prev[[#This Row],[Synt]]-TB_prev[[#This Row],[Subtotal Y/N]])=0,0,VLOOKUP(TB_prev[[#This Row],[Synt]],GL[[Account]:[Line]],3,FALSE))</f>
        <v>#VALUE!</v>
      </c>
      <c r="AG1335" s="1063" t="e">
        <f>VLOOKUP(TB_prev[[#This Row],[Synt]],GL[[Account]:[B/P]],4,FALSE)</f>
        <v>#N/A</v>
      </c>
      <c r="AH1335" s="1066" t="e">
        <v>#VALUE!</v>
      </c>
      <c r="AI1335" s="1065" t="e">
        <f>TB_prev[[#This Row],[Synt]]&amp;TB_prev[[#This Row],[Line No. manual corr.]]</f>
        <v>#VALUE!</v>
      </c>
      <c r="AJ1335" s="1064">
        <f t="shared" si="101"/>
        <v>0</v>
      </c>
      <c r="AK1335" s="1064">
        <f t="shared" si="102"/>
        <v>0</v>
      </c>
      <c r="AL1335" s="1064">
        <f t="shared" si="103"/>
        <v>0</v>
      </c>
      <c r="AM1335" s="1064">
        <f t="shared" si="104"/>
        <v>0</v>
      </c>
      <c r="AN1335" s="1064"/>
      <c r="AO1335" s="1064">
        <f>TB_prev[[#This Row],[Closing balance]]+TB_prev[[#This Row],[Rounding]]</f>
        <v>0</v>
      </c>
    </row>
    <row r="1336" spans="30:41" x14ac:dyDescent="0.25">
      <c r="AD1336" s="1067" t="str">
        <f t="shared" si="100"/>
        <v/>
      </c>
      <c r="AE1336" s="1063" t="str">
        <f>IF(ISNA(VLOOKUP(TB_prev[[#This Row],[Synt]],GL[[#Headers],[#Data],[subtotal label]],1,FALSE)),0,(VLOOKUP(TB_prev[[#This Row],[Synt]],GL[[#Headers],[#Data],[subtotal label]],1,FALSE)))</f>
        <v/>
      </c>
      <c r="AF1336" s="1063" t="e">
        <f>IF((TB_prev[[#This Row],[Synt]]-TB_prev[[#This Row],[Subtotal Y/N]])=0,0,VLOOKUP(TB_prev[[#This Row],[Synt]],GL[[Account]:[Line]],3,FALSE))</f>
        <v>#VALUE!</v>
      </c>
      <c r="AG1336" s="1063" t="e">
        <f>VLOOKUP(TB_prev[[#This Row],[Synt]],GL[[Account]:[B/P]],4,FALSE)</f>
        <v>#N/A</v>
      </c>
      <c r="AH1336" s="1066" t="e">
        <v>#VALUE!</v>
      </c>
      <c r="AI1336" s="1065" t="e">
        <f>TB_prev[[#This Row],[Synt]]&amp;TB_prev[[#This Row],[Line No. manual corr.]]</f>
        <v>#VALUE!</v>
      </c>
      <c r="AJ1336" s="1064">
        <f t="shared" si="101"/>
        <v>0</v>
      </c>
      <c r="AK1336" s="1064">
        <f t="shared" si="102"/>
        <v>0</v>
      </c>
      <c r="AL1336" s="1064">
        <f t="shared" si="103"/>
        <v>0</v>
      </c>
      <c r="AM1336" s="1064">
        <f t="shared" si="104"/>
        <v>0</v>
      </c>
      <c r="AN1336" s="1064"/>
      <c r="AO1336" s="1064">
        <f>TB_prev[[#This Row],[Closing balance]]+TB_prev[[#This Row],[Rounding]]</f>
        <v>0</v>
      </c>
    </row>
    <row r="1337" spans="30:41" x14ac:dyDescent="0.25">
      <c r="AD1337" s="1067" t="str">
        <f t="shared" si="100"/>
        <v/>
      </c>
      <c r="AE1337" s="1063" t="str">
        <f>IF(ISNA(VLOOKUP(TB_prev[[#This Row],[Synt]],GL[[#Headers],[#Data],[subtotal label]],1,FALSE)),0,(VLOOKUP(TB_prev[[#This Row],[Synt]],GL[[#Headers],[#Data],[subtotal label]],1,FALSE)))</f>
        <v/>
      </c>
      <c r="AF1337" s="1063" t="e">
        <f>IF((TB_prev[[#This Row],[Synt]]-TB_prev[[#This Row],[Subtotal Y/N]])=0,0,VLOOKUP(TB_prev[[#This Row],[Synt]],GL[[Account]:[Line]],3,FALSE))</f>
        <v>#VALUE!</v>
      </c>
      <c r="AG1337" s="1063" t="e">
        <f>VLOOKUP(TB_prev[[#This Row],[Synt]],GL[[Account]:[B/P]],4,FALSE)</f>
        <v>#N/A</v>
      </c>
      <c r="AH1337" s="1066" t="e">
        <v>#VALUE!</v>
      </c>
      <c r="AI1337" s="1065" t="e">
        <f>TB_prev[[#This Row],[Synt]]&amp;TB_prev[[#This Row],[Line No. manual corr.]]</f>
        <v>#VALUE!</v>
      </c>
      <c r="AJ1337" s="1064">
        <f t="shared" si="101"/>
        <v>0</v>
      </c>
      <c r="AK1337" s="1064">
        <f t="shared" si="102"/>
        <v>0</v>
      </c>
      <c r="AL1337" s="1064">
        <f t="shared" si="103"/>
        <v>0</v>
      </c>
      <c r="AM1337" s="1064">
        <f t="shared" si="104"/>
        <v>0</v>
      </c>
      <c r="AN1337" s="1064"/>
      <c r="AO1337" s="1064">
        <f>TB_prev[[#This Row],[Closing balance]]+TB_prev[[#This Row],[Rounding]]</f>
        <v>0</v>
      </c>
    </row>
    <row r="1338" spans="30:41" x14ac:dyDescent="0.25">
      <c r="AD1338" s="1067" t="str">
        <f t="shared" si="100"/>
        <v/>
      </c>
      <c r="AE1338" s="1063" t="str">
        <f>IF(ISNA(VLOOKUP(TB_prev[[#This Row],[Synt]],GL[[#Headers],[#Data],[subtotal label]],1,FALSE)),0,(VLOOKUP(TB_prev[[#This Row],[Synt]],GL[[#Headers],[#Data],[subtotal label]],1,FALSE)))</f>
        <v/>
      </c>
      <c r="AF1338" s="1063" t="e">
        <f>IF((TB_prev[[#This Row],[Synt]]-TB_prev[[#This Row],[Subtotal Y/N]])=0,0,VLOOKUP(TB_prev[[#This Row],[Synt]],GL[[Account]:[Line]],3,FALSE))</f>
        <v>#VALUE!</v>
      </c>
      <c r="AG1338" s="1063" t="e">
        <f>VLOOKUP(TB_prev[[#This Row],[Synt]],GL[[Account]:[B/P]],4,FALSE)</f>
        <v>#N/A</v>
      </c>
      <c r="AH1338" s="1066" t="e">
        <v>#VALUE!</v>
      </c>
      <c r="AI1338" s="1065" t="e">
        <f>TB_prev[[#This Row],[Synt]]&amp;TB_prev[[#This Row],[Line No. manual corr.]]</f>
        <v>#VALUE!</v>
      </c>
      <c r="AJ1338" s="1064">
        <f t="shared" si="101"/>
        <v>0</v>
      </c>
      <c r="AK1338" s="1064">
        <f t="shared" si="102"/>
        <v>0</v>
      </c>
      <c r="AL1338" s="1064">
        <f t="shared" si="103"/>
        <v>0</v>
      </c>
      <c r="AM1338" s="1064">
        <f t="shared" si="104"/>
        <v>0</v>
      </c>
      <c r="AN1338" s="1064"/>
      <c r="AO1338" s="1064">
        <f>TB_prev[[#This Row],[Closing balance]]+TB_prev[[#This Row],[Rounding]]</f>
        <v>0</v>
      </c>
    </row>
    <row r="1339" spans="30:41" x14ac:dyDescent="0.25">
      <c r="AD1339" s="1067" t="str">
        <f t="shared" si="100"/>
        <v/>
      </c>
      <c r="AE1339" s="1063" t="str">
        <f>IF(ISNA(VLOOKUP(TB_prev[[#This Row],[Synt]],GL[[#Headers],[#Data],[subtotal label]],1,FALSE)),0,(VLOOKUP(TB_prev[[#This Row],[Synt]],GL[[#Headers],[#Data],[subtotal label]],1,FALSE)))</f>
        <v/>
      </c>
      <c r="AF1339" s="1063" t="e">
        <f>IF((TB_prev[[#This Row],[Synt]]-TB_prev[[#This Row],[Subtotal Y/N]])=0,0,VLOOKUP(TB_prev[[#This Row],[Synt]],GL[[Account]:[Line]],3,FALSE))</f>
        <v>#VALUE!</v>
      </c>
      <c r="AG1339" s="1063" t="e">
        <f>VLOOKUP(TB_prev[[#This Row],[Synt]],GL[[Account]:[B/P]],4,FALSE)</f>
        <v>#N/A</v>
      </c>
      <c r="AH1339" s="1066" t="e">
        <v>#VALUE!</v>
      </c>
      <c r="AI1339" s="1065" t="e">
        <f>TB_prev[[#This Row],[Synt]]&amp;TB_prev[[#This Row],[Line No. manual corr.]]</f>
        <v>#VALUE!</v>
      </c>
      <c r="AJ1339" s="1064">
        <f t="shared" si="101"/>
        <v>0</v>
      </c>
      <c r="AK1339" s="1064">
        <f t="shared" si="102"/>
        <v>0</v>
      </c>
      <c r="AL1339" s="1064">
        <f t="shared" si="103"/>
        <v>0</v>
      </c>
      <c r="AM1339" s="1064">
        <f t="shared" si="104"/>
        <v>0</v>
      </c>
      <c r="AN1339" s="1064"/>
      <c r="AO1339" s="1064">
        <f>TB_prev[[#This Row],[Closing balance]]+TB_prev[[#This Row],[Rounding]]</f>
        <v>0</v>
      </c>
    </row>
    <row r="1340" spans="30:41" x14ac:dyDescent="0.25">
      <c r="AD1340" s="1067" t="str">
        <f t="shared" si="100"/>
        <v/>
      </c>
      <c r="AE1340" s="1063" t="str">
        <f>IF(ISNA(VLOOKUP(TB_prev[[#This Row],[Synt]],GL[[#Headers],[#Data],[subtotal label]],1,FALSE)),0,(VLOOKUP(TB_prev[[#This Row],[Synt]],GL[[#Headers],[#Data],[subtotal label]],1,FALSE)))</f>
        <v/>
      </c>
      <c r="AF1340" s="1063" t="e">
        <f>IF((TB_prev[[#This Row],[Synt]]-TB_prev[[#This Row],[Subtotal Y/N]])=0,0,VLOOKUP(TB_prev[[#This Row],[Synt]],GL[[Account]:[Line]],3,FALSE))</f>
        <v>#VALUE!</v>
      </c>
      <c r="AG1340" s="1063" t="e">
        <f>VLOOKUP(TB_prev[[#This Row],[Synt]],GL[[Account]:[B/P]],4,FALSE)</f>
        <v>#N/A</v>
      </c>
      <c r="AH1340" s="1066" t="e">
        <v>#VALUE!</v>
      </c>
      <c r="AI1340" s="1065" t="e">
        <f>TB_prev[[#This Row],[Synt]]&amp;TB_prev[[#This Row],[Line No. manual corr.]]</f>
        <v>#VALUE!</v>
      </c>
      <c r="AJ1340" s="1064">
        <f t="shared" si="101"/>
        <v>0</v>
      </c>
      <c r="AK1340" s="1064">
        <f t="shared" si="102"/>
        <v>0</v>
      </c>
      <c r="AL1340" s="1064">
        <f t="shared" si="103"/>
        <v>0</v>
      </c>
      <c r="AM1340" s="1064">
        <f t="shared" si="104"/>
        <v>0</v>
      </c>
      <c r="AN1340" s="1064"/>
      <c r="AO1340" s="1064">
        <f>TB_prev[[#This Row],[Closing balance]]+TB_prev[[#This Row],[Rounding]]</f>
        <v>0</v>
      </c>
    </row>
    <row r="1341" spans="30:41" x14ac:dyDescent="0.25">
      <c r="AD1341" s="1067" t="str">
        <f t="shared" si="100"/>
        <v/>
      </c>
      <c r="AE1341" s="1063" t="str">
        <f>IF(ISNA(VLOOKUP(TB_prev[[#This Row],[Synt]],GL[[#Headers],[#Data],[subtotal label]],1,FALSE)),0,(VLOOKUP(TB_prev[[#This Row],[Synt]],GL[[#Headers],[#Data],[subtotal label]],1,FALSE)))</f>
        <v/>
      </c>
      <c r="AF1341" s="1063" t="e">
        <f>IF((TB_prev[[#This Row],[Synt]]-TB_prev[[#This Row],[Subtotal Y/N]])=0,0,VLOOKUP(TB_prev[[#This Row],[Synt]],GL[[Account]:[Line]],3,FALSE))</f>
        <v>#VALUE!</v>
      </c>
      <c r="AG1341" s="1063" t="e">
        <f>VLOOKUP(TB_prev[[#This Row],[Synt]],GL[[Account]:[B/P]],4,FALSE)</f>
        <v>#N/A</v>
      </c>
      <c r="AH1341" s="1066" t="e">
        <v>#VALUE!</v>
      </c>
      <c r="AI1341" s="1065" t="e">
        <f>TB_prev[[#This Row],[Synt]]&amp;TB_prev[[#This Row],[Line No. manual corr.]]</f>
        <v>#VALUE!</v>
      </c>
      <c r="AJ1341" s="1064">
        <f t="shared" si="101"/>
        <v>0</v>
      </c>
      <c r="AK1341" s="1064">
        <f t="shared" si="102"/>
        <v>0</v>
      </c>
      <c r="AL1341" s="1064">
        <f t="shared" si="103"/>
        <v>0</v>
      </c>
      <c r="AM1341" s="1064">
        <f t="shared" si="104"/>
        <v>0</v>
      </c>
      <c r="AN1341" s="1064"/>
      <c r="AO1341" s="1064">
        <f>TB_prev[[#This Row],[Closing balance]]+TB_prev[[#This Row],[Rounding]]</f>
        <v>0</v>
      </c>
    </row>
    <row r="1342" spans="30:41" x14ac:dyDescent="0.25">
      <c r="AD1342" s="1067" t="str">
        <f t="shared" si="100"/>
        <v/>
      </c>
      <c r="AE1342" s="1063" t="str">
        <f>IF(ISNA(VLOOKUP(TB_prev[[#This Row],[Synt]],GL[[#Headers],[#Data],[subtotal label]],1,FALSE)),0,(VLOOKUP(TB_prev[[#This Row],[Synt]],GL[[#Headers],[#Data],[subtotal label]],1,FALSE)))</f>
        <v/>
      </c>
      <c r="AF1342" s="1063" t="e">
        <f>IF((TB_prev[[#This Row],[Synt]]-TB_prev[[#This Row],[Subtotal Y/N]])=0,0,VLOOKUP(TB_prev[[#This Row],[Synt]],GL[[Account]:[Line]],3,FALSE))</f>
        <v>#VALUE!</v>
      </c>
      <c r="AG1342" s="1063" t="e">
        <f>VLOOKUP(TB_prev[[#This Row],[Synt]],GL[[Account]:[B/P]],4,FALSE)</f>
        <v>#N/A</v>
      </c>
      <c r="AH1342" s="1066" t="e">
        <v>#VALUE!</v>
      </c>
      <c r="AI1342" s="1065" t="e">
        <f>TB_prev[[#This Row],[Synt]]&amp;TB_prev[[#This Row],[Line No. manual corr.]]</f>
        <v>#VALUE!</v>
      </c>
      <c r="AJ1342" s="1064">
        <f t="shared" si="101"/>
        <v>0</v>
      </c>
      <c r="AK1342" s="1064">
        <f t="shared" si="102"/>
        <v>0</v>
      </c>
      <c r="AL1342" s="1064">
        <f t="shared" si="103"/>
        <v>0</v>
      </c>
      <c r="AM1342" s="1064">
        <f t="shared" si="104"/>
        <v>0</v>
      </c>
      <c r="AN1342" s="1064"/>
      <c r="AO1342" s="1064">
        <f>TB_prev[[#This Row],[Closing balance]]+TB_prev[[#This Row],[Rounding]]</f>
        <v>0</v>
      </c>
    </row>
    <row r="1343" spans="30:41" x14ac:dyDescent="0.25">
      <c r="AD1343" s="1067" t="str">
        <f t="shared" si="100"/>
        <v/>
      </c>
      <c r="AE1343" s="1063" t="str">
        <f>IF(ISNA(VLOOKUP(TB_prev[[#This Row],[Synt]],GL[[#Headers],[#Data],[subtotal label]],1,FALSE)),0,(VLOOKUP(TB_prev[[#This Row],[Synt]],GL[[#Headers],[#Data],[subtotal label]],1,FALSE)))</f>
        <v/>
      </c>
      <c r="AF1343" s="1063" t="e">
        <f>IF((TB_prev[[#This Row],[Synt]]-TB_prev[[#This Row],[Subtotal Y/N]])=0,0,VLOOKUP(TB_prev[[#This Row],[Synt]],GL[[Account]:[Line]],3,FALSE))</f>
        <v>#VALUE!</v>
      </c>
      <c r="AG1343" s="1063" t="e">
        <f>VLOOKUP(TB_prev[[#This Row],[Synt]],GL[[Account]:[B/P]],4,FALSE)</f>
        <v>#N/A</v>
      </c>
      <c r="AH1343" s="1066" t="e">
        <v>#VALUE!</v>
      </c>
      <c r="AI1343" s="1065" t="e">
        <f>TB_prev[[#This Row],[Synt]]&amp;TB_prev[[#This Row],[Line No. manual corr.]]</f>
        <v>#VALUE!</v>
      </c>
      <c r="AJ1343" s="1064">
        <f t="shared" si="101"/>
        <v>0</v>
      </c>
      <c r="AK1343" s="1064">
        <f t="shared" si="102"/>
        <v>0</v>
      </c>
      <c r="AL1343" s="1064">
        <f t="shared" si="103"/>
        <v>0</v>
      </c>
      <c r="AM1343" s="1064">
        <f t="shared" si="104"/>
        <v>0</v>
      </c>
      <c r="AN1343" s="1064"/>
      <c r="AO1343" s="1064">
        <f>TB_prev[[#This Row],[Closing balance]]+TB_prev[[#This Row],[Rounding]]</f>
        <v>0</v>
      </c>
    </row>
    <row r="1344" spans="30:41" x14ac:dyDescent="0.25">
      <c r="AD1344" s="1067" t="str">
        <f t="shared" si="100"/>
        <v/>
      </c>
      <c r="AE1344" s="1063" t="str">
        <f>IF(ISNA(VLOOKUP(TB_prev[[#This Row],[Synt]],GL[[#Headers],[#Data],[subtotal label]],1,FALSE)),0,(VLOOKUP(TB_prev[[#This Row],[Synt]],GL[[#Headers],[#Data],[subtotal label]],1,FALSE)))</f>
        <v/>
      </c>
      <c r="AF1344" s="1063" t="e">
        <f>IF((TB_prev[[#This Row],[Synt]]-TB_prev[[#This Row],[Subtotal Y/N]])=0,0,VLOOKUP(TB_prev[[#This Row],[Synt]],GL[[Account]:[Line]],3,FALSE))</f>
        <v>#VALUE!</v>
      </c>
      <c r="AG1344" s="1063" t="e">
        <f>VLOOKUP(TB_prev[[#This Row],[Synt]],GL[[Account]:[B/P]],4,FALSE)</f>
        <v>#N/A</v>
      </c>
      <c r="AH1344" s="1066" t="e">
        <v>#VALUE!</v>
      </c>
      <c r="AI1344" s="1065" t="e">
        <f>TB_prev[[#This Row],[Synt]]&amp;TB_prev[[#This Row],[Line No. manual corr.]]</f>
        <v>#VALUE!</v>
      </c>
      <c r="AJ1344" s="1064">
        <f t="shared" si="101"/>
        <v>0</v>
      </c>
      <c r="AK1344" s="1064">
        <f t="shared" si="102"/>
        <v>0</v>
      </c>
      <c r="AL1344" s="1064">
        <f t="shared" si="103"/>
        <v>0</v>
      </c>
      <c r="AM1344" s="1064">
        <f t="shared" si="104"/>
        <v>0</v>
      </c>
      <c r="AN1344" s="1064"/>
      <c r="AO1344" s="1064">
        <f>TB_prev[[#This Row],[Closing balance]]+TB_prev[[#This Row],[Rounding]]</f>
        <v>0</v>
      </c>
    </row>
    <row r="1345" spans="30:41" x14ac:dyDescent="0.25">
      <c r="AD1345" s="1067" t="str">
        <f t="shared" si="100"/>
        <v/>
      </c>
      <c r="AE1345" s="1063" t="str">
        <f>IF(ISNA(VLOOKUP(TB_prev[[#This Row],[Synt]],GL[[#Headers],[#Data],[subtotal label]],1,FALSE)),0,(VLOOKUP(TB_prev[[#This Row],[Synt]],GL[[#Headers],[#Data],[subtotal label]],1,FALSE)))</f>
        <v/>
      </c>
      <c r="AF1345" s="1063" t="e">
        <f>IF((TB_prev[[#This Row],[Synt]]-TB_prev[[#This Row],[Subtotal Y/N]])=0,0,VLOOKUP(TB_prev[[#This Row],[Synt]],GL[[Account]:[Line]],3,FALSE))</f>
        <v>#VALUE!</v>
      </c>
      <c r="AG1345" s="1063" t="e">
        <f>VLOOKUP(TB_prev[[#This Row],[Synt]],GL[[Account]:[B/P]],4,FALSE)</f>
        <v>#N/A</v>
      </c>
      <c r="AH1345" s="1066" t="e">
        <v>#VALUE!</v>
      </c>
      <c r="AI1345" s="1065" t="e">
        <f>TB_prev[[#This Row],[Synt]]&amp;TB_prev[[#This Row],[Line No. manual corr.]]</f>
        <v>#VALUE!</v>
      </c>
      <c r="AJ1345" s="1064">
        <f t="shared" si="101"/>
        <v>0</v>
      </c>
      <c r="AK1345" s="1064">
        <f t="shared" si="102"/>
        <v>0</v>
      </c>
      <c r="AL1345" s="1064">
        <f t="shared" si="103"/>
        <v>0</v>
      </c>
      <c r="AM1345" s="1064">
        <f t="shared" si="104"/>
        <v>0</v>
      </c>
      <c r="AN1345" s="1064"/>
      <c r="AO1345" s="1064">
        <f>TB_prev[[#This Row],[Closing balance]]+TB_prev[[#This Row],[Rounding]]</f>
        <v>0</v>
      </c>
    </row>
    <row r="1346" spans="30:41" x14ac:dyDescent="0.25">
      <c r="AD1346" s="1067" t="str">
        <f t="shared" si="100"/>
        <v/>
      </c>
      <c r="AE1346" s="1063" t="str">
        <f>IF(ISNA(VLOOKUP(TB_prev[[#This Row],[Synt]],GL[[#Headers],[#Data],[subtotal label]],1,FALSE)),0,(VLOOKUP(TB_prev[[#This Row],[Synt]],GL[[#Headers],[#Data],[subtotal label]],1,FALSE)))</f>
        <v/>
      </c>
      <c r="AF1346" s="1063" t="e">
        <f>IF((TB_prev[[#This Row],[Synt]]-TB_prev[[#This Row],[Subtotal Y/N]])=0,0,VLOOKUP(TB_prev[[#This Row],[Synt]],GL[[Account]:[Line]],3,FALSE))</f>
        <v>#VALUE!</v>
      </c>
      <c r="AG1346" s="1063" t="e">
        <f>VLOOKUP(TB_prev[[#This Row],[Synt]],GL[[Account]:[B/P]],4,FALSE)</f>
        <v>#N/A</v>
      </c>
      <c r="AH1346" s="1066" t="e">
        <v>#VALUE!</v>
      </c>
      <c r="AI1346" s="1065" t="e">
        <f>TB_prev[[#This Row],[Synt]]&amp;TB_prev[[#This Row],[Line No. manual corr.]]</f>
        <v>#VALUE!</v>
      </c>
      <c r="AJ1346" s="1064">
        <f t="shared" si="101"/>
        <v>0</v>
      </c>
      <c r="AK1346" s="1064">
        <f t="shared" si="102"/>
        <v>0</v>
      </c>
      <c r="AL1346" s="1064">
        <f t="shared" si="103"/>
        <v>0</v>
      </c>
      <c r="AM1346" s="1064">
        <f t="shared" si="104"/>
        <v>0</v>
      </c>
      <c r="AN1346" s="1064"/>
      <c r="AO1346" s="1064">
        <f>TB_prev[[#This Row],[Closing balance]]+TB_prev[[#This Row],[Rounding]]</f>
        <v>0</v>
      </c>
    </row>
    <row r="1347" spans="30:41" x14ac:dyDescent="0.25">
      <c r="AD1347" s="1067" t="str">
        <f t="shared" si="100"/>
        <v/>
      </c>
      <c r="AE1347" s="1063" t="str">
        <f>IF(ISNA(VLOOKUP(TB_prev[[#This Row],[Synt]],GL[[#Headers],[#Data],[subtotal label]],1,FALSE)),0,(VLOOKUP(TB_prev[[#This Row],[Synt]],GL[[#Headers],[#Data],[subtotal label]],1,FALSE)))</f>
        <v/>
      </c>
      <c r="AF1347" s="1063" t="e">
        <f>IF((TB_prev[[#This Row],[Synt]]-TB_prev[[#This Row],[Subtotal Y/N]])=0,0,VLOOKUP(TB_prev[[#This Row],[Synt]],GL[[Account]:[Line]],3,FALSE))</f>
        <v>#VALUE!</v>
      </c>
      <c r="AG1347" s="1063" t="e">
        <f>VLOOKUP(TB_prev[[#This Row],[Synt]],GL[[Account]:[B/P]],4,FALSE)</f>
        <v>#N/A</v>
      </c>
      <c r="AH1347" s="1066" t="e">
        <v>#VALUE!</v>
      </c>
      <c r="AI1347" s="1065" t="e">
        <f>TB_prev[[#This Row],[Synt]]&amp;TB_prev[[#This Row],[Line No. manual corr.]]</f>
        <v>#VALUE!</v>
      </c>
      <c r="AJ1347" s="1064">
        <f t="shared" si="101"/>
        <v>0</v>
      </c>
      <c r="AK1347" s="1064">
        <f t="shared" si="102"/>
        <v>0</v>
      </c>
      <c r="AL1347" s="1064">
        <f t="shared" si="103"/>
        <v>0</v>
      </c>
      <c r="AM1347" s="1064">
        <f t="shared" si="104"/>
        <v>0</v>
      </c>
      <c r="AN1347" s="1064"/>
      <c r="AO1347" s="1064">
        <f>TB_prev[[#This Row],[Closing balance]]+TB_prev[[#This Row],[Rounding]]</f>
        <v>0</v>
      </c>
    </row>
    <row r="1348" spans="30:41" x14ac:dyDescent="0.25">
      <c r="AD1348" s="1067" t="str">
        <f t="shared" si="100"/>
        <v/>
      </c>
      <c r="AE1348" s="1063" t="str">
        <f>IF(ISNA(VLOOKUP(TB_prev[[#This Row],[Synt]],GL[[#Headers],[#Data],[subtotal label]],1,FALSE)),0,(VLOOKUP(TB_prev[[#This Row],[Synt]],GL[[#Headers],[#Data],[subtotal label]],1,FALSE)))</f>
        <v/>
      </c>
      <c r="AF1348" s="1063" t="e">
        <f>IF((TB_prev[[#This Row],[Synt]]-TB_prev[[#This Row],[Subtotal Y/N]])=0,0,VLOOKUP(TB_prev[[#This Row],[Synt]],GL[[Account]:[Line]],3,FALSE))</f>
        <v>#VALUE!</v>
      </c>
      <c r="AG1348" s="1063" t="e">
        <f>VLOOKUP(TB_prev[[#This Row],[Synt]],GL[[Account]:[B/P]],4,FALSE)</f>
        <v>#N/A</v>
      </c>
      <c r="AH1348" s="1066" t="e">
        <v>#VALUE!</v>
      </c>
      <c r="AI1348" s="1065" t="e">
        <f>TB_prev[[#This Row],[Synt]]&amp;TB_prev[[#This Row],[Line No. manual corr.]]</f>
        <v>#VALUE!</v>
      </c>
      <c r="AJ1348" s="1064">
        <f t="shared" si="101"/>
        <v>0</v>
      </c>
      <c r="AK1348" s="1064">
        <f t="shared" si="102"/>
        <v>0</v>
      </c>
      <c r="AL1348" s="1064">
        <f t="shared" si="103"/>
        <v>0</v>
      </c>
      <c r="AM1348" s="1064">
        <f t="shared" si="104"/>
        <v>0</v>
      </c>
      <c r="AN1348" s="1064"/>
      <c r="AO1348" s="1064">
        <f>TB_prev[[#This Row],[Closing balance]]+TB_prev[[#This Row],[Rounding]]</f>
        <v>0</v>
      </c>
    </row>
    <row r="1349" spans="30:41" x14ac:dyDescent="0.25">
      <c r="AD1349" s="1067" t="str">
        <f t="shared" si="100"/>
        <v/>
      </c>
      <c r="AE1349" s="1063" t="str">
        <f>IF(ISNA(VLOOKUP(TB_prev[[#This Row],[Synt]],GL[[#Headers],[#Data],[subtotal label]],1,FALSE)),0,(VLOOKUP(TB_prev[[#This Row],[Synt]],GL[[#Headers],[#Data],[subtotal label]],1,FALSE)))</f>
        <v/>
      </c>
      <c r="AF1349" s="1063" t="e">
        <f>IF((TB_prev[[#This Row],[Synt]]-TB_prev[[#This Row],[Subtotal Y/N]])=0,0,VLOOKUP(TB_prev[[#This Row],[Synt]],GL[[Account]:[Line]],3,FALSE))</f>
        <v>#VALUE!</v>
      </c>
      <c r="AG1349" s="1063" t="e">
        <f>VLOOKUP(TB_prev[[#This Row],[Synt]],GL[[Account]:[B/P]],4,FALSE)</f>
        <v>#N/A</v>
      </c>
      <c r="AH1349" s="1066" t="e">
        <v>#VALUE!</v>
      </c>
      <c r="AI1349" s="1065" t="e">
        <f>TB_prev[[#This Row],[Synt]]&amp;TB_prev[[#This Row],[Line No. manual corr.]]</f>
        <v>#VALUE!</v>
      </c>
      <c r="AJ1349" s="1064">
        <f t="shared" si="101"/>
        <v>0</v>
      </c>
      <c r="AK1349" s="1064">
        <f t="shared" si="102"/>
        <v>0</v>
      </c>
      <c r="AL1349" s="1064">
        <f t="shared" si="103"/>
        <v>0</v>
      </c>
      <c r="AM1349" s="1064">
        <f t="shared" si="104"/>
        <v>0</v>
      </c>
      <c r="AN1349" s="1064"/>
      <c r="AO1349" s="1064">
        <f>TB_prev[[#This Row],[Closing balance]]+TB_prev[[#This Row],[Rounding]]</f>
        <v>0</v>
      </c>
    </row>
    <row r="1350" spans="30:41" x14ac:dyDescent="0.25">
      <c r="AD1350" s="1067" t="str">
        <f t="shared" si="100"/>
        <v/>
      </c>
      <c r="AE1350" s="1063" t="str">
        <f>IF(ISNA(VLOOKUP(TB_prev[[#This Row],[Synt]],GL[[#Headers],[#Data],[subtotal label]],1,FALSE)),0,(VLOOKUP(TB_prev[[#This Row],[Synt]],GL[[#Headers],[#Data],[subtotal label]],1,FALSE)))</f>
        <v/>
      </c>
      <c r="AF1350" s="1063" t="e">
        <f>IF((TB_prev[[#This Row],[Synt]]-TB_prev[[#This Row],[Subtotal Y/N]])=0,0,VLOOKUP(TB_prev[[#This Row],[Synt]],GL[[Account]:[Line]],3,FALSE))</f>
        <v>#VALUE!</v>
      </c>
      <c r="AG1350" s="1063" t="e">
        <f>VLOOKUP(TB_prev[[#This Row],[Synt]],GL[[Account]:[B/P]],4,FALSE)</f>
        <v>#N/A</v>
      </c>
      <c r="AH1350" s="1066" t="e">
        <v>#VALUE!</v>
      </c>
      <c r="AI1350" s="1065" t="e">
        <f>TB_prev[[#This Row],[Synt]]&amp;TB_prev[[#This Row],[Line No. manual corr.]]</f>
        <v>#VALUE!</v>
      </c>
      <c r="AJ1350" s="1064">
        <f t="shared" si="101"/>
        <v>0</v>
      </c>
      <c r="AK1350" s="1064">
        <f t="shared" si="102"/>
        <v>0</v>
      </c>
      <c r="AL1350" s="1064">
        <f t="shared" si="103"/>
        <v>0</v>
      </c>
      <c r="AM1350" s="1064">
        <f t="shared" si="104"/>
        <v>0</v>
      </c>
      <c r="AN1350" s="1064"/>
      <c r="AO1350" s="1064">
        <f>TB_prev[[#This Row],[Closing balance]]+TB_prev[[#This Row],[Rounding]]</f>
        <v>0</v>
      </c>
    </row>
    <row r="1351" spans="30:41" x14ac:dyDescent="0.25">
      <c r="AD1351" s="1067" t="str">
        <f t="shared" si="100"/>
        <v/>
      </c>
      <c r="AE1351" s="1063" t="str">
        <f>IF(ISNA(VLOOKUP(TB_prev[[#This Row],[Synt]],GL[[#Headers],[#Data],[subtotal label]],1,FALSE)),0,(VLOOKUP(TB_prev[[#This Row],[Synt]],GL[[#Headers],[#Data],[subtotal label]],1,FALSE)))</f>
        <v/>
      </c>
      <c r="AF1351" s="1063" t="e">
        <f>IF((TB_prev[[#This Row],[Synt]]-TB_prev[[#This Row],[Subtotal Y/N]])=0,0,VLOOKUP(TB_prev[[#This Row],[Synt]],GL[[Account]:[Line]],3,FALSE))</f>
        <v>#VALUE!</v>
      </c>
      <c r="AG1351" s="1063" t="e">
        <f>VLOOKUP(TB_prev[[#This Row],[Synt]],GL[[Account]:[B/P]],4,FALSE)</f>
        <v>#N/A</v>
      </c>
      <c r="AH1351" s="1066" t="e">
        <v>#VALUE!</v>
      </c>
      <c r="AI1351" s="1065" t="e">
        <f>TB_prev[[#This Row],[Synt]]&amp;TB_prev[[#This Row],[Line No. manual corr.]]</f>
        <v>#VALUE!</v>
      </c>
      <c r="AJ1351" s="1064">
        <f t="shared" si="101"/>
        <v>0</v>
      </c>
      <c r="AK1351" s="1064">
        <f t="shared" si="102"/>
        <v>0</v>
      </c>
      <c r="AL1351" s="1064">
        <f t="shared" si="103"/>
        <v>0</v>
      </c>
      <c r="AM1351" s="1064">
        <f t="shared" si="104"/>
        <v>0</v>
      </c>
      <c r="AN1351" s="1064"/>
      <c r="AO1351" s="1064">
        <f>TB_prev[[#This Row],[Closing balance]]+TB_prev[[#This Row],[Rounding]]</f>
        <v>0</v>
      </c>
    </row>
    <row r="1352" spans="30:41" x14ac:dyDescent="0.25">
      <c r="AD1352" s="1067" t="str">
        <f t="shared" ref="AD1352:AD1415" si="105">LEFT(B1352,3)</f>
        <v/>
      </c>
      <c r="AE1352" s="1063" t="str">
        <f>IF(ISNA(VLOOKUP(TB_prev[[#This Row],[Synt]],GL[[#Headers],[#Data],[subtotal label]],1,FALSE)),0,(VLOOKUP(TB_prev[[#This Row],[Synt]],GL[[#Headers],[#Data],[subtotal label]],1,FALSE)))</f>
        <v/>
      </c>
      <c r="AF1352" s="1063" t="e">
        <f>IF((TB_prev[[#This Row],[Synt]]-TB_prev[[#This Row],[Subtotal Y/N]])=0,0,VLOOKUP(TB_prev[[#This Row],[Synt]],GL[[Account]:[Line]],3,FALSE))</f>
        <v>#VALUE!</v>
      </c>
      <c r="AG1352" s="1063" t="e">
        <f>VLOOKUP(TB_prev[[#This Row],[Synt]],GL[[Account]:[B/P]],4,FALSE)</f>
        <v>#N/A</v>
      </c>
      <c r="AH1352" s="1066" t="e">
        <v>#VALUE!</v>
      </c>
      <c r="AI1352" s="1065" t="e">
        <f>TB_prev[[#This Row],[Synt]]&amp;TB_prev[[#This Row],[Line No. manual corr.]]</f>
        <v>#VALUE!</v>
      </c>
      <c r="AJ1352" s="1064">
        <f t="shared" ref="AJ1352:AJ1415" si="106">K1352-N1352</f>
        <v>0</v>
      </c>
      <c r="AK1352" s="1064">
        <f t="shared" ref="AK1352:AK1415" si="107">Q1352</f>
        <v>0</v>
      </c>
      <c r="AL1352" s="1064">
        <f t="shared" ref="AL1352:AL1415" si="108">U1352</f>
        <v>0</v>
      </c>
      <c r="AM1352" s="1064">
        <f t="shared" ref="AM1352:AM1415" si="109">X1352-AB1352</f>
        <v>0</v>
      </c>
      <c r="AN1352" s="1064"/>
      <c r="AO1352" s="1064">
        <f>TB_prev[[#This Row],[Closing balance]]+TB_prev[[#This Row],[Rounding]]</f>
        <v>0</v>
      </c>
    </row>
    <row r="1353" spans="30:41" x14ac:dyDescent="0.25">
      <c r="AD1353" s="1067" t="str">
        <f t="shared" si="105"/>
        <v/>
      </c>
      <c r="AE1353" s="1063" t="str">
        <f>IF(ISNA(VLOOKUP(TB_prev[[#This Row],[Synt]],GL[[#Headers],[#Data],[subtotal label]],1,FALSE)),0,(VLOOKUP(TB_prev[[#This Row],[Synt]],GL[[#Headers],[#Data],[subtotal label]],1,FALSE)))</f>
        <v/>
      </c>
      <c r="AF1353" s="1063" t="e">
        <f>IF((TB_prev[[#This Row],[Synt]]-TB_prev[[#This Row],[Subtotal Y/N]])=0,0,VLOOKUP(TB_prev[[#This Row],[Synt]],GL[[Account]:[Line]],3,FALSE))</f>
        <v>#VALUE!</v>
      </c>
      <c r="AG1353" s="1063" t="e">
        <f>VLOOKUP(TB_prev[[#This Row],[Synt]],GL[[Account]:[B/P]],4,FALSE)</f>
        <v>#N/A</v>
      </c>
      <c r="AH1353" s="1066" t="e">
        <v>#VALUE!</v>
      </c>
      <c r="AI1353" s="1065" t="e">
        <f>TB_prev[[#This Row],[Synt]]&amp;TB_prev[[#This Row],[Line No. manual corr.]]</f>
        <v>#VALUE!</v>
      </c>
      <c r="AJ1353" s="1064">
        <f t="shared" si="106"/>
        <v>0</v>
      </c>
      <c r="AK1353" s="1064">
        <f t="shared" si="107"/>
        <v>0</v>
      </c>
      <c r="AL1353" s="1064">
        <f t="shared" si="108"/>
        <v>0</v>
      </c>
      <c r="AM1353" s="1064">
        <f t="shared" si="109"/>
        <v>0</v>
      </c>
      <c r="AN1353" s="1064"/>
      <c r="AO1353" s="1064">
        <f>TB_prev[[#This Row],[Closing balance]]+TB_prev[[#This Row],[Rounding]]</f>
        <v>0</v>
      </c>
    </row>
    <row r="1354" spans="30:41" x14ac:dyDescent="0.25">
      <c r="AD1354" s="1067" t="str">
        <f t="shared" si="105"/>
        <v/>
      </c>
      <c r="AE1354" s="1063" t="str">
        <f>IF(ISNA(VLOOKUP(TB_prev[[#This Row],[Synt]],GL[[#Headers],[#Data],[subtotal label]],1,FALSE)),0,(VLOOKUP(TB_prev[[#This Row],[Synt]],GL[[#Headers],[#Data],[subtotal label]],1,FALSE)))</f>
        <v/>
      </c>
      <c r="AF1354" s="1063" t="e">
        <f>IF((TB_prev[[#This Row],[Synt]]-TB_prev[[#This Row],[Subtotal Y/N]])=0,0,VLOOKUP(TB_prev[[#This Row],[Synt]],GL[[Account]:[Line]],3,FALSE))</f>
        <v>#VALUE!</v>
      </c>
      <c r="AG1354" s="1063" t="e">
        <f>VLOOKUP(TB_prev[[#This Row],[Synt]],GL[[Account]:[B/P]],4,FALSE)</f>
        <v>#N/A</v>
      </c>
      <c r="AH1354" s="1066" t="e">
        <v>#VALUE!</v>
      </c>
      <c r="AI1354" s="1065" t="e">
        <f>TB_prev[[#This Row],[Synt]]&amp;TB_prev[[#This Row],[Line No. manual corr.]]</f>
        <v>#VALUE!</v>
      </c>
      <c r="AJ1354" s="1064">
        <f t="shared" si="106"/>
        <v>0</v>
      </c>
      <c r="AK1354" s="1064">
        <f t="shared" si="107"/>
        <v>0</v>
      </c>
      <c r="AL1354" s="1064">
        <f t="shared" si="108"/>
        <v>0</v>
      </c>
      <c r="AM1354" s="1064">
        <f t="shared" si="109"/>
        <v>0</v>
      </c>
      <c r="AN1354" s="1064"/>
      <c r="AO1354" s="1064">
        <f>TB_prev[[#This Row],[Closing balance]]+TB_prev[[#This Row],[Rounding]]</f>
        <v>0</v>
      </c>
    </row>
    <row r="1355" spans="30:41" x14ac:dyDescent="0.25">
      <c r="AD1355" s="1067" t="str">
        <f t="shared" si="105"/>
        <v/>
      </c>
      <c r="AE1355" s="1063" t="str">
        <f>IF(ISNA(VLOOKUP(TB_prev[[#This Row],[Synt]],GL[[#Headers],[#Data],[subtotal label]],1,FALSE)),0,(VLOOKUP(TB_prev[[#This Row],[Synt]],GL[[#Headers],[#Data],[subtotal label]],1,FALSE)))</f>
        <v/>
      </c>
      <c r="AF1355" s="1063" t="e">
        <f>IF((TB_prev[[#This Row],[Synt]]-TB_prev[[#This Row],[Subtotal Y/N]])=0,0,VLOOKUP(TB_prev[[#This Row],[Synt]],GL[[Account]:[Line]],3,FALSE))</f>
        <v>#VALUE!</v>
      </c>
      <c r="AG1355" s="1063" t="e">
        <f>VLOOKUP(TB_prev[[#This Row],[Synt]],GL[[Account]:[B/P]],4,FALSE)</f>
        <v>#N/A</v>
      </c>
      <c r="AH1355" s="1066" t="e">
        <v>#VALUE!</v>
      </c>
      <c r="AI1355" s="1065" t="e">
        <f>TB_prev[[#This Row],[Synt]]&amp;TB_prev[[#This Row],[Line No. manual corr.]]</f>
        <v>#VALUE!</v>
      </c>
      <c r="AJ1355" s="1064">
        <f t="shared" si="106"/>
        <v>0</v>
      </c>
      <c r="AK1355" s="1064">
        <f t="shared" si="107"/>
        <v>0</v>
      </c>
      <c r="AL1355" s="1064">
        <f t="shared" si="108"/>
        <v>0</v>
      </c>
      <c r="AM1355" s="1064">
        <f t="shared" si="109"/>
        <v>0</v>
      </c>
      <c r="AN1355" s="1064"/>
      <c r="AO1355" s="1064">
        <f>TB_prev[[#This Row],[Closing balance]]+TB_prev[[#This Row],[Rounding]]</f>
        <v>0</v>
      </c>
    </row>
    <row r="1356" spans="30:41" x14ac:dyDescent="0.25">
      <c r="AD1356" s="1067" t="str">
        <f t="shared" si="105"/>
        <v/>
      </c>
      <c r="AE1356" s="1063" t="str">
        <f>IF(ISNA(VLOOKUP(TB_prev[[#This Row],[Synt]],GL[[#Headers],[#Data],[subtotal label]],1,FALSE)),0,(VLOOKUP(TB_prev[[#This Row],[Synt]],GL[[#Headers],[#Data],[subtotal label]],1,FALSE)))</f>
        <v/>
      </c>
      <c r="AF1356" s="1063" t="e">
        <f>IF((TB_prev[[#This Row],[Synt]]-TB_prev[[#This Row],[Subtotal Y/N]])=0,0,VLOOKUP(TB_prev[[#This Row],[Synt]],GL[[Account]:[Line]],3,FALSE))</f>
        <v>#VALUE!</v>
      </c>
      <c r="AG1356" s="1063" t="e">
        <f>VLOOKUP(TB_prev[[#This Row],[Synt]],GL[[Account]:[B/P]],4,FALSE)</f>
        <v>#N/A</v>
      </c>
      <c r="AH1356" s="1066" t="e">
        <v>#VALUE!</v>
      </c>
      <c r="AI1356" s="1065" t="e">
        <f>TB_prev[[#This Row],[Synt]]&amp;TB_prev[[#This Row],[Line No. manual corr.]]</f>
        <v>#VALUE!</v>
      </c>
      <c r="AJ1356" s="1064">
        <f t="shared" si="106"/>
        <v>0</v>
      </c>
      <c r="AK1356" s="1064">
        <f t="shared" si="107"/>
        <v>0</v>
      </c>
      <c r="AL1356" s="1064">
        <f t="shared" si="108"/>
        <v>0</v>
      </c>
      <c r="AM1356" s="1064">
        <f t="shared" si="109"/>
        <v>0</v>
      </c>
      <c r="AN1356" s="1064"/>
      <c r="AO1356" s="1064">
        <f>TB_prev[[#This Row],[Closing balance]]+TB_prev[[#This Row],[Rounding]]</f>
        <v>0</v>
      </c>
    </row>
    <row r="1357" spans="30:41" x14ac:dyDescent="0.25">
      <c r="AD1357" s="1067" t="str">
        <f t="shared" si="105"/>
        <v/>
      </c>
      <c r="AE1357" s="1063" t="str">
        <f>IF(ISNA(VLOOKUP(TB_prev[[#This Row],[Synt]],GL[[#Headers],[#Data],[subtotal label]],1,FALSE)),0,(VLOOKUP(TB_prev[[#This Row],[Synt]],GL[[#Headers],[#Data],[subtotal label]],1,FALSE)))</f>
        <v/>
      </c>
      <c r="AF1357" s="1063" t="e">
        <f>IF((TB_prev[[#This Row],[Synt]]-TB_prev[[#This Row],[Subtotal Y/N]])=0,0,VLOOKUP(TB_prev[[#This Row],[Synt]],GL[[Account]:[Line]],3,FALSE))</f>
        <v>#VALUE!</v>
      </c>
      <c r="AG1357" s="1063" t="e">
        <f>VLOOKUP(TB_prev[[#This Row],[Synt]],GL[[Account]:[B/P]],4,FALSE)</f>
        <v>#N/A</v>
      </c>
      <c r="AH1357" s="1066" t="e">
        <v>#VALUE!</v>
      </c>
      <c r="AI1357" s="1065" t="e">
        <f>TB_prev[[#This Row],[Synt]]&amp;TB_prev[[#This Row],[Line No. manual corr.]]</f>
        <v>#VALUE!</v>
      </c>
      <c r="AJ1357" s="1064">
        <f t="shared" si="106"/>
        <v>0</v>
      </c>
      <c r="AK1357" s="1064">
        <f t="shared" si="107"/>
        <v>0</v>
      </c>
      <c r="AL1357" s="1064">
        <f t="shared" si="108"/>
        <v>0</v>
      </c>
      <c r="AM1357" s="1064">
        <f t="shared" si="109"/>
        <v>0</v>
      </c>
      <c r="AN1357" s="1064"/>
      <c r="AO1357" s="1064">
        <f>TB_prev[[#This Row],[Closing balance]]+TB_prev[[#This Row],[Rounding]]</f>
        <v>0</v>
      </c>
    </row>
    <row r="1358" spans="30:41" x14ac:dyDescent="0.25">
      <c r="AD1358" s="1067" t="str">
        <f t="shared" si="105"/>
        <v/>
      </c>
      <c r="AE1358" s="1063" t="str">
        <f>IF(ISNA(VLOOKUP(TB_prev[[#This Row],[Synt]],GL[[#Headers],[#Data],[subtotal label]],1,FALSE)),0,(VLOOKUP(TB_prev[[#This Row],[Synt]],GL[[#Headers],[#Data],[subtotal label]],1,FALSE)))</f>
        <v/>
      </c>
      <c r="AF1358" s="1063" t="e">
        <f>IF((TB_prev[[#This Row],[Synt]]-TB_prev[[#This Row],[Subtotal Y/N]])=0,0,VLOOKUP(TB_prev[[#This Row],[Synt]],GL[[Account]:[Line]],3,FALSE))</f>
        <v>#VALUE!</v>
      </c>
      <c r="AG1358" s="1063" t="e">
        <f>VLOOKUP(TB_prev[[#This Row],[Synt]],GL[[Account]:[B/P]],4,FALSE)</f>
        <v>#N/A</v>
      </c>
      <c r="AH1358" s="1066" t="e">
        <v>#VALUE!</v>
      </c>
      <c r="AI1358" s="1065" t="e">
        <f>TB_prev[[#This Row],[Synt]]&amp;TB_prev[[#This Row],[Line No. manual corr.]]</f>
        <v>#VALUE!</v>
      </c>
      <c r="AJ1358" s="1064">
        <f t="shared" si="106"/>
        <v>0</v>
      </c>
      <c r="AK1358" s="1064">
        <f t="shared" si="107"/>
        <v>0</v>
      </c>
      <c r="AL1358" s="1064">
        <f t="shared" si="108"/>
        <v>0</v>
      </c>
      <c r="AM1358" s="1064">
        <f t="shared" si="109"/>
        <v>0</v>
      </c>
      <c r="AN1358" s="1064"/>
      <c r="AO1358" s="1064">
        <f>TB_prev[[#This Row],[Closing balance]]+TB_prev[[#This Row],[Rounding]]</f>
        <v>0</v>
      </c>
    </row>
    <row r="1359" spans="30:41" x14ac:dyDescent="0.25">
      <c r="AD1359" s="1067" t="str">
        <f t="shared" si="105"/>
        <v/>
      </c>
      <c r="AE1359" s="1063" t="str">
        <f>IF(ISNA(VLOOKUP(TB_prev[[#This Row],[Synt]],GL[[#Headers],[#Data],[subtotal label]],1,FALSE)),0,(VLOOKUP(TB_prev[[#This Row],[Synt]],GL[[#Headers],[#Data],[subtotal label]],1,FALSE)))</f>
        <v/>
      </c>
      <c r="AF1359" s="1063" t="e">
        <f>IF((TB_prev[[#This Row],[Synt]]-TB_prev[[#This Row],[Subtotal Y/N]])=0,0,VLOOKUP(TB_prev[[#This Row],[Synt]],GL[[Account]:[Line]],3,FALSE))</f>
        <v>#VALUE!</v>
      </c>
      <c r="AG1359" s="1063" t="e">
        <f>VLOOKUP(TB_prev[[#This Row],[Synt]],GL[[Account]:[B/P]],4,FALSE)</f>
        <v>#N/A</v>
      </c>
      <c r="AH1359" s="1066" t="e">
        <v>#VALUE!</v>
      </c>
      <c r="AI1359" s="1065" t="e">
        <f>TB_prev[[#This Row],[Synt]]&amp;TB_prev[[#This Row],[Line No. manual corr.]]</f>
        <v>#VALUE!</v>
      </c>
      <c r="AJ1359" s="1064">
        <f t="shared" si="106"/>
        <v>0</v>
      </c>
      <c r="AK1359" s="1064">
        <f t="shared" si="107"/>
        <v>0</v>
      </c>
      <c r="AL1359" s="1064">
        <f t="shared" si="108"/>
        <v>0</v>
      </c>
      <c r="AM1359" s="1064">
        <f t="shared" si="109"/>
        <v>0</v>
      </c>
      <c r="AN1359" s="1064"/>
      <c r="AO1359" s="1064">
        <f>TB_prev[[#This Row],[Closing balance]]+TB_prev[[#This Row],[Rounding]]</f>
        <v>0</v>
      </c>
    </row>
    <row r="1360" spans="30:41" x14ac:dyDescent="0.25">
      <c r="AD1360" s="1067" t="str">
        <f t="shared" si="105"/>
        <v/>
      </c>
      <c r="AE1360" s="1063" t="str">
        <f>IF(ISNA(VLOOKUP(TB_prev[[#This Row],[Synt]],GL[[#Headers],[#Data],[subtotal label]],1,FALSE)),0,(VLOOKUP(TB_prev[[#This Row],[Synt]],GL[[#Headers],[#Data],[subtotal label]],1,FALSE)))</f>
        <v/>
      </c>
      <c r="AF1360" s="1063" t="e">
        <f>IF((TB_prev[[#This Row],[Synt]]-TB_prev[[#This Row],[Subtotal Y/N]])=0,0,VLOOKUP(TB_prev[[#This Row],[Synt]],GL[[Account]:[Line]],3,FALSE))</f>
        <v>#VALUE!</v>
      </c>
      <c r="AG1360" s="1063" t="e">
        <f>VLOOKUP(TB_prev[[#This Row],[Synt]],GL[[Account]:[B/P]],4,FALSE)</f>
        <v>#N/A</v>
      </c>
      <c r="AH1360" s="1066" t="e">
        <v>#VALUE!</v>
      </c>
      <c r="AI1360" s="1065" t="e">
        <f>TB_prev[[#This Row],[Synt]]&amp;TB_prev[[#This Row],[Line No. manual corr.]]</f>
        <v>#VALUE!</v>
      </c>
      <c r="AJ1360" s="1064">
        <f t="shared" si="106"/>
        <v>0</v>
      </c>
      <c r="AK1360" s="1064">
        <f t="shared" si="107"/>
        <v>0</v>
      </c>
      <c r="AL1360" s="1064">
        <f t="shared" si="108"/>
        <v>0</v>
      </c>
      <c r="AM1360" s="1064">
        <f t="shared" si="109"/>
        <v>0</v>
      </c>
      <c r="AN1360" s="1064"/>
      <c r="AO1360" s="1064">
        <f>TB_prev[[#This Row],[Closing balance]]+TB_prev[[#This Row],[Rounding]]</f>
        <v>0</v>
      </c>
    </row>
    <row r="1361" spans="30:41" x14ac:dyDescent="0.25">
      <c r="AD1361" s="1067" t="str">
        <f t="shared" si="105"/>
        <v/>
      </c>
      <c r="AE1361" s="1063" t="str">
        <f>IF(ISNA(VLOOKUP(TB_prev[[#This Row],[Synt]],GL[[#Headers],[#Data],[subtotal label]],1,FALSE)),0,(VLOOKUP(TB_prev[[#This Row],[Synt]],GL[[#Headers],[#Data],[subtotal label]],1,FALSE)))</f>
        <v/>
      </c>
      <c r="AF1361" s="1063" t="e">
        <f>IF((TB_prev[[#This Row],[Synt]]-TB_prev[[#This Row],[Subtotal Y/N]])=0,0,VLOOKUP(TB_prev[[#This Row],[Synt]],GL[[Account]:[Line]],3,FALSE))</f>
        <v>#VALUE!</v>
      </c>
      <c r="AG1361" s="1063" t="e">
        <f>VLOOKUP(TB_prev[[#This Row],[Synt]],GL[[Account]:[B/P]],4,FALSE)</f>
        <v>#N/A</v>
      </c>
      <c r="AH1361" s="1066" t="e">
        <v>#VALUE!</v>
      </c>
      <c r="AI1361" s="1065" t="e">
        <f>TB_prev[[#This Row],[Synt]]&amp;TB_prev[[#This Row],[Line No. manual corr.]]</f>
        <v>#VALUE!</v>
      </c>
      <c r="AJ1361" s="1064">
        <f t="shared" si="106"/>
        <v>0</v>
      </c>
      <c r="AK1361" s="1064">
        <f t="shared" si="107"/>
        <v>0</v>
      </c>
      <c r="AL1361" s="1064">
        <f t="shared" si="108"/>
        <v>0</v>
      </c>
      <c r="AM1361" s="1064">
        <f t="shared" si="109"/>
        <v>0</v>
      </c>
      <c r="AN1361" s="1064"/>
      <c r="AO1361" s="1064">
        <f>TB_prev[[#This Row],[Closing balance]]+TB_prev[[#This Row],[Rounding]]</f>
        <v>0</v>
      </c>
    </row>
    <row r="1362" spans="30:41" x14ac:dyDescent="0.25">
      <c r="AD1362" s="1067" t="str">
        <f t="shared" si="105"/>
        <v/>
      </c>
      <c r="AE1362" s="1063" t="str">
        <f>IF(ISNA(VLOOKUP(TB_prev[[#This Row],[Synt]],GL[[#Headers],[#Data],[subtotal label]],1,FALSE)),0,(VLOOKUP(TB_prev[[#This Row],[Synt]],GL[[#Headers],[#Data],[subtotal label]],1,FALSE)))</f>
        <v/>
      </c>
      <c r="AF1362" s="1063" t="e">
        <f>IF((TB_prev[[#This Row],[Synt]]-TB_prev[[#This Row],[Subtotal Y/N]])=0,0,VLOOKUP(TB_prev[[#This Row],[Synt]],GL[[Account]:[Line]],3,FALSE))</f>
        <v>#VALUE!</v>
      </c>
      <c r="AG1362" s="1063" t="e">
        <f>VLOOKUP(TB_prev[[#This Row],[Synt]],GL[[Account]:[B/P]],4,FALSE)</f>
        <v>#N/A</v>
      </c>
      <c r="AH1362" s="1066" t="e">
        <v>#VALUE!</v>
      </c>
      <c r="AI1362" s="1065" t="e">
        <f>TB_prev[[#This Row],[Synt]]&amp;TB_prev[[#This Row],[Line No. manual corr.]]</f>
        <v>#VALUE!</v>
      </c>
      <c r="AJ1362" s="1064">
        <f t="shared" si="106"/>
        <v>0</v>
      </c>
      <c r="AK1362" s="1064">
        <f t="shared" si="107"/>
        <v>0</v>
      </c>
      <c r="AL1362" s="1064">
        <f t="shared" si="108"/>
        <v>0</v>
      </c>
      <c r="AM1362" s="1064">
        <f t="shared" si="109"/>
        <v>0</v>
      </c>
      <c r="AN1362" s="1064"/>
      <c r="AO1362" s="1064">
        <f>TB_prev[[#This Row],[Closing balance]]+TB_prev[[#This Row],[Rounding]]</f>
        <v>0</v>
      </c>
    </row>
    <row r="1363" spans="30:41" x14ac:dyDescent="0.25">
      <c r="AD1363" s="1067" t="str">
        <f t="shared" si="105"/>
        <v/>
      </c>
      <c r="AE1363" s="1063" t="str">
        <f>IF(ISNA(VLOOKUP(TB_prev[[#This Row],[Synt]],GL[[#Headers],[#Data],[subtotal label]],1,FALSE)),0,(VLOOKUP(TB_prev[[#This Row],[Synt]],GL[[#Headers],[#Data],[subtotal label]],1,FALSE)))</f>
        <v/>
      </c>
      <c r="AF1363" s="1063" t="e">
        <f>IF((TB_prev[[#This Row],[Synt]]-TB_prev[[#This Row],[Subtotal Y/N]])=0,0,VLOOKUP(TB_prev[[#This Row],[Synt]],GL[[Account]:[Line]],3,FALSE))</f>
        <v>#VALUE!</v>
      </c>
      <c r="AG1363" s="1063" t="e">
        <f>VLOOKUP(TB_prev[[#This Row],[Synt]],GL[[Account]:[B/P]],4,FALSE)</f>
        <v>#N/A</v>
      </c>
      <c r="AH1363" s="1066" t="e">
        <v>#VALUE!</v>
      </c>
      <c r="AI1363" s="1065" t="e">
        <f>TB_prev[[#This Row],[Synt]]&amp;TB_prev[[#This Row],[Line No. manual corr.]]</f>
        <v>#VALUE!</v>
      </c>
      <c r="AJ1363" s="1064">
        <f t="shared" si="106"/>
        <v>0</v>
      </c>
      <c r="AK1363" s="1064">
        <f t="shared" si="107"/>
        <v>0</v>
      </c>
      <c r="AL1363" s="1064">
        <f t="shared" si="108"/>
        <v>0</v>
      </c>
      <c r="AM1363" s="1064">
        <f t="shared" si="109"/>
        <v>0</v>
      </c>
      <c r="AN1363" s="1064"/>
      <c r="AO1363" s="1064">
        <f>TB_prev[[#This Row],[Closing balance]]+TB_prev[[#This Row],[Rounding]]</f>
        <v>0</v>
      </c>
    </row>
    <row r="1364" spans="30:41" x14ac:dyDescent="0.25">
      <c r="AD1364" s="1067" t="str">
        <f t="shared" si="105"/>
        <v/>
      </c>
      <c r="AE1364" s="1063" t="str">
        <f>IF(ISNA(VLOOKUP(TB_prev[[#This Row],[Synt]],GL[[#Headers],[#Data],[subtotal label]],1,FALSE)),0,(VLOOKUP(TB_prev[[#This Row],[Synt]],GL[[#Headers],[#Data],[subtotal label]],1,FALSE)))</f>
        <v/>
      </c>
      <c r="AF1364" s="1063" t="e">
        <f>IF((TB_prev[[#This Row],[Synt]]-TB_prev[[#This Row],[Subtotal Y/N]])=0,0,VLOOKUP(TB_prev[[#This Row],[Synt]],GL[[Account]:[Line]],3,FALSE))</f>
        <v>#VALUE!</v>
      </c>
      <c r="AG1364" s="1063" t="e">
        <f>VLOOKUP(TB_prev[[#This Row],[Synt]],GL[[Account]:[B/P]],4,FALSE)</f>
        <v>#N/A</v>
      </c>
      <c r="AH1364" s="1066" t="e">
        <v>#VALUE!</v>
      </c>
      <c r="AI1364" s="1065" t="e">
        <f>TB_prev[[#This Row],[Synt]]&amp;TB_prev[[#This Row],[Line No. manual corr.]]</f>
        <v>#VALUE!</v>
      </c>
      <c r="AJ1364" s="1064">
        <f t="shared" si="106"/>
        <v>0</v>
      </c>
      <c r="AK1364" s="1064">
        <f t="shared" si="107"/>
        <v>0</v>
      </c>
      <c r="AL1364" s="1064">
        <f t="shared" si="108"/>
        <v>0</v>
      </c>
      <c r="AM1364" s="1064">
        <f t="shared" si="109"/>
        <v>0</v>
      </c>
      <c r="AN1364" s="1064"/>
      <c r="AO1364" s="1064">
        <f>TB_prev[[#This Row],[Closing balance]]+TB_prev[[#This Row],[Rounding]]</f>
        <v>0</v>
      </c>
    </row>
    <row r="1365" spans="30:41" x14ac:dyDescent="0.25">
      <c r="AD1365" s="1067" t="str">
        <f t="shared" si="105"/>
        <v/>
      </c>
      <c r="AE1365" s="1063" t="str">
        <f>IF(ISNA(VLOOKUP(TB_prev[[#This Row],[Synt]],GL[[#Headers],[#Data],[subtotal label]],1,FALSE)),0,(VLOOKUP(TB_prev[[#This Row],[Synt]],GL[[#Headers],[#Data],[subtotal label]],1,FALSE)))</f>
        <v/>
      </c>
      <c r="AF1365" s="1063" t="e">
        <f>IF((TB_prev[[#This Row],[Synt]]-TB_prev[[#This Row],[Subtotal Y/N]])=0,0,VLOOKUP(TB_prev[[#This Row],[Synt]],GL[[Account]:[Line]],3,FALSE))</f>
        <v>#VALUE!</v>
      </c>
      <c r="AG1365" s="1063" t="e">
        <f>VLOOKUP(TB_prev[[#This Row],[Synt]],GL[[Account]:[B/P]],4,FALSE)</f>
        <v>#N/A</v>
      </c>
      <c r="AH1365" s="1066" t="e">
        <v>#VALUE!</v>
      </c>
      <c r="AI1365" s="1065" t="e">
        <f>TB_prev[[#This Row],[Synt]]&amp;TB_prev[[#This Row],[Line No. manual corr.]]</f>
        <v>#VALUE!</v>
      </c>
      <c r="AJ1365" s="1064">
        <f t="shared" si="106"/>
        <v>0</v>
      </c>
      <c r="AK1365" s="1064">
        <f t="shared" si="107"/>
        <v>0</v>
      </c>
      <c r="AL1365" s="1064">
        <f t="shared" si="108"/>
        <v>0</v>
      </c>
      <c r="AM1365" s="1064">
        <f t="shared" si="109"/>
        <v>0</v>
      </c>
      <c r="AN1365" s="1064"/>
      <c r="AO1365" s="1064">
        <f>TB_prev[[#This Row],[Closing balance]]+TB_prev[[#This Row],[Rounding]]</f>
        <v>0</v>
      </c>
    </row>
    <row r="1366" spans="30:41" x14ac:dyDescent="0.25">
      <c r="AD1366" s="1067" t="str">
        <f t="shared" si="105"/>
        <v/>
      </c>
      <c r="AE1366" s="1063" t="str">
        <f>IF(ISNA(VLOOKUP(TB_prev[[#This Row],[Synt]],GL[[#Headers],[#Data],[subtotal label]],1,FALSE)),0,(VLOOKUP(TB_prev[[#This Row],[Synt]],GL[[#Headers],[#Data],[subtotal label]],1,FALSE)))</f>
        <v/>
      </c>
      <c r="AF1366" s="1063" t="e">
        <f>IF((TB_prev[[#This Row],[Synt]]-TB_prev[[#This Row],[Subtotal Y/N]])=0,0,VLOOKUP(TB_prev[[#This Row],[Synt]],GL[[Account]:[Line]],3,FALSE))</f>
        <v>#VALUE!</v>
      </c>
      <c r="AG1366" s="1063" t="e">
        <f>VLOOKUP(TB_prev[[#This Row],[Synt]],GL[[Account]:[B/P]],4,FALSE)</f>
        <v>#N/A</v>
      </c>
      <c r="AH1366" s="1066" t="e">
        <v>#VALUE!</v>
      </c>
      <c r="AI1366" s="1065" t="e">
        <f>TB_prev[[#This Row],[Synt]]&amp;TB_prev[[#This Row],[Line No. manual corr.]]</f>
        <v>#VALUE!</v>
      </c>
      <c r="AJ1366" s="1064">
        <f t="shared" si="106"/>
        <v>0</v>
      </c>
      <c r="AK1366" s="1064">
        <f t="shared" si="107"/>
        <v>0</v>
      </c>
      <c r="AL1366" s="1064">
        <f t="shared" si="108"/>
        <v>0</v>
      </c>
      <c r="AM1366" s="1064">
        <f t="shared" si="109"/>
        <v>0</v>
      </c>
      <c r="AN1366" s="1064"/>
      <c r="AO1366" s="1064">
        <f>TB_prev[[#This Row],[Closing balance]]+TB_prev[[#This Row],[Rounding]]</f>
        <v>0</v>
      </c>
    </row>
    <row r="1367" spans="30:41" x14ac:dyDescent="0.25">
      <c r="AD1367" s="1067" t="str">
        <f t="shared" si="105"/>
        <v/>
      </c>
      <c r="AE1367" s="1063" t="str">
        <f>IF(ISNA(VLOOKUP(TB_prev[[#This Row],[Synt]],GL[[#Headers],[#Data],[subtotal label]],1,FALSE)),0,(VLOOKUP(TB_prev[[#This Row],[Synt]],GL[[#Headers],[#Data],[subtotal label]],1,FALSE)))</f>
        <v/>
      </c>
      <c r="AF1367" s="1063" t="e">
        <f>IF((TB_prev[[#This Row],[Synt]]-TB_prev[[#This Row],[Subtotal Y/N]])=0,0,VLOOKUP(TB_prev[[#This Row],[Synt]],GL[[Account]:[Line]],3,FALSE))</f>
        <v>#VALUE!</v>
      </c>
      <c r="AG1367" s="1063" t="e">
        <f>VLOOKUP(TB_prev[[#This Row],[Synt]],GL[[Account]:[B/P]],4,FALSE)</f>
        <v>#N/A</v>
      </c>
      <c r="AH1367" s="1066" t="e">
        <v>#VALUE!</v>
      </c>
      <c r="AI1367" s="1065" t="e">
        <f>TB_prev[[#This Row],[Synt]]&amp;TB_prev[[#This Row],[Line No. manual corr.]]</f>
        <v>#VALUE!</v>
      </c>
      <c r="AJ1367" s="1064">
        <f t="shared" si="106"/>
        <v>0</v>
      </c>
      <c r="AK1367" s="1064">
        <f t="shared" si="107"/>
        <v>0</v>
      </c>
      <c r="AL1367" s="1064">
        <f t="shared" si="108"/>
        <v>0</v>
      </c>
      <c r="AM1367" s="1064">
        <f t="shared" si="109"/>
        <v>0</v>
      </c>
      <c r="AN1367" s="1064"/>
      <c r="AO1367" s="1064">
        <f>TB_prev[[#This Row],[Closing balance]]+TB_prev[[#This Row],[Rounding]]</f>
        <v>0</v>
      </c>
    </row>
    <row r="1368" spans="30:41" x14ac:dyDescent="0.25">
      <c r="AD1368" s="1067" t="str">
        <f t="shared" si="105"/>
        <v/>
      </c>
      <c r="AE1368" s="1063" t="str">
        <f>IF(ISNA(VLOOKUP(TB_prev[[#This Row],[Synt]],GL[[#Headers],[#Data],[subtotal label]],1,FALSE)),0,(VLOOKUP(TB_prev[[#This Row],[Synt]],GL[[#Headers],[#Data],[subtotal label]],1,FALSE)))</f>
        <v/>
      </c>
      <c r="AF1368" s="1063" t="e">
        <f>IF((TB_prev[[#This Row],[Synt]]-TB_prev[[#This Row],[Subtotal Y/N]])=0,0,VLOOKUP(TB_prev[[#This Row],[Synt]],GL[[Account]:[Line]],3,FALSE))</f>
        <v>#VALUE!</v>
      </c>
      <c r="AG1368" s="1063" t="e">
        <f>VLOOKUP(TB_prev[[#This Row],[Synt]],GL[[Account]:[B/P]],4,FALSE)</f>
        <v>#N/A</v>
      </c>
      <c r="AH1368" s="1066" t="e">
        <v>#VALUE!</v>
      </c>
      <c r="AI1368" s="1065" t="e">
        <f>TB_prev[[#This Row],[Synt]]&amp;TB_prev[[#This Row],[Line No. manual corr.]]</f>
        <v>#VALUE!</v>
      </c>
      <c r="AJ1368" s="1064">
        <f t="shared" si="106"/>
        <v>0</v>
      </c>
      <c r="AK1368" s="1064">
        <f t="shared" si="107"/>
        <v>0</v>
      </c>
      <c r="AL1368" s="1064">
        <f t="shared" si="108"/>
        <v>0</v>
      </c>
      <c r="AM1368" s="1064">
        <f t="shared" si="109"/>
        <v>0</v>
      </c>
      <c r="AN1368" s="1064"/>
      <c r="AO1368" s="1064">
        <f>TB_prev[[#This Row],[Closing balance]]+TB_prev[[#This Row],[Rounding]]</f>
        <v>0</v>
      </c>
    </row>
    <row r="1369" spans="30:41" x14ac:dyDescent="0.25">
      <c r="AD1369" s="1067" t="str">
        <f t="shared" si="105"/>
        <v/>
      </c>
      <c r="AE1369" s="1063" t="str">
        <f>IF(ISNA(VLOOKUP(TB_prev[[#This Row],[Synt]],GL[[#Headers],[#Data],[subtotal label]],1,FALSE)),0,(VLOOKUP(TB_prev[[#This Row],[Synt]],GL[[#Headers],[#Data],[subtotal label]],1,FALSE)))</f>
        <v/>
      </c>
      <c r="AF1369" s="1063" t="e">
        <f>IF((TB_prev[[#This Row],[Synt]]-TB_prev[[#This Row],[Subtotal Y/N]])=0,0,VLOOKUP(TB_prev[[#This Row],[Synt]],GL[[Account]:[Line]],3,FALSE))</f>
        <v>#VALUE!</v>
      </c>
      <c r="AG1369" s="1063" t="e">
        <f>VLOOKUP(TB_prev[[#This Row],[Synt]],GL[[Account]:[B/P]],4,FALSE)</f>
        <v>#N/A</v>
      </c>
      <c r="AH1369" s="1066" t="e">
        <v>#VALUE!</v>
      </c>
      <c r="AI1369" s="1065" t="e">
        <f>TB_prev[[#This Row],[Synt]]&amp;TB_prev[[#This Row],[Line No. manual corr.]]</f>
        <v>#VALUE!</v>
      </c>
      <c r="AJ1369" s="1064">
        <f t="shared" si="106"/>
        <v>0</v>
      </c>
      <c r="AK1369" s="1064">
        <f t="shared" si="107"/>
        <v>0</v>
      </c>
      <c r="AL1369" s="1064">
        <f t="shared" si="108"/>
        <v>0</v>
      </c>
      <c r="AM1369" s="1064">
        <f t="shared" si="109"/>
        <v>0</v>
      </c>
      <c r="AN1369" s="1064"/>
      <c r="AO1369" s="1064">
        <f>TB_prev[[#This Row],[Closing balance]]+TB_prev[[#This Row],[Rounding]]</f>
        <v>0</v>
      </c>
    </row>
    <row r="1370" spans="30:41" x14ac:dyDescent="0.25">
      <c r="AD1370" s="1067" t="str">
        <f t="shared" si="105"/>
        <v/>
      </c>
      <c r="AE1370" s="1063" t="str">
        <f>IF(ISNA(VLOOKUP(TB_prev[[#This Row],[Synt]],GL[[#Headers],[#Data],[subtotal label]],1,FALSE)),0,(VLOOKUP(TB_prev[[#This Row],[Synt]],GL[[#Headers],[#Data],[subtotal label]],1,FALSE)))</f>
        <v/>
      </c>
      <c r="AF1370" s="1063" t="e">
        <f>IF((TB_prev[[#This Row],[Synt]]-TB_prev[[#This Row],[Subtotal Y/N]])=0,0,VLOOKUP(TB_prev[[#This Row],[Synt]],GL[[Account]:[Line]],3,FALSE))</f>
        <v>#VALUE!</v>
      </c>
      <c r="AG1370" s="1063" t="e">
        <f>VLOOKUP(TB_prev[[#This Row],[Synt]],GL[[Account]:[B/P]],4,FALSE)</f>
        <v>#N/A</v>
      </c>
      <c r="AH1370" s="1066" t="e">
        <v>#VALUE!</v>
      </c>
      <c r="AI1370" s="1065" t="e">
        <f>TB_prev[[#This Row],[Synt]]&amp;TB_prev[[#This Row],[Line No. manual corr.]]</f>
        <v>#VALUE!</v>
      </c>
      <c r="AJ1370" s="1064">
        <f t="shared" si="106"/>
        <v>0</v>
      </c>
      <c r="AK1370" s="1064">
        <f t="shared" si="107"/>
        <v>0</v>
      </c>
      <c r="AL1370" s="1064">
        <f t="shared" si="108"/>
        <v>0</v>
      </c>
      <c r="AM1370" s="1064">
        <f t="shared" si="109"/>
        <v>0</v>
      </c>
      <c r="AN1370" s="1064"/>
      <c r="AO1370" s="1064">
        <f>TB_prev[[#This Row],[Closing balance]]+TB_prev[[#This Row],[Rounding]]</f>
        <v>0</v>
      </c>
    </row>
    <row r="1371" spans="30:41" x14ac:dyDescent="0.25">
      <c r="AD1371" s="1067" t="str">
        <f t="shared" si="105"/>
        <v/>
      </c>
      <c r="AE1371" s="1063" t="str">
        <f>IF(ISNA(VLOOKUP(TB_prev[[#This Row],[Synt]],GL[[#Headers],[#Data],[subtotal label]],1,FALSE)),0,(VLOOKUP(TB_prev[[#This Row],[Synt]],GL[[#Headers],[#Data],[subtotal label]],1,FALSE)))</f>
        <v/>
      </c>
      <c r="AF1371" s="1063" t="e">
        <f>IF((TB_prev[[#This Row],[Synt]]-TB_prev[[#This Row],[Subtotal Y/N]])=0,0,VLOOKUP(TB_prev[[#This Row],[Synt]],GL[[Account]:[Line]],3,FALSE))</f>
        <v>#VALUE!</v>
      </c>
      <c r="AG1371" s="1063" t="e">
        <f>VLOOKUP(TB_prev[[#This Row],[Synt]],GL[[Account]:[B/P]],4,FALSE)</f>
        <v>#N/A</v>
      </c>
      <c r="AH1371" s="1066" t="e">
        <v>#VALUE!</v>
      </c>
      <c r="AI1371" s="1065" t="e">
        <f>TB_prev[[#This Row],[Synt]]&amp;TB_prev[[#This Row],[Line No. manual corr.]]</f>
        <v>#VALUE!</v>
      </c>
      <c r="AJ1371" s="1064">
        <f t="shared" si="106"/>
        <v>0</v>
      </c>
      <c r="AK1371" s="1064">
        <f t="shared" si="107"/>
        <v>0</v>
      </c>
      <c r="AL1371" s="1064">
        <f t="shared" si="108"/>
        <v>0</v>
      </c>
      <c r="AM1371" s="1064">
        <f t="shared" si="109"/>
        <v>0</v>
      </c>
      <c r="AN1371" s="1064"/>
      <c r="AO1371" s="1064">
        <f>TB_prev[[#This Row],[Closing balance]]+TB_prev[[#This Row],[Rounding]]</f>
        <v>0</v>
      </c>
    </row>
    <row r="1372" spans="30:41" x14ac:dyDescent="0.25">
      <c r="AD1372" s="1067" t="str">
        <f t="shared" si="105"/>
        <v/>
      </c>
      <c r="AE1372" s="1063" t="str">
        <f>IF(ISNA(VLOOKUP(TB_prev[[#This Row],[Synt]],GL[[#Headers],[#Data],[subtotal label]],1,FALSE)),0,(VLOOKUP(TB_prev[[#This Row],[Synt]],GL[[#Headers],[#Data],[subtotal label]],1,FALSE)))</f>
        <v/>
      </c>
      <c r="AF1372" s="1063" t="e">
        <f>IF((TB_prev[[#This Row],[Synt]]-TB_prev[[#This Row],[Subtotal Y/N]])=0,0,VLOOKUP(TB_prev[[#This Row],[Synt]],GL[[Account]:[Line]],3,FALSE))</f>
        <v>#VALUE!</v>
      </c>
      <c r="AG1372" s="1063" t="e">
        <f>VLOOKUP(TB_prev[[#This Row],[Synt]],GL[[Account]:[B/P]],4,FALSE)</f>
        <v>#N/A</v>
      </c>
      <c r="AH1372" s="1066" t="e">
        <v>#VALUE!</v>
      </c>
      <c r="AI1372" s="1065" t="e">
        <f>TB_prev[[#This Row],[Synt]]&amp;TB_prev[[#This Row],[Line No. manual corr.]]</f>
        <v>#VALUE!</v>
      </c>
      <c r="AJ1372" s="1064">
        <f t="shared" si="106"/>
        <v>0</v>
      </c>
      <c r="AK1372" s="1064">
        <f t="shared" si="107"/>
        <v>0</v>
      </c>
      <c r="AL1372" s="1064">
        <f t="shared" si="108"/>
        <v>0</v>
      </c>
      <c r="AM1372" s="1064">
        <f t="shared" si="109"/>
        <v>0</v>
      </c>
      <c r="AN1372" s="1064"/>
      <c r="AO1372" s="1064">
        <f>TB_prev[[#This Row],[Closing balance]]+TB_prev[[#This Row],[Rounding]]</f>
        <v>0</v>
      </c>
    </row>
    <row r="1373" spans="30:41" x14ac:dyDescent="0.25">
      <c r="AD1373" s="1067" t="str">
        <f t="shared" si="105"/>
        <v/>
      </c>
      <c r="AE1373" s="1063" t="str">
        <f>IF(ISNA(VLOOKUP(TB_prev[[#This Row],[Synt]],GL[[#Headers],[#Data],[subtotal label]],1,FALSE)),0,(VLOOKUP(TB_prev[[#This Row],[Synt]],GL[[#Headers],[#Data],[subtotal label]],1,FALSE)))</f>
        <v/>
      </c>
      <c r="AF1373" s="1063" t="e">
        <f>IF((TB_prev[[#This Row],[Synt]]-TB_prev[[#This Row],[Subtotal Y/N]])=0,0,VLOOKUP(TB_prev[[#This Row],[Synt]],GL[[Account]:[Line]],3,FALSE))</f>
        <v>#VALUE!</v>
      </c>
      <c r="AG1373" s="1063" t="e">
        <f>VLOOKUP(TB_prev[[#This Row],[Synt]],GL[[Account]:[B/P]],4,FALSE)</f>
        <v>#N/A</v>
      </c>
      <c r="AH1373" s="1066" t="e">
        <v>#VALUE!</v>
      </c>
      <c r="AI1373" s="1065" t="e">
        <f>TB_prev[[#This Row],[Synt]]&amp;TB_prev[[#This Row],[Line No. manual corr.]]</f>
        <v>#VALUE!</v>
      </c>
      <c r="AJ1373" s="1064">
        <f t="shared" si="106"/>
        <v>0</v>
      </c>
      <c r="AK1373" s="1064">
        <f t="shared" si="107"/>
        <v>0</v>
      </c>
      <c r="AL1373" s="1064">
        <f t="shared" si="108"/>
        <v>0</v>
      </c>
      <c r="AM1373" s="1064">
        <f t="shared" si="109"/>
        <v>0</v>
      </c>
      <c r="AN1373" s="1064"/>
      <c r="AO1373" s="1064">
        <f>TB_prev[[#This Row],[Closing balance]]+TB_prev[[#This Row],[Rounding]]</f>
        <v>0</v>
      </c>
    </row>
    <row r="1374" spans="30:41" x14ac:dyDescent="0.25">
      <c r="AD1374" s="1067" t="str">
        <f t="shared" si="105"/>
        <v/>
      </c>
      <c r="AE1374" s="1063" t="str">
        <f>IF(ISNA(VLOOKUP(TB_prev[[#This Row],[Synt]],GL[[#Headers],[#Data],[subtotal label]],1,FALSE)),0,(VLOOKUP(TB_prev[[#This Row],[Synt]],GL[[#Headers],[#Data],[subtotal label]],1,FALSE)))</f>
        <v/>
      </c>
      <c r="AF1374" s="1063" t="e">
        <f>IF((TB_prev[[#This Row],[Synt]]-TB_prev[[#This Row],[Subtotal Y/N]])=0,0,VLOOKUP(TB_prev[[#This Row],[Synt]],GL[[Account]:[Line]],3,FALSE))</f>
        <v>#VALUE!</v>
      </c>
      <c r="AG1374" s="1063" t="e">
        <f>VLOOKUP(TB_prev[[#This Row],[Synt]],GL[[Account]:[B/P]],4,FALSE)</f>
        <v>#N/A</v>
      </c>
      <c r="AH1374" s="1066" t="e">
        <v>#VALUE!</v>
      </c>
      <c r="AI1374" s="1065" t="e">
        <f>TB_prev[[#This Row],[Synt]]&amp;TB_prev[[#This Row],[Line No. manual corr.]]</f>
        <v>#VALUE!</v>
      </c>
      <c r="AJ1374" s="1064">
        <f t="shared" si="106"/>
        <v>0</v>
      </c>
      <c r="AK1374" s="1064">
        <f t="shared" si="107"/>
        <v>0</v>
      </c>
      <c r="AL1374" s="1064">
        <f t="shared" si="108"/>
        <v>0</v>
      </c>
      <c r="AM1374" s="1064">
        <f t="shared" si="109"/>
        <v>0</v>
      </c>
      <c r="AN1374" s="1064"/>
      <c r="AO1374" s="1064">
        <f>TB_prev[[#This Row],[Closing balance]]+TB_prev[[#This Row],[Rounding]]</f>
        <v>0</v>
      </c>
    </row>
    <row r="1375" spans="30:41" x14ac:dyDescent="0.25">
      <c r="AD1375" s="1067" t="str">
        <f t="shared" si="105"/>
        <v/>
      </c>
      <c r="AE1375" s="1063" t="str">
        <f>IF(ISNA(VLOOKUP(TB_prev[[#This Row],[Synt]],GL[[#Headers],[#Data],[subtotal label]],1,FALSE)),0,(VLOOKUP(TB_prev[[#This Row],[Synt]],GL[[#Headers],[#Data],[subtotal label]],1,FALSE)))</f>
        <v/>
      </c>
      <c r="AF1375" s="1063" t="e">
        <f>IF((TB_prev[[#This Row],[Synt]]-TB_prev[[#This Row],[Subtotal Y/N]])=0,0,VLOOKUP(TB_prev[[#This Row],[Synt]],GL[[Account]:[Line]],3,FALSE))</f>
        <v>#VALUE!</v>
      </c>
      <c r="AG1375" s="1063" t="e">
        <f>VLOOKUP(TB_prev[[#This Row],[Synt]],GL[[Account]:[B/P]],4,FALSE)</f>
        <v>#N/A</v>
      </c>
      <c r="AH1375" s="1066" t="e">
        <v>#VALUE!</v>
      </c>
      <c r="AI1375" s="1065" t="e">
        <f>TB_prev[[#This Row],[Synt]]&amp;TB_prev[[#This Row],[Line No. manual corr.]]</f>
        <v>#VALUE!</v>
      </c>
      <c r="AJ1375" s="1064">
        <f t="shared" si="106"/>
        <v>0</v>
      </c>
      <c r="AK1375" s="1064">
        <f t="shared" si="107"/>
        <v>0</v>
      </c>
      <c r="AL1375" s="1064">
        <f t="shared" si="108"/>
        <v>0</v>
      </c>
      <c r="AM1375" s="1064">
        <f t="shared" si="109"/>
        <v>0</v>
      </c>
      <c r="AN1375" s="1064"/>
      <c r="AO1375" s="1064">
        <f>TB_prev[[#This Row],[Closing balance]]+TB_prev[[#This Row],[Rounding]]</f>
        <v>0</v>
      </c>
    </row>
    <row r="1376" spans="30:41" x14ac:dyDescent="0.25">
      <c r="AD1376" s="1067" t="str">
        <f t="shared" si="105"/>
        <v/>
      </c>
      <c r="AE1376" s="1063" t="str">
        <f>IF(ISNA(VLOOKUP(TB_prev[[#This Row],[Synt]],GL[[#Headers],[#Data],[subtotal label]],1,FALSE)),0,(VLOOKUP(TB_prev[[#This Row],[Synt]],GL[[#Headers],[#Data],[subtotal label]],1,FALSE)))</f>
        <v/>
      </c>
      <c r="AF1376" s="1063" t="e">
        <f>IF((TB_prev[[#This Row],[Synt]]-TB_prev[[#This Row],[Subtotal Y/N]])=0,0,VLOOKUP(TB_prev[[#This Row],[Synt]],GL[[Account]:[Line]],3,FALSE))</f>
        <v>#VALUE!</v>
      </c>
      <c r="AG1376" s="1063" t="e">
        <f>VLOOKUP(TB_prev[[#This Row],[Synt]],GL[[Account]:[B/P]],4,FALSE)</f>
        <v>#N/A</v>
      </c>
      <c r="AH1376" s="1066" t="e">
        <v>#VALUE!</v>
      </c>
      <c r="AI1376" s="1065" t="e">
        <f>TB_prev[[#This Row],[Synt]]&amp;TB_prev[[#This Row],[Line No. manual corr.]]</f>
        <v>#VALUE!</v>
      </c>
      <c r="AJ1376" s="1064">
        <f t="shared" si="106"/>
        <v>0</v>
      </c>
      <c r="AK1376" s="1064">
        <f t="shared" si="107"/>
        <v>0</v>
      </c>
      <c r="AL1376" s="1064">
        <f t="shared" si="108"/>
        <v>0</v>
      </c>
      <c r="AM1376" s="1064">
        <f t="shared" si="109"/>
        <v>0</v>
      </c>
      <c r="AN1376" s="1064"/>
      <c r="AO1376" s="1064">
        <f>TB_prev[[#This Row],[Closing balance]]+TB_prev[[#This Row],[Rounding]]</f>
        <v>0</v>
      </c>
    </row>
    <row r="1377" spans="30:41" x14ac:dyDescent="0.25">
      <c r="AD1377" s="1067" t="str">
        <f t="shared" si="105"/>
        <v/>
      </c>
      <c r="AE1377" s="1063" t="str">
        <f>IF(ISNA(VLOOKUP(TB_prev[[#This Row],[Synt]],GL[[#Headers],[#Data],[subtotal label]],1,FALSE)),0,(VLOOKUP(TB_prev[[#This Row],[Synt]],GL[[#Headers],[#Data],[subtotal label]],1,FALSE)))</f>
        <v/>
      </c>
      <c r="AF1377" s="1063" t="e">
        <f>IF((TB_prev[[#This Row],[Synt]]-TB_prev[[#This Row],[Subtotal Y/N]])=0,0,VLOOKUP(TB_prev[[#This Row],[Synt]],GL[[Account]:[Line]],3,FALSE))</f>
        <v>#VALUE!</v>
      </c>
      <c r="AG1377" s="1063" t="e">
        <f>VLOOKUP(TB_prev[[#This Row],[Synt]],GL[[Account]:[B/P]],4,FALSE)</f>
        <v>#N/A</v>
      </c>
      <c r="AH1377" s="1066" t="e">
        <v>#VALUE!</v>
      </c>
      <c r="AI1377" s="1065" t="e">
        <f>TB_prev[[#This Row],[Synt]]&amp;TB_prev[[#This Row],[Line No. manual corr.]]</f>
        <v>#VALUE!</v>
      </c>
      <c r="AJ1377" s="1064">
        <f t="shared" si="106"/>
        <v>0</v>
      </c>
      <c r="AK1377" s="1064">
        <f t="shared" si="107"/>
        <v>0</v>
      </c>
      <c r="AL1377" s="1064">
        <f t="shared" si="108"/>
        <v>0</v>
      </c>
      <c r="AM1377" s="1064">
        <f t="shared" si="109"/>
        <v>0</v>
      </c>
      <c r="AN1377" s="1064"/>
      <c r="AO1377" s="1064">
        <f>TB_prev[[#This Row],[Closing balance]]+TB_prev[[#This Row],[Rounding]]</f>
        <v>0</v>
      </c>
    </row>
    <row r="1378" spans="30:41" x14ac:dyDescent="0.25">
      <c r="AD1378" s="1067" t="str">
        <f t="shared" si="105"/>
        <v/>
      </c>
      <c r="AE1378" s="1063" t="str">
        <f>IF(ISNA(VLOOKUP(TB_prev[[#This Row],[Synt]],GL[[#Headers],[#Data],[subtotal label]],1,FALSE)),0,(VLOOKUP(TB_prev[[#This Row],[Synt]],GL[[#Headers],[#Data],[subtotal label]],1,FALSE)))</f>
        <v/>
      </c>
      <c r="AF1378" s="1063" t="e">
        <f>IF((TB_prev[[#This Row],[Synt]]-TB_prev[[#This Row],[Subtotal Y/N]])=0,0,VLOOKUP(TB_prev[[#This Row],[Synt]],GL[[Account]:[Line]],3,FALSE))</f>
        <v>#VALUE!</v>
      </c>
      <c r="AG1378" s="1063" t="e">
        <f>VLOOKUP(TB_prev[[#This Row],[Synt]],GL[[Account]:[B/P]],4,FALSE)</f>
        <v>#N/A</v>
      </c>
      <c r="AH1378" s="1066" t="e">
        <v>#VALUE!</v>
      </c>
      <c r="AI1378" s="1065" t="e">
        <f>TB_prev[[#This Row],[Synt]]&amp;TB_prev[[#This Row],[Line No. manual corr.]]</f>
        <v>#VALUE!</v>
      </c>
      <c r="AJ1378" s="1064">
        <f t="shared" si="106"/>
        <v>0</v>
      </c>
      <c r="AK1378" s="1064">
        <f t="shared" si="107"/>
        <v>0</v>
      </c>
      <c r="AL1378" s="1064">
        <f t="shared" si="108"/>
        <v>0</v>
      </c>
      <c r="AM1378" s="1064">
        <f t="shared" si="109"/>
        <v>0</v>
      </c>
      <c r="AN1378" s="1064"/>
      <c r="AO1378" s="1064">
        <f>TB_prev[[#This Row],[Closing balance]]+TB_prev[[#This Row],[Rounding]]</f>
        <v>0</v>
      </c>
    </row>
    <row r="1379" spans="30:41" x14ac:dyDescent="0.25">
      <c r="AD1379" s="1067" t="str">
        <f t="shared" si="105"/>
        <v/>
      </c>
      <c r="AE1379" s="1063" t="str">
        <f>IF(ISNA(VLOOKUP(TB_prev[[#This Row],[Synt]],GL[[#Headers],[#Data],[subtotal label]],1,FALSE)),0,(VLOOKUP(TB_prev[[#This Row],[Synt]],GL[[#Headers],[#Data],[subtotal label]],1,FALSE)))</f>
        <v/>
      </c>
      <c r="AF1379" s="1063" t="e">
        <f>IF((TB_prev[[#This Row],[Synt]]-TB_prev[[#This Row],[Subtotal Y/N]])=0,0,VLOOKUP(TB_prev[[#This Row],[Synt]],GL[[Account]:[Line]],3,FALSE))</f>
        <v>#VALUE!</v>
      </c>
      <c r="AG1379" s="1063" t="e">
        <f>VLOOKUP(TB_prev[[#This Row],[Synt]],GL[[Account]:[B/P]],4,FALSE)</f>
        <v>#N/A</v>
      </c>
      <c r="AH1379" s="1066" t="e">
        <v>#VALUE!</v>
      </c>
      <c r="AI1379" s="1065" t="e">
        <f>TB_prev[[#This Row],[Synt]]&amp;TB_prev[[#This Row],[Line No. manual corr.]]</f>
        <v>#VALUE!</v>
      </c>
      <c r="AJ1379" s="1064">
        <f t="shared" si="106"/>
        <v>0</v>
      </c>
      <c r="AK1379" s="1064">
        <f t="shared" si="107"/>
        <v>0</v>
      </c>
      <c r="AL1379" s="1064">
        <f t="shared" si="108"/>
        <v>0</v>
      </c>
      <c r="AM1379" s="1064">
        <f t="shared" si="109"/>
        <v>0</v>
      </c>
      <c r="AN1379" s="1064"/>
      <c r="AO1379" s="1064">
        <f>TB_prev[[#This Row],[Closing balance]]+TB_prev[[#This Row],[Rounding]]</f>
        <v>0</v>
      </c>
    </row>
    <row r="1380" spans="30:41" x14ac:dyDescent="0.25">
      <c r="AD1380" s="1067" t="str">
        <f t="shared" si="105"/>
        <v/>
      </c>
      <c r="AE1380" s="1063" t="str">
        <f>IF(ISNA(VLOOKUP(TB_prev[[#This Row],[Synt]],GL[[#Headers],[#Data],[subtotal label]],1,FALSE)),0,(VLOOKUP(TB_prev[[#This Row],[Synt]],GL[[#Headers],[#Data],[subtotal label]],1,FALSE)))</f>
        <v/>
      </c>
      <c r="AF1380" s="1063" t="e">
        <f>IF((TB_prev[[#This Row],[Synt]]-TB_prev[[#This Row],[Subtotal Y/N]])=0,0,VLOOKUP(TB_prev[[#This Row],[Synt]],GL[[Account]:[Line]],3,FALSE))</f>
        <v>#VALUE!</v>
      </c>
      <c r="AG1380" s="1063" t="e">
        <f>VLOOKUP(TB_prev[[#This Row],[Synt]],GL[[Account]:[B/P]],4,FALSE)</f>
        <v>#N/A</v>
      </c>
      <c r="AH1380" s="1066" t="e">
        <v>#VALUE!</v>
      </c>
      <c r="AI1380" s="1065" t="e">
        <f>TB_prev[[#This Row],[Synt]]&amp;TB_prev[[#This Row],[Line No. manual corr.]]</f>
        <v>#VALUE!</v>
      </c>
      <c r="AJ1380" s="1064">
        <f t="shared" si="106"/>
        <v>0</v>
      </c>
      <c r="AK1380" s="1064">
        <f t="shared" si="107"/>
        <v>0</v>
      </c>
      <c r="AL1380" s="1064">
        <f t="shared" si="108"/>
        <v>0</v>
      </c>
      <c r="AM1380" s="1064">
        <f t="shared" si="109"/>
        <v>0</v>
      </c>
      <c r="AN1380" s="1064"/>
      <c r="AO1380" s="1064">
        <f>TB_prev[[#This Row],[Closing balance]]+TB_prev[[#This Row],[Rounding]]</f>
        <v>0</v>
      </c>
    </row>
    <row r="1381" spans="30:41" x14ac:dyDescent="0.25">
      <c r="AD1381" s="1067" t="str">
        <f t="shared" si="105"/>
        <v/>
      </c>
      <c r="AE1381" s="1063" t="str">
        <f>IF(ISNA(VLOOKUP(TB_prev[[#This Row],[Synt]],GL[[#Headers],[#Data],[subtotal label]],1,FALSE)),0,(VLOOKUP(TB_prev[[#This Row],[Synt]],GL[[#Headers],[#Data],[subtotal label]],1,FALSE)))</f>
        <v/>
      </c>
      <c r="AF1381" s="1063" t="e">
        <f>IF((TB_prev[[#This Row],[Synt]]-TB_prev[[#This Row],[Subtotal Y/N]])=0,0,VLOOKUP(TB_prev[[#This Row],[Synt]],GL[[Account]:[Line]],3,FALSE))</f>
        <v>#VALUE!</v>
      </c>
      <c r="AG1381" s="1063" t="e">
        <f>VLOOKUP(TB_prev[[#This Row],[Synt]],GL[[Account]:[B/P]],4,FALSE)</f>
        <v>#N/A</v>
      </c>
      <c r="AH1381" s="1066" t="e">
        <v>#VALUE!</v>
      </c>
      <c r="AI1381" s="1065" t="e">
        <f>TB_prev[[#This Row],[Synt]]&amp;TB_prev[[#This Row],[Line No. manual corr.]]</f>
        <v>#VALUE!</v>
      </c>
      <c r="AJ1381" s="1064">
        <f t="shared" si="106"/>
        <v>0</v>
      </c>
      <c r="AK1381" s="1064">
        <f t="shared" si="107"/>
        <v>0</v>
      </c>
      <c r="AL1381" s="1064">
        <f t="shared" si="108"/>
        <v>0</v>
      </c>
      <c r="AM1381" s="1064">
        <f t="shared" si="109"/>
        <v>0</v>
      </c>
      <c r="AN1381" s="1064"/>
      <c r="AO1381" s="1064">
        <f>TB_prev[[#This Row],[Closing balance]]+TB_prev[[#This Row],[Rounding]]</f>
        <v>0</v>
      </c>
    </row>
    <row r="1382" spans="30:41" x14ac:dyDescent="0.25">
      <c r="AD1382" s="1067" t="str">
        <f t="shared" si="105"/>
        <v/>
      </c>
      <c r="AE1382" s="1063" t="str">
        <f>IF(ISNA(VLOOKUP(TB_prev[[#This Row],[Synt]],GL[[#Headers],[#Data],[subtotal label]],1,FALSE)),0,(VLOOKUP(TB_prev[[#This Row],[Synt]],GL[[#Headers],[#Data],[subtotal label]],1,FALSE)))</f>
        <v/>
      </c>
      <c r="AF1382" s="1063" t="e">
        <f>IF((TB_prev[[#This Row],[Synt]]-TB_prev[[#This Row],[Subtotal Y/N]])=0,0,VLOOKUP(TB_prev[[#This Row],[Synt]],GL[[Account]:[Line]],3,FALSE))</f>
        <v>#VALUE!</v>
      </c>
      <c r="AG1382" s="1063" t="e">
        <f>VLOOKUP(TB_prev[[#This Row],[Synt]],GL[[Account]:[B/P]],4,FALSE)</f>
        <v>#N/A</v>
      </c>
      <c r="AH1382" s="1066" t="e">
        <v>#VALUE!</v>
      </c>
      <c r="AI1382" s="1065" t="e">
        <f>TB_prev[[#This Row],[Synt]]&amp;TB_prev[[#This Row],[Line No. manual corr.]]</f>
        <v>#VALUE!</v>
      </c>
      <c r="AJ1382" s="1064">
        <f t="shared" si="106"/>
        <v>0</v>
      </c>
      <c r="AK1382" s="1064">
        <f t="shared" si="107"/>
        <v>0</v>
      </c>
      <c r="AL1382" s="1064">
        <f t="shared" si="108"/>
        <v>0</v>
      </c>
      <c r="AM1382" s="1064">
        <f t="shared" si="109"/>
        <v>0</v>
      </c>
      <c r="AN1382" s="1064"/>
      <c r="AO1382" s="1064">
        <f>TB_prev[[#This Row],[Closing balance]]+TB_prev[[#This Row],[Rounding]]</f>
        <v>0</v>
      </c>
    </row>
    <row r="1383" spans="30:41" x14ac:dyDescent="0.25">
      <c r="AD1383" s="1067" t="str">
        <f t="shared" si="105"/>
        <v/>
      </c>
      <c r="AE1383" s="1063" t="str">
        <f>IF(ISNA(VLOOKUP(TB_prev[[#This Row],[Synt]],GL[[#Headers],[#Data],[subtotal label]],1,FALSE)),0,(VLOOKUP(TB_prev[[#This Row],[Synt]],GL[[#Headers],[#Data],[subtotal label]],1,FALSE)))</f>
        <v/>
      </c>
      <c r="AF1383" s="1063" t="e">
        <f>IF((TB_prev[[#This Row],[Synt]]-TB_prev[[#This Row],[Subtotal Y/N]])=0,0,VLOOKUP(TB_prev[[#This Row],[Synt]],GL[[Account]:[Line]],3,FALSE))</f>
        <v>#VALUE!</v>
      </c>
      <c r="AG1383" s="1063" t="e">
        <f>VLOOKUP(TB_prev[[#This Row],[Synt]],GL[[Account]:[B/P]],4,FALSE)</f>
        <v>#N/A</v>
      </c>
      <c r="AH1383" s="1066" t="e">
        <v>#VALUE!</v>
      </c>
      <c r="AI1383" s="1065" t="e">
        <f>TB_prev[[#This Row],[Synt]]&amp;TB_prev[[#This Row],[Line No. manual corr.]]</f>
        <v>#VALUE!</v>
      </c>
      <c r="AJ1383" s="1064">
        <f t="shared" si="106"/>
        <v>0</v>
      </c>
      <c r="AK1383" s="1064">
        <f t="shared" si="107"/>
        <v>0</v>
      </c>
      <c r="AL1383" s="1064">
        <f t="shared" si="108"/>
        <v>0</v>
      </c>
      <c r="AM1383" s="1064">
        <f t="shared" si="109"/>
        <v>0</v>
      </c>
      <c r="AN1383" s="1064"/>
      <c r="AO1383" s="1064">
        <f>TB_prev[[#This Row],[Closing balance]]+TB_prev[[#This Row],[Rounding]]</f>
        <v>0</v>
      </c>
    </row>
    <row r="1384" spans="30:41" x14ac:dyDescent="0.25">
      <c r="AD1384" s="1067" t="str">
        <f t="shared" si="105"/>
        <v/>
      </c>
      <c r="AE1384" s="1063" t="str">
        <f>IF(ISNA(VLOOKUP(TB_prev[[#This Row],[Synt]],GL[[#Headers],[#Data],[subtotal label]],1,FALSE)),0,(VLOOKUP(TB_prev[[#This Row],[Synt]],GL[[#Headers],[#Data],[subtotal label]],1,FALSE)))</f>
        <v/>
      </c>
      <c r="AF1384" s="1063" t="e">
        <f>IF((TB_prev[[#This Row],[Synt]]-TB_prev[[#This Row],[Subtotal Y/N]])=0,0,VLOOKUP(TB_prev[[#This Row],[Synt]],GL[[Account]:[Line]],3,FALSE))</f>
        <v>#VALUE!</v>
      </c>
      <c r="AG1384" s="1063" t="e">
        <f>VLOOKUP(TB_prev[[#This Row],[Synt]],GL[[Account]:[B/P]],4,FALSE)</f>
        <v>#N/A</v>
      </c>
      <c r="AH1384" s="1066" t="e">
        <v>#VALUE!</v>
      </c>
      <c r="AI1384" s="1065" t="e">
        <f>TB_prev[[#This Row],[Synt]]&amp;TB_prev[[#This Row],[Line No. manual corr.]]</f>
        <v>#VALUE!</v>
      </c>
      <c r="AJ1384" s="1064">
        <f t="shared" si="106"/>
        <v>0</v>
      </c>
      <c r="AK1384" s="1064">
        <f t="shared" si="107"/>
        <v>0</v>
      </c>
      <c r="AL1384" s="1064">
        <f t="shared" si="108"/>
        <v>0</v>
      </c>
      <c r="AM1384" s="1064">
        <f t="shared" si="109"/>
        <v>0</v>
      </c>
      <c r="AN1384" s="1064"/>
      <c r="AO1384" s="1064">
        <f>TB_prev[[#This Row],[Closing balance]]+TB_prev[[#This Row],[Rounding]]</f>
        <v>0</v>
      </c>
    </row>
    <row r="1385" spans="30:41" x14ac:dyDescent="0.25">
      <c r="AD1385" s="1067" t="str">
        <f t="shared" si="105"/>
        <v/>
      </c>
      <c r="AE1385" s="1063" t="str">
        <f>IF(ISNA(VLOOKUP(TB_prev[[#This Row],[Synt]],GL[[#Headers],[#Data],[subtotal label]],1,FALSE)),0,(VLOOKUP(TB_prev[[#This Row],[Synt]],GL[[#Headers],[#Data],[subtotal label]],1,FALSE)))</f>
        <v/>
      </c>
      <c r="AF1385" s="1063" t="e">
        <f>IF((TB_prev[[#This Row],[Synt]]-TB_prev[[#This Row],[Subtotal Y/N]])=0,0,VLOOKUP(TB_prev[[#This Row],[Synt]],GL[[Account]:[Line]],3,FALSE))</f>
        <v>#VALUE!</v>
      </c>
      <c r="AG1385" s="1063" t="e">
        <f>VLOOKUP(TB_prev[[#This Row],[Synt]],GL[[Account]:[B/P]],4,FALSE)</f>
        <v>#N/A</v>
      </c>
      <c r="AH1385" s="1066" t="e">
        <v>#VALUE!</v>
      </c>
      <c r="AI1385" s="1065" t="e">
        <f>TB_prev[[#This Row],[Synt]]&amp;TB_prev[[#This Row],[Line No. manual corr.]]</f>
        <v>#VALUE!</v>
      </c>
      <c r="AJ1385" s="1064">
        <f t="shared" si="106"/>
        <v>0</v>
      </c>
      <c r="AK1385" s="1064">
        <f t="shared" si="107"/>
        <v>0</v>
      </c>
      <c r="AL1385" s="1064">
        <f t="shared" si="108"/>
        <v>0</v>
      </c>
      <c r="AM1385" s="1064">
        <f t="shared" si="109"/>
        <v>0</v>
      </c>
      <c r="AN1385" s="1064"/>
      <c r="AO1385" s="1064">
        <f>TB_prev[[#This Row],[Closing balance]]+TB_prev[[#This Row],[Rounding]]</f>
        <v>0</v>
      </c>
    </row>
    <row r="1386" spans="30:41" x14ac:dyDescent="0.25">
      <c r="AD1386" s="1067" t="str">
        <f t="shared" si="105"/>
        <v/>
      </c>
      <c r="AE1386" s="1063" t="str">
        <f>IF(ISNA(VLOOKUP(TB_prev[[#This Row],[Synt]],GL[[#Headers],[#Data],[subtotal label]],1,FALSE)),0,(VLOOKUP(TB_prev[[#This Row],[Synt]],GL[[#Headers],[#Data],[subtotal label]],1,FALSE)))</f>
        <v/>
      </c>
      <c r="AF1386" s="1063" t="e">
        <f>IF((TB_prev[[#This Row],[Synt]]-TB_prev[[#This Row],[Subtotal Y/N]])=0,0,VLOOKUP(TB_prev[[#This Row],[Synt]],GL[[Account]:[Line]],3,FALSE))</f>
        <v>#VALUE!</v>
      </c>
      <c r="AG1386" s="1063" t="e">
        <f>VLOOKUP(TB_prev[[#This Row],[Synt]],GL[[Account]:[B/P]],4,FALSE)</f>
        <v>#N/A</v>
      </c>
      <c r="AH1386" s="1066" t="e">
        <v>#VALUE!</v>
      </c>
      <c r="AI1386" s="1065" t="e">
        <f>TB_prev[[#This Row],[Synt]]&amp;TB_prev[[#This Row],[Line No. manual corr.]]</f>
        <v>#VALUE!</v>
      </c>
      <c r="AJ1386" s="1064">
        <f t="shared" si="106"/>
        <v>0</v>
      </c>
      <c r="AK1386" s="1064">
        <f t="shared" si="107"/>
        <v>0</v>
      </c>
      <c r="AL1386" s="1064">
        <f t="shared" si="108"/>
        <v>0</v>
      </c>
      <c r="AM1386" s="1064">
        <f t="shared" si="109"/>
        <v>0</v>
      </c>
      <c r="AN1386" s="1064"/>
      <c r="AO1386" s="1064">
        <f>TB_prev[[#This Row],[Closing balance]]+TB_prev[[#This Row],[Rounding]]</f>
        <v>0</v>
      </c>
    </row>
    <row r="1387" spans="30:41" x14ac:dyDescent="0.25">
      <c r="AD1387" s="1067" t="str">
        <f t="shared" si="105"/>
        <v/>
      </c>
      <c r="AE1387" s="1063" t="str">
        <f>IF(ISNA(VLOOKUP(TB_prev[[#This Row],[Synt]],GL[[#Headers],[#Data],[subtotal label]],1,FALSE)),0,(VLOOKUP(TB_prev[[#This Row],[Synt]],GL[[#Headers],[#Data],[subtotal label]],1,FALSE)))</f>
        <v/>
      </c>
      <c r="AF1387" s="1063" t="e">
        <f>IF((TB_prev[[#This Row],[Synt]]-TB_prev[[#This Row],[Subtotal Y/N]])=0,0,VLOOKUP(TB_prev[[#This Row],[Synt]],GL[[Account]:[Line]],3,FALSE))</f>
        <v>#VALUE!</v>
      </c>
      <c r="AG1387" s="1063" t="e">
        <f>VLOOKUP(TB_prev[[#This Row],[Synt]],GL[[Account]:[B/P]],4,FALSE)</f>
        <v>#N/A</v>
      </c>
      <c r="AH1387" s="1066" t="e">
        <v>#VALUE!</v>
      </c>
      <c r="AI1387" s="1065" t="e">
        <f>TB_prev[[#This Row],[Synt]]&amp;TB_prev[[#This Row],[Line No. manual corr.]]</f>
        <v>#VALUE!</v>
      </c>
      <c r="AJ1387" s="1064">
        <f t="shared" si="106"/>
        <v>0</v>
      </c>
      <c r="AK1387" s="1064">
        <f t="shared" si="107"/>
        <v>0</v>
      </c>
      <c r="AL1387" s="1064">
        <f t="shared" si="108"/>
        <v>0</v>
      </c>
      <c r="AM1387" s="1064">
        <f t="shared" si="109"/>
        <v>0</v>
      </c>
      <c r="AN1387" s="1064"/>
      <c r="AO1387" s="1064">
        <f>TB_prev[[#This Row],[Closing balance]]+TB_prev[[#This Row],[Rounding]]</f>
        <v>0</v>
      </c>
    </row>
    <row r="1388" spans="30:41" x14ac:dyDescent="0.25">
      <c r="AD1388" s="1067" t="str">
        <f t="shared" si="105"/>
        <v/>
      </c>
      <c r="AE1388" s="1063" t="str">
        <f>IF(ISNA(VLOOKUP(TB_prev[[#This Row],[Synt]],GL[[#Headers],[#Data],[subtotal label]],1,FALSE)),0,(VLOOKUP(TB_prev[[#This Row],[Synt]],GL[[#Headers],[#Data],[subtotal label]],1,FALSE)))</f>
        <v/>
      </c>
      <c r="AF1388" s="1063" t="e">
        <f>IF((TB_prev[[#This Row],[Synt]]-TB_prev[[#This Row],[Subtotal Y/N]])=0,0,VLOOKUP(TB_prev[[#This Row],[Synt]],GL[[Account]:[Line]],3,FALSE))</f>
        <v>#VALUE!</v>
      </c>
      <c r="AG1388" s="1063" t="e">
        <f>VLOOKUP(TB_prev[[#This Row],[Synt]],GL[[Account]:[B/P]],4,FALSE)</f>
        <v>#N/A</v>
      </c>
      <c r="AH1388" s="1066" t="e">
        <v>#VALUE!</v>
      </c>
      <c r="AI1388" s="1065" t="e">
        <f>TB_prev[[#This Row],[Synt]]&amp;TB_prev[[#This Row],[Line No. manual corr.]]</f>
        <v>#VALUE!</v>
      </c>
      <c r="AJ1388" s="1064">
        <f t="shared" si="106"/>
        <v>0</v>
      </c>
      <c r="AK1388" s="1064">
        <f t="shared" si="107"/>
        <v>0</v>
      </c>
      <c r="AL1388" s="1064">
        <f t="shared" si="108"/>
        <v>0</v>
      </c>
      <c r="AM1388" s="1064">
        <f t="shared" si="109"/>
        <v>0</v>
      </c>
      <c r="AN1388" s="1064"/>
      <c r="AO1388" s="1064">
        <f>TB_prev[[#This Row],[Closing balance]]+TB_prev[[#This Row],[Rounding]]</f>
        <v>0</v>
      </c>
    </row>
    <row r="1389" spans="30:41" x14ac:dyDescent="0.25">
      <c r="AD1389" s="1067" t="str">
        <f t="shared" si="105"/>
        <v/>
      </c>
      <c r="AE1389" s="1063" t="str">
        <f>IF(ISNA(VLOOKUP(TB_prev[[#This Row],[Synt]],GL[[#Headers],[#Data],[subtotal label]],1,FALSE)),0,(VLOOKUP(TB_prev[[#This Row],[Synt]],GL[[#Headers],[#Data],[subtotal label]],1,FALSE)))</f>
        <v/>
      </c>
      <c r="AF1389" s="1063" t="e">
        <f>IF((TB_prev[[#This Row],[Synt]]-TB_prev[[#This Row],[Subtotal Y/N]])=0,0,VLOOKUP(TB_prev[[#This Row],[Synt]],GL[[Account]:[Line]],3,FALSE))</f>
        <v>#VALUE!</v>
      </c>
      <c r="AG1389" s="1063" t="e">
        <f>VLOOKUP(TB_prev[[#This Row],[Synt]],GL[[Account]:[B/P]],4,FALSE)</f>
        <v>#N/A</v>
      </c>
      <c r="AH1389" s="1066" t="e">
        <v>#VALUE!</v>
      </c>
      <c r="AI1389" s="1065" t="e">
        <f>TB_prev[[#This Row],[Synt]]&amp;TB_prev[[#This Row],[Line No. manual corr.]]</f>
        <v>#VALUE!</v>
      </c>
      <c r="AJ1389" s="1064">
        <f t="shared" si="106"/>
        <v>0</v>
      </c>
      <c r="AK1389" s="1064">
        <f t="shared" si="107"/>
        <v>0</v>
      </c>
      <c r="AL1389" s="1064">
        <f t="shared" si="108"/>
        <v>0</v>
      </c>
      <c r="AM1389" s="1064">
        <f t="shared" si="109"/>
        <v>0</v>
      </c>
      <c r="AN1389" s="1064"/>
      <c r="AO1389" s="1064">
        <f>TB_prev[[#This Row],[Closing balance]]+TB_prev[[#This Row],[Rounding]]</f>
        <v>0</v>
      </c>
    </row>
    <row r="1390" spans="30:41" x14ac:dyDescent="0.25">
      <c r="AD1390" s="1067" t="str">
        <f t="shared" si="105"/>
        <v/>
      </c>
      <c r="AE1390" s="1063" t="str">
        <f>IF(ISNA(VLOOKUP(TB_prev[[#This Row],[Synt]],GL[[#Headers],[#Data],[subtotal label]],1,FALSE)),0,(VLOOKUP(TB_prev[[#This Row],[Synt]],GL[[#Headers],[#Data],[subtotal label]],1,FALSE)))</f>
        <v/>
      </c>
      <c r="AF1390" s="1063" t="e">
        <f>IF((TB_prev[[#This Row],[Synt]]-TB_prev[[#This Row],[Subtotal Y/N]])=0,0,VLOOKUP(TB_prev[[#This Row],[Synt]],GL[[Account]:[Line]],3,FALSE))</f>
        <v>#VALUE!</v>
      </c>
      <c r="AG1390" s="1063" t="e">
        <f>VLOOKUP(TB_prev[[#This Row],[Synt]],GL[[Account]:[B/P]],4,FALSE)</f>
        <v>#N/A</v>
      </c>
      <c r="AH1390" s="1066" t="e">
        <v>#VALUE!</v>
      </c>
      <c r="AI1390" s="1065" t="e">
        <f>TB_prev[[#This Row],[Synt]]&amp;TB_prev[[#This Row],[Line No. manual corr.]]</f>
        <v>#VALUE!</v>
      </c>
      <c r="AJ1390" s="1064">
        <f t="shared" si="106"/>
        <v>0</v>
      </c>
      <c r="AK1390" s="1064">
        <f t="shared" si="107"/>
        <v>0</v>
      </c>
      <c r="AL1390" s="1064">
        <f t="shared" si="108"/>
        <v>0</v>
      </c>
      <c r="AM1390" s="1064">
        <f t="shared" si="109"/>
        <v>0</v>
      </c>
      <c r="AN1390" s="1064"/>
      <c r="AO1390" s="1064">
        <f>TB_prev[[#This Row],[Closing balance]]+TB_prev[[#This Row],[Rounding]]</f>
        <v>0</v>
      </c>
    </row>
    <row r="1391" spans="30:41" x14ac:dyDescent="0.25">
      <c r="AD1391" s="1067" t="str">
        <f t="shared" si="105"/>
        <v/>
      </c>
      <c r="AE1391" s="1063" t="str">
        <f>IF(ISNA(VLOOKUP(TB_prev[[#This Row],[Synt]],GL[[#Headers],[#Data],[subtotal label]],1,FALSE)),0,(VLOOKUP(TB_prev[[#This Row],[Synt]],GL[[#Headers],[#Data],[subtotal label]],1,FALSE)))</f>
        <v/>
      </c>
      <c r="AF1391" s="1063" t="e">
        <f>IF((TB_prev[[#This Row],[Synt]]-TB_prev[[#This Row],[Subtotal Y/N]])=0,0,VLOOKUP(TB_prev[[#This Row],[Synt]],GL[[Account]:[Line]],3,FALSE))</f>
        <v>#VALUE!</v>
      </c>
      <c r="AG1391" s="1063" t="e">
        <f>VLOOKUP(TB_prev[[#This Row],[Synt]],GL[[Account]:[B/P]],4,FALSE)</f>
        <v>#N/A</v>
      </c>
      <c r="AH1391" s="1066" t="e">
        <v>#VALUE!</v>
      </c>
      <c r="AI1391" s="1065" t="e">
        <f>TB_prev[[#This Row],[Synt]]&amp;TB_prev[[#This Row],[Line No. manual corr.]]</f>
        <v>#VALUE!</v>
      </c>
      <c r="AJ1391" s="1064">
        <f t="shared" si="106"/>
        <v>0</v>
      </c>
      <c r="AK1391" s="1064">
        <f t="shared" si="107"/>
        <v>0</v>
      </c>
      <c r="AL1391" s="1064">
        <f t="shared" si="108"/>
        <v>0</v>
      </c>
      <c r="AM1391" s="1064">
        <f t="shared" si="109"/>
        <v>0</v>
      </c>
      <c r="AN1391" s="1064"/>
      <c r="AO1391" s="1064">
        <f>TB_prev[[#This Row],[Closing balance]]+TB_prev[[#This Row],[Rounding]]</f>
        <v>0</v>
      </c>
    </row>
    <row r="1392" spans="30:41" x14ac:dyDescent="0.25">
      <c r="AD1392" s="1067" t="str">
        <f t="shared" si="105"/>
        <v/>
      </c>
      <c r="AE1392" s="1063" t="str">
        <f>IF(ISNA(VLOOKUP(TB_prev[[#This Row],[Synt]],GL[[#Headers],[#Data],[subtotal label]],1,FALSE)),0,(VLOOKUP(TB_prev[[#This Row],[Synt]],GL[[#Headers],[#Data],[subtotal label]],1,FALSE)))</f>
        <v/>
      </c>
      <c r="AF1392" s="1063" t="e">
        <f>IF((TB_prev[[#This Row],[Synt]]-TB_prev[[#This Row],[Subtotal Y/N]])=0,0,VLOOKUP(TB_prev[[#This Row],[Synt]],GL[[Account]:[Line]],3,FALSE))</f>
        <v>#VALUE!</v>
      </c>
      <c r="AG1392" s="1063" t="e">
        <f>VLOOKUP(TB_prev[[#This Row],[Synt]],GL[[Account]:[B/P]],4,FALSE)</f>
        <v>#N/A</v>
      </c>
      <c r="AH1392" s="1066" t="e">
        <v>#VALUE!</v>
      </c>
      <c r="AI1392" s="1065" t="e">
        <f>TB_prev[[#This Row],[Synt]]&amp;TB_prev[[#This Row],[Line No. manual corr.]]</f>
        <v>#VALUE!</v>
      </c>
      <c r="AJ1392" s="1064">
        <f t="shared" si="106"/>
        <v>0</v>
      </c>
      <c r="AK1392" s="1064">
        <f t="shared" si="107"/>
        <v>0</v>
      </c>
      <c r="AL1392" s="1064">
        <f t="shared" si="108"/>
        <v>0</v>
      </c>
      <c r="AM1392" s="1064">
        <f t="shared" si="109"/>
        <v>0</v>
      </c>
      <c r="AN1392" s="1064"/>
      <c r="AO1392" s="1064">
        <f>TB_prev[[#This Row],[Closing balance]]+TB_prev[[#This Row],[Rounding]]</f>
        <v>0</v>
      </c>
    </row>
    <row r="1393" spans="30:41" x14ac:dyDescent="0.25">
      <c r="AD1393" s="1067" t="str">
        <f t="shared" si="105"/>
        <v/>
      </c>
      <c r="AE1393" s="1063" t="str">
        <f>IF(ISNA(VLOOKUP(TB_prev[[#This Row],[Synt]],GL[[#Headers],[#Data],[subtotal label]],1,FALSE)),0,(VLOOKUP(TB_prev[[#This Row],[Synt]],GL[[#Headers],[#Data],[subtotal label]],1,FALSE)))</f>
        <v/>
      </c>
      <c r="AF1393" s="1063" t="e">
        <f>IF((TB_prev[[#This Row],[Synt]]-TB_prev[[#This Row],[Subtotal Y/N]])=0,0,VLOOKUP(TB_prev[[#This Row],[Synt]],GL[[Account]:[Line]],3,FALSE))</f>
        <v>#VALUE!</v>
      </c>
      <c r="AG1393" s="1063" t="e">
        <f>VLOOKUP(TB_prev[[#This Row],[Synt]],GL[[Account]:[B/P]],4,FALSE)</f>
        <v>#N/A</v>
      </c>
      <c r="AH1393" s="1066" t="e">
        <v>#VALUE!</v>
      </c>
      <c r="AI1393" s="1065" t="e">
        <f>TB_prev[[#This Row],[Synt]]&amp;TB_prev[[#This Row],[Line No. manual corr.]]</f>
        <v>#VALUE!</v>
      </c>
      <c r="AJ1393" s="1064">
        <f t="shared" si="106"/>
        <v>0</v>
      </c>
      <c r="AK1393" s="1064">
        <f t="shared" si="107"/>
        <v>0</v>
      </c>
      <c r="AL1393" s="1064">
        <f t="shared" si="108"/>
        <v>0</v>
      </c>
      <c r="AM1393" s="1064">
        <f t="shared" si="109"/>
        <v>0</v>
      </c>
      <c r="AN1393" s="1064"/>
      <c r="AO1393" s="1064">
        <f>TB_prev[[#This Row],[Closing balance]]+TB_prev[[#This Row],[Rounding]]</f>
        <v>0</v>
      </c>
    </row>
    <row r="1394" spans="30:41" x14ac:dyDescent="0.25">
      <c r="AD1394" s="1067" t="str">
        <f t="shared" si="105"/>
        <v/>
      </c>
      <c r="AE1394" s="1063" t="str">
        <f>IF(ISNA(VLOOKUP(TB_prev[[#This Row],[Synt]],GL[[#Headers],[#Data],[subtotal label]],1,FALSE)),0,(VLOOKUP(TB_prev[[#This Row],[Synt]],GL[[#Headers],[#Data],[subtotal label]],1,FALSE)))</f>
        <v/>
      </c>
      <c r="AF1394" s="1063" t="e">
        <f>IF((TB_prev[[#This Row],[Synt]]-TB_prev[[#This Row],[Subtotal Y/N]])=0,0,VLOOKUP(TB_prev[[#This Row],[Synt]],GL[[Account]:[Line]],3,FALSE))</f>
        <v>#VALUE!</v>
      </c>
      <c r="AG1394" s="1063" t="e">
        <f>VLOOKUP(TB_prev[[#This Row],[Synt]],GL[[Account]:[B/P]],4,FALSE)</f>
        <v>#N/A</v>
      </c>
      <c r="AH1394" s="1066" t="e">
        <v>#VALUE!</v>
      </c>
      <c r="AI1394" s="1065" t="e">
        <f>TB_prev[[#This Row],[Synt]]&amp;TB_prev[[#This Row],[Line No. manual corr.]]</f>
        <v>#VALUE!</v>
      </c>
      <c r="AJ1394" s="1064">
        <f t="shared" si="106"/>
        <v>0</v>
      </c>
      <c r="AK1394" s="1064">
        <f t="shared" si="107"/>
        <v>0</v>
      </c>
      <c r="AL1394" s="1064">
        <f t="shared" si="108"/>
        <v>0</v>
      </c>
      <c r="AM1394" s="1064">
        <f t="shared" si="109"/>
        <v>0</v>
      </c>
      <c r="AN1394" s="1064"/>
      <c r="AO1394" s="1064">
        <f>TB_prev[[#This Row],[Closing balance]]+TB_prev[[#This Row],[Rounding]]</f>
        <v>0</v>
      </c>
    </row>
    <row r="1395" spans="30:41" x14ac:dyDescent="0.25">
      <c r="AD1395" s="1067" t="str">
        <f t="shared" si="105"/>
        <v/>
      </c>
      <c r="AE1395" s="1063" t="str">
        <f>IF(ISNA(VLOOKUP(TB_prev[[#This Row],[Synt]],GL[[#Headers],[#Data],[subtotal label]],1,FALSE)),0,(VLOOKUP(TB_prev[[#This Row],[Synt]],GL[[#Headers],[#Data],[subtotal label]],1,FALSE)))</f>
        <v/>
      </c>
      <c r="AF1395" s="1063" t="e">
        <f>IF((TB_prev[[#This Row],[Synt]]-TB_prev[[#This Row],[Subtotal Y/N]])=0,0,VLOOKUP(TB_prev[[#This Row],[Synt]],GL[[Account]:[Line]],3,FALSE))</f>
        <v>#VALUE!</v>
      </c>
      <c r="AG1395" s="1063" t="e">
        <f>VLOOKUP(TB_prev[[#This Row],[Synt]],GL[[Account]:[B/P]],4,FALSE)</f>
        <v>#N/A</v>
      </c>
      <c r="AH1395" s="1066" t="e">
        <v>#VALUE!</v>
      </c>
      <c r="AI1395" s="1065" t="e">
        <f>TB_prev[[#This Row],[Synt]]&amp;TB_prev[[#This Row],[Line No. manual corr.]]</f>
        <v>#VALUE!</v>
      </c>
      <c r="AJ1395" s="1064">
        <f t="shared" si="106"/>
        <v>0</v>
      </c>
      <c r="AK1395" s="1064">
        <f t="shared" si="107"/>
        <v>0</v>
      </c>
      <c r="AL1395" s="1064">
        <f t="shared" si="108"/>
        <v>0</v>
      </c>
      <c r="AM1395" s="1064">
        <f t="shared" si="109"/>
        <v>0</v>
      </c>
      <c r="AN1395" s="1064"/>
      <c r="AO1395" s="1064">
        <f>TB_prev[[#This Row],[Closing balance]]+TB_prev[[#This Row],[Rounding]]</f>
        <v>0</v>
      </c>
    </row>
    <row r="1396" spans="30:41" x14ac:dyDescent="0.25">
      <c r="AD1396" s="1067" t="str">
        <f t="shared" si="105"/>
        <v/>
      </c>
      <c r="AE1396" s="1063" t="str">
        <f>IF(ISNA(VLOOKUP(TB_prev[[#This Row],[Synt]],GL[[#Headers],[#Data],[subtotal label]],1,FALSE)),0,(VLOOKUP(TB_prev[[#This Row],[Synt]],GL[[#Headers],[#Data],[subtotal label]],1,FALSE)))</f>
        <v/>
      </c>
      <c r="AF1396" s="1063" t="e">
        <f>IF((TB_prev[[#This Row],[Synt]]-TB_prev[[#This Row],[Subtotal Y/N]])=0,0,VLOOKUP(TB_prev[[#This Row],[Synt]],GL[[Account]:[Line]],3,FALSE))</f>
        <v>#VALUE!</v>
      </c>
      <c r="AG1396" s="1063" t="e">
        <f>VLOOKUP(TB_prev[[#This Row],[Synt]],GL[[Account]:[B/P]],4,FALSE)</f>
        <v>#N/A</v>
      </c>
      <c r="AH1396" s="1066" t="e">
        <v>#VALUE!</v>
      </c>
      <c r="AI1396" s="1065" t="e">
        <f>TB_prev[[#This Row],[Synt]]&amp;TB_prev[[#This Row],[Line No. manual corr.]]</f>
        <v>#VALUE!</v>
      </c>
      <c r="AJ1396" s="1064">
        <f t="shared" si="106"/>
        <v>0</v>
      </c>
      <c r="AK1396" s="1064">
        <f t="shared" si="107"/>
        <v>0</v>
      </c>
      <c r="AL1396" s="1064">
        <f t="shared" si="108"/>
        <v>0</v>
      </c>
      <c r="AM1396" s="1064">
        <f t="shared" si="109"/>
        <v>0</v>
      </c>
      <c r="AN1396" s="1064"/>
      <c r="AO1396" s="1064">
        <f>TB_prev[[#This Row],[Closing balance]]+TB_prev[[#This Row],[Rounding]]</f>
        <v>0</v>
      </c>
    </row>
    <row r="1397" spans="30:41" x14ac:dyDescent="0.25">
      <c r="AD1397" s="1067" t="str">
        <f t="shared" si="105"/>
        <v/>
      </c>
      <c r="AE1397" s="1063" t="str">
        <f>IF(ISNA(VLOOKUP(TB_prev[[#This Row],[Synt]],GL[[#Headers],[#Data],[subtotal label]],1,FALSE)),0,(VLOOKUP(TB_prev[[#This Row],[Synt]],GL[[#Headers],[#Data],[subtotal label]],1,FALSE)))</f>
        <v/>
      </c>
      <c r="AF1397" s="1063" t="e">
        <f>IF((TB_prev[[#This Row],[Synt]]-TB_prev[[#This Row],[Subtotal Y/N]])=0,0,VLOOKUP(TB_prev[[#This Row],[Synt]],GL[[Account]:[Line]],3,FALSE))</f>
        <v>#VALUE!</v>
      </c>
      <c r="AG1397" s="1063" t="e">
        <f>VLOOKUP(TB_prev[[#This Row],[Synt]],GL[[Account]:[B/P]],4,FALSE)</f>
        <v>#N/A</v>
      </c>
      <c r="AH1397" s="1066" t="e">
        <v>#VALUE!</v>
      </c>
      <c r="AI1397" s="1065" t="e">
        <f>TB_prev[[#This Row],[Synt]]&amp;TB_prev[[#This Row],[Line No. manual corr.]]</f>
        <v>#VALUE!</v>
      </c>
      <c r="AJ1397" s="1064">
        <f t="shared" si="106"/>
        <v>0</v>
      </c>
      <c r="AK1397" s="1064">
        <f t="shared" si="107"/>
        <v>0</v>
      </c>
      <c r="AL1397" s="1064">
        <f t="shared" si="108"/>
        <v>0</v>
      </c>
      <c r="AM1397" s="1064">
        <f t="shared" si="109"/>
        <v>0</v>
      </c>
      <c r="AN1397" s="1064"/>
      <c r="AO1397" s="1064">
        <f>TB_prev[[#This Row],[Closing balance]]+TB_prev[[#This Row],[Rounding]]</f>
        <v>0</v>
      </c>
    </row>
    <row r="1398" spans="30:41" x14ac:dyDescent="0.25">
      <c r="AD1398" s="1067" t="str">
        <f t="shared" si="105"/>
        <v/>
      </c>
      <c r="AE1398" s="1063" t="str">
        <f>IF(ISNA(VLOOKUP(TB_prev[[#This Row],[Synt]],GL[[#Headers],[#Data],[subtotal label]],1,FALSE)),0,(VLOOKUP(TB_prev[[#This Row],[Synt]],GL[[#Headers],[#Data],[subtotal label]],1,FALSE)))</f>
        <v/>
      </c>
      <c r="AF1398" s="1063" t="e">
        <f>IF((TB_prev[[#This Row],[Synt]]-TB_prev[[#This Row],[Subtotal Y/N]])=0,0,VLOOKUP(TB_prev[[#This Row],[Synt]],GL[[Account]:[Line]],3,FALSE))</f>
        <v>#VALUE!</v>
      </c>
      <c r="AG1398" s="1063" t="e">
        <f>VLOOKUP(TB_prev[[#This Row],[Synt]],GL[[Account]:[B/P]],4,FALSE)</f>
        <v>#N/A</v>
      </c>
      <c r="AH1398" s="1066" t="e">
        <v>#VALUE!</v>
      </c>
      <c r="AI1398" s="1065" t="e">
        <f>TB_prev[[#This Row],[Synt]]&amp;TB_prev[[#This Row],[Line No. manual corr.]]</f>
        <v>#VALUE!</v>
      </c>
      <c r="AJ1398" s="1064">
        <f t="shared" si="106"/>
        <v>0</v>
      </c>
      <c r="AK1398" s="1064">
        <f t="shared" si="107"/>
        <v>0</v>
      </c>
      <c r="AL1398" s="1064">
        <f t="shared" si="108"/>
        <v>0</v>
      </c>
      <c r="AM1398" s="1064">
        <f t="shared" si="109"/>
        <v>0</v>
      </c>
      <c r="AN1398" s="1064"/>
      <c r="AO1398" s="1064">
        <f>TB_prev[[#This Row],[Closing balance]]+TB_prev[[#This Row],[Rounding]]</f>
        <v>0</v>
      </c>
    </row>
    <row r="1399" spans="30:41" x14ac:dyDescent="0.25">
      <c r="AD1399" s="1067" t="str">
        <f t="shared" si="105"/>
        <v/>
      </c>
      <c r="AE1399" s="1063" t="str">
        <f>IF(ISNA(VLOOKUP(TB_prev[[#This Row],[Synt]],GL[[#Headers],[#Data],[subtotal label]],1,FALSE)),0,(VLOOKUP(TB_prev[[#This Row],[Synt]],GL[[#Headers],[#Data],[subtotal label]],1,FALSE)))</f>
        <v/>
      </c>
      <c r="AF1399" s="1063" t="e">
        <f>IF((TB_prev[[#This Row],[Synt]]-TB_prev[[#This Row],[Subtotal Y/N]])=0,0,VLOOKUP(TB_prev[[#This Row],[Synt]],GL[[Account]:[Line]],3,FALSE))</f>
        <v>#VALUE!</v>
      </c>
      <c r="AG1399" s="1063" t="e">
        <f>VLOOKUP(TB_prev[[#This Row],[Synt]],GL[[Account]:[B/P]],4,FALSE)</f>
        <v>#N/A</v>
      </c>
      <c r="AH1399" s="1066" t="e">
        <v>#VALUE!</v>
      </c>
      <c r="AI1399" s="1065" t="e">
        <f>TB_prev[[#This Row],[Synt]]&amp;TB_prev[[#This Row],[Line No. manual corr.]]</f>
        <v>#VALUE!</v>
      </c>
      <c r="AJ1399" s="1064">
        <f t="shared" si="106"/>
        <v>0</v>
      </c>
      <c r="AK1399" s="1064">
        <f t="shared" si="107"/>
        <v>0</v>
      </c>
      <c r="AL1399" s="1064">
        <f t="shared" si="108"/>
        <v>0</v>
      </c>
      <c r="AM1399" s="1064">
        <f t="shared" si="109"/>
        <v>0</v>
      </c>
      <c r="AN1399" s="1064"/>
      <c r="AO1399" s="1064">
        <f>TB_prev[[#This Row],[Closing balance]]+TB_prev[[#This Row],[Rounding]]</f>
        <v>0</v>
      </c>
    </row>
    <row r="1400" spans="30:41" x14ac:dyDescent="0.25">
      <c r="AD1400" s="1067" t="str">
        <f t="shared" si="105"/>
        <v/>
      </c>
      <c r="AE1400" s="1063" t="str">
        <f>IF(ISNA(VLOOKUP(TB_prev[[#This Row],[Synt]],GL[[#Headers],[#Data],[subtotal label]],1,FALSE)),0,(VLOOKUP(TB_prev[[#This Row],[Synt]],GL[[#Headers],[#Data],[subtotal label]],1,FALSE)))</f>
        <v/>
      </c>
      <c r="AF1400" s="1063" t="e">
        <f>IF((TB_prev[[#This Row],[Synt]]-TB_prev[[#This Row],[Subtotal Y/N]])=0,0,VLOOKUP(TB_prev[[#This Row],[Synt]],GL[[Account]:[Line]],3,FALSE))</f>
        <v>#VALUE!</v>
      </c>
      <c r="AG1400" s="1063" t="e">
        <f>VLOOKUP(TB_prev[[#This Row],[Synt]],GL[[Account]:[B/P]],4,FALSE)</f>
        <v>#N/A</v>
      </c>
      <c r="AH1400" s="1066" t="e">
        <v>#VALUE!</v>
      </c>
      <c r="AI1400" s="1065" t="e">
        <f>TB_prev[[#This Row],[Synt]]&amp;TB_prev[[#This Row],[Line No. manual corr.]]</f>
        <v>#VALUE!</v>
      </c>
      <c r="AJ1400" s="1064">
        <f t="shared" si="106"/>
        <v>0</v>
      </c>
      <c r="AK1400" s="1064">
        <f t="shared" si="107"/>
        <v>0</v>
      </c>
      <c r="AL1400" s="1064">
        <f t="shared" si="108"/>
        <v>0</v>
      </c>
      <c r="AM1400" s="1064">
        <f t="shared" si="109"/>
        <v>0</v>
      </c>
      <c r="AN1400" s="1064"/>
      <c r="AO1400" s="1064">
        <f>TB_prev[[#This Row],[Closing balance]]+TB_prev[[#This Row],[Rounding]]</f>
        <v>0</v>
      </c>
    </row>
    <row r="1401" spans="30:41" x14ac:dyDescent="0.25">
      <c r="AD1401" s="1067" t="str">
        <f t="shared" si="105"/>
        <v/>
      </c>
      <c r="AE1401" s="1063" t="str">
        <f>IF(ISNA(VLOOKUP(TB_prev[[#This Row],[Synt]],GL[[#Headers],[#Data],[subtotal label]],1,FALSE)),0,(VLOOKUP(TB_prev[[#This Row],[Synt]],GL[[#Headers],[#Data],[subtotal label]],1,FALSE)))</f>
        <v/>
      </c>
      <c r="AF1401" s="1063" t="e">
        <f>IF((TB_prev[[#This Row],[Synt]]-TB_prev[[#This Row],[Subtotal Y/N]])=0,0,VLOOKUP(TB_prev[[#This Row],[Synt]],GL[[Account]:[Line]],3,FALSE))</f>
        <v>#VALUE!</v>
      </c>
      <c r="AG1401" s="1063" t="e">
        <f>VLOOKUP(TB_prev[[#This Row],[Synt]],GL[[Account]:[B/P]],4,FALSE)</f>
        <v>#N/A</v>
      </c>
      <c r="AH1401" s="1066" t="e">
        <v>#VALUE!</v>
      </c>
      <c r="AI1401" s="1065" t="e">
        <f>TB_prev[[#This Row],[Synt]]&amp;TB_prev[[#This Row],[Line No. manual corr.]]</f>
        <v>#VALUE!</v>
      </c>
      <c r="AJ1401" s="1064">
        <f t="shared" si="106"/>
        <v>0</v>
      </c>
      <c r="AK1401" s="1064">
        <f t="shared" si="107"/>
        <v>0</v>
      </c>
      <c r="AL1401" s="1064">
        <f t="shared" si="108"/>
        <v>0</v>
      </c>
      <c r="AM1401" s="1064">
        <f t="shared" si="109"/>
        <v>0</v>
      </c>
      <c r="AN1401" s="1064"/>
      <c r="AO1401" s="1064">
        <f>TB_prev[[#This Row],[Closing balance]]+TB_prev[[#This Row],[Rounding]]</f>
        <v>0</v>
      </c>
    </row>
    <row r="1402" spans="30:41" x14ac:dyDescent="0.25">
      <c r="AD1402" s="1067" t="str">
        <f t="shared" si="105"/>
        <v/>
      </c>
      <c r="AE1402" s="1063" t="str">
        <f>IF(ISNA(VLOOKUP(TB_prev[[#This Row],[Synt]],GL[[#Headers],[#Data],[subtotal label]],1,FALSE)),0,(VLOOKUP(TB_prev[[#This Row],[Synt]],GL[[#Headers],[#Data],[subtotal label]],1,FALSE)))</f>
        <v/>
      </c>
      <c r="AF1402" s="1063" t="e">
        <f>IF((TB_prev[[#This Row],[Synt]]-TB_prev[[#This Row],[Subtotal Y/N]])=0,0,VLOOKUP(TB_prev[[#This Row],[Synt]],GL[[Account]:[Line]],3,FALSE))</f>
        <v>#VALUE!</v>
      </c>
      <c r="AG1402" s="1063" t="e">
        <f>VLOOKUP(TB_prev[[#This Row],[Synt]],GL[[Account]:[B/P]],4,FALSE)</f>
        <v>#N/A</v>
      </c>
      <c r="AH1402" s="1066" t="e">
        <v>#VALUE!</v>
      </c>
      <c r="AI1402" s="1065" t="e">
        <f>TB_prev[[#This Row],[Synt]]&amp;TB_prev[[#This Row],[Line No. manual corr.]]</f>
        <v>#VALUE!</v>
      </c>
      <c r="AJ1402" s="1064">
        <f t="shared" si="106"/>
        <v>0</v>
      </c>
      <c r="AK1402" s="1064">
        <f t="shared" si="107"/>
        <v>0</v>
      </c>
      <c r="AL1402" s="1064">
        <f t="shared" si="108"/>
        <v>0</v>
      </c>
      <c r="AM1402" s="1064">
        <f t="shared" si="109"/>
        <v>0</v>
      </c>
      <c r="AN1402" s="1064"/>
      <c r="AO1402" s="1064">
        <f>TB_prev[[#This Row],[Closing balance]]+TB_prev[[#This Row],[Rounding]]</f>
        <v>0</v>
      </c>
    </row>
    <row r="1403" spans="30:41" x14ac:dyDescent="0.25">
      <c r="AD1403" s="1067" t="str">
        <f t="shared" si="105"/>
        <v/>
      </c>
      <c r="AE1403" s="1063" t="str">
        <f>IF(ISNA(VLOOKUP(TB_prev[[#This Row],[Synt]],GL[[#Headers],[#Data],[subtotal label]],1,FALSE)),0,(VLOOKUP(TB_prev[[#This Row],[Synt]],GL[[#Headers],[#Data],[subtotal label]],1,FALSE)))</f>
        <v/>
      </c>
      <c r="AF1403" s="1063" t="e">
        <f>IF((TB_prev[[#This Row],[Synt]]-TB_prev[[#This Row],[Subtotal Y/N]])=0,0,VLOOKUP(TB_prev[[#This Row],[Synt]],GL[[Account]:[Line]],3,FALSE))</f>
        <v>#VALUE!</v>
      </c>
      <c r="AG1403" s="1063" t="e">
        <f>VLOOKUP(TB_prev[[#This Row],[Synt]],GL[[Account]:[B/P]],4,FALSE)</f>
        <v>#N/A</v>
      </c>
      <c r="AH1403" s="1066" t="e">
        <v>#VALUE!</v>
      </c>
      <c r="AI1403" s="1065" t="e">
        <f>TB_prev[[#This Row],[Synt]]&amp;TB_prev[[#This Row],[Line No. manual corr.]]</f>
        <v>#VALUE!</v>
      </c>
      <c r="AJ1403" s="1064">
        <f t="shared" si="106"/>
        <v>0</v>
      </c>
      <c r="AK1403" s="1064">
        <f t="shared" si="107"/>
        <v>0</v>
      </c>
      <c r="AL1403" s="1064">
        <f t="shared" si="108"/>
        <v>0</v>
      </c>
      <c r="AM1403" s="1064">
        <f t="shared" si="109"/>
        <v>0</v>
      </c>
      <c r="AN1403" s="1064"/>
      <c r="AO1403" s="1064">
        <f>TB_prev[[#This Row],[Closing balance]]+TB_prev[[#This Row],[Rounding]]</f>
        <v>0</v>
      </c>
    </row>
    <row r="1404" spans="30:41" x14ac:dyDescent="0.25">
      <c r="AD1404" s="1067" t="str">
        <f t="shared" si="105"/>
        <v/>
      </c>
      <c r="AE1404" s="1063" t="str">
        <f>IF(ISNA(VLOOKUP(TB_prev[[#This Row],[Synt]],GL[[#Headers],[#Data],[subtotal label]],1,FALSE)),0,(VLOOKUP(TB_prev[[#This Row],[Synt]],GL[[#Headers],[#Data],[subtotal label]],1,FALSE)))</f>
        <v/>
      </c>
      <c r="AF1404" s="1063" t="e">
        <f>IF((TB_prev[[#This Row],[Synt]]-TB_prev[[#This Row],[Subtotal Y/N]])=0,0,VLOOKUP(TB_prev[[#This Row],[Synt]],GL[[Account]:[Line]],3,FALSE))</f>
        <v>#VALUE!</v>
      </c>
      <c r="AG1404" s="1063" t="e">
        <f>VLOOKUP(TB_prev[[#This Row],[Synt]],GL[[Account]:[B/P]],4,FALSE)</f>
        <v>#N/A</v>
      </c>
      <c r="AH1404" s="1066" t="e">
        <v>#VALUE!</v>
      </c>
      <c r="AI1404" s="1065" t="e">
        <f>TB_prev[[#This Row],[Synt]]&amp;TB_prev[[#This Row],[Line No. manual corr.]]</f>
        <v>#VALUE!</v>
      </c>
      <c r="AJ1404" s="1064">
        <f t="shared" si="106"/>
        <v>0</v>
      </c>
      <c r="AK1404" s="1064">
        <f t="shared" si="107"/>
        <v>0</v>
      </c>
      <c r="AL1404" s="1064">
        <f t="shared" si="108"/>
        <v>0</v>
      </c>
      <c r="AM1404" s="1064">
        <f t="shared" si="109"/>
        <v>0</v>
      </c>
      <c r="AN1404" s="1064"/>
      <c r="AO1404" s="1064">
        <f>TB_prev[[#This Row],[Closing balance]]+TB_prev[[#This Row],[Rounding]]</f>
        <v>0</v>
      </c>
    </row>
    <row r="1405" spans="30:41" x14ac:dyDescent="0.25">
      <c r="AD1405" s="1067" t="str">
        <f t="shared" si="105"/>
        <v/>
      </c>
      <c r="AE1405" s="1063" t="str">
        <f>IF(ISNA(VLOOKUP(TB_prev[[#This Row],[Synt]],GL[[#Headers],[#Data],[subtotal label]],1,FALSE)),0,(VLOOKUP(TB_prev[[#This Row],[Synt]],GL[[#Headers],[#Data],[subtotal label]],1,FALSE)))</f>
        <v/>
      </c>
      <c r="AF1405" s="1063" t="e">
        <f>IF((TB_prev[[#This Row],[Synt]]-TB_prev[[#This Row],[Subtotal Y/N]])=0,0,VLOOKUP(TB_prev[[#This Row],[Synt]],GL[[Account]:[Line]],3,FALSE))</f>
        <v>#VALUE!</v>
      </c>
      <c r="AG1405" s="1063" t="e">
        <f>VLOOKUP(TB_prev[[#This Row],[Synt]],GL[[Account]:[B/P]],4,FALSE)</f>
        <v>#N/A</v>
      </c>
      <c r="AH1405" s="1066" t="e">
        <v>#VALUE!</v>
      </c>
      <c r="AI1405" s="1065" t="e">
        <f>TB_prev[[#This Row],[Synt]]&amp;TB_prev[[#This Row],[Line No. manual corr.]]</f>
        <v>#VALUE!</v>
      </c>
      <c r="AJ1405" s="1064">
        <f t="shared" si="106"/>
        <v>0</v>
      </c>
      <c r="AK1405" s="1064">
        <f t="shared" si="107"/>
        <v>0</v>
      </c>
      <c r="AL1405" s="1064">
        <f t="shared" si="108"/>
        <v>0</v>
      </c>
      <c r="AM1405" s="1064">
        <f t="shared" si="109"/>
        <v>0</v>
      </c>
      <c r="AN1405" s="1064"/>
      <c r="AO1405" s="1064">
        <f>TB_prev[[#This Row],[Closing balance]]+TB_prev[[#This Row],[Rounding]]</f>
        <v>0</v>
      </c>
    </row>
    <row r="1406" spans="30:41" x14ac:dyDescent="0.25">
      <c r="AD1406" s="1067" t="str">
        <f t="shared" si="105"/>
        <v/>
      </c>
      <c r="AE1406" s="1063" t="str">
        <f>IF(ISNA(VLOOKUP(TB_prev[[#This Row],[Synt]],GL[[#Headers],[#Data],[subtotal label]],1,FALSE)),0,(VLOOKUP(TB_prev[[#This Row],[Synt]],GL[[#Headers],[#Data],[subtotal label]],1,FALSE)))</f>
        <v/>
      </c>
      <c r="AF1406" s="1063" t="e">
        <f>IF((TB_prev[[#This Row],[Synt]]-TB_prev[[#This Row],[Subtotal Y/N]])=0,0,VLOOKUP(TB_prev[[#This Row],[Synt]],GL[[Account]:[Line]],3,FALSE))</f>
        <v>#VALUE!</v>
      </c>
      <c r="AG1406" s="1063" t="e">
        <f>VLOOKUP(TB_prev[[#This Row],[Synt]],GL[[Account]:[B/P]],4,FALSE)</f>
        <v>#N/A</v>
      </c>
      <c r="AH1406" s="1066" t="e">
        <v>#VALUE!</v>
      </c>
      <c r="AI1406" s="1065" t="e">
        <f>TB_prev[[#This Row],[Synt]]&amp;TB_prev[[#This Row],[Line No. manual corr.]]</f>
        <v>#VALUE!</v>
      </c>
      <c r="AJ1406" s="1064">
        <f t="shared" si="106"/>
        <v>0</v>
      </c>
      <c r="AK1406" s="1064">
        <f t="shared" si="107"/>
        <v>0</v>
      </c>
      <c r="AL1406" s="1064">
        <f t="shared" si="108"/>
        <v>0</v>
      </c>
      <c r="AM1406" s="1064">
        <f t="shared" si="109"/>
        <v>0</v>
      </c>
      <c r="AN1406" s="1064"/>
      <c r="AO1406" s="1064">
        <f>TB_prev[[#This Row],[Closing balance]]+TB_prev[[#This Row],[Rounding]]</f>
        <v>0</v>
      </c>
    </row>
    <row r="1407" spans="30:41" x14ac:dyDescent="0.25">
      <c r="AD1407" s="1067" t="str">
        <f t="shared" si="105"/>
        <v/>
      </c>
      <c r="AE1407" s="1063" t="str">
        <f>IF(ISNA(VLOOKUP(TB_prev[[#This Row],[Synt]],GL[[#Headers],[#Data],[subtotal label]],1,FALSE)),0,(VLOOKUP(TB_prev[[#This Row],[Synt]],GL[[#Headers],[#Data],[subtotal label]],1,FALSE)))</f>
        <v/>
      </c>
      <c r="AF1407" s="1063" t="e">
        <f>IF((TB_prev[[#This Row],[Synt]]-TB_prev[[#This Row],[Subtotal Y/N]])=0,0,VLOOKUP(TB_prev[[#This Row],[Synt]],GL[[Account]:[Line]],3,FALSE))</f>
        <v>#VALUE!</v>
      </c>
      <c r="AG1407" s="1063" t="e">
        <f>VLOOKUP(TB_prev[[#This Row],[Synt]],GL[[Account]:[B/P]],4,FALSE)</f>
        <v>#N/A</v>
      </c>
      <c r="AH1407" s="1066" t="e">
        <v>#VALUE!</v>
      </c>
      <c r="AI1407" s="1065" t="e">
        <f>TB_prev[[#This Row],[Synt]]&amp;TB_prev[[#This Row],[Line No. manual corr.]]</f>
        <v>#VALUE!</v>
      </c>
      <c r="AJ1407" s="1064">
        <f t="shared" si="106"/>
        <v>0</v>
      </c>
      <c r="AK1407" s="1064">
        <f t="shared" si="107"/>
        <v>0</v>
      </c>
      <c r="AL1407" s="1064">
        <f t="shared" si="108"/>
        <v>0</v>
      </c>
      <c r="AM1407" s="1064">
        <f t="shared" si="109"/>
        <v>0</v>
      </c>
      <c r="AN1407" s="1064"/>
      <c r="AO1407" s="1064">
        <f>TB_prev[[#This Row],[Closing balance]]+TB_prev[[#This Row],[Rounding]]</f>
        <v>0</v>
      </c>
    </row>
    <row r="1408" spans="30:41" x14ac:dyDescent="0.25">
      <c r="AD1408" s="1067" t="str">
        <f t="shared" si="105"/>
        <v/>
      </c>
      <c r="AE1408" s="1063" t="str">
        <f>IF(ISNA(VLOOKUP(TB_prev[[#This Row],[Synt]],GL[[#Headers],[#Data],[subtotal label]],1,FALSE)),0,(VLOOKUP(TB_prev[[#This Row],[Synt]],GL[[#Headers],[#Data],[subtotal label]],1,FALSE)))</f>
        <v/>
      </c>
      <c r="AF1408" s="1063" t="e">
        <f>IF((TB_prev[[#This Row],[Synt]]-TB_prev[[#This Row],[Subtotal Y/N]])=0,0,VLOOKUP(TB_prev[[#This Row],[Synt]],GL[[Account]:[Line]],3,FALSE))</f>
        <v>#VALUE!</v>
      </c>
      <c r="AG1408" s="1063" t="e">
        <f>VLOOKUP(TB_prev[[#This Row],[Synt]],GL[[Account]:[B/P]],4,FALSE)</f>
        <v>#N/A</v>
      </c>
      <c r="AH1408" s="1066" t="e">
        <v>#VALUE!</v>
      </c>
      <c r="AI1408" s="1065" t="e">
        <f>TB_prev[[#This Row],[Synt]]&amp;TB_prev[[#This Row],[Line No. manual corr.]]</f>
        <v>#VALUE!</v>
      </c>
      <c r="AJ1408" s="1064">
        <f t="shared" si="106"/>
        <v>0</v>
      </c>
      <c r="AK1408" s="1064">
        <f t="shared" si="107"/>
        <v>0</v>
      </c>
      <c r="AL1408" s="1064">
        <f t="shared" si="108"/>
        <v>0</v>
      </c>
      <c r="AM1408" s="1064">
        <f t="shared" si="109"/>
        <v>0</v>
      </c>
      <c r="AN1408" s="1064"/>
      <c r="AO1408" s="1064">
        <f>TB_prev[[#This Row],[Closing balance]]+TB_prev[[#This Row],[Rounding]]</f>
        <v>0</v>
      </c>
    </row>
    <row r="1409" spans="30:41" x14ac:dyDescent="0.25">
      <c r="AD1409" s="1067" t="str">
        <f t="shared" si="105"/>
        <v/>
      </c>
      <c r="AE1409" s="1063" t="str">
        <f>IF(ISNA(VLOOKUP(TB_prev[[#This Row],[Synt]],GL[[#Headers],[#Data],[subtotal label]],1,FALSE)),0,(VLOOKUP(TB_prev[[#This Row],[Synt]],GL[[#Headers],[#Data],[subtotal label]],1,FALSE)))</f>
        <v/>
      </c>
      <c r="AF1409" s="1063" t="e">
        <f>IF((TB_prev[[#This Row],[Synt]]-TB_prev[[#This Row],[Subtotal Y/N]])=0,0,VLOOKUP(TB_prev[[#This Row],[Synt]],GL[[Account]:[Line]],3,FALSE))</f>
        <v>#VALUE!</v>
      </c>
      <c r="AG1409" s="1063" t="e">
        <f>VLOOKUP(TB_prev[[#This Row],[Synt]],GL[[Account]:[B/P]],4,FALSE)</f>
        <v>#N/A</v>
      </c>
      <c r="AH1409" s="1066" t="e">
        <v>#VALUE!</v>
      </c>
      <c r="AI1409" s="1065" t="e">
        <f>TB_prev[[#This Row],[Synt]]&amp;TB_prev[[#This Row],[Line No. manual corr.]]</f>
        <v>#VALUE!</v>
      </c>
      <c r="AJ1409" s="1064">
        <f t="shared" si="106"/>
        <v>0</v>
      </c>
      <c r="AK1409" s="1064">
        <f t="shared" si="107"/>
        <v>0</v>
      </c>
      <c r="AL1409" s="1064">
        <f t="shared" si="108"/>
        <v>0</v>
      </c>
      <c r="AM1409" s="1064">
        <f t="shared" si="109"/>
        <v>0</v>
      </c>
      <c r="AN1409" s="1064"/>
      <c r="AO1409" s="1064">
        <f>TB_prev[[#This Row],[Closing balance]]+TB_prev[[#This Row],[Rounding]]</f>
        <v>0</v>
      </c>
    </row>
    <row r="1410" spans="30:41" x14ac:dyDescent="0.25">
      <c r="AD1410" s="1067" t="str">
        <f t="shared" si="105"/>
        <v/>
      </c>
      <c r="AE1410" s="1063" t="str">
        <f>IF(ISNA(VLOOKUP(TB_prev[[#This Row],[Synt]],GL[[#Headers],[#Data],[subtotal label]],1,FALSE)),0,(VLOOKUP(TB_prev[[#This Row],[Synt]],GL[[#Headers],[#Data],[subtotal label]],1,FALSE)))</f>
        <v/>
      </c>
      <c r="AF1410" s="1063" t="e">
        <f>IF((TB_prev[[#This Row],[Synt]]-TB_prev[[#This Row],[Subtotal Y/N]])=0,0,VLOOKUP(TB_prev[[#This Row],[Synt]],GL[[Account]:[Line]],3,FALSE))</f>
        <v>#VALUE!</v>
      </c>
      <c r="AG1410" s="1063" t="e">
        <f>VLOOKUP(TB_prev[[#This Row],[Synt]],GL[[Account]:[B/P]],4,FALSE)</f>
        <v>#N/A</v>
      </c>
      <c r="AH1410" s="1066" t="e">
        <v>#VALUE!</v>
      </c>
      <c r="AI1410" s="1065" t="e">
        <f>TB_prev[[#This Row],[Synt]]&amp;TB_prev[[#This Row],[Line No. manual corr.]]</f>
        <v>#VALUE!</v>
      </c>
      <c r="AJ1410" s="1064">
        <f t="shared" si="106"/>
        <v>0</v>
      </c>
      <c r="AK1410" s="1064">
        <f t="shared" si="107"/>
        <v>0</v>
      </c>
      <c r="AL1410" s="1064">
        <f t="shared" si="108"/>
        <v>0</v>
      </c>
      <c r="AM1410" s="1064">
        <f t="shared" si="109"/>
        <v>0</v>
      </c>
      <c r="AN1410" s="1064"/>
      <c r="AO1410" s="1064">
        <f>TB_prev[[#This Row],[Closing balance]]+TB_prev[[#This Row],[Rounding]]</f>
        <v>0</v>
      </c>
    </row>
    <row r="1411" spans="30:41" x14ac:dyDescent="0.25">
      <c r="AD1411" s="1067" t="str">
        <f t="shared" si="105"/>
        <v/>
      </c>
      <c r="AE1411" s="1063" t="str">
        <f>IF(ISNA(VLOOKUP(TB_prev[[#This Row],[Synt]],GL[[#Headers],[#Data],[subtotal label]],1,FALSE)),0,(VLOOKUP(TB_prev[[#This Row],[Synt]],GL[[#Headers],[#Data],[subtotal label]],1,FALSE)))</f>
        <v/>
      </c>
      <c r="AF1411" s="1063" t="e">
        <f>IF((TB_prev[[#This Row],[Synt]]-TB_prev[[#This Row],[Subtotal Y/N]])=0,0,VLOOKUP(TB_prev[[#This Row],[Synt]],GL[[Account]:[Line]],3,FALSE))</f>
        <v>#VALUE!</v>
      </c>
      <c r="AG1411" s="1063" t="e">
        <f>VLOOKUP(TB_prev[[#This Row],[Synt]],GL[[Account]:[B/P]],4,FALSE)</f>
        <v>#N/A</v>
      </c>
      <c r="AH1411" s="1066" t="e">
        <v>#VALUE!</v>
      </c>
      <c r="AI1411" s="1065" t="e">
        <f>TB_prev[[#This Row],[Synt]]&amp;TB_prev[[#This Row],[Line No. manual corr.]]</f>
        <v>#VALUE!</v>
      </c>
      <c r="AJ1411" s="1064">
        <f t="shared" si="106"/>
        <v>0</v>
      </c>
      <c r="AK1411" s="1064">
        <f t="shared" si="107"/>
        <v>0</v>
      </c>
      <c r="AL1411" s="1064">
        <f t="shared" si="108"/>
        <v>0</v>
      </c>
      <c r="AM1411" s="1064">
        <f t="shared" si="109"/>
        <v>0</v>
      </c>
      <c r="AN1411" s="1064"/>
      <c r="AO1411" s="1064">
        <f>TB_prev[[#This Row],[Closing balance]]+TB_prev[[#This Row],[Rounding]]</f>
        <v>0</v>
      </c>
    </row>
    <row r="1412" spans="30:41" x14ac:dyDescent="0.25">
      <c r="AD1412" s="1067" t="str">
        <f t="shared" si="105"/>
        <v/>
      </c>
      <c r="AE1412" s="1063" t="str">
        <f>IF(ISNA(VLOOKUP(TB_prev[[#This Row],[Synt]],GL[[#Headers],[#Data],[subtotal label]],1,FALSE)),0,(VLOOKUP(TB_prev[[#This Row],[Synt]],GL[[#Headers],[#Data],[subtotal label]],1,FALSE)))</f>
        <v/>
      </c>
      <c r="AF1412" s="1063" t="e">
        <f>IF((TB_prev[[#This Row],[Synt]]-TB_prev[[#This Row],[Subtotal Y/N]])=0,0,VLOOKUP(TB_prev[[#This Row],[Synt]],GL[[Account]:[Line]],3,FALSE))</f>
        <v>#VALUE!</v>
      </c>
      <c r="AG1412" s="1063" t="e">
        <f>VLOOKUP(TB_prev[[#This Row],[Synt]],GL[[Account]:[B/P]],4,FALSE)</f>
        <v>#N/A</v>
      </c>
      <c r="AH1412" s="1066" t="e">
        <v>#VALUE!</v>
      </c>
      <c r="AI1412" s="1065" t="e">
        <f>TB_prev[[#This Row],[Synt]]&amp;TB_prev[[#This Row],[Line No. manual corr.]]</f>
        <v>#VALUE!</v>
      </c>
      <c r="AJ1412" s="1064">
        <f t="shared" si="106"/>
        <v>0</v>
      </c>
      <c r="AK1412" s="1064">
        <f t="shared" si="107"/>
        <v>0</v>
      </c>
      <c r="AL1412" s="1064">
        <f t="shared" si="108"/>
        <v>0</v>
      </c>
      <c r="AM1412" s="1064">
        <f t="shared" si="109"/>
        <v>0</v>
      </c>
      <c r="AN1412" s="1064"/>
      <c r="AO1412" s="1064">
        <f>TB_prev[[#This Row],[Closing balance]]+TB_prev[[#This Row],[Rounding]]</f>
        <v>0</v>
      </c>
    </row>
    <row r="1413" spans="30:41" x14ac:dyDescent="0.25">
      <c r="AD1413" s="1067" t="str">
        <f t="shared" si="105"/>
        <v/>
      </c>
      <c r="AE1413" s="1063" t="str">
        <f>IF(ISNA(VLOOKUP(TB_prev[[#This Row],[Synt]],GL[[#Headers],[#Data],[subtotal label]],1,FALSE)),0,(VLOOKUP(TB_prev[[#This Row],[Synt]],GL[[#Headers],[#Data],[subtotal label]],1,FALSE)))</f>
        <v/>
      </c>
      <c r="AF1413" s="1063" t="e">
        <f>IF((TB_prev[[#This Row],[Synt]]-TB_prev[[#This Row],[Subtotal Y/N]])=0,0,VLOOKUP(TB_prev[[#This Row],[Synt]],GL[[Account]:[Line]],3,FALSE))</f>
        <v>#VALUE!</v>
      </c>
      <c r="AG1413" s="1063" t="e">
        <f>VLOOKUP(TB_prev[[#This Row],[Synt]],GL[[Account]:[B/P]],4,FALSE)</f>
        <v>#N/A</v>
      </c>
      <c r="AH1413" s="1066" t="e">
        <v>#VALUE!</v>
      </c>
      <c r="AI1413" s="1065" t="e">
        <f>TB_prev[[#This Row],[Synt]]&amp;TB_prev[[#This Row],[Line No. manual corr.]]</f>
        <v>#VALUE!</v>
      </c>
      <c r="AJ1413" s="1064">
        <f t="shared" si="106"/>
        <v>0</v>
      </c>
      <c r="AK1413" s="1064">
        <f t="shared" si="107"/>
        <v>0</v>
      </c>
      <c r="AL1413" s="1064">
        <f t="shared" si="108"/>
        <v>0</v>
      </c>
      <c r="AM1413" s="1064">
        <f t="shared" si="109"/>
        <v>0</v>
      </c>
      <c r="AN1413" s="1064"/>
      <c r="AO1413" s="1064">
        <f>TB_prev[[#This Row],[Closing balance]]+TB_prev[[#This Row],[Rounding]]</f>
        <v>0</v>
      </c>
    </row>
    <row r="1414" spans="30:41" x14ac:dyDescent="0.25">
      <c r="AD1414" s="1067" t="str">
        <f t="shared" si="105"/>
        <v/>
      </c>
      <c r="AE1414" s="1063" t="str">
        <f>IF(ISNA(VLOOKUP(TB_prev[[#This Row],[Synt]],GL[[#Headers],[#Data],[subtotal label]],1,FALSE)),0,(VLOOKUP(TB_prev[[#This Row],[Synt]],GL[[#Headers],[#Data],[subtotal label]],1,FALSE)))</f>
        <v/>
      </c>
      <c r="AF1414" s="1063" t="e">
        <f>IF((TB_prev[[#This Row],[Synt]]-TB_prev[[#This Row],[Subtotal Y/N]])=0,0,VLOOKUP(TB_prev[[#This Row],[Synt]],GL[[Account]:[Line]],3,FALSE))</f>
        <v>#VALUE!</v>
      </c>
      <c r="AG1414" s="1063" t="e">
        <f>VLOOKUP(TB_prev[[#This Row],[Synt]],GL[[Account]:[B/P]],4,FALSE)</f>
        <v>#N/A</v>
      </c>
      <c r="AH1414" s="1066" t="e">
        <v>#VALUE!</v>
      </c>
      <c r="AI1414" s="1065" t="e">
        <f>TB_prev[[#This Row],[Synt]]&amp;TB_prev[[#This Row],[Line No. manual corr.]]</f>
        <v>#VALUE!</v>
      </c>
      <c r="AJ1414" s="1064">
        <f t="shared" si="106"/>
        <v>0</v>
      </c>
      <c r="AK1414" s="1064">
        <f t="shared" si="107"/>
        <v>0</v>
      </c>
      <c r="AL1414" s="1064">
        <f t="shared" si="108"/>
        <v>0</v>
      </c>
      <c r="AM1414" s="1064">
        <f t="shared" si="109"/>
        <v>0</v>
      </c>
      <c r="AN1414" s="1064"/>
      <c r="AO1414" s="1064">
        <f>TB_prev[[#This Row],[Closing balance]]+TB_prev[[#This Row],[Rounding]]</f>
        <v>0</v>
      </c>
    </row>
    <row r="1415" spans="30:41" x14ac:dyDescent="0.25">
      <c r="AD1415" s="1067" t="str">
        <f t="shared" si="105"/>
        <v/>
      </c>
      <c r="AE1415" s="1063" t="str">
        <f>IF(ISNA(VLOOKUP(TB_prev[[#This Row],[Synt]],GL[[#Headers],[#Data],[subtotal label]],1,FALSE)),0,(VLOOKUP(TB_prev[[#This Row],[Synt]],GL[[#Headers],[#Data],[subtotal label]],1,FALSE)))</f>
        <v/>
      </c>
      <c r="AF1415" s="1063" t="e">
        <f>IF((TB_prev[[#This Row],[Synt]]-TB_prev[[#This Row],[Subtotal Y/N]])=0,0,VLOOKUP(TB_prev[[#This Row],[Synt]],GL[[Account]:[Line]],3,FALSE))</f>
        <v>#VALUE!</v>
      </c>
      <c r="AG1415" s="1063" t="e">
        <f>VLOOKUP(TB_prev[[#This Row],[Synt]],GL[[Account]:[B/P]],4,FALSE)</f>
        <v>#N/A</v>
      </c>
      <c r="AH1415" s="1066" t="e">
        <v>#VALUE!</v>
      </c>
      <c r="AI1415" s="1065" t="e">
        <f>TB_prev[[#This Row],[Synt]]&amp;TB_prev[[#This Row],[Line No. manual corr.]]</f>
        <v>#VALUE!</v>
      </c>
      <c r="AJ1415" s="1064">
        <f t="shared" si="106"/>
        <v>0</v>
      </c>
      <c r="AK1415" s="1064">
        <f t="shared" si="107"/>
        <v>0</v>
      </c>
      <c r="AL1415" s="1064">
        <f t="shared" si="108"/>
        <v>0</v>
      </c>
      <c r="AM1415" s="1064">
        <f t="shared" si="109"/>
        <v>0</v>
      </c>
      <c r="AN1415" s="1064"/>
      <c r="AO1415" s="1064">
        <f>TB_prev[[#This Row],[Closing balance]]+TB_prev[[#This Row],[Rounding]]</f>
        <v>0</v>
      </c>
    </row>
    <row r="1416" spans="30:41" x14ac:dyDescent="0.25">
      <c r="AD1416" s="1067" t="str">
        <f t="shared" ref="AD1416:AD1479" si="110">LEFT(B1416,3)</f>
        <v/>
      </c>
      <c r="AE1416" s="1063" t="str">
        <f>IF(ISNA(VLOOKUP(TB_prev[[#This Row],[Synt]],GL[[#Headers],[#Data],[subtotal label]],1,FALSE)),0,(VLOOKUP(TB_prev[[#This Row],[Synt]],GL[[#Headers],[#Data],[subtotal label]],1,FALSE)))</f>
        <v/>
      </c>
      <c r="AF1416" s="1063" t="e">
        <f>IF((TB_prev[[#This Row],[Synt]]-TB_prev[[#This Row],[Subtotal Y/N]])=0,0,VLOOKUP(TB_prev[[#This Row],[Synt]],GL[[Account]:[Line]],3,FALSE))</f>
        <v>#VALUE!</v>
      </c>
      <c r="AG1416" s="1063" t="e">
        <f>VLOOKUP(TB_prev[[#This Row],[Synt]],GL[[Account]:[B/P]],4,FALSE)</f>
        <v>#N/A</v>
      </c>
      <c r="AH1416" s="1066" t="e">
        <v>#VALUE!</v>
      </c>
      <c r="AI1416" s="1065" t="e">
        <f>TB_prev[[#This Row],[Synt]]&amp;TB_prev[[#This Row],[Line No. manual corr.]]</f>
        <v>#VALUE!</v>
      </c>
      <c r="AJ1416" s="1064">
        <f t="shared" ref="AJ1416:AJ1479" si="111">K1416-N1416</f>
        <v>0</v>
      </c>
      <c r="AK1416" s="1064">
        <f t="shared" ref="AK1416:AK1479" si="112">Q1416</f>
        <v>0</v>
      </c>
      <c r="AL1416" s="1064">
        <f t="shared" ref="AL1416:AL1479" si="113">U1416</f>
        <v>0</v>
      </c>
      <c r="AM1416" s="1064">
        <f t="shared" ref="AM1416:AM1479" si="114">X1416-AB1416</f>
        <v>0</v>
      </c>
      <c r="AN1416" s="1064"/>
      <c r="AO1416" s="1064">
        <f>TB_prev[[#This Row],[Closing balance]]+TB_prev[[#This Row],[Rounding]]</f>
        <v>0</v>
      </c>
    </row>
    <row r="1417" spans="30:41" x14ac:dyDescent="0.25">
      <c r="AD1417" s="1067" t="str">
        <f t="shared" si="110"/>
        <v/>
      </c>
      <c r="AE1417" s="1063" t="str">
        <f>IF(ISNA(VLOOKUP(TB_prev[[#This Row],[Synt]],GL[[#Headers],[#Data],[subtotal label]],1,FALSE)),0,(VLOOKUP(TB_prev[[#This Row],[Synt]],GL[[#Headers],[#Data],[subtotal label]],1,FALSE)))</f>
        <v/>
      </c>
      <c r="AF1417" s="1063" t="e">
        <f>IF((TB_prev[[#This Row],[Synt]]-TB_prev[[#This Row],[Subtotal Y/N]])=0,0,VLOOKUP(TB_prev[[#This Row],[Synt]],GL[[Account]:[Line]],3,FALSE))</f>
        <v>#VALUE!</v>
      </c>
      <c r="AG1417" s="1063" t="e">
        <f>VLOOKUP(TB_prev[[#This Row],[Synt]],GL[[Account]:[B/P]],4,FALSE)</f>
        <v>#N/A</v>
      </c>
      <c r="AH1417" s="1066" t="e">
        <v>#VALUE!</v>
      </c>
      <c r="AI1417" s="1065" t="e">
        <f>TB_prev[[#This Row],[Synt]]&amp;TB_prev[[#This Row],[Line No. manual corr.]]</f>
        <v>#VALUE!</v>
      </c>
      <c r="AJ1417" s="1064">
        <f t="shared" si="111"/>
        <v>0</v>
      </c>
      <c r="AK1417" s="1064">
        <f t="shared" si="112"/>
        <v>0</v>
      </c>
      <c r="AL1417" s="1064">
        <f t="shared" si="113"/>
        <v>0</v>
      </c>
      <c r="AM1417" s="1064">
        <f t="shared" si="114"/>
        <v>0</v>
      </c>
      <c r="AN1417" s="1064"/>
      <c r="AO1417" s="1064">
        <f>TB_prev[[#This Row],[Closing balance]]+TB_prev[[#This Row],[Rounding]]</f>
        <v>0</v>
      </c>
    </row>
    <row r="1418" spans="30:41" x14ac:dyDescent="0.25">
      <c r="AD1418" s="1067" t="str">
        <f t="shared" si="110"/>
        <v/>
      </c>
      <c r="AE1418" s="1063" t="str">
        <f>IF(ISNA(VLOOKUP(TB_prev[[#This Row],[Synt]],GL[[#Headers],[#Data],[subtotal label]],1,FALSE)),0,(VLOOKUP(TB_prev[[#This Row],[Synt]],GL[[#Headers],[#Data],[subtotal label]],1,FALSE)))</f>
        <v/>
      </c>
      <c r="AF1418" s="1063" t="e">
        <f>IF((TB_prev[[#This Row],[Synt]]-TB_prev[[#This Row],[Subtotal Y/N]])=0,0,VLOOKUP(TB_prev[[#This Row],[Synt]],GL[[Account]:[Line]],3,FALSE))</f>
        <v>#VALUE!</v>
      </c>
      <c r="AG1418" s="1063" t="e">
        <f>VLOOKUP(TB_prev[[#This Row],[Synt]],GL[[Account]:[B/P]],4,FALSE)</f>
        <v>#N/A</v>
      </c>
      <c r="AH1418" s="1066" t="e">
        <v>#VALUE!</v>
      </c>
      <c r="AI1418" s="1065" t="e">
        <f>TB_prev[[#This Row],[Synt]]&amp;TB_prev[[#This Row],[Line No. manual corr.]]</f>
        <v>#VALUE!</v>
      </c>
      <c r="AJ1418" s="1064">
        <f t="shared" si="111"/>
        <v>0</v>
      </c>
      <c r="AK1418" s="1064">
        <f t="shared" si="112"/>
        <v>0</v>
      </c>
      <c r="AL1418" s="1064">
        <f t="shared" si="113"/>
        <v>0</v>
      </c>
      <c r="AM1418" s="1064">
        <f t="shared" si="114"/>
        <v>0</v>
      </c>
      <c r="AN1418" s="1064"/>
      <c r="AO1418" s="1064">
        <f>TB_prev[[#This Row],[Closing balance]]+TB_prev[[#This Row],[Rounding]]</f>
        <v>0</v>
      </c>
    </row>
    <row r="1419" spans="30:41" x14ac:dyDescent="0.25">
      <c r="AD1419" s="1067" t="str">
        <f t="shared" si="110"/>
        <v/>
      </c>
      <c r="AE1419" s="1063" t="str">
        <f>IF(ISNA(VLOOKUP(TB_prev[[#This Row],[Synt]],GL[[#Headers],[#Data],[subtotal label]],1,FALSE)),0,(VLOOKUP(TB_prev[[#This Row],[Synt]],GL[[#Headers],[#Data],[subtotal label]],1,FALSE)))</f>
        <v/>
      </c>
      <c r="AF1419" s="1063" t="e">
        <f>IF((TB_prev[[#This Row],[Synt]]-TB_prev[[#This Row],[Subtotal Y/N]])=0,0,VLOOKUP(TB_prev[[#This Row],[Synt]],GL[[Account]:[Line]],3,FALSE))</f>
        <v>#VALUE!</v>
      </c>
      <c r="AG1419" s="1063" t="e">
        <f>VLOOKUP(TB_prev[[#This Row],[Synt]],GL[[Account]:[B/P]],4,FALSE)</f>
        <v>#N/A</v>
      </c>
      <c r="AH1419" s="1066" t="e">
        <v>#VALUE!</v>
      </c>
      <c r="AI1419" s="1065" t="e">
        <f>TB_prev[[#This Row],[Synt]]&amp;TB_prev[[#This Row],[Line No. manual corr.]]</f>
        <v>#VALUE!</v>
      </c>
      <c r="AJ1419" s="1064">
        <f t="shared" si="111"/>
        <v>0</v>
      </c>
      <c r="AK1419" s="1064">
        <f t="shared" si="112"/>
        <v>0</v>
      </c>
      <c r="AL1419" s="1064">
        <f t="shared" si="113"/>
        <v>0</v>
      </c>
      <c r="AM1419" s="1064">
        <f t="shared" si="114"/>
        <v>0</v>
      </c>
      <c r="AN1419" s="1064"/>
      <c r="AO1419" s="1064">
        <f>TB_prev[[#This Row],[Closing balance]]+TB_prev[[#This Row],[Rounding]]</f>
        <v>0</v>
      </c>
    </row>
    <row r="1420" spans="30:41" x14ac:dyDescent="0.25">
      <c r="AD1420" s="1067" t="str">
        <f t="shared" si="110"/>
        <v/>
      </c>
      <c r="AE1420" s="1063" t="str">
        <f>IF(ISNA(VLOOKUP(TB_prev[[#This Row],[Synt]],GL[[#Headers],[#Data],[subtotal label]],1,FALSE)),0,(VLOOKUP(TB_prev[[#This Row],[Synt]],GL[[#Headers],[#Data],[subtotal label]],1,FALSE)))</f>
        <v/>
      </c>
      <c r="AF1420" s="1063" t="e">
        <f>IF((TB_prev[[#This Row],[Synt]]-TB_prev[[#This Row],[Subtotal Y/N]])=0,0,VLOOKUP(TB_prev[[#This Row],[Synt]],GL[[Account]:[Line]],3,FALSE))</f>
        <v>#VALUE!</v>
      </c>
      <c r="AG1420" s="1063" t="e">
        <f>VLOOKUP(TB_prev[[#This Row],[Synt]],GL[[Account]:[B/P]],4,FALSE)</f>
        <v>#N/A</v>
      </c>
      <c r="AH1420" s="1066" t="e">
        <v>#VALUE!</v>
      </c>
      <c r="AI1420" s="1065" t="e">
        <f>TB_prev[[#This Row],[Synt]]&amp;TB_prev[[#This Row],[Line No. manual corr.]]</f>
        <v>#VALUE!</v>
      </c>
      <c r="AJ1420" s="1064">
        <f t="shared" si="111"/>
        <v>0</v>
      </c>
      <c r="AK1420" s="1064">
        <f t="shared" si="112"/>
        <v>0</v>
      </c>
      <c r="AL1420" s="1064">
        <f t="shared" si="113"/>
        <v>0</v>
      </c>
      <c r="AM1420" s="1064">
        <f t="shared" si="114"/>
        <v>0</v>
      </c>
      <c r="AN1420" s="1064"/>
      <c r="AO1420" s="1064">
        <f>TB_prev[[#This Row],[Closing balance]]+TB_prev[[#This Row],[Rounding]]</f>
        <v>0</v>
      </c>
    </row>
    <row r="1421" spans="30:41" x14ac:dyDescent="0.25">
      <c r="AD1421" s="1067" t="str">
        <f t="shared" si="110"/>
        <v/>
      </c>
      <c r="AE1421" s="1063" t="str">
        <f>IF(ISNA(VLOOKUP(TB_prev[[#This Row],[Synt]],GL[[#Headers],[#Data],[subtotal label]],1,FALSE)),0,(VLOOKUP(TB_prev[[#This Row],[Synt]],GL[[#Headers],[#Data],[subtotal label]],1,FALSE)))</f>
        <v/>
      </c>
      <c r="AF1421" s="1063" t="e">
        <f>IF((TB_prev[[#This Row],[Synt]]-TB_prev[[#This Row],[Subtotal Y/N]])=0,0,VLOOKUP(TB_prev[[#This Row],[Synt]],GL[[Account]:[Line]],3,FALSE))</f>
        <v>#VALUE!</v>
      </c>
      <c r="AG1421" s="1063" t="e">
        <f>VLOOKUP(TB_prev[[#This Row],[Synt]],GL[[Account]:[B/P]],4,FALSE)</f>
        <v>#N/A</v>
      </c>
      <c r="AH1421" s="1066" t="e">
        <v>#VALUE!</v>
      </c>
      <c r="AI1421" s="1065" t="e">
        <f>TB_prev[[#This Row],[Synt]]&amp;TB_prev[[#This Row],[Line No. manual corr.]]</f>
        <v>#VALUE!</v>
      </c>
      <c r="AJ1421" s="1064">
        <f t="shared" si="111"/>
        <v>0</v>
      </c>
      <c r="AK1421" s="1064">
        <f t="shared" si="112"/>
        <v>0</v>
      </c>
      <c r="AL1421" s="1064">
        <f t="shared" si="113"/>
        <v>0</v>
      </c>
      <c r="AM1421" s="1064">
        <f t="shared" si="114"/>
        <v>0</v>
      </c>
      <c r="AN1421" s="1064"/>
      <c r="AO1421" s="1064">
        <f>TB_prev[[#This Row],[Closing balance]]+TB_prev[[#This Row],[Rounding]]</f>
        <v>0</v>
      </c>
    </row>
    <row r="1422" spans="30:41" x14ac:dyDescent="0.25">
      <c r="AD1422" s="1067" t="str">
        <f t="shared" si="110"/>
        <v/>
      </c>
      <c r="AE1422" s="1063" t="str">
        <f>IF(ISNA(VLOOKUP(TB_prev[[#This Row],[Synt]],GL[[#Headers],[#Data],[subtotal label]],1,FALSE)),0,(VLOOKUP(TB_prev[[#This Row],[Synt]],GL[[#Headers],[#Data],[subtotal label]],1,FALSE)))</f>
        <v/>
      </c>
      <c r="AF1422" s="1063" t="e">
        <f>IF((TB_prev[[#This Row],[Synt]]-TB_prev[[#This Row],[Subtotal Y/N]])=0,0,VLOOKUP(TB_prev[[#This Row],[Synt]],GL[[Account]:[Line]],3,FALSE))</f>
        <v>#VALUE!</v>
      </c>
      <c r="AG1422" s="1063" t="e">
        <f>VLOOKUP(TB_prev[[#This Row],[Synt]],GL[[Account]:[B/P]],4,FALSE)</f>
        <v>#N/A</v>
      </c>
      <c r="AH1422" s="1066" t="e">
        <v>#VALUE!</v>
      </c>
      <c r="AI1422" s="1065" t="e">
        <f>TB_prev[[#This Row],[Synt]]&amp;TB_prev[[#This Row],[Line No. manual corr.]]</f>
        <v>#VALUE!</v>
      </c>
      <c r="AJ1422" s="1064">
        <f t="shared" si="111"/>
        <v>0</v>
      </c>
      <c r="AK1422" s="1064">
        <f t="shared" si="112"/>
        <v>0</v>
      </c>
      <c r="AL1422" s="1064">
        <f t="shared" si="113"/>
        <v>0</v>
      </c>
      <c r="AM1422" s="1064">
        <f t="shared" si="114"/>
        <v>0</v>
      </c>
      <c r="AN1422" s="1064"/>
      <c r="AO1422" s="1064">
        <f>TB_prev[[#This Row],[Closing balance]]+TB_prev[[#This Row],[Rounding]]</f>
        <v>0</v>
      </c>
    </row>
    <row r="1423" spans="30:41" x14ac:dyDescent="0.25">
      <c r="AD1423" s="1067" t="str">
        <f t="shared" si="110"/>
        <v/>
      </c>
      <c r="AE1423" s="1063" t="str">
        <f>IF(ISNA(VLOOKUP(TB_prev[[#This Row],[Synt]],GL[[#Headers],[#Data],[subtotal label]],1,FALSE)),0,(VLOOKUP(TB_prev[[#This Row],[Synt]],GL[[#Headers],[#Data],[subtotal label]],1,FALSE)))</f>
        <v/>
      </c>
      <c r="AF1423" s="1063" t="e">
        <f>IF((TB_prev[[#This Row],[Synt]]-TB_prev[[#This Row],[Subtotal Y/N]])=0,0,VLOOKUP(TB_prev[[#This Row],[Synt]],GL[[Account]:[Line]],3,FALSE))</f>
        <v>#VALUE!</v>
      </c>
      <c r="AG1423" s="1063" t="e">
        <f>VLOOKUP(TB_prev[[#This Row],[Synt]],GL[[Account]:[B/P]],4,FALSE)</f>
        <v>#N/A</v>
      </c>
      <c r="AH1423" s="1066" t="e">
        <v>#VALUE!</v>
      </c>
      <c r="AI1423" s="1065" t="e">
        <f>TB_prev[[#This Row],[Synt]]&amp;TB_prev[[#This Row],[Line No. manual corr.]]</f>
        <v>#VALUE!</v>
      </c>
      <c r="AJ1423" s="1064">
        <f t="shared" si="111"/>
        <v>0</v>
      </c>
      <c r="AK1423" s="1064">
        <f t="shared" si="112"/>
        <v>0</v>
      </c>
      <c r="AL1423" s="1064">
        <f t="shared" si="113"/>
        <v>0</v>
      </c>
      <c r="AM1423" s="1064">
        <f t="shared" si="114"/>
        <v>0</v>
      </c>
      <c r="AN1423" s="1064"/>
      <c r="AO1423" s="1064">
        <f>TB_prev[[#This Row],[Closing balance]]+TB_prev[[#This Row],[Rounding]]</f>
        <v>0</v>
      </c>
    </row>
    <row r="1424" spans="30:41" x14ac:dyDescent="0.25">
      <c r="AD1424" s="1067" t="str">
        <f t="shared" si="110"/>
        <v/>
      </c>
      <c r="AE1424" s="1063" t="str">
        <f>IF(ISNA(VLOOKUP(TB_prev[[#This Row],[Synt]],GL[[#Headers],[#Data],[subtotal label]],1,FALSE)),0,(VLOOKUP(TB_prev[[#This Row],[Synt]],GL[[#Headers],[#Data],[subtotal label]],1,FALSE)))</f>
        <v/>
      </c>
      <c r="AF1424" s="1063" t="e">
        <f>IF((TB_prev[[#This Row],[Synt]]-TB_prev[[#This Row],[Subtotal Y/N]])=0,0,VLOOKUP(TB_prev[[#This Row],[Synt]],GL[[Account]:[Line]],3,FALSE))</f>
        <v>#VALUE!</v>
      </c>
      <c r="AG1424" s="1063" t="e">
        <f>VLOOKUP(TB_prev[[#This Row],[Synt]],GL[[Account]:[B/P]],4,FALSE)</f>
        <v>#N/A</v>
      </c>
      <c r="AH1424" s="1066" t="e">
        <v>#VALUE!</v>
      </c>
      <c r="AI1424" s="1065" t="e">
        <f>TB_prev[[#This Row],[Synt]]&amp;TB_prev[[#This Row],[Line No. manual corr.]]</f>
        <v>#VALUE!</v>
      </c>
      <c r="AJ1424" s="1064">
        <f t="shared" si="111"/>
        <v>0</v>
      </c>
      <c r="AK1424" s="1064">
        <f t="shared" si="112"/>
        <v>0</v>
      </c>
      <c r="AL1424" s="1064">
        <f t="shared" si="113"/>
        <v>0</v>
      </c>
      <c r="AM1424" s="1064">
        <f t="shared" si="114"/>
        <v>0</v>
      </c>
      <c r="AN1424" s="1064"/>
      <c r="AO1424" s="1064">
        <f>TB_prev[[#This Row],[Closing balance]]+TB_prev[[#This Row],[Rounding]]</f>
        <v>0</v>
      </c>
    </row>
    <row r="1425" spans="30:41" x14ac:dyDescent="0.25">
      <c r="AD1425" s="1067" t="str">
        <f t="shared" si="110"/>
        <v/>
      </c>
      <c r="AE1425" s="1063" t="str">
        <f>IF(ISNA(VLOOKUP(TB_prev[[#This Row],[Synt]],GL[[#Headers],[#Data],[subtotal label]],1,FALSE)),0,(VLOOKUP(TB_prev[[#This Row],[Synt]],GL[[#Headers],[#Data],[subtotal label]],1,FALSE)))</f>
        <v/>
      </c>
      <c r="AF1425" s="1063" t="e">
        <f>IF((TB_prev[[#This Row],[Synt]]-TB_prev[[#This Row],[Subtotal Y/N]])=0,0,VLOOKUP(TB_prev[[#This Row],[Synt]],GL[[Account]:[Line]],3,FALSE))</f>
        <v>#VALUE!</v>
      </c>
      <c r="AG1425" s="1063" t="e">
        <f>VLOOKUP(TB_prev[[#This Row],[Synt]],GL[[Account]:[B/P]],4,FALSE)</f>
        <v>#N/A</v>
      </c>
      <c r="AH1425" s="1066" t="e">
        <v>#VALUE!</v>
      </c>
      <c r="AI1425" s="1065" t="e">
        <f>TB_prev[[#This Row],[Synt]]&amp;TB_prev[[#This Row],[Line No. manual corr.]]</f>
        <v>#VALUE!</v>
      </c>
      <c r="AJ1425" s="1064">
        <f t="shared" si="111"/>
        <v>0</v>
      </c>
      <c r="AK1425" s="1064">
        <f t="shared" si="112"/>
        <v>0</v>
      </c>
      <c r="AL1425" s="1064">
        <f t="shared" si="113"/>
        <v>0</v>
      </c>
      <c r="AM1425" s="1064">
        <f t="shared" si="114"/>
        <v>0</v>
      </c>
      <c r="AN1425" s="1064"/>
      <c r="AO1425" s="1064">
        <f>TB_prev[[#This Row],[Closing balance]]+TB_prev[[#This Row],[Rounding]]</f>
        <v>0</v>
      </c>
    </row>
    <row r="1426" spans="30:41" x14ac:dyDescent="0.25">
      <c r="AD1426" s="1067" t="str">
        <f t="shared" si="110"/>
        <v/>
      </c>
      <c r="AE1426" s="1063" t="str">
        <f>IF(ISNA(VLOOKUP(TB_prev[[#This Row],[Synt]],GL[[#Headers],[#Data],[subtotal label]],1,FALSE)),0,(VLOOKUP(TB_prev[[#This Row],[Synt]],GL[[#Headers],[#Data],[subtotal label]],1,FALSE)))</f>
        <v/>
      </c>
      <c r="AF1426" s="1063" t="e">
        <f>IF((TB_prev[[#This Row],[Synt]]-TB_prev[[#This Row],[Subtotal Y/N]])=0,0,VLOOKUP(TB_prev[[#This Row],[Synt]],GL[[Account]:[Line]],3,FALSE))</f>
        <v>#VALUE!</v>
      </c>
      <c r="AG1426" s="1063" t="e">
        <f>VLOOKUP(TB_prev[[#This Row],[Synt]],GL[[Account]:[B/P]],4,FALSE)</f>
        <v>#N/A</v>
      </c>
      <c r="AH1426" s="1066" t="e">
        <v>#VALUE!</v>
      </c>
      <c r="AI1426" s="1065" t="e">
        <f>TB_prev[[#This Row],[Synt]]&amp;TB_prev[[#This Row],[Line No. manual corr.]]</f>
        <v>#VALUE!</v>
      </c>
      <c r="AJ1426" s="1064">
        <f t="shared" si="111"/>
        <v>0</v>
      </c>
      <c r="AK1426" s="1064">
        <f t="shared" si="112"/>
        <v>0</v>
      </c>
      <c r="AL1426" s="1064">
        <f t="shared" si="113"/>
        <v>0</v>
      </c>
      <c r="AM1426" s="1064">
        <f t="shared" si="114"/>
        <v>0</v>
      </c>
      <c r="AN1426" s="1064"/>
      <c r="AO1426" s="1064">
        <f>TB_prev[[#This Row],[Closing balance]]+TB_prev[[#This Row],[Rounding]]</f>
        <v>0</v>
      </c>
    </row>
    <row r="1427" spans="30:41" x14ac:dyDescent="0.25">
      <c r="AD1427" s="1067" t="str">
        <f t="shared" si="110"/>
        <v/>
      </c>
      <c r="AE1427" s="1063" t="str">
        <f>IF(ISNA(VLOOKUP(TB_prev[[#This Row],[Synt]],GL[[#Headers],[#Data],[subtotal label]],1,FALSE)),0,(VLOOKUP(TB_prev[[#This Row],[Synt]],GL[[#Headers],[#Data],[subtotal label]],1,FALSE)))</f>
        <v/>
      </c>
      <c r="AF1427" s="1063" t="e">
        <f>IF((TB_prev[[#This Row],[Synt]]-TB_prev[[#This Row],[Subtotal Y/N]])=0,0,VLOOKUP(TB_prev[[#This Row],[Synt]],GL[[Account]:[Line]],3,FALSE))</f>
        <v>#VALUE!</v>
      </c>
      <c r="AG1427" s="1063" t="e">
        <f>VLOOKUP(TB_prev[[#This Row],[Synt]],GL[[Account]:[B/P]],4,FALSE)</f>
        <v>#N/A</v>
      </c>
      <c r="AH1427" s="1066" t="e">
        <v>#VALUE!</v>
      </c>
      <c r="AI1427" s="1065" t="e">
        <f>TB_prev[[#This Row],[Synt]]&amp;TB_prev[[#This Row],[Line No. manual corr.]]</f>
        <v>#VALUE!</v>
      </c>
      <c r="AJ1427" s="1064">
        <f t="shared" si="111"/>
        <v>0</v>
      </c>
      <c r="AK1427" s="1064">
        <f t="shared" si="112"/>
        <v>0</v>
      </c>
      <c r="AL1427" s="1064">
        <f t="shared" si="113"/>
        <v>0</v>
      </c>
      <c r="AM1427" s="1064">
        <f t="shared" si="114"/>
        <v>0</v>
      </c>
      <c r="AN1427" s="1064"/>
      <c r="AO1427" s="1064">
        <f>TB_prev[[#This Row],[Closing balance]]+TB_prev[[#This Row],[Rounding]]</f>
        <v>0</v>
      </c>
    </row>
    <row r="1428" spans="30:41" x14ac:dyDescent="0.25">
      <c r="AD1428" s="1067" t="str">
        <f t="shared" si="110"/>
        <v/>
      </c>
      <c r="AE1428" s="1063" t="str">
        <f>IF(ISNA(VLOOKUP(TB_prev[[#This Row],[Synt]],GL[[#Headers],[#Data],[subtotal label]],1,FALSE)),0,(VLOOKUP(TB_prev[[#This Row],[Synt]],GL[[#Headers],[#Data],[subtotal label]],1,FALSE)))</f>
        <v/>
      </c>
      <c r="AF1428" s="1063" t="e">
        <f>IF((TB_prev[[#This Row],[Synt]]-TB_prev[[#This Row],[Subtotal Y/N]])=0,0,VLOOKUP(TB_prev[[#This Row],[Synt]],GL[[Account]:[Line]],3,FALSE))</f>
        <v>#VALUE!</v>
      </c>
      <c r="AG1428" s="1063" t="e">
        <f>VLOOKUP(TB_prev[[#This Row],[Synt]],GL[[Account]:[B/P]],4,FALSE)</f>
        <v>#N/A</v>
      </c>
      <c r="AH1428" s="1066" t="e">
        <v>#VALUE!</v>
      </c>
      <c r="AI1428" s="1065" t="e">
        <f>TB_prev[[#This Row],[Synt]]&amp;TB_prev[[#This Row],[Line No. manual corr.]]</f>
        <v>#VALUE!</v>
      </c>
      <c r="AJ1428" s="1064">
        <f t="shared" si="111"/>
        <v>0</v>
      </c>
      <c r="AK1428" s="1064">
        <f t="shared" si="112"/>
        <v>0</v>
      </c>
      <c r="AL1428" s="1064">
        <f t="shared" si="113"/>
        <v>0</v>
      </c>
      <c r="AM1428" s="1064">
        <f t="shared" si="114"/>
        <v>0</v>
      </c>
      <c r="AN1428" s="1064"/>
      <c r="AO1428" s="1064">
        <f>TB_prev[[#This Row],[Closing balance]]+TB_prev[[#This Row],[Rounding]]</f>
        <v>0</v>
      </c>
    </row>
    <row r="1429" spans="30:41" x14ac:dyDescent="0.25">
      <c r="AD1429" s="1067" t="str">
        <f t="shared" si="110"/>
        <v/>
      </c>
      <c r="AE1429" s="1063" t="str">
        <f>IF(ISNA(VLOOKUP(TB_prev[[#This Row],[Synt]],GL[[#Headers],[#Data],[subtotal label]],1,FALSE)),0,(VLOOKUP(TB_prev[[#This Row],[Synt]],GL[[#Headers],[#Data],[subtotal label]],1,FALSE)))</f>
        <v/>
      </c>
      <c r="AF1429" s="1063" t="e">
        <f>IF((TB_prev[[#This Row],[Synt]]-TB_prev[[#This Row],[Subtotal Y/N]])=0,0,VLOOKUP(TB_prev[[#This Row],[Synt]],GL[[Account]:[Line]],3,FALSE))</f>
        <v>#VALUE!</v>
      </c>
      <c r="AG1429" s="1063" t="e">
        <f>VLOOKUP(TB_prev[[#This Row],[Synt]],GL[[Account]:[B/P]],4,FALSE)</f>
        <v>#N/A</v>
      </c>
      <c r="AH1429" s="1066" t="e">
        <v>#VALUE!</v>
      </c>
      <c r="AI1429" s="1065" t="e">
        <f>TB_prev[[#This Row],[Synt]]&amp;TB_prev[[#This Row],[Line No. manual corr.]]</f>
        <v>#VALUE!</v>
      </c>
      <c r="AJ1429" s="1064">
        <f t="shared" si="111"/>
        <v>0</v>
      </c>
      <c r="AK1429" s="1064">
        <f t="shared" si="112"/>
        <v>0</v>
      </c>
      <c r="AL1429" s="1064">
        <f t="shared" si="113"/>
        <v>0</v>
      </c>
      <c r="AM1429" s="1064">
        <f t="shared" si="114"/>
        <v>0</v>
      </c>
      <c r="AN1429" s="1064"/>
      <c r="AO1429" s="1064">
        <f>TB_prev[[#This Row],[Closing balance]]+TB_prev[[#This Row],[Rounding]]</f>
        <v>0</v>
      </c>
    </row>
    <row r="1430" spans="30:41" x14ac:dyDescent="0.25">
      <c r="AD1430" s="1067" t="str">
        <f t="shared" si="110"/>
        <v/>
      </c>
      <c r="AE1430" s="1063" t="str">
        <f>IF(ISNA(VLOOKUP(TB_prev[[#This Row],[Synt]],GL[[#Headers],[#Data],[subtotal label]],1,FALSE)),0,(VLOOKUP(TB_prev[[#This Row],[Synt]],GL[[#Headers],[#Data],[subtotal label]],1,FALSE)))</f>
        <v/>
      </c>
      <c r="AF1430" s="1063" t="e">
        <f>IF((TB_prev[[#This Row],[Synt]]-TB_prev[[#This Row],[Subtotal Y/N]])=0,0,VLOOKUP(TB_prev[[#This Row],[Synt]],GL[[Account]:[Line]],3,FALSE))</f>
        <v>#VALUE!</v>
      </c>
      <c r="AG1430" s="1063" t="e">
        <f>VLOOKUP(TB_prev[[#This Row],[Synt]],GL[[Account]:[B/P]],4,FALSE)</f>
        <v>#N/A</v>
      </c>
      <c r="AH1430" s="1066" t="e">
        <v>#VALUE!</v>
      </c>
      <c r="AI1430" s="1065" t="e">
        <f>TB_prev[[#This Row],[Synt]]&amp;TB_prev[[#This Row],[Line No. manual corr.]]</f>
        <v>#VALUE!</v>
      </c>
      <c r="AJ1430" s="1064">
        <f t="shared" si="111"/>
        <v>0</v>
      </c>
      <c r="AK1430" s="1064">
        <f t="shared" si="112"/>
        <v>0</v>
      </c>
      <c r="AL1430" s="1064">
        <f t="shared" si="113"/>
        <v>0</v>
      </c>
      <c r="AM1430" s="1064">
        <f t="shared" si="114"/>
        <v>0</v>
      </c>
      <c r="AN1430" s="1064"/>
      <c r="AO1430" s="1064">
        <f>TB_prev[[#This Row],[Closing balance]]+TB_prev[[#This Row],[Rounding]]</f>
        <v>0</v>
      </c>
    </row>
    <row r="1431" spans="30:41" x14ac:dyDescent="0.25">
      <c r="AD1431" s="1067" t="str">
        <f t="shared" si="110"/>
        <v/>
      </c>
      <c r="AE1431" s="1063" t="str">
        <f>IF(ISNA(VLOOKUP(TB_prev[[#This Row],[Synt]],GL[[#Headers],[#Data],[subtotal label]],1,FALSE)),0,(VLOOKUP(TB_prev[[#This Row],[Synt]],GL[[#Headers],[#Data],[subtotal label]],1,FALSE)))</f>
        <v/>
      </c>
      <c r="AF1431" s="1063" t="e">
        <f>IF((TB_prev[[#This Row],[Synt]]-TB_prev[[#This Row],[Subtotal Y/N]])=0,0,VLOOKUP(TB_prev[[#This Row],[Synt]],GL[[Account]:[Line]],3,FALSE))</f>
        <v>#VALUE!</v>
      </c>
      <c r="AG1431" s="1063" t="e">
        <f>VLOOKUP(TB_prev[[#This Row],[Synt]],GL[[Account]:[B/P]],4,FALSE)</f>
        <v>#N/A</v>
      </c>
      <c r="AH1431" s="1066" t="e">
        <v>#VALUE!</v>
      </c>
      <c r="AI1431" s="1065" t="e">
        <f>TB_prev[[#This Row],[Synt]]&amp;TB_prev[[#This Row],[Line No. manual corr.]]</f>
        <v>#VALUE!</v>
      </c>
      <c r="AJ1431" s="1064">
        <f t="shared" si="111"/>
        <v>0</v>
      </c>
      <c r="AK1431" s="1064">
        <f t="shared" si="112"/>
        <v>0</v>
      </c>
      <c r="AL1431" s="1064">
        <f t="shared" si="113"/>
        <v>0</v>
      </c>
      <c r="AM1431" s="1064">
        <f t="shared" si="114"/>
        <v>0</v>
      </c>
      <c r="AN1431" s="1064"/>
      <c r="AO1431" s="1064">
        <f>TB_prev[[#This Row],[Closing balance]]+TB_prev[[#This Row],[Rounding]]</f>
        <v>0</v>
      </c>
    </row>
    <row r="1432" spans="30:41" x14ac:dyDescent="0.25">
      <c r="AD1432" s="1067" t="str">
        <f t="shared" si="110"/>
        <v/>
      </c>
      <c r="AE1432" s="1063" t="str">
        <f>IF(ISNA(VLOOKUP(TB_prev[[#This Row],[Synt]],GL[[#Headers],[#Data],[subtotal label]],1,FALSE)),0,(VLOOKUP(TB_prev[[#This Row],[Synt]],GL[[#Headers],[#Data],[subtotal label]],1,FALSE)))</f>
        <v/>
      </c>
      <c r="AF1432" s="1063" t="e">
        <f>IF((TB_prev[[#This Row],[Synt]]-TB_prev[[#This Row],[Subtotal Y/N]])=0,0,VLOOKUP(TB_prev[[#This Row],[Synt]],GL[[Account]:[Line]],3,FALSE))</f>
        <v>#VALUE!</v>
      </c>
      <c r="AG1432" s="1063" t="e">
        <f>VLOOKUP(TB_prev[[#This Row],[Synt]],GL[[Account]:[B/P]],4,FALSE)</f>
        <v>#N/A</v>
      </c>
      <c r="AH1432" s="1066" t="e">
        <v>#VALUE!</v>
      </c>
      <c r="AI1432" s="1065" t="e">
        <f>TB_prev[[#This Row],[Synt]]&amp;TB_prev[[#This Row],[Line No. manual corr.]]</f>
        <v>#VALUE!</v>
      </c>
      <c r="AJ1432" s="1064">
        <f t="shared" si="111"/>
        <v>0</v>
      </c>
      <c r="AK1432" s="1064">
        <f t="shared" si="112"/>
        <v>0</v>
      </c>
      <c r="AL1432" s="1064">
        <f t="shared" si="113"/>
        <v>0</v>
      </c>
      <c r="AM1432" s="1064">
        <f t="shared" si="114"/>
        <v>0</v>
      </c>
      <c r="AN1432" s="1064"/>
      <c r="AO1432" s="1064">
        <f>TB_prev[[#This Row],[Closing balance]]+TB_prev[[#This Row],[Rounding]]</f>
        <v>0</v>
      </c>
    </row>
    <row r="1433" spans="30:41" x14ac:dyDescent="0.25">
      <c r="AD1433" s="1067" t="str">
        <f t="shared" si="110"/>
        <v/>
      </c>
      <c r="AE1433" s="1063" t="str">
        <f>IF(ISNA(VLOOKUP(TB_prev[[#This Row],[Synt]],GL[[#Headers],[#Data],[subtotal label]],1,FALSE)),0,(VLOOKUP(TB_prev[[#This Row],[Synt]],GL[[#Headers],[#Data],[subtotal label]],1,FALSE)))</f>
        <v/>
      </c>
      <c r="AF1433" s="1063" t="e">
        <f>IF((TB_prev[[#This Row],[Synt]]-TB_prev[[#This Row],[Subtotal Y/N]])=0,0,VLOOKUP(TB_prev[[#This Row],[Synt]],GL[[Account]:[Line]],3,FALSE))</f>
        <v>#VALUE!</v>
      </c>
      <c r="AG1433" s="1063" t="e">
        <f>VLOOKUP(TB_prev[[#This Row],[Synt]],GL[[Account]:[B/P]],4,FALSE)</f>
        <v>#N/A</v>
      </c>
      <c r="AH1433" s="1066" t="e">
        <v>#VALUE!</v>
      </c>
      <c r="AI1433" s="1065" t="e">
        <f>TB_prev[[#This Row],[Synt]]&amp;TB_prev[[#This Row],[Line No. manual corr.]]</f>
        <v>#VALUE!</v>
      </c>
      <c r="AJ1433" s="1064">
        <f t="shared" si="111"/>
        <v>0</v>
      </c>
      <c r="AK1433" s="1064">
        <f t="shared" si="112"/>
        <v>0</v>
      </c>
      <c r="AL1433" s="1064">
        <f t="shared" si="113"/>
        <v>0</v>
      </c>
      <c r="AM1433" s="1064">
        <f t="shared" si="114"/>
        <v>0</v>
      </c>
      <c r="AN1433" s="1064"/>
      <c r="AO1433" s="1064">
        <f>TB_prev[[#This Row],[Closing balance]]+TB_prev[[#This Row],[Rounding]]</f>
        <v>0</v>
      </c>
    </row>
    <row r="1434" spans="30:41" x14ac:dyDescent="0.25">
      <c r="AD1434" s="1067" t="str">
        <f t="shared" si="110"/>
        <v/>
      </c>
      <c r="AE1434" s="1063" t="str">
        <f>IF(ISNA(VLOOKUP(TB_prev[[#This Row],[Synt]],GL[[#Headers],[#Data],[subtotal label]],1,FALSE)),0,(VLOOKUP(TB_prev[[#This Row],[Synt]],GL[[#Headers],[#Data],[subtotal label]],1,FALSE)))</f>
        <v/>
      </c>
      <c r="AF1434" s="1063" t="e">
        <f>IF((TB_prev[[#This Row],[Synt]]-TB_prev[[#This Row],[Subtotal Y/N]])=0,0,VLOOKUP(TB_prev[[#This Row],[Synt]],GL[[Account]:[Line]],3,FALSE))</f>
        <v>#VALUE!</v>
      </c>
      <c r="AG1434" s="1063" t="e">
        <f>VLOOKUP(TB_prev[[#This Row],[Synt]],GL[[Account]:[B/P]],4,FALSE)</f>
        <v>#N/A</v>
      </c>
      <c r="AH1434" s="1066" t="e">
        <v>#VALUE!</v>
      </c>
      <c r="AI1434" s="1065" t="e">
        <f>TB_prev[[#This Row],[Synt]]&amp;TB_prev[[#This Row],[Line No. manual corr.]]</f>
        <v>#VALUE!</v>
      </c>
      <c r="AJ1434" s="1064">
        <f t="shared" si="111"/>
        <v>0</v>
      </c>
      <c r="AK1434" s="1064">
        <f t="shared" si="112"/>
        <v>0</v>
      </c>
      <c r="AL1434" s="1064">
        <f t="shared" si="113"/>
        <v>0</v>
      </c>
      <c r="AM1434" s="1064">
        <f t="shared" si="114"/>
        <v>0</v>
      </c>
      <c r="AN1434" s="1064"/>
      <c r="AO1434" s="1064">
        <f>TB_prev[[#This Row],[Closing balance]]+TB_prev[[#This Row],[Rounding]]</f>
        <v>0</v>
      </c>
    </row>
    <row r="1435" spans="30:41" x14ac:dyDescent="0.25">
      <c r="AD1435" s="1067" t="str">
        <f t="shared" si="110"/>
        <v/>
      </c>
      <c r="AE1435" s="1063" t="str">
        <f>IF(ISNA(VLOOKUP(TB_prev[[#This Row],[Synt]],GL[[#Headers],[#Data],[subtotal label]],1,FALSE)),0,(VLOOKUP(TB_prev[[#This Row],[Synt]],GL[[#Headers],[#Data],[subtotal label]],1,FALSE)))</f>
        <v/>
      </c>
      <c r="AF1435" s="1063" t="e">
        <f>IF((TB_prev[[#This Row],[Synt]]-TB_prev[[#This Row],[Subtotal Y/N]])=0,0,VLOOKUP(TB_prev[[#This Row],[Synt]],GL[[Account]:[Line]],3,FALSE))</f>
        <v>#VALUE!</v>
      </c>
      <c r="AG1435" s="1063" t="e">
        <f>VLOOKUP(TB_prev[[#This Row],[Synt]],GL[[Account]:[B/P]],4,FALSE)</f>
        <v>#N/A</v>
      </c>
      <c r="AH1435" s="1066" t="e">
        <v>#VALUE!</v>
      </c>
      <c r="AI1435" s="1065" t="e">
        <f>TB_prev[[#This Row],[Synt]]&amp;TB_prev[[#This Row],[Line No. manual corr.]]</f>
        <v>#VALUE!</v>
      </c>
      <c r="AJ1435" s="1064">
        <f t="shared" si="111"/>
        <v>0</v>
      </c>
      <c r="AK1435" s="1064">
        <f t="shared" si="112"/>
        <v>0</v>
      </c>
      <c r="AL1435" s="1064">
        <f t="shared" si="113"/>
        <v>0</v>
      </c>
      <c r="AM1435" s="1064">
        <f t="shared" si="114"/>
        <v>0</v>
      </c>
      <c r="AN1435" s="1064"/>
      <c r="AO1435" s="1064">
        <f>TB_prev[[#This Row],[Closing balance]]+TB_prev[[#This Row],[Rounding]]</f>
        <v>0</v>
      </c>
    </row>
    <row r="1436" spans="30:41" x14ac:dyDescent="0.25">
      <c r="AD1436" s="1067" t="str">
        <f t="shared" si="110"/>
        <v/>
      </c>
      <c r="AE1436" s="1063" t="str">
        <f>IF(ISNA(VLOOKUP(TB_prev[[#This Row],[Synt]],GL[[#Headers],[#Data],[subtotal label]],1,FALSE)),0,(VLOOKUP(TB_prev[[#This Row],[Synt]],GL[[#Headers],[#Data],[subtotal label]],1,FALSE)))</f>
        <v/>
      </c>
      <c r="AF1436" s="1063" t="e">
        <f>IF((TB_prev[[#This Row],[Synt]]-TB_prev[[#This Row],[Subtotal Y/N]])=0,0,VLOOKUP(TB_prev[[#This Row],[Synt]],GL[[Account]:[Line]],3,FALSE))</f>
        <v>#VALUE!</v>
      </c>
      <c r="AG1436" s="1063" t="e">
        <f>VLOOKUP(TB_prev[[#This Row],[Synt]],GL[[Account]:[B/P]],4,FALSE)</f>
        <v>#N/A</v>
      </c>
      <c r="AH1436" s="1066" t="e">
        <v>#VALUE!</v>
      </c>
      <c r="AI1436" s="1065" t="e">
        <f>TB_prev[[#This Row],[Synt]]&amp;TB_prev[[#This Row],[Line No. manual corr.]]</f>
        <v>#VALUE!</v>
      </c>
      <c r="AJ1436" s="1064">
        <f t="shared" si="111"/>
        <v>0</v>
      </c>
      <c r="AK1436" s="1064">
        <f t="shared" si="112"/>
        <v>0</v>
      </c>
      <c r="AL1436" s="1064">
        <f t="shared" si="113"/>
        <v>0</v>
      </c>
      <c r="AM1436" s="1064">
        <f t="shared" si="114"/>
        <v>0</v>
      </c>
      <c r="AN1436" s="1064"/>
      <c r="AO1436" s="1064">
        <f>TB_prev[[#This Row],[Closing balance]]+TB_prev[[#This Row],[Rounding]]</f>
        <v>0</v>
      </c>
    </row>
    <row r="1437" spans="30:41" x14ac:dyDescent="0.25">
      <c r="AD1437" s="1067" t="str">
        <f t="shared" si="110"/>
        <v/>
      </c>
      <c r="AE1437" s="1063" t="str">
        <f>IF(ISNA(VLOOKUP(TB_prev[[#This Row],[Synt]],GL[[#Headers],[#Data],[subtotal label]],1,FALSE)),0,(VLOOKUP(TB_prev[[#This Row],[Synt]],GL[[#Headers],[#Data],[subtotal label]],1,FALSE)))</f>
        <v/>
      </c>
      <c r="AF1437" s="1063" t="e">
        <f>IF((TB_prev[[#This Row],[Synt]]-TB_prev[[#This Row],[Subtotal Y/N]])=0,0,VLOOKUP(TB_prev[[#This Row],[Synt]],GL[[Account]:[Line]],3,FALSE))</f>
        <v>#VALUE!</v>
      </c>
      <c r="AG1437" s="1063" t="e">
        <f>VLOOKUP(TB_prev[[#This Row],[Synt]],GL[[Account]:[B/P]],4,FALSE)</f>
        <v>#N/A</v>
      </c>
      <c r="AH1437" s="1066" t="e">
        <v>#VALUE!</v>
      </c>
      <c r="AI1437" s="1065" t="e">
        <f>TB_prev[[#This Row],[Synt]]&amp;TB_prev[[#This Row],[Line No. manual corr.]]</f>
        <v>#VALUE!</v>
      </c>
      <c r="AJ1437" s="1064">
        <f t="shared" si="111"/>
        <v>0</v>
      </c>
      <c r="AK1437" s="1064">
        <f t="shared" si="112"/>
        <v>0</v>
      </c>
      <c r="AL1437" s="1064">
        <f t="shared" si="113"/>
        <v>0</v>
      </c>
      <c r="AM1437" s="1064">
        <f t="shared" si="114"/>
        <v>0</v>
      </c>
      <c r="AN1437" s="1064"/>
      <c r="AO1437" s="1064">
        <f>TB_prev[[#This Row],[Closing balance]]+TB_prev[[#This Row],[Rounding]]</f>
        <v>0</v>
      </c>
    </row>
    <row r="1438" spans="30:41" x14ac:dyDescent="0.25">
      <c r="AD1438" s="1067" t="str">
        <f t="shared" si="110"/>
        <v/>
      </c>
      <c r="AE1438" s="1063" t="str">
        <f>IF(ISNA(VLOOKUP(TB_prev[[#This Row],[Synt]],GL[[#Headers],[#Data],[subtotal label]],1,FALSE)),0,(VLOOKUP(TB_prev[[#This Row],[Synt]],GL[[#Headers],[#Data],[subtotal label]],1,FALSE)))</f>
        <v/>
      </c>
      <c r="AF1438" s="1063" t="e">
        <f>IF((TB_prev[[#This Row],[Synt]]-TB_prev[[#This Row],[Subtotal Y/N]])=0,0,VLOOKUP(TB_prev[[#This Row],[Synt]],GL[[Account]:[Line]],3,FALSE))</f>
        <v>#VALUE!</v>
      </c>
      <c r="AG1438" s="1063" t="e">
        <f>VLOOKUP(TB_prev[[#This Row],[Synt]],GL[[Account]:[B/P]],4,FALSE)</f>
        <v>#N/A</v>
      </c>
      <c r="AH1438" s="1066" t="e">
        <v>#VALUE!</v>
      </c>
      <c r="AI1438" s="1065" t="e">
        <f>TB_prev[[#This Row],[Synt]]&amp;TB_prev[[#This Row],[Line No. manual corr.]]</f>
        <v>#VALUE!</v>
      </c>
      <c r="AJ1438" s="1064">
        <f t="shared" si="111"/>
        <v>0</v>
      </c>
      <c r="AK1438" s="1064">
        <f t="shared" si="112"/>
        <v>0</v>
      </c>
      <c r="AL1438" s="1064">
        <f t="shared" si="113"/>
        <v>0</v>
      </c>
      <c r="AM1438" s="1064">
        <f t="shared" si="114"/>
        <v>0</v>
      </c>
      <c r="AN1438" s="1064"/>
      <c r="AO1438" s="1064">
        <f>TB_prev[[#This Row],[Closing balance]]+TB_prev[[#This Row],[Rounding]]</f>
        <v>0</v>
      </c>
    </row>
    <row r="1439" spans="30:41" x14ac:dyDescent="0.25">
      <c r="AD1439" s="1067" t="str">
        <f t="shared" si="110"/>
        <v/>
      </c>
      <c r="AE1439" s="1063" t="str">
        <f>IF(ISNA(VLOOKUP(TB_prev[[#This Row],[Synt]],GL[[#Headers],[#Data],[subtotal label]],1,FALSE)),0,(VLOOKUP(TB_prev[[#This Row],[Synt]],GL[[#Headers],[#Data],[subtotal label]],1,FALSE)))</f>
        <v/>
      </c>
      <c r="AF1439" s="1063" t="e">
        <f>IF((TB_prev[[#This Row],[Synt]]-TB_prev[[#This Row],[Subtotal Y/N]])=0,0,VLOOKUP(TB_prev[[#This Row],[Synt]],GL[[Account]:[Line]],3,FALSE))</f>
        <v>#VALUE!</v>
      </c>
      <c r="AG1439" s="1063" t="e">
        <f>VLOOKUP(TB_prev[[#This Row],[Synt]],GL[[Account]:[B/P]],4,FALSE)</f>
        <v>#N/A</v>
      </c>
      <c r="AH1439" s="1066" t="e">
        <v>#VALUE!</v>
      </c>
      <c r="AI1439" s="1065" t="e">
        <f>TB_prev[[#This Row],[Synt]]&amp;TB_prev[[#This Row],[Line No. manual corr.]]</f>
        <v>#VALUE!</v>
      </c>
      <c r="AJ1439" s="1064">
        <f t="shared" si="111"/>
        <v>0</v>
      </c>
      <c r="AK1439" s="1064">
        <f t="shared" si="112"/>
        <v>0</v>
      </c>
      <c r="AL1439" s="1064">
        <f t="shared" si="113"/>
        <v>0</v>
      </c>
      <c r="AM1439" s="1064">
        <f t="shared" si="114"/>
        <v>0</v>
      </c>
      <c r="AN1439" s="1064"/>
      <c r="AO1439" s="1064">
        <f>TB_prev[[#This Row],[Closing balance]]+TB_prev[[#This Row],[Rounding]]</f>
        <v>0</v>
      </c>
    </row>
    <row r="1440" spans="30:41" x14ac:dyDescent="0.25">
      <c r="AD1440" s="1067" t="str">
        <f t="shared" si="110"/>
        <v/>
      </c>
      <c r="AE1440" s="1063" t="str">
        <f>IF(ISNA(VLOOKUP(TB_prev[[#This Row],[Synt]],GL[[#Headers],[#Data],[subtotal label]],1,FALSE)),0,(VLOOKUP(TB_prev[[#This Row],[Synt]],GL[[#Headers],[#Data],[subtotal label]],1,FALSE)))</f>
        <v/>
      </c>
      <c r="AF1440" s="1063" t="e">
        <f>IF((TB_prev[[#This Row],[Synt]]-TB_prev[[#This Row],[Subtotal Y/N]])=0,0,VLOOKUP(TB_prev[[#This Row],[Synt]],GL[[Account]:[Line]],3,FALSE))</f>
        <v>#VALUE!</v>
      </c>
      <c r="AG1440" s="1063" t="e">
        <f>VLOOKUP(TB_prev[[#This Row],[Synt]],GL[[Account]:[B/P]],4,FALSE)</f>
        <v>#N/A</v>
      </c>
      <c r="AH1440" s="1066" t="e">
        <v>#VALUE!</v>
      </c>
      <c r="AI1440" s="1065" t="e">
        <f>TB_prev[[#This Row],[Synt]]&amp;TB_prev[[#This Row],[Line No. manual corr.]]</f>
        <v>#VALUE!</v>
      </c>
      <c r="AJ1440" s="1064">
        <f t="shared" si="111"/>
        <v>0</v>
      </c>
      <c r="AK1440" s="1064">
        <f t="shared" si="112"/>
        <v>0</v>
      </c>
      <c r="AL1440" s="1064">
        <f t="shared" si="113"/>
        <v>0</v>
      </c>
      <c r="AM1440" s="1064">
        <f t="shared" si="114"/>
        <v>0</v>
      </c>
      <c r="AN1440" s="1064"/>
      <c r="AO1440" s="1064">
        <f>TB_prev[[#This Row],[Closing balance]]+TB_prev[[#This Row],[Rounding]]</f>
        <v>0</v>
      </c>
    </row>
    <row r="1441" spans="30:41" x14ac:dyDescent="0.25">
      <c r="AD1441" s="1067" t="str">
        <f t="shared" si="110"/>
        <v/>
      </c>
      <c r="AE1441" s="1063" t="str">
        <f>IF(ISNA(VLOOKUP(TB_prev[[#This Row],[Synt]],GL[[#Headers],[#Data],[subtotal label]],1,FALSE)),0,(VLOOKUP(TB_prev[[#This Row],[Synt]],GL[[#Headers],[#Data],[subtotal label]],1,FALSE)))</f>
        <v/>
      </c>
      <c r="AF1441" s="1063" t="e">
        <f>IF((TB_prev[[#This Row],[Synt]]-TB_prev[[#This Row],[Subtotal Y/N]])=0,0,VLOOKUP(TB_prev[[#This Row],[Synt]],GL[[Account]:[Line]],3,FALSE))</f>
        <v>#VALUE!</v>
      </c>
      <c r="AG1441" s="1063" t="e">
        <f>VLOOKUP(TB_prev[[#This Row],[Synt]],GL[[Account]:[B/P]],4,FALSE)</f>
        <v>#N/A</v>
      </c>
      <c r="AH1441" s="1066" t="e">
        <v>#VALUE!</v>
      </c>
      <c r="AI1441" s="1065" t="e">
        <f>TB_prev[[#This Row],[Synt]]&amp;TB_prev[[#This Row],[Line No. manual corr.]]</f>
        <v>#VALUE!</v>
      </c>
      <c r="AJ1441" s="1064">
        <f t="shared" si="111"/>
        <v>0</v>
      </c>
      <c r="AK1441" s="1064">
        <f t="shared" si="112"/>
        <v>0</v>
      </c>
      <c r="AL1441" s="1064">
        <f t="shared" si="113"/>
        <v>0</v>
      </c>
      <c r="AM1441" s="1064">
        <f t="shared" si="114"/>
        <v>0</v>
      </c>
      <c r="AN1441" s="1064"/>
      <c r="AO1441" s="1064">
        <f>TB_prev[[#This Row],[Closing balance]]+TB_prev[[#This Row],[Rounding]]</f>
        <v>0</v>
      </c>
    </row>
    <row r="1442" spans="30:41" x14ac:dyDescent="0.25">
      <c r="AD1442" s="1067" t="str">
        <f t="shared" si="110"/>
        <v/>
      </c>
      <c r="AE1442" s="1063" t="str">
        <f>IF(ISNA(VLOOKUP(TB_prev[[#This Row],[Synt]],GL[[#Headers],[#Data],[subtotal label]],1,FALSE)),0,(VLOOKUP(TB_prev[[#This Row],[Synt]],GL[[#Headers],[#Data],[subtotal label]],1,FALSE)))</f>
        <v/>
      </c>
      <c r="AF1442" s="1063" t="e">
        <f>IF((TB_prev[[#This Row],[Synt]]-TB_prev[[#This Row],[Subtotal Y/N]])=0,0,VLOOKUP(TB_prev[[#This Row],[Synt]],GL[[Account]:[Line]],3,FALSE))</f>
        <v>#VALUE!</v>
      </c>
      <c r="AG1442" s="1063" t="e">
        <f>VLOOKUP(TB_prev[[#This Row],[Synt]],GL[[Account]:[B/P]],4,FALSE)</f>
        <v>#N/A</v>
      </c>
      <c r="AH1442" s="1066" t="e">
        <v>#VALUE!</v>
      </c>
      <c r="AI1442" s="1065" t="e">
        <f>TB_prev[[#This Row],[Synt]]&amp;TB_prev[[#This Row],[Line No. manual corr.]]</f>
        <v>#VALUE!</v>
      </c>
      <c r="AJ1442" s="1064">
        <f t="shared" si="111"/>
        <v>0</v>
      </c>
      <c r="AK1442" s="1064">
        <f t="shared" si="112"/>
        <v>0</v>
      </c>
      <c r="AL1442" s="1064">
        <f t="shared" si="113"/>
        <v>0</v>
      </c>
      <c r="AM1442" s="1064">
        <f t="shared" si="114"/>
        <v>0</v>
      </c>
      <c r="AN1442" s="1064"/>
      <c r="AO1442" s="1064">
        <f>TB_prev[[#This Row],[Closing balance]]+TB_prev[[#This Row],[Rounding]]</f>
        <v>0</v>
      </c>
    </row>
    <row r="1443" spans="30:41" x14ac:dyDescent="0.25">
      <c r="AD1443" s="1067" t="str">
        <f t="shared" si="110"/>
        <v/>
      </c>
      <c r="AE1443" s="1063" t="str">
        <f>IF(ISNA(VLOOKUP(TB_prev[[#This Row],[Synt]],GL[[#Headers],[#Data],[subtotal label]],1,FALSE)),0,(VLOOKUP(TB_prev[[#This Row],[Synt]],GL[[#Headers],[#Data],[subtotal label]],1,FALSE)))</f>
        <v/>
      </c>
      <c r="AF1443" s="1063" t="e">
        <f>IF((TB_prev[[#This Row],[Synt]]-TB_prev[[#This Row],[Subtotal Y/N]])=0,0,VLOOKUP(TB_prev[[#This Row],[Synt]],GL[[Account]:[Line]],3,FALSE))</f>
        <v>#VALUE!</v>
      </c>
      <c r="AG1443" s="1063" t="e">
        <f>VLOOKUP(TB_prev[[#This Row],[Synt]],GL[[Account]:[B/P]],4,FALSE)</f>
        <v>#N/A</v>
      </c>
      <c r="AH1443" s="1066" t="e">
        <v>#VALUE!</v>
      </c>
      <c r="AI1443" s="1065" t="e">
        <f>TB_prev[[#This Row],[Synt]]&amp;TB_prev[[#This Row],[Line No. manual corr.]]</f>
        <v>#VALUE!</v>
      </c>
      <c r="AJ1443" s="1064">
        <f t="shared" si="111"/>
        <v>0</v>
      </c>
      <c r="AK1443" s="1064">
        <f t="shared" si="112"/>
        <v>0</v>
      </c>
      <c r="AL1443" s="1064">
        <f t="shared" si="113"/>
        <v>0</v>
      </c>
      <c r="AM1443" s="1064">
        <f t="shared" si="114"/>
        <v>0</v>
      </c>
      <c r="AN1443" s="1064"/>
      <c r="AO1443" s="1064">
        <f>TB_prev[[#This Row],[Closing balance]]+TB_prev[[#This Row],[Rounding]]</f>
        <v>0</v>
      </c>
    </row>
    <row r="1444" spans="30:41" x14ac:dyDescent="0.25">
      <c r="AD1444" s="1067" t="str">
        <f t="shared" si="110"/>
        <v/>
      </c>
      <c r="AE1444" s="1063" t="str">
        <f>IF(ISNA(VLOOKUP(TB_prev[[#This Row],[Synt]],GL[[#Headers],[#Data],[subtotal label]],1,FALSE)),0,(VLOOKUP(TB_prev[[#This Row],[Synt]],GL[[#Headers],[#Data],[subtotal label]],1,FALSE)))</f>
        <v/>
      </c>
      <c r="AF1444" s="1063" t="e">
        <f>IF((TB_prev[[#This Row],[Synt]]-TB_prev[[#This Row],[Subtotal Y/N]])=0,0,VLOOKUP(TB_prev[[#This Row],[Synt]],GL[[Account]:[Line]],3,FALSE))</f>
        <v>#VALUE!</v>
      </c>
      <c r="AG1444" s="1063" t="e">
        <f>VLOOKUP(TB_prev[[#This Row],[Synt]],GL[[Account]:[B/P]],4,FALSE)</f>
        <v>#N/A</v>
      </c>
      <c r="AH1444" s="1066" t="e">
        <v>#VALUE!</v>
      </c>
      <c r="AI1444" s="1065" t="e">
        <f>TB_prev[[#This Row],[Synt]]&amp;TB_prev[[#This Row],[Line No. manual corr.]]</f>
        <v>#VALUE!</v>
      </c>
      <c r="AJ1444" s="1064">
        <f t="shared" si="111"/>
        <v>0</v>
      </c>
      <c r="AK1444" s="1064">
        <f t="shared" si="112"/>
        <v>0</v>
      </c>
      <c r="AL1444" s="1064">
        <f t="shared" si="113"/>
        <v>0</v>
      </c>
      <c r="AM1444" s="1064">
        <f t="shared" si="114"/>
        <v>0</v>
      </c>
      <c r="AN1444" s="1064"/>
      <c r="AO1444" s="1064">
        <f>TB_prev[[#This Row],[Closing balance]]+TB_prev[[#This Row],[Rounding]]</f>
        <v>0</v>
      </c>
    </row>
    <row r="1445" spans="30:41" x14ac:dyDescent="0.25">
      <c r="AD1445" s="1067" t="str">
        <f t="shared" si="110"/>
        <v/>
      </c>
      <c r="AE1445" s="1063" t="str">
        <f>IF(ISNA(VLOOKUP(TB_prev[[#This Row],[Synt]],GL[[#Headers],[#Data],[subtotal label]],1,FALSE)),0,(VLOOKUP(TB_prev[[#This Row],[Synt]],GL[[#Headers],[#Data],[subtotal label]],1,FALSE)))</f>
        <v/>
      </c>
      <c r="AF1445" s="1063" t="e">
        <f>IF((TB_prev[[#This Row],[Synt]]-TB_prev[[#This Row],[Subtotal Y/N]])=0,0,VLOOKUP(TB_prev[[#This Row],[Synt]],GL[[Account]:[Line]],3,FALSE))</f>
        <v>#VALUE!</v>
      </c>
      <c r="AG1445" s="1063" t="e">
        <f>VLOOKUP(TB_prev[[#This Row],[Synt]],GL[[Account]:[B/P]],4,FALSE)</f>
        <v>#N/A</v>
      </c>
      <c r="AH1445" s="1066" t="e">
        <v>#VALUE!</v>
      </c>
      <c r="AI1445" s="1065" t="e">
        <f>TB_prev[[#This Row],[Synt]]&amp;TB_prev[[#This Row],[Line No. manual corr.]]</f>
        <v>#VALUE!</v>
      </c>
      <c r="AJ1445" s="1064">
        <f t="shared" si="111"/>
        <v>0</v>
      </c>
      <c r="AK1445" s="1064">
        <f t="shared" si="112"/>
        <v>0</v>
      </c>
      <c r="AL1445" s="1064">
        <f t="shared" si="113"/>
        <v>0</v>
      </c>
      <c r="AM1445" s="1064">
        <f t="shared" si="114"/>
        <v>0</v>
      </c>
      <c r="AN1445" s="1064"/>
      <c r="AO1445" s="1064">
        <f>TB_prev[[#This Row],[Closing balance]]+TB_prev[[#This Row],[Rounding]]</f>
        <v>0</v>
      </c>
    </row>
    <row r="1446" spans="30:41" x14ac:dyDescent="0.25">
      <c r="AD1446" s="1067" t="str">
        <f t="shared" si="110"/>
        <v/>
      </c>
      <c r="AE1446" s="1063" t="str">
        <f>IF(ISNA(VLOOKUP(TB_prev[[#This Row],[Synt]],GL[[#Headers],[#Data],[subtotal label]],1,FALSE)),0,(VLOOKUP(TB_prev[[#This Row],[Synt]],GL[[#Headers],[#Data],[subtotal label]],1,FALSE)))</f>
        <v/>
      </c>
      <c r="AF1446" s="1063" t="e">
        <f>IF((TB_prev[[#This Row],[Synt]]-TB_prev[[#This Row],[Subtotal Y/N]])=0,0,VLOOKUP(TB_prev[[#This Row],[Synt]],GL[[Account]:[Line]],3,FALSE))</f>
        <v>#VALUE!</v>
      </c>
      <c r="AG1446" s="1063" t="e">
        <f>VLOOKUP(TB_prev[[#This Row],[Synt]],GL[[Account]:[B/P]],4,FALSE)</f>
        <v>#N/A</v>
      </c>
      <c r="AH1446" s="1066" t="e">
        <v>#VALUE!</v>
      </c>
      <c r="AI1446" s="1065" t="e">
        <f>TB_prev[[#This Row],[Synt]]&amp;TB_prev[[#This Row],[Line No. manual corr.]]</f>
        <v>#VALUE!</v>
      </c>
      <c r="AJ1446" s="1064">
        <f t="shared" si="111"/>
        <v>0</v>
      </c>
      <c r="AK1446" s="1064">
        <f t="shared" si="112"/>
        <v>0</v>
      </c>
      <c r="AL1446" s="1064">
        <f t="shared" si="113"/>
        <v>0</v>
      </c>
      <c r="AM1446" s="1064">
        <f t="shared" si="114"/>
        <v>0</v>
      </c>
      <c r="AN1446" s="1064"/>
      <c r="AO1446" s="1064">
        <f>TB_prev[[#This Row],[Closing balance]]+TB_prev[[#This Row],[Rounding]]</f>
        <v>0</v>
      </c>
    </row>
    <row r="1447" spans="30:41" x14ac:dyDescent="0.25">
      <c r="AD1447" s="1067" t="str">
        <f t="shared" si="110"/>
        <v/>
      </c>
      <c r="AE1447" s="1063" t="str">
        <f>IF(ISNA(VLOOKUP(TB_prev[[#This Row],[Synt]],GL[[#Headers],[#Data],[subtotal label]],1,FALSE)),0,(VLOOKUP(TB_prev[[#This Row],[Synt]],GL[[#Headers],[#Data],[subtotal label]],1,FALSE)))</f>
        <v/>
      </c>
      <c r="AF1447" s="1063" t="e">
        <f>IF((TB_prev[[#This Row],[Synt]]-TB_prev[[#This Row],[Subtotal Y/N]])=0,0,VLOOKUP(TB_prev[[#This Row],[Synt]],GL[[Account]:[Line]],3,FALSE))</f>
        <v>#VALUE!</v>
      </c>
      <c r="AG1447" s="1063" t="e">
        <f>VLOOKUP(TB_prev[[#This Row],[Synt]],GL[[Account]:[B/P]],4,FALSE)</f>
        <v>#N/A</v>
      </c>
      <c r="AH1447" s="1066" t="e">
        <v>#VALUE!</v>
      </c>
      <c r="AI1447" s="1065" t="e">
        <f>TB_prev[[#This Row],[Synt]]&amp;TB_prev[[#This Row],[Line No. manual corr.]]</f>
        <v>#VALUE!</v>
      </c>
      <c r="AJ1447" s="1064">
        <f t="shared" si="111"/>
        <v>0</v>
      </c>
      <c r="AK1447" s="1064">
        <f t="shared" si="112"/>
        <v>0</v>
      </c>
      <c r="AL1447" s="1064">
        <f t="shared" si="113"/>
        <v>0</v>
      </c>
      <c r="AM1447" s="1064">
        <f t="shared" si="114"/>
        <v>0</v>
      </c>
      <c r="AN1447" s="1064"/>
      <c r="AO1447" s="1064">
        <f>TB_prev[[#This Row],[Closing balance]]+TB_prev[[#This Row],[Rounding]]</f>
        <v>0</v>
      </c>
    </row>
    <row r="1448" spans="30:41" x14ac:dyDescent="0.25">
      <c r="AD1448" s="1067" t="str">
        <f t="shared" si="110"/>
        <v/>
      </c>
      <c r="AE1448" s="1063" t="str">
        <f>IF(ISNA(VLOOKUP(TB_prev[[#This Row],[Synt]],GL[[#Headers],[#Data],[subtotal label]],1,FALSE)),0,(VLOOKUP(TB_prev[[#This Row],[Synt]],GL[[#Headers],[#Data],[subtotal label]],1,FALSE)))</f>
        <v/>
      </c>
      <c r="AF1448" s="1063" t="e">
        <f>IF((TB_prev[[#This Row],[Synt]]-TB_prev[[#This Row],[Subtotal Y/N]])=0,0,VLOOKUP(TB_prev[[#This Row],[Synt]],GL[[Account]:[Line]],3,FALSE))</f>
        <v>#VALUE!</v>
      </c>
      <c r="AG1448" s="1063" t="e">
        <f>VLOOKUP(TB_prev[[#This Row],[Synt]],GL[[Account]:[B/P]],4,FALSE)</f>
        <v>#N/A</v>
      </c>
      <c r="AH1448" s="1066" t="e">
        <v>#VALUE!</v>
      </c>
      <c r="AI1448" s="1065" t="e">
        <f>TB_prev[[#This Row],[Synt]]&amp;TB_prev[[#This Row],[Line No. manual corr.]]</f>
        <v>#VALUE!</v>
      </c>
      <c r="AJ1448" s="1064">
        <f t="shared" si="111"/>
        <v>0</v>
      </c>
      <c r="AK1448" s="1064">
        <f t="shared" si="112"/>
        <v>0</v>
      </c>
      <c r="AL1448" s="1064">
        <f t="shared" si="113"/>
        <v>0</v>
      </c>
      <c r="AM1448" s="1064">
        <f t="shared" si="114"/>
        <v>0</v>
      </c>
      <c r="AN1448" s="1064"/>
      <c r="AO1448" s="1064">
        <f>TB_prev[[#This Row],[Closing balance]]+TB_prev[[#This Row],[Rounding]]</f>
        <v>0</v>
      </c>
    </row>
    <row r="1449" spans="30:41" x14ac:dyDescent="0.25">
      <c r="AD1449" s="1067" t="str">
        <f t="shared" si="110"/>
        <v/>
      </c>
      <c r="AE1449" s="1063" t="str">
        <f>IF(ISNA(VLOOKUP(TB_prev[[#This Row],[Synt]],GL[[#Headers],[#Data],[subtotal label]],1,FALSE)),0,(VLOOKUP(TB_prev[[#This Row],[Synt]],GL[[#Headers],[#Data],[subtotal label]],1,FALSE)))</f>
        <v/>
      </c>
      <c r="AF1449" s="1063" t="e">
        <f>IF((TB_prev[[#This Row],[Synt]]-TB_prev[[#This Row],[Subtotal Y/N]])=0,0,VLOOKUP(TB_prev[[#This Row],[Synt]],GL[[Account]:[Line]],3,FALSE))</f>
        <v>#VALUE!</v>
      </c>
      <c r="AG1449" s="1063" t="e">
        <f>VLOOKUP(TB_prev[[#This Row],[Synt]],GL[[Account]:[B/P]],4,FALSE)</f>
        <v>#N/A</v>
      </c>
      <c r="AH1449" s="1066" t="e">
        <v>#VALUE!</v>
      </c>
      <c r="AI1449" s="1065" t="e">
        <f>TB_prev[[#This Row],[Synt]]&amp;TB_prev[[#This Row],[Line No. manual corr.]]</f>
        <v>#VALUE!</v>
      </c>
      <c r="AJ1449" s="1064">
        <f t="shared" si="111"/>
        <v>0</v>
      </c>
      <c r="AK1449" s="1064">
        <f t="shared" si="112"/>
        <v>0</v>
      </c>
      <c r="AL1449" s="1064">
        <f t="shared" si="113"/>
        <v>0</v>
      </c>
      <c r="AM1449" s="1064">
        <f t="shared" si="114"/>
        <v>0</v>
      </c>
      <c r="AN1449" s="1064"/>
      <c r="AO1449" s="1064">
        <f>TB_prev[[#This Row],[Closing balance]]+TB_prev[[#This Row],[Rounding]]</f>
        <v>0</v>
      </c>
    </row>
    <row r="1450" spans="30:41" x14ac:dyDescent="0.25">
      <c r="AD1450" s="1067" t="str">
        <f t="shared" si="110"/>
        <v/>
      </c>
      <c r="AE1450" s="1063" t="str">
        <f>IF(ISNA(VLOOKUP(TB_prev[[#This Row],[Synt]],GL[[#Headers],[#Data],[subtotal label]],1,FALSE)),0,(VLOOKUP(TB_prev[[#This Row],[Synt]],GL[[#Headers],[#Data],[subtotal label]],1,FALSE)))</f>
        <v/>
      </c>
      <c r="AF1450" s="1063" t="e">
        <f>IF((TB_prev[[#This Row],[Synt]]-TB_prev[[#This Row],[Subtotal Y/N]])=0,0,VLOOKUP(TB_prev[[#This Row],[Synt]],GL[[Account]:[Line]],3,FALSE))</f>
        <v>#VALUE!</v>
      </c>
      <c r="AG1450" s="1063" t="e">
        <f>VLOOKUP(TB_prev[[#This Row],[Synt]],GL[[Account]:[B/P]],4,FALSE)</f>
        <v>#N/A</v>
      </c>
      <c r="AH1450" s="1066" t="e">
        <v>#VALUE!</v>
      </c>
      <c r="AI1450" s="1065" t="e">
        <f>TB_prev[[#This Row],[Synt]]&amp;TB_prev[[#This Row],[Line No. manual corr.]]</f>
        <v>#VALUE!</v>
      </c>
      <c r="AJ1450" s="1064">
        <f t="shared" si="111"/>
        <v>0</v>
      </c>
      <c r="AK1450" s="1064">
        <f t="shared" si="112"/>
        <v>0</v>
      </c>
      <c r="AL1450" s="1064">
        <f t="shared" si="113"/>
        <v>0</v>
      </c>
      <c r="AM1450" s="1064">
        <f t="shared" si="114"/>
        <v>0</v>
      </c>
      <c r="AN1450" s="1064"/>
      <c r="AO1450" s="1064">
        <f>TB_prev[[#This Row],[Closing balance]]+TB_prev[[#This Row],[Rounding]]</f>
        <v>0</v>
      </c>
    </row>
    <row r="1451" spans="30:41" x14ac:dyDescent="0.25">
      <c r="AD1451" s="1067" t="str">
        <f t="shared" si="110"/>
        <v/>
      </c>
      <c r="AE1451" s="1063" t="str">
        <f>IF(ISNA(VLOOKUP(TB_prev[[#This Row],[Synt]],GL[[#Headers],[#Data],[subtotal label]],1,FALSE)),0,(VLOOKUP(TB_prev[[#This Row],[Synt]],GL[[#Headers],[#Data],[subtotal label]],1,FALSE)))</f>
        <v/>
      </c>
      <c r="AF1451" s="1063" t="e">
        <f>IF((TB_prev[[#This Row],[Synt]]-TB_prev[[#This Row],[Subtotal Y/N]])=0,0,VLOOKUP(TB_prev[[#This Row],[Synt]],GL[[Account]:[Line]],3,FALSE))</f>
        <v>#VALUE!</v>
      </c>
      <c r="AG1451" s="1063" t="e">
        <f>VLOOKUP(TB_prev[[#This Row],[Synt]],GL[[Account]:[B/P]],4,FALSE)</f>
        <v>#N/A</v>
      </c>
      <c r="AH1451" s="1066" t="e">
        <v>#VALUE!</v>
      </c>
      <c r="AI1451" s="1065" t="e">
        <f>TB_prev[[#This Row],[Synt]]&amp;TB_prev[[#This Row],[Line No. manual corr.]]</f>
        <v>#VALUE!</v>
      </c>
      <c r="AJ1451" s="1064">
        <f t="shared" si="111"/>
        <v>0</v>
      </c>
      <c r="AK1451" s="1064">
        <f t="shared" si="112"/>
        <v>0</v>
      </c>
      <c r="AL1451" s="1064">
        <f t="shared" si="113"/>
        <v>0</v>
      </c>
      <c r="AM1451" s="1064">
        <f t="shared" si="114"/>
        <v>0</v>
      </c>
      <c r="AN1451" s="1064"/>
      <c r="AO1451" s="1064">
        <f>TB_prev[[#This Row],[Closing balance]]+TB_prev[[#This Row],[Rounding]]</f>
        <v>0</v>
      </c>
    </row>
    <row r="1452" spans="30:41" x14ac:dyDescent="0.25">
      <c r="AD1452" s="1067" t="str">
        <f t="shared" si="110"/>
        <v/>
      </c>
      <c r="AE1452" s="1063" t="str">
        <f>IF(ISNA(VLOOKUP(TB_prev[[#This Row],[Synt]],GL[[#Headers],[#Data],[subtotal label]],1,FALSE)),0,(VLOOKUP(TB_prev[[#This Row],[Synt]],GL[[#Headers],[#Data],[subtotal label]],1,FALSE)))</f>
        <v/>
      </c>
      <c r="AF1452" s="1063" t="e">
        <f>IF((TB_prev[[#This Row],[Synt]]-TB_prev[[#This Row],[Subtotal Y/N]])=0,0,VLOOKUP(TB_prev[[#This Row],[Synt]],GL[[Account]:[Line]],3,FALSE))</f>
        <v>#VALUE!</v>
      </c>
      <c r="AG1452" s="1063" t="e">
        <f>VLOOKUP(TB_prev[[#This Row],[Synt]],GL[[Account]:[B/P]],4,FALSE)</f>
        <v>#N/A</v>
      </c>
      <c r="AH1452" s="1066" t="e">
        <v>#VALUE!</v>
      </c>
      <c r="AI1452" s="1065" t="e">
        <f>TB_prev[[#This Row],[Synt]]&amp;TB_prev[[#This Row],[Line No. manual corr.]]</f>
        <v>#VALUE!</v>
      </c>
      <c r="AJ1452" s="1064">
        <f t="shared" si="111"/>
        <v>0</v>
      </c>
      <c r="AK1452" s="1064">
        <f t="shared" si="112"/>
        <v>0</v>
      </c>
      <c r="AL1452" s="1064">
        <f t="shared" si="113"/>
        <v>0</v>
      </c>
      <c r="AM1452" s="1064">
        <f t="shared" si="114"/>
        <v>0</v>
      </c>
      <c r="AN1452" s="1064"/>
      <c r="AO1452" s="1064">
        <f>TB_prev[[#This Row],[Closing balance]]+TB_prev[[#This Row],[Rounding]]</f>
        <v>0</v>
      </c>
    </row>
    <row r="1453" spans="30:41" x14ac:dyDescent="0.25">
      <c r="AD1453" s="1067" t="str">
        <f t="shared" si="110"/>
        <v/>
      </c>
      <c r="AE1453" s="1063" t="str">
        <f>IF(ISNA(VLOOKUP(TB_prev[[#This Row],[Synt]],GL[[#Headers],[#Data],[subtotal label]],1,FALSE)),0,(VLOOKUP(TB_prev[[#This Row],[Synt]],GL[[#Headers],[#Data],[subtotal label]],1,FALSE)))</f>
        <v/>
      </c>
      <c r="AF1453" s="1063" t="e">
        <f>IF((TB_prev[[#This Row],[Synt]]-TB_prev[[#This Row],[Subtotal Y/N]])=0,0,VLOOKUP(TB_prev[[#This Row],[Synt]],GL[[Account]:[Line]],3,FALSE))</f>
        <v>#VALUE!</v>
      </c>
      <c r="AG1453" s="1063" t="e">
        <f>VLOOKUP(TB_prev[[#This Row],[Synt]],GL[[Account]:[B/P]],4,FALSE)</f>
        <v>#N/A</v>
      </c>
      <c r="AH1453" s="1066" t="e">
        <v>#VALUE!</v>
      </c>
      <c r="AI1453" s="1065" t="e">
        <f>TB_prev[[#This Row],[Synt]]&amp;TB_prev[[#This Row],[Line No. manual corr.]]</f>
        <v>#VALUE!</v>
      </c>
      <c r="AJ1453" s="1064">
        <f t="shared" si="111"/>
        <v>0</v>
      </c>
      <c r="AK1453" s="1064">
        <f t="shared" si="112"/>
        <v>0</v>
      </c>
      <c r="AL1453" s="1064">
        <f t="shared" si="113"/>
        <v>0</v>
      </c>
      <c r="AM1453" s="1064">
        <f t="shared" si="114"/>
        <v>0</v>
      </c>
      <c r="AN1453" s="1064"/>
      <c r="AO1453" s="1064">
        <f>TB_prev[[#This Row],[Closing balance]]+TB_prev[[#This Row],[Rounding]]</f>
        <v>0</v>
      </c>
    </row>
    <row r="1454" spans="30:41" x14ac:dyDescent="0.25">
      <c r="AD1454" s="1067" t="str">
        <f t="shared" si="110"/>
        <v/>
      </c>
      <c r="AE1454" s="1063" t="str">
        <f>IF(ISNA(VLOOKUP(TB_prev[[#This Row],[Synt]],GL[[#Headers],[#Data],[subtotal label]],1,FALSE)),0,(VLOOKUP(TB_prev[[#This Row],[Synt]],GL[[#Headers],[#Data],[subtotal label]],1,FALSE)))</f>
        <v/>
      </c>
      <c r="AF1454" s="1063" t="e">
        <f>IF((TB_prev[[#This Row],[Synt]]-TB_prev[[#This Row],[Subtotal Y/N]])=0,0,VLOOKUP(TB_prev[[#This Row],[Synt]],GL[[Account]:[Line]],3,FALSE))</f>
        <v>#VALUE!</v>
      </c>
      <c r="AG1454" s="1063" t="e">
        <f>VLOOKUP(TB_prev[[#This Row],[Synt]],GL[[Account]:[B/P]],4,FALSE)</f>
        <v>#N/A</v>
      </c>
      <c r="AH1454" s="1066" t="e">
        <v>#VALUE!</v>
      </c>
      <c r="AI1454" s="1065" t="e">
        <f>TB_prev[[#This Row],[Synt]]&amp;TB_prev[[#This Row],[Line No. manual corr.]]</f>
        <v>#VALUE!</v>
      </c>
      <c r="AJ1454" s="1064">
        <f t="shared" si="111"/>
        <v>0</v>
      </c>
      <c r="AK1454" s="1064">
        <f t="shared" si="112"/>
        <v>0</v>
      </c>
      <c r="AL1454" s="1064">
        <f t="shared" si="113"/>
        <v>0</v>
      </c>
      <c r="AM1454" s="1064">
        <f t="shared" si="114"/>
        <v>0</v>
      </c>
      <c r="AN1454" s="1064"/>
      <c r="AO1454" s="1064">
        <f>TB_prev[[#This Row],[Closing balance]]+TB_prev[[#This Row],[Rounding]]</f>
        <v>0</v>
      </c>
    </row>
    <row r="1455" spans="30:41" x14ac:dyDescent="0.25">
      <c r="AD1455" s="1067" t="str">
        <f t="shared" si="110"/>
        <v/>
      </c>
      <c r="AE1455" s="1063" t="str">
        <f>IF(ISNA(VLOOKUP(TB_prev[[#This Row],[Synt]],GL[[#Headers],[#Data],[subtotal label]],1,FALSE)),0,(VLOOKUP(TB_prev[[#This Row],[Synt]],GL[[#Headers],[#Data],[subtotal label]],1,FALSE)))</f>
        <v/>
      </c>
      <c r="AF1455" s="1063" t="e">
        <f>IF((TB_prev[[#This Row],[Synt]]-TB_prev[[#This Row],[Subtotal Y/N]])=0,0,VLOOKUP(TB_prev[[#This Row],[Synt]],GL[[Account]:[Line]],3,FALSE))</f>
        <v>#VALUE!</v>
      </c>
      <c r="AG1455" s="1063" t="e">
        <f>VLOOKUP(TB_prev[[#This Row],[Synt]],GL[[Account]:[B/P]],4,FALSE)</f>
        <v>#N/A</v>
      </c>
      <c r="AH1455" s="1066" t="e">
        <v>#VALUE!</v>
      </c>
      <c r="AI1455" s="1065" t="e">
        <f>TB_prev[[#This Row],[Synt]]&amp;TB_prev[[#This Row],[Line No. manual corr.]]</f>
        <v>#VALUE!</v>
      </c>
      <c r="AJ1455" s="1064">
        <f t="shared" si="111"/>
        <v>0</v>
      </c>
      <c r="AK1455" s="1064">
        <f t="shared" si="112"/>
        <v>0</v>
      </c>
      <c r="AL1455" s="1064">
        <f t="shared" si="113"/>
        <v>0</v>
      </c>
      <c r="AM1455" s="1064">
        <f t="shared" si="114"/>
        <v>0</v>
      </c>
      <c r="AN1455" s="1064"/>
      <c r="AO1455" s="1064">
        <f>TB_prev[[#This Row],[Closing balance]]+TB_prev[[#This Row],[Rounding]]</f>
        <v>0</v>
      </c>
    </row>
    <row r="1456" spans="30:41" x14ac:dyDescent="0.25">
      <c r="AD1456" s="1067" t="str">
        <f t="shared" si="110"/>
        <v/>
      </c>
      <c r="AE1456" s="1063" t="str">
        <f>IF(ISNA(VLOOKUP(TB_prev[[#This Row],[Synt]],GL[[#Headers],[#Data],[subtotal label]],1,FALSE)),0,(VLOOKUP(TB_prev[[#This Row],[Synt]],GL[[#Headers],[#Data],[subtotal label]],1,FALSE)))</f>
        <v/>
      </c>
      <c r="AF1456" s="1063" t="e">
        <f>IF((TB_prev[[#This Row],[Synt]]-TB_prev[[#This Row],[Subtotal Y/N]])=0,0,VLOOKUP(TB_prev[[#This Row],[Synt]],GL[[Account]:[Line]],3,FALSE))</f>
        <v>#VALUE!</v>
      </c>
      <c r="AG1456" s="1063" t="e">
        <f>VLOOKUP(TB_prev[[#This Row],[Synt]],GL[[Account]:[B/P]],4,FALSE)</f>
        <v>#N/A</v>
      </c>
      <c r="AH1456" s="1066" t="e">
        <v>#VALUE!</v>
      </c>
      <c r="AI1456" s="1065" t="e">
        <f>TB_prev[[#This Row],[Synt]]&amp;TB_prev[[#This Row],[Line No. manual corr.]]</f>
        <v>#VALUE!</v>
      </c>
      <c r="AJ1456" s="1064">
        <f t="shared" si="111"/>
        <v>0</v>
      </c>
      <c r="AK1456" s="1064">
        <f t="shared" si="112"/>
        <v>0</v>
      </c>
      <c r="AL1456" s="1064">
        <f t="shared" si="113"/>
        <v>0</v>
      </c>
      <c r="AM1456" s="1064">
        <f t="shared" si="114"/>
        <v>0</v>
      </c>
      <c r="AN1456" s="1064"/>
      <c r="AO1456" s="1064">
        <f>TB_prev[[#This Row],[Closing balance]]+TB_prev[[#This Row],[Rounding]]</f>
        <v>0</v>
      </c>
    </row>
    <row r="1457" spans="30:41" x14ac:dyDescent="0.25">
      <c r="AD1457" s="1067" t="str">
        <f t="shared" si="110"/>
        <v/>
      </c>
      <c r="AE1457" s="1063" t="str">
        <f>IF(ISNA(VLOOKUP(TB_prev[[#This Row],[Synt]],GL[[#Headers],[#Data],[subtotal label]],1,FALSE)),0,(VLOOKUP(TB_prev[[#This Row],[Synt]],GL[[#Headers],[#Data],[subtotal label]],1,FALSE)))</f>
        <v/>
      </c>
      <c r="AF1457" s="1063" t="e">
        <f>IF((TB_prev[[#This Row],[Synt]]-TB_prev[[#This Row],[Subtotal Y/N]])=0,0,VLOOKUP(TB_prev[[#This Row],[Synt]],GL[[Account]:[Line]],3,FALSE))</f>
        <v>#VALUE!</v>
      </c>
      <c r="AG1457" s="1063" t="e">
        <f>VLOOKUP(TB_prev[[#This Row],[Synt]],GL[[Account]:[B/P]],4,FALSE)</f>
        <v>#N/A</v>
      </c>
      <c r="AH1457" s="1066" t="e">
        <v>#VALUE!</v>
      </c>
      <c r="AI1457" s="1065" t="e">
        <f>TB_prev[[#This Row],[Synt]]&amp;TB_prev[[#This Row],[Line No. manual corr.]]</f>
        <v>#VALUE!</v>
      </c>
      <c r="AJ1457" s="1064">
        <f t="shared" si="111"/>
        <v>0</v>
      </c>
      <c r="AK1457" s="1064">
        <f t="shared" si="112"/>
        <v>0</v>
      </c>
      <c r="AL1457" s="1064">
        <f t="shared" si="113"/>
        <v>0</v>
      </c>
      <c r="AM1457" s="1064">
        <f t="shared" si="114"/>
        <v>0</v>
      </c>
      <c r="AN1457" s="1064"/>
      <c r="AO1457" s="1064">
        <f>TB_prev[[#This Row],[Closing balance]]+TB_prev[[#This Row],[Rounding]]</f>
        <v>0</v>
      </c>
    </row>
    <row r="1458" spans="30:41" x14ac:dyDescent="0.25">
      <c r="AD1458" s="1067" t="str">
        <f t="shared" si="110"/>
        <v/>
      </c>
      <c r="AE1458" s="1063" t="str">
        <f>IF(ISNA(VLOOKUP(TB_prev[[#This Row],[Synt]],GL[[#Headers],[#Data],[subtotal label]],1,FALSE)),0,(VLOOKUP(TB_prev[[#This Row],[Synt]],GL[[#Headers],[#Data],[subtotal label]],1,FALSE)))</f>
        <v/>
      </c>
      <c r="AF1458" s="1063" t="e">
        <f>IF((TB_prev[[#This Row],[Synt]]-TB_prev[[#This Row],[Subtotal Y/N]])=0,0,VLOOKUP(TB_prev[[#This Row],[Synt]],GL[[Account]:[Line]],3,FALSE))</f>
        <v>#VALUE!</v>
      </c>
      <c r="AG1458" s="1063" t="e">
        <f>VLOOKUP(TB_prev[[#This Row],[Synt]],GL[[Account]:[B/P]],4,FALSE)</f>
        <v>#N/A</v>
      </c>
      <c r="AH1458" s="1066" t="e">
        <v>#VALUE!</v>
      </c>
      <c r="AI1458" s="1065" t="e">
        <f>TB_prev[[#This Row],[Synt]]&amp;TB_prev[[#This Row],[Line No. manual corr.]]</f>
        <v>#VALUE!</v>
      </c>
      <c r="AJ1458" s="1064">
        <f t="shared" si="111"/>
        <v>0</v>
      </c>
      <c r="AK1458" s="1064">
        <f t="shared" si="112"/>
        <v>0</v>
      </c>
      <c r="AL1458" s="1064">
        <f t="shared" si="113"/>
        <v>0</v>
      </c>
      <c r="AM1458" s="1064">
        <f t="shared" si="114"/>
        <v>0</v>
      </c>
      <c r="AN1458" s="1064"/>
      <c r="AO1458" s="1064">
        <f>TB_prev[[#This Row],[Closing balance]]+TB_prev[[#This Row],[Rounding]]</f>
        <v>0</v>
      </c>
    </row>
    <row r="1459" spans="30:41" x14ac:dyDescent="0.25">
      <c r="AD1459" s="1067" t="str">
        <f t="shared" si="110"/>
        <v/>
      </c>
      <c r="AE1459" s="1063" t="str">
        <f>IF(ISNA(VLOOKUP(TB_prev[[#This Row],[Synt]],GL[[#Headers],[#Data],[subtotal label]],1,FALSE)),0,(VLOOKUP(TB_prev[[#This Row],[Synt]],GL[[#Headers],[#Data],[subtotal label]],1,FALSE)))</f>
        <v/>
      </c>
      <c r="AF1459" s="1063" t="e">
        <f>IF((TB_prev[[#This Row],[Synt]]-TB_prev[[#This Row],[Subtotal Y/N]])=0,0,VLOOKUP(TB_prev[[#This Row],[Synt]],GL[[Account]:[Line]],3,FALSE))</f>
        <v>#VALUE!</v>
      </c>
      <c r="AG1459" s="1063" t="e">
        <f>VLOOKUP(TB_prev[[#This Row],[Synt]],GL[[Account]:[B/P]],4,FALSE)</f>
        <v>#N/A</v>
      </c>
      <c r="AH1459" s="1066" t="e">
        <v>#VALUE!</v>
      </c>
      <c r="AI1459" s="1065" t="e">
        <f>TB_prev[[#This Row],[Synt]]&amp;TB_prev[[#This Row],[Line No. manual corr.]]</f>
        <v>#VALUE!</v>
      </c>
      <c r="AJ1459" s="1064">
        <f t="shared" si="111"/>
        <v>0</v>
      </c>
      <c r="AK1459" s="1064">
        <f t="shared" si="112"/>
        <v>0</v>
      </c>
      <c r="AL1459" s="1064">
        <f t="shared" si="113"/>
        <v>0</v>
      </c>
      <c r="AM1459" s="1064">
        <f t="shared" si="114"/>
        <v>0</v>
      </c>
      <c r="AN1459" s="1064"/>
      <c r="AO1459" s="1064">
        <f>TB_prev[[#This Row],[Closing balance]]+TB_prev[[#This Row],[Rounding]]</f>
        <v>0</v>
      </c>
    </row>
    <row r="1460" spans="30:41" x14ac:dyDescent="0.25">
      <c r="AD1460" s="1067" t="str">
        <f t="shared" si="110"/>
        <v/>
      </c>
      <c r="AE1460" s="1063" t="str">
        <f>IF(ISNA(VLOOKUP(TB_prev[[#This Row],[Synt]],GL[[#Headers],[#Data],[subtotal label]],1,FALSE)),0,(VLOOKUP(TB_prev[[#This Row],[Synt]],GL[[#Headers],[#Data],[subtotal label]],1,FALSE)))</f>
        <v/>
      </c>
      <c r="AF1460" s="1063" t="e">
        <f>IF((TB_prev[[#This Row],[Synt]]-TB_prev[[#This Row],[Subtotal Y/N]])=0,0,VLOOKUP(TB_prev[[#This Row],[Synt]],GL[[Account]:[Line]],3,FALSE))</f>
        <v>#VALUE!</v>
      </c>
      <c r="AG1460" s="1063" t="e">
        <f>VLOOKUP(TB_prev[[#This Row],[Synt]],GL[[Account]:[B/P]],4,FALSE)</f>
        <v>#N/A</v>
      </c>
      <c r="AH1460" s="1066" t="e">
        <v>#VALUE!</v>
      </c>
      <c r="AI1460" s="1065" t="e">
        <f>TB_prev[[#This Row],[Synt]]&amp;TB_prev[[#This Row],[Line No. manual corr.]]</f>
        <v>#VALUE!</v>
      </c>
      <c r="AJ1460" s="1064">
        <f t="shared" si="111"/>
        <v>0</v>
      </c>
      <c r="AK1460" s="1064">
        <f t="shared" si="112"/>
        <v>0</v>
      </c>
      <c r="AL1460" s="1064">
        <f t="shared" si="113"/>
        <v>0</v>
      </c>
      <c r="AM1460" s="1064">
        <f t="shared" si="114"/>
        <v>0</v>
      </c>
      <c r="AN1460" s="1064"/>
      <c r="AO1460" s="1064">
        <f>TB_prev[[#This Row],[Closing balance]]+TB_prev[[#This Row],[Rounding]]</f>
        <v>0</v>
      </c>
    </row>
    <row r="1461" spans="30:41" x14ac:dyDescent="0.25">
      <c r="AD1461" s="1067" t="str">
        <f t="shared" si="110"/>
        <v/>
      </c>
      <c r="AE1461" s="1063" t="str">
        <f>IF(ISNA(VLOOKUP(TB_prev[[#This Row],[Synt]],GL[[#Headers],[#Data],[subtotal label]],1,FALSE)),0,(VLOOKUP(TB_prev[[#This Row],[Synt]],GL[[#Headers],[#Data],[subtotal label]],1,FALSE)))</f>
        <v/>
      </c>
      <c r="AF1461" s="1063" t="e">
        <f>IF((TB_prev[[#This Row],[Synt]]-TB_prev[[#This Row],[Subtotal Y/N]])=0,0,VLOOKUP(TB_prev[[#This Row],[Synt]],GL[[Account]:[Line]],3,FALSE))</f>
        <v>#VALUE!</v>
      </c>
      <c r="AG1461" s="1063" t="e">
        <f>VLOOKUP(TB_prev[[#This Row],[Synt]],GL[[Account]:[B/P]],4,FALSE)</f>
        <v>#N/A</v>
      </c>
      <c r="AH1461" s="1066" t="e">
        <v>#VALUE!</v>
      </c>
      <c r="AI1461" s="1065" t="e">
        <f>TB_prev[[#This Row],[Synt]]&amp;TB_prev[[#This Row],[Line No. manual corr.]]</f>
        <v>#VALUE!</v>
      </c>
      <c r="AJ1461" s="1064">
        <f t="shared" si="111"/>
        <v>0</v>
      </c>
      <c r="AK1461" s="1064">
        <f t="shared" si="112"/>
        <v>0</v>
      </c>
      <c r="AL1461" s="1064">
        <f t="shared" si="113"/>
        <v>0</v>
      </c>
      <c r="AM1461" s="1064">
        <f t="shared" si="114"/>
        <v>0</v>
      </c>
      <c r="AN1461" s="1064"/>
      <c r="AO1461" s="1064">
        <f>TB_prev[[#This Row],[Closing balance]]+TB_prev[[#This Row],[Rounding]]</f>
        <v>0</v>
      </c>
    </row>
    <row r="1462" spans="30:41" x14ac:dyDescent="0.25">
      <c r="AD1462" s="1067" t="str">
        <f t="shared" si="110"/>
        <v/>
      </c>
      <c r="AE1462" s="1063" t="str">
        <f>IF(ISNA(VLOOKUP(TB_prev[[#This Row],[Synt]],GL[[#Headers],[#Data],[subtotal label]],1,FALSE)),0,(VLOOKUP(TB_prev[[#This Row],[Synt]],GL[[#Headers],[#Data],[subtotal label]],1,FALSE)))</f>
        <v/>
      </c>
      <c r="AF1462" s="1063" t="e">
        <f>IF((TB_prev[[#This Row],[Synt]]-TB_prev[[#This Row],[Subtotal Y/N]])=0,0,VLOOKUP(TB_prev[[#This Row],[Synt]],GL[[Account]:[Line]],3,FALSE))</f>
        <v>#VALUE!</v>
      </c>
      <c r="AG1462" s="1063" t="e">
        <f>VLOOKUP(TB_prev[[#This Row],[Synt]],GL[[Account]:[B/P]],4,FALSE)</f>
        <v>#N/A</v>
      </c>
      <c r="AH1462" s="1066" t="e">
        <v>#VALUE!</v>
      </c>
      <c r="AI1462" s="1065" t="e">
        <f>TB_prev[[#This Row],[Synt]]&amp;TB_prev[[#This Row],[Line No. manual corr.]]</f>
        <v>#VALUE!</v>
      </c>
      <c r="AJ1462" s="1064">
        <f t="shared" si="111"/>
        <v>0</v>
      </c>
      <c r="AK1462" s="1064">
        <f t="shared" si="112"/>
        <v>0</v>
      </c>
      <c r="AL1462" s="1064">
        <f t="shared" si="113"/>
        <v>0</v>
      </c>
      <c r="AM1462" s="1064">
        <f t="shared" si="114"/>
        <v>0</v>
      </c>
      <c r="AN1462" s="1064"/>
      <c r="AO1462" s="1064">
        <f>TB_prev[[#This Row],[Closing balance]]+TB_prev[[#This Row],[Rounding]]</f>
        <v>0</v>
      </c>
    </row>
    <row r="1463" spans="30:41" x14ac:dyDescent="0.25">
      <c r="AD1463" s="1067" t="str">
        <f t="shared" si="110"/>
        <v/>
      </c>
      <c r="AE1463" s="1063" t="str">
        <f>IF(ISNA(VLOOKUP(TB_prev[[#This Row],[Synt]],GL[[#Headers],[#Data],[subtotal label]],1,FALSE)),0,(VLOOKUP(TB_prev[[#This Row],[Synt]],GL[[#Headers],[#Data],[subtotal label]],1,FALSE)))</f>
        <v/>
      </c>
      <c r="AF1463" s="1063" t="e">
        <f>IF((TB_prev[[#This Row],[Synt]]-TB_prev[[#This Row],[Subtotal Y/N]])=0,0,VLOOKUP(TB_prev[[#This Row],[Synt]],GL[[Account]:[Line]],3,FALSE))</f>
        <v>#VALUE!</v>
      </c>
      <c r="AG1463" s="1063" t="e">
        <f>VLOOKUP(TB_prev[[#This Row],[Synt]],GL[[Account]:[B/P]],4,FALSE)</f>
        <v>#N/A</v>
      </c>
      <c r="AH1463" s="1066" t="e">
        <v>#VALUE!</v>
      </c>
      <c r="AI1463" s="1065" t="e">
        <f>TB_prev[[#This Row],[Synt]]&amp;TB_prev[[#This Row],[Line No. manual corr.]]</f>
        <v>#VALUE!</v>
      </c>
      <c r="AJ1463" s="1064">
        <f t="shared" si="111"/>
        <v>0</v>
      </c>
      <c r="AK1463" s="1064">
        <f t="shared" si="112"/>
        <v>0</v>
      </c>
      <c r="AL1463" s="1064">
        <f t="shared" si="113"/>
        <v>0</v>
      </c>
      <c r="AM1463" s="1064">
        <f t="shared" si="114"/>
        <v>0</v>
      </c>
      <c r="AN1463" s="1064"/>
      <c r="AO1463" s="1064">
        <f>TB_prev[[#This Row],[Closing balance]]+TB_prev[[#This Row],[Rounding]]</f>
        <v>0</v>
      </c>
    </row>
    <row r="1464" spans="30:41" x14ac:dyDescent="0.25">
      <c r="AD1464" s="1067" t="str">
        <f t="shared" si="110"/>
        <v/>
      </c>
      <c r="AE1464" s="1063" t="str">
        <f>IF(ISNA(VLOOKUP(TB_prev[[#This Row],[Synt]],GL[[#Headers],[#Data],[subtotal label]],1,FALSE)),0,(VLOOKUP(TB_prev[[#This Row],[Synt]],GL[[#Headers],[#Data],[subtotal label]],1,FALSE)))</f>
        <v/>
      </c>
      <c r="AF1464" s="1063" t="e">
        <f>IF((TB_prev[[#This Row],[Synt]]-TB_prev[[#This Row],[Subtotal Y/N]])=0,0,VLOOKUP(TB_prev[[#This Row],[Synt]],GL[[Account]:[Line]],3,FALSE))</f>
        <v>#VALUE!</v>
      </c>
      <c r="AG1464" s="1063" t="e">
        <f>VLOOKUP(TB_prev[[#This Row],[Synt]],GL[[Account]:[B/P]],4,FALSE)</f>
        <v>#N/A</v>
      </c>
      <c r="AH1464" s="1066" t="e">
        <v>#VALUE!</v>
      </c>
      <c r="AI1464" s="1065" t="e">
        <f>TB_prev[[#This Row],[Synt]]&amp;TB_prev[[#This Row],[Line No. manual corr.]]</f>
        <v>#VALUE!</v>
      </c>
      <c r="AJ1464" s="1064">
        <f t="shared" si="111"/>
        <v>0</v>
      </c>
      <c r="AK1464" s="1064">
        <f t="shared" si="112"/>
        <v>0</v>
      </c>
      <c r="AL1464" s="1064">
        <f t="shared" si="113"/>
        <v>0</v>
      </c>
      <c r="AM1464" s="1064">
        <f t="shared" si="114"/>
        <v>0</v>
      </c>
      <c r="AN1464" s="1064"/>
      <c r="AO1464" s="1064">
        <f>TB_prev[[#This Row],[Closing balance]]+TB_prev[[#This Row],[Rounding]]</f>
        <v>0</v>
      </c>
    </row>
    <row r="1465" spans="30:41" x14ac:dyDescent="0.25">
      <c r="AD1465" s="1067" t="str">
        <f t="shared" si="110"/>
        <v/>
      </c>
      <c r="AE1465" s="1063" t="str">
        <f>IF(ISNA(VLOOKUP(TB_prev[[#This Row],[Synt]],GL[[#Headers],[#Data],[subtotal label]],1,FALSE)),0,(VLOOKUP(TB_prev[[#This Row],[Synt]],GL[[#Headers],[#Data],[subtotal label]],1,FALSE)))</f>
        <v/>
      </c>
      <c r="AF1465" s="1063" t="e">
        <f>IF((TB_prev[[#This Row],[Synt]]-TB_prev[[#This Row],[Subtotal Y/N]])=0,0,VLOOKUP(TB_prev[[#This Row],[Synt]],GL[[Account]:[Line]],3,FALSE))</f>
        <v>#VALUE!</v>
      </c>
      <c r="AG1465" s="1063" t="e">
        <f>VLOOKUP(TB_prev[[#This Row],[Synt]],GL[[Account]:[B/P]],4,FALSE)</f>
        <v>#N/A</v>
      </c>
      <c r="AH1465" s="1066" t="e">
        <v>#VALUE!</v>
      </c>
      <c r="AI1465" s="1065" t="e">
        <f>TB_prev[[#This Row],[Synt]]&amp;TB_prev[[#This Row],[Line No. manual corr.]]</f>
        <v>#VALUE!</v>
      </c>
      <c r="AJ1465" s="1064">
        <f t="shared" si="111"/>
        <v>0</v>
      </c>
      <c r="AK1465" s="1064">
        <f t="shared" si="112"/>
        <v>0</v>
      </c>
      <c r="AL1465" s="1064">
        <f t="shared" si="113"/>
        <v>0</v>
      </c>
      <c r="AM1465" s="1064">
        <f t="shared" si="114"/>
        <v>0</v>
      </c>
      <c r="AN1465" s="1064"/>
      <c r="AO1465" s="1064">
        <f>TB_prev[[#This Row],[Closing balance]]+TB_prev[[#This Row],[Rounding]]</f>
        <v>0</v>
      </c>
    </row>
    <row r="1466" spans="30:41" x14ac:dyDescent="0.25">
      <c r="AD1466" s="1067" t="str">
        <f t="shared" si="110"/>
        <v/>
      </c>
      <c r="AE1466" s="1063" t="str">
        <f>IF(ISNA(VLOOKUP(TB_prev[[#This Row],[Synt]],GL[[#Headers],[#Data],[subtotal label]],1,FALSE)),0,(VLOOKUP(TB_prev[[#This Row],[Synt]],GL[[#Headers],[#Data],[subtotal label]],1,FALSE)))</f>
        <v/>
      </c>
      <c r="AF1466" s="1063" t="e">
        <f>IF((TB_prev[[#This Row],[Synt]]-TB_prev[[#This Row],[Subtotal Y/N]])=0,0,VLOOKUP(TB_prev[[#This Row],[Synt]],GL[[Account]:[Line]],3,FALSE))</f>
        <v>#VALUE!</v>
      </c>
      <c r="AG1466" s="1063" t="e">
        <f>VLOOKUP(TB_prev[[#This Row],[Synt]],GL[[Account]:[B/P]],4,FALSE)</f>
        <v>#N/A</v>
      </c>
      <c r="AH1466" s="1066" t="e">
        <v>#VALUE!</v>
      </c>
      <c r="AI1466" s="1065" t="e">
        <f>TB_prev[[#This Row],[Synt]]&amp;TB_prev[[#This Row],[Line No. manual corr.]]</f>
        <v>#VALUE!</v>
      </c>
      <c r="AJ1466" s="1064">
        <f t="shared" si="111"/>
        <v>0</v>
      </c>
      <c r="AK1466" s="1064">
        <f t="shared" si="112"/>
        <v>0</v>
      </c>
      <c r="AL1466" s="1064">
        <f t="shared" si="113"/>
        <v>0</v>
      </c>
      <c r="AM1466" s="1064">
        <f t="shared" si="114"/>
        <v>0</v>
      </c>
      <c r="AN1466" s="1064"/>
      <c r="AO1466" s="1064">
        <f>TB_prev[[#This Row],[Closing balance]]+TB_prev[[#This Row],[Rounding]]</f>
        <v>0</v>
      </c>
    </row>
    <row r="1467" spans="30:41" x14ac:dyDescent="0.25">
      <c r="AD1467" s="1067" t="str">
        <f t="shared" si="110"/>
        <v/>
      </c>
      <c r="AE1467" s="1063" t="str">
        <f>IF(ISNA(VLOOKUP(TB_prev[[#This Row],[Synt]],GL[[#Headers],[#Data],[subtotal label]],1,FALSE)),0,(VLOOKUP(TB_prev[[#This Row],[Synt]],GL[[#Headers],[#Data],[subtotal label]],1,FALSE)))</f>
        <v/>
      </c>
      <c r="AF1467" s="1063" t="e">
        <f>IF((TB_prev[[#This Row],[Synt]]-TB_prev[[#This Row],[Subtotal Y/N]])=0,0,VLOOKUP(TB_prev[[#This Row],[Synt]],GL[[Account]:[Line]],3,FALSE))</f>
        <v>#VALUE!</v>
      </c>
      <c r="AG1467" s="1063" t="e">
        <f>VLOOKUP(TB_prev[[#This Row],[Synt]],GL[[Account]:[B/P]],4,FALSE)</f>
        <v>#N/A</v>
      </c>
      <c r="AH1467" s="1066" t="e">
        <v>#VALUE!</v>
      </c>
      <c r="AI1467" s="1065" t="e">
        <f>TB_prev[[#This Row],[Synt]]&amp;TB_prev[[#This Row],[Line No. manual corr.]]</f>
        <v>#VALUE!</v>
      </c>
      <c r="AJ1467" s="1064">
        <f t="shared" si="111"/>
        <v>0</v>
      </c>
      <c r="AK1467" s="1064">
        <f t="shared" si="112"/>
        <v>0</v>
      </c>
      <c r="AL1467" s="1064">
        <f t="shared" si="113"/>
        <v>0</v>
      </c>
      <c r="AM1467" s="1064">
        <f t="shared" si="114"/>
        <v>0</v>
      </c>
      <c r="AN1467" s="1064"/>
      <c r="AO1467" s="1064">
        <f>TB_prev[[#This Row],[Closing balance]]+TB_prev[[#This Row],[Rounding]]</f>
        <v>0</v>
      </c>
    </row>
    <row r="1468" spans="30:41" x14ac:dyDescent="0.25">
      <c r="AD1468" s="1067" t="str">
        <f t="shared" si="110"/>
        <v/>
      </c>
      <c r="AE1468" s="1063" t="str">
        <f>IF(ISNA(VLOOKUP(TB_prev[[#This Row],[Synt]],GL[[#Headers],[#Data],[subtotal label]],1,FALSE)),0,(VLOOKUP(TB_prev[[#This Row],[Synt]],GL[[#Headers],[#Data],[subtotal label]],1,FALSE)))</f>
        <v/>
      </c>
      <c r="AF1468" s="1063" t="e">
        <f>IF((TB_prev[[#This Row],[Synt]]-TB_prev[[#This Row],[Subtotal Y/N]])=0,0,VLOOKUP(TB_prev[[#This Row],[Synt]],GL[[Account]:[Line]],3,FALSE))</f>
        <v>#VALUE!</v>
      </c>
      <c r="AG1468" s="1063" t="e">
        <f>VLOOKUP(TB_prev[[#This Row],[Synt]],GL[[Account]:[B/P]],4,FALSE)</f>
        <v>#N/A</v>
      </c>
      <c r="AH1468" s="1066" t="e">
        <v>#VALUE!</v>
      </c>
      <c r="AI1468" s="1065" t="e">
        <f>TB_prev[[#This Row],[Synt]]&amp;TB_prev[[#This Row],[Line No. manual corr.]]</f>
        <v>#VALUE!</v>
      </c>
      <c r="AJ1468" s="1064">
        <f t="shared" si="111"/>
        <v>0</v>
      </c>
      <c r="AK1468" s="1064">
        <f t="shared" si="112"/>
        <v>0</v>
      </c>
      <c r="AL1468" s="1064">
        <f t="shared" si="113"/>
        <v>0</v>
      </c>
      <c r="AM1468" s="1064">
        <f t="shared" si="114"/>
        <v>0</v>
      </c>
      <c r="AN1468" s="1064"/>
      <c r="AO1468" s="1064">
        <f>TB_prev[[#This Row],[Closing balance]]+TB_prev[[#This Row],[Rounding]]</f>
        <v>0</v>
      </c>
    </row>
    <row r="1469" spans="30:41" x14ac:dyDescent="0.25">
      <c r="AD1469" s="1067" t="str">
        <f t="shared" si="110"/>
        <v/>
      </c>
      <c r="AE1469" s="1063" t="str">
        <f>IF(ISNA(VLOOKUP(TB_prev[[#This Row],[Synt]],GL[[#Headers],[#Data],[subtotal label]],1,FALSE)),0,(VLOOKUP(TB_prev[[#This Row],[Synt]],GL[[#Headers],[#Data],[subtotal label]],1,FALSE)))</f>
        <v/>
      </c>
      <c r="AF1469" s="1063" t="e">
        <f>IF((TB_prev[[#This Row],[Synt]]-TB_prev[[#This Row],[Subtotal Y/N]])=0,0,VLOOKUP(TB_prev[[#This Row],[Synt]],GL[[Account]:[Line]],3,FALSE))</f>
        <v>#VALUE!</v>
      </c>
      <c r="AG1469" s="1063" t="e">
        <f>VLOOKUP(TB_prev[[#This Row],[Synt]],GL[[Account]:[B/P]],4,FALSE)</f>
        <v>#N/A</v>
      </c>
      <c r="AH1469" s="1066" t="e">
        <v>#VALUE!</v>
      </c>
      <c r="AI1469" s="1065" t="e">
        <f>TB_prev[[#This Row],[Synt]]&amp;TB_prev[[#This Row],[Line No. manual corr.]]</f>
        <v>#VALUE!</v>
      </c>
      <c r="AJ1469" s="1064">
        <f t="shared" si="111"/>
        <v>0</v>
      </c>
      <c r="AK1469" s="1064">
        <f t="shared" si="112"/>
        <v>0</v>
      </c>
      <c r="AL1469" s="1064">
        <f t="shared" si="113"/>
        <v>0</v>
      </c>
      <c r="AM1469" s="1064">
        <f t="shared" si="114"/>
        <v>0</v>
      </c>
      <c r="AN1469" s="1064"/>
      <c r="AO1469" s="1064">
        <f>TB_prev[[#This Row],[Closing balance]]+TB_prev[[#This Row],[Rounding]]</f>
        <v>0</v>
      </c>
    </row>
    <row r="1470" spans="30:41" x14ac:dyDescent="0.25">
      <c r="AD1470" s="1067" t="str">
        <f t="shared" si="110"/>
        <v/>
      </c>
      <c r="AE1470" s="1063" t="str">
        <f>IF(ISNA(VLOOKUP(TB_prev[[#This Row],[Synt]],GL[[#Headers],[#Data],[subtotal label]],1,FALSE)),0,(VLOOKUP(TB_prev[[#This Row],[Synt]],GL[[#Headers],[#Data],[subtotal label]],1,FALSE)))</f>
        <v/>
      </c>
      <c r="AF1470" s="1063" t="e">
        <f>IF((TB_prev[[#This Row],[Synt]]-TB_prev[[#This Row],[Subtotal Y/N]])=0,0,VLOOKUP(TB_prev[[#This Row],[Synt]],GL[[Account]:[Line]],3,FALSE))</f>
        <v>#VALUE!</v>
      </c>
      <c r="AG1470" s="1063" t="e">
        <f>VLOOKUP(TB_prev[[#This Row],[Synt]],GL[[Account]:[B/P]],4,FALSE)</f>
        <v>#N/A</v>
      </c>
      <c r="AH1470" s="1066" t="e">
        <v>#VALUE!</v>
      </c>
      <c r="AI1470" s="1065" t="e">
        <f>TB_prev[[#This Row],[Synt]]&amp;TB_prev[[#This Row],[Line No. manual corr.]]</f>
        <v>#VALUE!</v>
      </c>
      <c r="AJ1470" s="1064">
        <f t="shared" si="111"/>
        <v>0</v>
      </c>
      <c r="AK1470" s="1064">
        <f t="shared" si="112"/>
        <v>0</v>
      </c>
      <c r="AL1470" s="1064">
        <f t="shared" si="113"/>
        <v>0</v>
      </c>
      <c r="AM1470" s="1064">
        <f t="shared" si="114"/>
        <v>0</v>
      </c>
      <c r="AN1470" s="1064"/>
      <c r="AO1470" s="1064">
        <f>TB_prev[[#This Row],[Closing balance]]+TB_prev[[#This Row],[Rounding]]</f>
        <v>0</v>
      </c>
    </row>
    <row r="1471" spans="30:41" x14ac:dyDescent="0.25">
      <c r="AD1471" s="1067" t="str">
        <f t="shared" si="110"/>
        <v/>
      </c>
      <c r="AE1471" s="1063" t="str">
        <f>IF(ISNA(VLOOKUP(TB_prev[[#This Row],[Synt]],GL[[#Headers],[#Data],[subtotal label]],1,FALSE)),0,(VLOOKUP(TB_prev[[#This Row],[Synt]],GL[[#Headers],[#Data],[subtotal label]],1,FALSE)))</f>
        <v/>
      </c>
      <c r="AF1471" s="1063" t="e">
        <f>IF((TB_prev[[#This Row],[Synt]]-TB_prev[[#This Row],[Subtotal Y/N]])=0,0,VLOOKUP(TB_prev[[#This Row],[Synt]],GL[[Account]:[Line]],3,FALSE))</f>
        <v>#VALUE!</v>
      </c>
      <c r="AG1471" s="1063" t="e">
        <f>VLOOKUP(TB_prev[[#This Row],[Synt]],GL[[Account]:[B/P]],4,FALSE)</f>
        <v>#N/A</v>
      </c>
      <c r="AH1471" s="1066" t="e">
        <v>#VALUE!</v>
      </c>
      <c r="AI1471" s="1065" t="e">
        <f>TB_prev[[#This Row],[Synt]]&amp;TB_prev[[#This Row],[Line No. manual corr.]]</f>
        <v>#VALUE!</v>
      </c>
      <c r="AJ1471" s="1064">
        <f t="shared" si="111"/>
        <v>0</v>
      </c>
      <c r="AK1471" s="1064">
        <f t="shared" si="112"/>
        <v>0</v>
      </c>
      <c r="AL1471" s="1064">
        <f t="shared" si="113"/>
        <v>0</v>
      </c>
      <c r="AM1471" s="1064">
        <f t="shared" si="114"/>
        <v>0</v>
      </c>
      <c r="AN1471" s="1064"/>
      <c r="AO1471" s="1064">
        <f>TB_prev[[#This Row],[Closing balance]]+TB_prev[[#This Row],[Rounding]]</f>
        <v>0</v>
      </c>
    </row>
    <row r="1472" spans="30:41" x14ac:dyDescent="0.25">
      <c r="AD1472" s="1067" t="str">
        <f t="shared" si="110"/>
        <v/>
      </c>
      <c r="AE1472" s="1063" t="str">
        <f>IF(ISNA(VLOOKUP(TB_prev[[#This Row],[Synt]],GL[[#Headers],[#Data],[subtotal label]],1,FALSE)),0,(VLOOKUP(TB_prev[[#This Row],[Synt]],GL[[#Headers],[#Data],[subtotal label]],1,FALSE)))</f>
        <v/>
      </c>
      <c r="AF1472" s="1063" t="e">
        <f>IF((TB_prev[[#This Row],[Synt]]-TB_prev[[#This Row],[Subtotal Y/N]])=0,0,VLOOKUP(TB_prev[[#This Row],[Synt]],GL[[Account]:[Line]],3,FALSE))</f>
        <v>#VALUE!</v>
      </c>
      <c r="AG1472" s="1063" t="e">
        <f>VLOOKUP(TB_prev[[#This Row],[Synt]],GL[[Account]:[B/P]],4,FALSE)</f>
        <v>#N/A</v>
      </c>
      <c r="AH1472" s="1066" t="e">
        <v>#VALUE!</v>
      </c>
      <c r="AI1472" s="1065" t="e">
        <f>TB_prev[[#This Row],[Synt]]&amp;TB_prev[[#This Row],[Line No. manual corr.]]</f>
        <v>#VALUE!</v>
      </c>
      <c r="AJ1472" s="1064">
        <f t="shared" si="111"/>
        <v>0</v>
      </c>
      <c r="AK1472" s="1064">
        <f t="shared" si="112"/>
        <v>0</v>
      </c>
      <c r="AL1472" s="1064">
        <f t="shared" si="113"/>
        <v>0</v>
      </c>
      <c r="AM1472" s="1064">
        <f t="shared" si="114"/>
        <v>0</v>
      </c>
      <c r="AN1472" s="1064"/>
      <c r="AO1472" s="1064">
        <f>TB_prev[[#This Row],[Closing balance]]+TB_prev[[#This Row],[Rounding]]</f>
        <v>0</v>
      </c>
    </row>
    <row r="1473" spans="30:41" x14ac:dyDescent="0.25">
      <c r="AD1473" s="1067" t="str">
        <f t="shared" si="110"/>
        <v/>
      </c>
      <c r="AE1473" s="1063" t="str">
        <f>IF(ISNA(VLOOKUP(TB_prev[[#This Row],[Synt]],GL[[#Headers],[#Data],[subtotal label]],1,FALSE)),0,(VLOOKUP(TB_prev[[#This Row],[Synt]],GL[[#Headers],[#Data],[subtotal label]],1,FALSE)))</f>
        <v/>
      </c>
      <c r="AF1473" s="1063" t="e">
        <f>IF((TB_prev[[#This Row],[Synt]]-TB_prev[[#This Row],[Subtotal Y/N]])=0,0,VLOOKUP(TB_prev[[#This Row],[Synt]],GL[[Account]:[Line]],3,FALSE))</f>
        <v>#VALUE!</v>
      </c>
      <c r="AG1473" s="1063" t="e">
        <f>VLOOKUP(TB_prev[[#This Row],[Synt]],GL[[Account]:[B/P]],4,FALSE)</f>
        <v>#N/A</v>
      </c>
      <c r="AH1473" s="1066" t="e">
        <v>#VALUE!</v>
      </c>
      <c r="AI1473" s="1065" t="e">
        <f>TB_prev[[#This Row],[Synt]]&amp;TB_prev[[#This Row],[Line No. manual corr.]]</f>
        <v>#VALUE!</v>
      </c>
      <c r="AJ1473" s="1064">
        <f t="shared" si="111"/>
        <v>0</v>
      </c>
      <c r="AK1473" s="1064">
        <f t="shared" si="112"/>
        <v>0</v>
      </c>
      <c r="AL1473" s="1064">
        <f t="shared" si="113"/>
        <v>0</v>
      </c>
      <c r="AM1473" s="1064">
        <f t="shared" si="114"/>
        <v>0</v>
      </c>
      <c r="AN1473" s="1064"/>
      <c r="AO1473" s="1064">
        <f>TB_prev[[#This Row],[Closing balance]]+TB_prev[[#This Row],[Rounding]]</f>
        <v>0</v>
      </c>
    </row>
    <row r="1474" spans="30:41" x14ac:dyDescent="0.25">
      <c r="AD1474" s="1067" t="str">
        <f t="shared" si="110"/>
        <v/>
      </c>
      <c r="AE1474" s="1063" t="str">
        <f>IF(ISNA(VLOOKUP(TB_prev[[#This Row],[Synt]],GL[[#Headers],[#Data],[subtotal label]],1,FALSE)),0,(VLOOKUP(TB_prev[[#This Row],[Synt]],GL[[#Headers],[#Data],[subtotal label]],1,FALSE)))</f>
        <v/>
      </c>
      <c r="AF1474" s="1063" t="e">
        <f>IF((TB_prev[[#This Row],[Synt]]-TB_prev[[#This Row],[Subtotal Y/N]])=0,0,VLOOKUP(TB_prev[[#This Row],[Synt]],GL[[Account]:[Line]],3,FALSE))</f>
        <v>#VALUE!</v>
      </c>
      <c r="AG1474" s="1063" t="e">
        <f>VLOOKUP(TB_prev[[#This Row],[Synt]],GL[[Account]:[B/P]],4,FALSE)</f>
        <v>#N/A</v>
      </c>
      <c r="AH1474" s="1066" t="e">
        <v>#VALUE!</v>
      </c>
      <c r="AI1474" s="1065" t="e">
        <f>TB_prev[[#This Row],[Synt]]&amp;TB_prev[[#This Row],[Line No. manual corr.]]</f>
        <v>#VALUE!</v>
      </c>
      <c r="AJ1474" s="1064">
        <f t="shared" si="111"/>
        <v>0</v>
      </c>
      <c r="AK1474" s="1064">
        <f t="shared" si="112"/>
        <v>0</v>
      </c>
      <c r="AL1474" s="1064">
        <f t="shared" si="113"/>
        <v>0</v>
      </c>
      <c r="AM1474" s="1064">
        <f t="shared" si="114"/>
        <v>0</v>
      </c>
      <c r="AN1474" s="1064"/>
      <c r="AO1474" s="1064">
        <f>TB_prev[[#This Row],[Closing balance]]+TB_prev[[#This Row],[Rounding]]</f>
        <v>0</v>
      </c>
    </row>
    <row r="1475" spans="30:41" x14ac:dyDescent="0.25">
      <c r="AD1475" s="1067" t="str">
        <f t="shared" si="110"/>
        <v/>
      </c>
      <c r="AE1475" s="1063" t="str">
        <f>IF(ISNA(VLOOKUP(TB_prev[[#This Row],[Synt]],GL[[#Headers],[#Data],[subtotal label]],1,FALSE)),0,(VLOOKUP(TB_prev[[#This Row],[Synt]],GL[[#Headers],[#Data],[subtotal label]],1,FALSE)))</f>
        <v/>
      </c>
      <c r="AF1475" s="1063" t="e">
        <f>IF((TB_prev[[#This Row],[Synt]]-TB_prev[[#This Row],[Subtotal Y/N]])=0,0,VLOOKUP(TB_prev[[#This Row],[Synt]],GL[[Account]:[Line]],3,FALSE))</f>
        <v>#VALUE!</v>
      </c>
      <c r="AG1475" s="1063" t="e">
        <f>VLOOKUP(TB_prev[[#This Row],[Synt]],GL[[Account]:[B/P]],4,FALSE)</f>
        <v>#N/A</v>
      </c>
      <c r="AH1475" s="1066" t="e">
        <v>#VALUE!</v>
      </c>
      <c r="AI1475" s="1065" t="e">
        <f>TB_prev[[#This Row],[Synt]]&amp;TB_prev[[#This Row],[Line No. manual corr.]]</f>
        <v>#VALUE!</v>
      </c>
      <c r="AJ1475" s="1064">
        <f t="shared" si="111"/>
        <v>0</v>
      </c>
      <c r="AK1475" s="1064">
        <f t="shared" si="112"/>
        <v>0</v>
      </c>
      <c r="AL1475" s="1064">
        <f t="shared" si="113"/>
        <v>0</v>
      </c>
      <c r="AM1475" s="1064">
        <f t="shared" si="114"/>
        <v>0</v>
      </c>
      <c r="AN1475" s="1064"/>
      <c r="AO1475" s="1064">
        <f>TB_prev[[#This Row],[Closing balance]]+TB_prev[[#This Row],[Rounding]]</f>
        <v>0</v>
      </c>
    </row>
    <row r="1476" spans="30:41" x14ac:dyDescent="0.25">
      <c r="AD1476" s="1067" t="str">
        <f t="shared" si="110"/>
        <v/>
      </c>
      <c r="AE1476" s="1063" t="str">
        <f>IF(ISNA(VLOOKUP(TB_prev[[#This Row],[Synt]],GL[[#Headers],[#Data],[subtotal label]],1,FALSE)),0,(VLOOKUP(TB_prev[[#This Row],[Synt]],GL[[#Headers],[#Data],[subtotal label]],1,FALSE)))</f>
        <v/>
      </c>
      <c r="AF1476" s="1063" t="e">
        <f>IF((TB_prev[[#This Row],[Synt]]-TB_prev[[#This Row],[Subtotal Y/N]])=0,0,VLOOKUP(TB_prev[[#This Row],[Synt]],GL[[Account]:[Line]],3,FALSE))</f>
        <v>#VALUE!</v>
      </c>
      <c r="AG1476" s="1063" t="e">
        <f>VLOOKUP(TB_prev[[#This Row],[Synt]],GL[[Account]:[B/P]],4,FALSE)</f>
        <v>#N/A</v>
      </c>
      <c r="AH1476" s="1066" t="e">
        <v>#VALUE!</v>
      </c>
      <c r="AI1476" s="1065" t="e">
        <f>TB_prev[[#This Row],[Synt]]&amp;TB_prev[[#This Row],[Line No. manual corr.]]</f>
        <v>#VALUE!</v>
      </c>
      <c r="AJ1476" s="1064">
        <f t="shared" si="111"/>
        <v>0</v>
      </c>
      <c r="AK1476" s="1064">
        <f t="shared" si="112"/>
        <v>0</v>
      </c>
      <c r="AL1476" s="1064">
        <f t="shared" si="113"/>
        <v>0</v>
      </c>
      <c r="AM1476" s="1064">
        <f t="shared" si="114"/>
        <v>0</v>
      </c>
      <c r="AN1476" s="1064"/>
      <c r="AO1476" s="1064">
        <f>TB_prev[[#This Row],[Closing balance]]+TB_prev[[#This Row],[Rounding]]</f>
        <v>0</v>
      </c>
    </row>
    <row r="1477" spans="30:41" x14ac:dyDescent="0.25">
      <c r="AD1477" s="1067" t="str">
        <f t="shared" si="110"/>
        <v/>
      </c>
      <c r="AE1477" s="1063" t="str">
        <f>IF(ISNA(VLOOKUP(TB_prev[[#This Row],[Synt]],GL[[#Headers],[#Data],[subtotal label]],1,FALSE)),0,(VLOOKUP(TB_prev[[#This Row],[Synt]],GL[[#Headers],[#Data],[subtotal label]],1,FALSE)))</f>
        <v/>
      </c>
      <c r="AF1477" s="1063" t="e">
        <f>IF((TB_prev[[#This Row],[Synt]]-TB_prev[[#This Row],[Subtotal Y/N]])=0,0,VLOOKUP(TB_prev[[#This Row],[Synt]],GL[[Account]:[Line]],3,FALSE))</f>
        <v>#VALUE!</v>
      </c>
      <c r="AG1477" s="1063" t="e">
        <f>VLOOKUP(TB_prev[[#This Row],[Synt]],GL[[Account]:[B/P]],4,FALSE)</f>
        <v>#N/A</v>
      </c>
      <c r="AH1477" s="1066" t="e">
        <v>#VALUE!</v>
      </c>
      <c r="AI1477" s="1065" t="e">
        <f>TB_prev[[#This Row],[Synt]]&amp;TB_prev[[#This Row],[Line No. manual corr.]]</f>
        <v>#VALUE!</v>
      </c>
      <c r="AJ1477" s="1064">
        <f t="shared" si="111"/>
        <v>0</v>
      </c>
      <c r="AK1477" s="1064">
        <f t="shared" si="112"/>
        <v>0</v>
      </c>
      <c r="AL1477" s="1064">
        <f t="shared" si="113"/>
        <v>0</v>
      </c>
      <c r="AM1477" s="1064">
        <f t="shared" si="114"/>
        <v>0</v>
      </c>
      <c r="AN1477" s="1064"/>
      <c r="AO1477" s="1064">
        <f>TB_prev[[#This Row],[Closing balance]]+TB_prev[[#This Row],[Rounding]]</f>
        <v>0</v>
      </c>
    </row>
    <row r="1478" spans="30:41" x14ac:dyDescent="0.25">
      <c r="AD1478" s="1067" t="str">
        <f t="shared" si="110"/>
        <v/>
      </c>
      <c r="AE1478" s="1063" t="str">
        <f>IF(ISNA(VLOOKUP(TB_prev[[#This Row],[Synt]],GL[[#Headers],[#Data],[subtotal label]],1,FALSE)),0,(VLOOKUP(TB_prev[[#This Row],[Synt]],GL[[#Headers],[#Data],[subtotal label]],1,FALSE)))</f>
        <v/>
      </c>
      <c r="AF1478" s="1063" t="e">
        <f>IF((TB_prev[[#This Row],[Synt]]-TB_prev[[#This Row],[Subtotal Y/N]])=0,0,VLOOKUP(TB_prev[[#This Row],[Synt]],GL[[Account]:[Line]],3,FALSE))</f>
        <v>#VALUE!</v>
      </c>
      <c r="AG1478" s="1063" t="e">
        <f>VLOOKUP(TB_prev[[#This Row],[Synt]],GL[[Account]:[B/P]],4,FALSE)</f>
        <v>#N/A</v>
      </c>
      <c r="AH1478" s="1066" t="e">
        <v>#VALUE!</v>
      </c>
      <c r="AI1478" s="1065" t="e">
        <f>TB_prev[[#This Row],[Synt]]&amp;TB_prev[[#This Row],[Line No. manual corr.]]</f>
        <v>#VALUE!</v>
      </c>
      <c r="AJ1478" s="1064">
        <f t="shared" si="111"/>
        <v>0</v>
      </c>
      <c r="AK1478" s="1064">
        <f t="shared" si="112"/>
        <v>0</v>
      </c>
      <c r="AL1478" s="1064">
        <f t="shared" si="113"/>
        <v>0</v>
      </c>
      <c r="AM1478" s="1064">
        <f t="shared" si="114"/>
        <v>0</v>
      </c>
      <c r="AN1478" s="1064"/>
      <c r="AO1478" s="1064">
        <f>TB_prev[[#This Row],[Closing balance]]+TB_prev[[#This Row],[Rounding]]</f>
        <v>0</v>
      </c>
    </row>
    <row r="1479" spans="30:41" x14ac:dyDescent="0.25">
      <c r="AD1479" s="1067" t="str">
        <f t="shared" si="110"/>
        <v/>
      </c>
      <c r="AE1479" s="1063" t="str">
        <f>IF(ISNA(VLOOKUP(TB_prev[[#This Row],[Synt]],GL[[#Headers],[#Data],[subtotal label]],1,FALSE)),0,(VLOOKUP(TB_prev[[#This Row],[Synt]],GL[[#Headers],[#Data],[subtotal label]],1,FALSE)))</f>
        <v/>
      </c>
      <c r="AF1479" s="1063" t="e">
        <f>IF((TB_prev[[#This Row],[Synt]]-TB_prev[[#This Row],[Subtotal Y/N]])=0,0,VLOOKUP(TB_prev[[#This Row],[Synt]],GL[[Account]:[Line]],3,FALSE))</f>
        <v>#VALUE!</v>
      </c>
      <c r="AG1479" s="1063" t="e">
        <f>VLOOKUP(TB_prev[[#This Row],[Synt]],GL[[Account]:[B/P]],4,FALSE)</f>
        <v>#N/A</v>
      </c>
      <c r="AH1479" s="1066" t="e">
        <v>#VALUE!</v>
      </c>
      <c r="AI1479" s="1065" t="e">
        <f>TB_prev[[#This Row],[Synt]]&amp;TB_prev[[#This Row],[Line No. manual corr.]]</f>
        <v>#VALUE!</v>
      </c>
      <c r="AJ1479" s="1064">
        <f t="shared" si="111"/>
        <v>0</v>
      </c>
      <c r="AK1479" s="1064">
        <f t="shared" si="112"/>
        <v>0</v>
      </c>
      <c r="AL1479" s="1064">
        <f t="shared" si="113"/>
        <v>0</v>
      </c>
      <c r="AM1479" s="1064">
        <f t="shared" si="114"/>
        <v>0</v>
      </c>
      <c r="AN1479" s="1064"/>
      <c r="AO1479" s="1064">
        <f>TB_prev[[#This Row],[Closing balance]]+TB_prev[[#This Row],[Rounding]]</f>
        <v>0</v>
      </c>
    </row>
    <row r="1480" spans="30:41" x14ac:dyDescent="0.25">
      <c r="AD1480" s="1067" t="str">
        <f t="shared" ref="AD1480:AD1543" si="115">LEFT(B1480,3)</f>
        <v/>
      </c>
      <c r="AE1480" s="1063" t="str">
        <f>IF(ISNA(VLOOKUP(TB_prev[[#This Row],[Synt]],GL[[#Headers],[#Data],[subtotal label]],1,FALSE)),0,(VLOOKUP(TB_prev[[#This Row],[Synt]],GL[[#Headers],[#Data],[subtotal label]],1,FALSE)))</f>
        <v/>
      </c>
      <c r="AF1480" s="1063" t="e">
        <f>IF((TB_prev[[#This Row],[Synt]]-TB_prev[[#This Row],[Subtotal Y/N]])=0,0,VLOOKUP(TB_prev[[#This Row],[Synt]],GL[[Account]:[Line]],3,FALSE))</f>
        <v>#VALUE!</v>
      </c>
      <c r="AG1480" s="1063" t="e">
        <f>VLOOKUP(TB_prev[[#This Row],[Synt]],GL[[Account]:[B/P]],4,FALSE)</f>
        <v>#N/A</v>
      </c>
      <c r="AH1480" s="1066" t="e">
        <v>#VALUE!</v>
      </c>
      <c r="AI1480" s="1065" t="e">
        <f>TB_prev[[#This Row],[Synt]]&amp;TB_prev[[#This Row],[Line No. manual corr.]]</f>
        <v>#VALUE!</v>
      </c>
      <c r="AJ1480" s="1064">
        <f t="shared" ref="AJ1480:AJ1543" si="116">K1480-N1480</f>
        <v>0</v>
      </c>
      <c r="AK1480" s="1064">
        <f t="shared" ref="AK1480:AK1543" si="117">Q1480</f>
        <v>0</v>
      </c>
      <c r="AL1480" s="1064">
        <f t="shared" ref="AL1480:AL1543" si="118">U1480</f>
        <v>0</v>
      </c>
      <c r="AM1480" s="1064">
        <f t="shared" ref="AM1480:AM1543" si="119">X1480-AB1480</f>
        <v>0</v>
      </c>
      <c r="AN1480" s="1064"/>
      <c r="AO1480" s="1064">
        <f>TB_prev[[#This Row],[Closing balance]]+TB_prev[[#This Row],[Rounding]]</f>
        <v>0</v>
      </c>
    </row>
    <row r="1481" spans="30:41" x14ac:dyDescent="0.25">
      <c r="AD1481" s="1067" t="str">
        <f t="shared" si="115"/>
        <v/>
      </c>
      <c r="AE1481" s="1063" t="str">
        <f>IF(ISNA(VLOOKUP(TB_prev[[#This Row],[Synt]],GL[[#Headers],[#Data],[subtotal label]],1,FALSE)),0,(VLOOKUP(TB_prev[[#This Row],[Synt]],GL[[#Headers],[#Data],[subtotal label]],1,FALSE)))</f>
        <v/>
      </c>
      <c r="AF1481" s="1063" t="e">
        <f>IF((TB_prev[[#This Row],[Synt]]-TB_prev[[#This Row],[Subtotal Y/N]])=0,0,VLOOKUP(TB_prev[[#This Row],[Synt]],GL[[Account]:[Line]],3,FALSE))</f>
        <v>#VALUE!</v>
      </c>
      <c r="AG1481" s="1063" t="e">
        <f>VLOOKUP(TB_prev[[#This Row],[Synt]],GL[[Account]:[B/P]],4,FALSE)</f>
        <v>#N/A</v>
      </c>
      <c r="AH1481" s="1066" t="e">
        <v>#VALUE!</v>
      </c>
      <c r="AI1481" s="1065" t="e">
        <f>TB_prev[[#This Row],[Synt]]&amp;TB_prev[[#This Row],[Line No. manual corr.]]</f>
        <v>#VALUE!</v>
      </c>
      <c r="AJ1481" s="1064">
        <f t="shared" si="116"/>
        <v>0</v>
      </c>
      <c r="AK1481" s="1064">
        <f t="shared" si="117"/>
        <v>0</v>
      </c>
      <c r="AL1481" s="1064">
        <f t="shared" si="118"/>
        <v>0</v>
      </c>
      <c r="AM1481" s="1064">
        <f t="shared" si="119"/>
        <v>0</v>
      </c>
      <c r="AN1481" s="1064"/>
      <c r="AO1481" s="1064">
        <f>TB_prev[[#This Row],[Closing balance]]+TB_prev[[#This Row],[Rounding]]</f>
        <v>0</v>
      </c>
    </row>
    <row r="1482" spans="30:41" x14ac:dyDescent="0.25">
      <c r="AD1482" s="1067" t="str">
        <f t="shared" si="115"/>
        <v/>
      </c>
      <c r="AE1482" s="1063" t="str">
        <f>IF(ISNA(VLOOKUP(TB_prev[[#This Row],[Synt]],GL[[#Headers],[#Data],[subtotal label]],1,FALSE)),0,(VLOOKUP(TB_prev[[#This Row],[Synt]],GL[[#Headers],[#Data],[subtotal label]],1,FALSE)))</f>
        <v/>
      </c>
      <c r="AF1482" s="1063" t="e">
        <f>IF((TB_prev[[#This Row],[Synt]]-TB_prev[[#This Row],[Subtotal Y/N]])=0,0,VLOOKUP(TB_prev[[#This Row],[Synt]],GL[[Account]:[Line]],3,FALSE))</f>
        <v>#VALUE!</v>
      </c>
      <c r="AG1482" s="1063" t="e">
        <f>VLOOKUP(TB_prev[[#This Row],[Synt]],GL[[Account]:[B/P]],4,FALSE)</f>
        <v>#N/A</v>
      </c>
      <c r="AH1482" s="1066" t="e">
        <v>#VALUE!</v>
      </c>
      <c r="AI1482" s="1065" t="e">
        <f>TB_prev[[#This Row],[Synt]]&amp;TB_prev[[#This Row],[Line No. manual corr.]]</f>
        <v>#VALUE!</v>
      </c>
      <c r="AJ1482" s="1064">
        <f t="shared" si="116"/>
        <v>0</v>
      </c>
      <c r="AK1482" s="1064">
        <f t="shared" si="117"/>
        <v>0</v>
      </c>
      <c r="AL1482" s="1064">
        <f t="shared" si="118"/>
        <v>0</v>
      </c>
      <c r="AM1482" s="1064">
        <f t="shared" si="119"/>
        <v>0</v>
      </c>
      <c r="AN1482" s="1064"/>
      <c r="AO1482" s="1064">
        <f>TB_prev[[#This Row],[Closing balance]]+TB_prev[[#This Row],[Rounding]]</f>
        <v>0</v>
      </c>
    </row>
    <row r="1483" spans="30:41" x14ac:dyDescent="0.25">
      <c r="AD1483" s="1067" t="str">
        <f t="shared" si="115"/>
        <v/>
      </c>
      <c r="AE1483" s="1063" t="str">
        <f>IF(ISNA(VLOOKUP(TB_prev[[#This Row],[Synt]],GL[[#Headers],[#Data],[subtotal label]],1,FALSE)),0,(VLOOKUP(TB_prev[[#This Row],[Synt]],GL[[#Headers],[#Data],[subtotal label]],1,FALSE)))</f>
        <v/>
      </c>
      <c r="AF1483" s="1063" t="e">
        <f>IF((TB_prev[[#This Row],[Synt]]-TB_prev[[#This Row],[Subtotal Y/N]])=0,0,VLOOKUP(TB_prev[[#This Row],[Synt]],GL[[Account]:[Line]],3,FALSE))</f>
        <v>#VALUE!</v>
      </c>
      <c r="AG1483" s="1063" t="e">
        <f>VLOOKUP(TB_prev[[#This Row],[Synt]],GL[[Account]:[B/P]],4,FALSE)</f>
        <v>#N/A</v>
      </c>
      <c r="AH1483" s="1066" t="e">
        <v>#VALUE!</v>
      </c>
      <c r="AI1483" s="1065" t="e">
        <f>TB_prev[[#This Row],[Synt]]&amp;TB_prev[[#This Row],[Line No. manual corr.]]</f>
        <v>#VALUE!</v>
      </c>
      <c r="AJ1483" s="1064">
        <f t="shared" si="116"/>
        <v>0</v>
      </c>
      <c r="AK1483" s="1064">
        <f t="shared" si="117"/>
        <v>0</v>
      </c>
      <c r="AL1483" s="1064">
        <f t="shared" si="118"/>
        <v>0</v>
      </c>
      <c r="AM1483" s="1064">
        <f t="shared" si="119"/>
        <v>0</v>
      </c>
      <c r="AN1483" s="1064"/>
      <c r="AO1483" s="1064">
        <f>TB_prev[[#This Row],[Closing balance]]+TB_prev[[#This Row],[Rounding]]</f>
        <v>0</v>
      </c>
    </row>
    <row r="1484" spans="30:41" x14ac:dyDescent="0.25">
      <c r="AD1484" s="1067" t="str">
        <f t="shared" si="115"/>
        <v/>
      </c>
      <c r="AE1484" s="1063" t="str">
        <f>IF(ISNA(VLOOKUP(TB_prev[[#This Row],[Synt]],GL[[#Headers],[#Data],[subtotal label]],1,FALSE)),0,(VLOOKUP(TB_prev[[#This Row],[Synt]],GL[[#Headers],[#Data],[subtotal label]],1,FALSE)))</f>
        <v/>
      </c>
      <c r="AF1484" s="1063" t="e">
        <f>IF((TB_prev[[#This Row],[Synt]]-TB_prev[[#This Row],[Subtotal Y/N]])=0,0,VLOOKUP(TB_prev[[#This Row],[Synt]],GL[[Account]:[Line]],3,FALSE))</f>
        <v>#VALUE!</v>
      </c>
      <c r="AG1484" s="1063" t="e">
        <f>VLOOKUP(TB_prev[[#This Row],[Synt]],GL[[Account]:[B/P]],4,FALSE)</f>
        <v>#N/A</v>
      </c>
      <c r="AH1484" s="1066" t="e">
        <v>#VALUE!</v>
      </c>
      <c r="AI1484" s="1065" t="e">
        <f>TB_prev[[#This Row],[Synt]]&amp;TB_prev[[#This Row],[Line No. manual corr.]]</f>
        <v>#VALUE!</v>
      </c>
      <c r="AJ1484" s="1064">
        <f t="shared" si="116"/>
        <v>0</v>
      </c>
      <c r="AK1484" s="1064">
        <f t="shared" si="117"/>
        <v>0</v>
      </c>
      <c r="AL1484" s="1064">
        <f t="shared" si="118"/>
        <v>0</v>
      </c>
      <c r="AM1484" s="1064">
        <f t="shared" si="119"/>
        <v>0</v>
      </c>
      <c r="AN1484" s="1064"/>
      <c r="AO1484" s="1064">
        <f>TB_prev[[#This Row],[Closing balance]]+TB_prev[[#This Row],[Rounding]]</f>
        <v>0</v>
      </c>
    </row>
    <row r="1485" spans="30:41" x14ac:dyDescent="0.25">
      <c r="AD1485" s="1067" t="str">
        <f t="shared" si="115"/>
        <v/>
      </c>
      <c r="AE1485" s="1063" t="str">
        <f>IF(ISNA(VLOOKUP(TB_prev[[#This Row],[Synt]],GL[[#Headers],[#Data],[subtotal label]],1,FALSE)),0,(VLOOKUP(TB_prev[[#This Row],[Synt]],GL[[#Headers],[#Data],[subtotal label]],1,FALSE)))</f>
        <v/>
      </c>
      <c r="AF1485" s="1063" t="e">
        <f>IF((TB_prev[[#This Row],[Synt]]-TB_prev[[#This Row],[Subtotal Y/N]])=0,0,VLOOKUP(TB_prev[[#This Row],[Synt]],GL[[Account]:[Line]],3,FALSE))</f>
        <v>#VALUE!</v>
      </c>
      <c r="AG1485" s="1063" t="e">
        <f>VLOOKUP(TB_prev[[#This Row],[Synt]],GL[[Account]:[B/P]],4,FALSE)</f>
        <v>#N/A</v>
      </c>
      <c r="AH1485" s="1066" t="e">
        <v>#VALUE!</v>
      </c>
      <c r="AI1485" s="1065" t="e">
        <f>TB_prev[[#This Row],[Synt]]&amp;TB_prev[[#This Row],[Line No. manual corr.]]</f>
        <v>#VALUE!</v>
      </c>
      <c r="AJ1485" s="1064">
        <f t="shared" si="116"/>
        <v>0</v>
      </c>
      <c r="AK1485" s="1064">
        <f t="shared" si="117"/>
        <v>0</v>
      </c>
      <c r="AL1485" s="1064">
        <f t="shared" si="118"/>
        <v>0</v>
      </c>
      <c r="AM1485" s="1064">
        <f t="shared" si="119"/>
        <v>0</v>
      </c>
      <c r="AN1485" s="1064"/>
      <c r="AO1485" s="1064">
        <f>TB_prev[[#This Row],[Closing balance]]+TB_prev[[#This Row],[Rounding]]</f>
        <v>0</v>
      </c>
    </row>
    <row r="1486" spans="30:41" x14ac:dyDescent="0.25">
      <c r="AD1486" s="1067" t="str">
        <f t="shared" si="115"/>
        <v/>
      </c>
      <c r="AE1486" s="1063" t="str">
        <f>IF(ISNA(VLOOKUP(TB_prev[[#This Row],[Synt]],GL[[#Headers],[#Data],[subtotal label]],1,FALSE)),0,(VLOOKUP(TB_prev[[#This Row],[Synt]],GL[[#Headers],[#Data],[subtotal label]],1,FALSE)))</f>
        <v/>
      </c>
      <c r="AF1486" s="1063" t="e">
        <f>IF((TB_prev[[#This Row],[Synt]]-TB_prev[[#This Row],[Subtotal Y/N]])=0,0,VLOOKUP(TB_prev[[#This Row],[Synt]],GL[[Account]:[Line]],3,FALSE))</f>
        <v>#VALUE!</v>
      </c>
      <c r="AG1486" s="1063" t="e">
        <f>VLOOKUP(TB_prev[[#This Row],[Synt]],GL[[Account]:[B/P]],4,FALSE)</f>
        <v>#N/A</v>
      </c>
      <c r="AH1486" s="1066" t="e">
        <v>#VALUE!</v>
      </c>
      <c r="AI1486" s="1065" t="e">
        <f>TB_prev[[#This Row],[Synt]]&amp;TB_prev[[#This Row],[Line No. manual corr.]]</f>
        <v>#VALUE!</v>
      </c>
      <c r="AJ1486" s="1064">
        <f t="shared" si="116"/>
        <v>0</v>
      </c>
      <c r="AK1486" s="1064">
        <f t="shared" si="117"/>
        <v>0</v>
      </c>
      <c r="AL1486" s="1064">
        <f t="shared" si="118"/>
        <v>0</v>
      </c>
      <c r="AM1486" s="1064">
        <f t="shared" si="119"/>
        <v>0</v>
      </c>
      <c r="AN1486" s="1064"/>
      <c r="AO1486" s="1064">
        <f>TB_prev[[#This Row],[Closing balance]]+TB_prev[[#This Row],[Rounding]]</f>
        <v>0</v>
      </c>
    </row>
    <row r="1487" spans="30:41" x14ac:dyDescent="0.25">
      <c r="AD1487" s="1067" t="str">
        <f t="shared" si="115"/>
        <v/>
      </c>
      <c r="AE1487" s="1063" t="str">
        <f>IF(ISNA(VLOOKUP(TB_prev[[#This Row],[Synt]],GL[[#Headers],[#Data],[subtotal label]],1,FALSE)),0,(VLOOKUP(TB_prev[[#This Row],[Synt]],GL[[#Headers],[#Data],[subtotal label]],1,FALSE)))</f>
        <v/>
      </c>
      <c r="AF1487" s="1063" t="e">
        <f>IF((TB_prev[[#This Row],[Synt]]-TB_prev[[#This Row],[Subtotal Y/N]])=0,0,VLOOKUP(TB_prev[[#This Row],[Synt]],GL[[Account]:[Line]],3,FALSE))</f>
        <v>#VALUE!</v>
      </c>
      <c r="AG1487" s="1063" t="e">
        <f>VLOOKUP(TB_prev[[#This Row],[Synt]],GL[[Account]:[B/P]],4,FALSE)</f>
        <v>#N/A</v>
      </c>
      <c r="AH1487" s="1066" t="e">
        <v>#VALUE!</v>
      </c>
      <c r="AI1487" s="1065" t="e">
        <f>TB_prev[[#This Row],[Synt]]&amp;TB_prev[[#This Row],[Line No. manual corr.]]</f>
        <v>#VALUE!</v>
      </c>
      <c r="AJ1487" s="1064">
        <f t="shared" si="116"/>
        <v>0</v>
      </c>
      <c r="AK1487" s="1064">
        <f t="shared" si="117"/>
        <v>0</v>
      </c>
      <c r="AL1487" s="1064">
        <f t="shared" si="118"/>
        <v>0</v>
      </c>
      <c r="AM1487" s="1064">
        <f t="shared" si="119"/>
        <v>0</v>
      </c>
      <c r="AN1487" s="1064"/>
      <c r="AO1487" s="1064">
        <f>TB_prev[[#This Row],[Closing balance]]+TB_prev[[#This Row],[Rounding]]</f>
        <v>0</v>
      </c>
    </row>
    <row r="1488" spans="30:41" x14ac:dyDescent="0.25">
      <c r="AD1488" s="1067" t="str">
        <f t="shared" si="115"/>
        <v/>
      </c>
      <c r="AE1488" s="1063" t="str">
        <f>IF(ISNA(VLOOKUP(TB_prev[[#This Row],[Synt]],GL[[#Headers],[#Data],[subtotal label]],1,FALSE)),0,(VLOOKUP(TB_prev[[#This Row],[Synt]],GL[[#Headers],[#Data],[subtotal label]],1,FALSE)))</f>
        <v/>
      </c>
      <c r="AF1488" s="1063" t="e">
        <f>IF((TB_prev[[#This Row],[Synt]]-TB_prev[[#This Row],[Subtotal Y/N]])=0,0,VLOOKUP(TB_prev[[#This Row],[Synt]],GL[[Account]:[Line]],3,FALSE))</f>
        <v>#VALUE!</v>
      </c>
      <c r="AG1488" s="1063" t="e">
        <f>VLOOKUP(TB_prev[[#This Row],[Synt]],GL[[Account]:[B/P]],4,FALSE)</f>
        <v>#N/A</v>
      </c>
      <c r="AH1488" s="1066" t="e">
        <v>#VALUE!</v>
      </c>
      <c r="AI1488" s="1065" t="e">
        <f>TB_prev[[#This Row],[Synt]]&amp;TB_prev[[#This Row],[Line No. manual corr.]]</f>
        <v>#VALUE!</v>
      </c>
      <c r="AJ1488" s="1064">
        <f t="shared" si="116"/>
        <v>0</v>
      </c>
      <c r="AK1488" s="1064">
        <f t="shared" si="117"/>
        <v>0</v>
      </c>
      <c r="AL1488" s="1064">
        <f t="shared" si="118"/>
        <v>0</v>
      </c>
      <c r="AM1488" s="1064">
        <f t="shared" si="119"/>
        <v>0</v>
      </c>
      <c r="AN1488" s="1064"/>
      <c r="AO1488" s="1064">
        <f>TB_prev[[#This Row],[Closing balance]]+TB_prev[[#This Row],[Rounding]]</f>
        <v>0</v>
      </c>
    </row>
    <row r="1489" spans="30:41" x14ac:dyDescent="0.25">
      <c r="AD1489" s="1067" t="str">
        <f t="shared" si="115"/>
        <v/>
      </c>
      <c r="AE1489" s="1063" t="str">
        <f>IF(ISNA(VLOOKUP(TB_prev[[#This Row],[Synt]],GL[[#Headers],[#Data],[subtotal label]],1,FALSE)),0,(VLOOKUP(TB_prev[[#This Row],[Synt]],GL[[#Headers],[#Data],[subtotal label]],1,FALSE)))</f>
        <v/>
      </c>
      <c r="AF1489" s="1063" t="e">
        <f>IF((TB_prev[[#This Row],[Synt]]-TB_prev[[#This Row],[Subtotal Y/N]])=0,0,VLOOKUP(TB_prev[[#This Row],[Synt]],GL[[Account]:[Line]],3,FALSE))</f>
        <v>#VALUE!</v>
      </c>
      <c r="AG1489" s="1063" t="e">
        <f>VLOOKUP(TB_prev[[#This Row],[Synt]],GL[[Account]:[B/P]],4,FALSE)</f>
        <v>#N/A</v>
      </c>
      <c r="AH1489" s="1066" t="e">
        <v>#VALUE!</v>
      </c>
      <c r="AI1489" s="1065" t="e">
        <f>TB_prev[[#This Row],[Synt]]&amp;TB_prev[[#This Row],[Line No. manual corr.]]</f>
        <v>#VALUE!</v>
      </c>
      <c r="AJ1489" s="1064">
        <f t="shared" si="116"/>
        <v>0</v>
      </c>
      <c r="AK1489" s="1064">
        <f t="shared" si="117"/>
        <v>0</v>
      </c>
      <c r="AL1489" s="1064">
        <f t="shared" si="118"/>
        <v>0</v>
      </c>
      <c r="AM1489" s="1064">
        <f t="shared" si="119"/>
        <v>0</v>
      </c>
      <c r="AN1489" s="1064"/>
      <c r="AO1489" s="1064">
        <f>TB_prev[[#This Row],[Closing balance]]+TB_prev[[#This Row],[Rounding]]</f>
        <v>0</v>
      </c>
    </row>
    <row r="1490" spans="30:41" x14ac:dyDescent="0.25">
      <c r="AD1490" s="1067" t="str">
        <f t="shared" si="115"/>
        <v/>
      </c>
      <c r="AE1490" s="1063" t="str">
        <f>IF(ISNA(VLOOKUP(TB_prev[[#This Row],[Synt]],GL[[#Headers],[#Data],[subtotal label]],1,FALSE)),0,(VLOOKUP(TB_prev[[#This Row],[Synt]],GL[[#Headers],[#Data],[subtotal label]],1,FALSE)))</f>
        <v/>
      </c>
      <c r="AF1490" s="1063" t="e">
        <f>IF((TB_prev[[#This Row],[Synt]]-TB_prev[[#This Row],[Subtotal Y/N]])=0,0,VLOOKUP(TB_prev[[#This Row],[Synt]],GL[[Account]:[Line]],3,FALSE))</f>
        <v>#VALUE!</v>
      </c>
      <c r="AG1490" s="1063" t="e">
        <f>VLOOKUP(TB_prev[[#This Row],[Synt]],GL[[Account]:[B/P]],4,FALSE)</f>
        <v>#N/A</v>
      </c>
      <c r="AH1490" s="1066" t="e">
        <v>#VALUE!</v>
      </c>
      <c r="AI1490" s="1065" t="e">
        <f>TB_prev[[#This Row],[Synt]]&amp;TB_prev[[#This Row],[Line No. manual corr.]]</f>
        <v>#VALUE!</v>
      </c>
      <c r="AJ1490" s="1064">
        <f t="shared" si="116"/>
        <v>0</v>
      </c>
      <c r="AK1490" s="1064">
        <f t="shared" si="117"/>
        <v>0</v>
      </c>
      <c r="AL1490" s="1064">
        <f t="shared" si="118"/>
        <v>0</v>
      </c>
      <c r="AM1490" s="1064">
        <f t="shared" si="119"/>
        <v>0</v>
      </c>
      <c r="AN1490" s="1064"/>
      <c r="AO1490" s="1064">
        <f>TB_prev[[#This Row],[Closing balance]]+TB_prev[[#This Row],[Rounding]]</f>
        <v>0</v>
      </c>
    </row>
    <row r="1491" spans="30:41" x14ac:dyDescent="0.25">
      <c r="AD1491" s="1067" t="str">
        <f t="shared" si="115"/>
        <v/>
      </c>
      <c r="AE1491" s="1063" t="str">
        <f>IF(ISNA(VLOOKUP(TB_prev[[#This Row],[Synt]],GL[[#Headers],[#Data],[subtotal label]],1,FALSE)),0,(VLOOKUP(TB_prev[[#This Row],[Synt]],GL[[#Headers],[#Data],[subtotal label]],1,FALSE)))</f>
        <v/>
      </c>
      <c r="AF1491" s="1063" t="e">
        <f>IF((TB_prev[[#This Row],[Synt]]-TB_prev[[#This Row],[Subtotal Y/N]])=0,0,VLOOKUP(TB_prev[[#This Row],[Synt]],GL[[Account]:[Line]],3,FALSE))</f>
        <v>#VALUE!</v>
      </c>
      <c r="AG1491" s="1063" t="e">
        <f>VLOOKUP(TB_prev[[#This Row],[Synt]],GL[[Account]:[B/P]],4,FALSE)</f>
        <v>#N/A</v>
      </c>
      <c r="AH1491" s="1066" t="e">
        <v>#VALUE!</v>
      </c>
      <c r="AI1491" s="1065" t="e">
        <f>TB_prev[[#This Row],[Synt]]&amp;TB_prev[[#This Row],[Line No. manual corr.]]</f>
        <v>#VALUE!</v>
      </c>
      <c r="AJ1491" s="1064">
        <f t="shared" si="116"/>
        <v>0</v>
      </c>
      <c r="AK1491" s="1064">
        <f t="shared" si="117"/>
        <v>0</v>
      </c>
      <c r="AL1491" s="1064">
        <f t="shared" si="118"/>
        <v>0</v>
      </c>
      <c r="AM1491" s="1064">
        <f t="shared" si="119"/>
        <v>0</v>
      </c>
      <c r="AN1491" s="1064"/>
      <c r="AO1491" s="1064">
        <f>TB_prev[[#This Row],[Closing balance]]+TB_prev[[#This Row],[Rounding]]</f>
        <v>0</v>
      </c>
    </row>
    <row r="1492" spans="30:41" x14ac:dyDescent="0.25">
      <c r="AD1492" s="1067" t="str">
        <f t="shared" si="115"/>
        <v/>
      </c>
      <c r="AE1492" s="1063" t="str">
        <f>IF(ISNA(VLOOKUP(TB_prev[[#This Row],[Synt]],GL[[#Headers],[#Data],[subtotal label]],1,FALSE)),0,(VLOOKUP(TB_prev[[#This Row],[Synt]],GL[[#Headers],[#Data],[subtotal label]],1,FALSE)))</f>
        <v/>
      </c>
      <c r="AF1492" s="1063" t="e">
        <f>IF((TB_prev[[#This Row],[Synt]]-TB_prev[[#This Row],[Subtotal Y/N]])=0,0,VLOOKUP(TB_prev[[#This Row],[Synt]],GL[[Account]:[Line]],3,FALSE))</f>
        <v>#VALUE!</v>
      </c>
      <c r="AG1492" s="1063" t="e">
        <f>VLOOKUP(TB_prev[[#This Row],[Synt]],GL[[Account]:[B/P]],4,FALSE)</f>
        <v>#N/A</v>
      </c>
      <c r="AH1492" s="1066" t="e">
        <v>#VALUE!</v>
      </c>
      <c r="AI1492" s="1065" t="e">
        <f>TB_prev[[#This Row],[Synt]]&amp;TB_prev[[#This Row],[Line No. manual corr.]]</f>
        <v>#VALUE!</v>
      </c>
      <c r="AJ1492" s="1064">
        <f t="shared" si="116"/>
        <v>0</v>
      </c>
      <c r="AK1492" s="1064">
        <f t="shared" si="117"/>
        <v>0</v>
      </c>
      <c r="AL1492" s="1064">
        <f t="shared" si="118"/>
        <v>0</v>
      </c>
      <c r="AM1492" s="1064">
        <f t="shared" si="119"/>
        <v>0</v>
      </c>
      <c r="AN1492" s="1064"/>
      <c r="AO1492" s="1064">
        <f>TB_prev[[#This Row],[Closing balance]]+TB_prev[[#This Row],[Rounding]]</f>
        <v>0</v>
      </c>
    </row>
    <row r="1493" spans="30:41" x14ac:dyDescent="0.25">
      <c r="AD1493" s="1067" t="str">
        <f t="shared" si="115"/>
        <v/>
      </c>
      <c r="AE1493" s="1063" t="str">
        <f>IF(ISNA(VLOOKUP(TB_prev[[#This Row],[Synt]],GL[[#Headers],[#Data],[subtotal label]],1,FALSE)),0,(VLOOKUP(TB_prev[[#This Row],[Synt]],GL[[#Headers],[#Data],[subtotal label]],1,FALSE)))</f>
        <v/>
      </c>
      <c r="AF1493" s="1063" t="e">
        <f>IF((TB_prev[[#This Row],[Synt]]-TB_prev[[#This Row],[Subtotal Y/N]])=0,0,VLOOKUP(TB_prev[[#This Row],[Synt]],GL[[Account]:[Line]],3,FALSE))</f>
        <v>#VALUE!</v>
      </c>
      <c r="AG1493" s="1063" t="e">
        <f>VLOOKUP(TB_prev[[#This Row],[Synt]],GL[[Account]:[B/P]],4,FALSE)</f>
        <v>#N/A</v>
      </c>
      <c r="AH1493" s="1066" t="e">
        <v>#VALUE!</v>
      </c>
      <c r="AI1493" s="1065" t="e">
        <f>TB_prev[[#This Row],[Synt]]&amp;TB_prev[[#This Row],[Line No. manual corr.]]</f>
        <v>#VALUE!</v>
      </c>
      <c r="AJ1493" s="1064">
        <f t="shared" si="116"/>
        <v>0</v>
      </c>
      <c r="AK1493" s="1064">
        <f t="shared" si="117"/>
        <v>0</v>
      </c>
      <c r="AL1493" s="1064">
        <f t="shared" si="118"/>
        <v>0</v>
      </c>
      <c r="AM1493" s="1064">
        <f t="shared" si="119"/>
        <v>0</v>
      </c>
      <c r="AN1493" s="1064"/>
      <c r="AO1493" s="1064">
        <f>TB_prev[[#This Row],[Closing balance]]+TB_prev[[#This Row],[Rounding]]</f>
        <v>0</v>
      </c>
    </row>
    <row r="1494" spans="30:41" x14ac:dyDescent="0.25">
      <c r="AD1494" s="1067" t="str">
        <f t="shared" si="115"/>
        <v/>
      </c>
      <c r="AE1494" s="1063" t="str">
        <f>IF(ISNA(VLOOKUP(TB_prev[[#This Row],[Synt]],GL[[#Headers],[#Data],[subtotal label]],1,FALSE)),0,(VLOOKUP(TB_prev[[#This Row],[Synt]],GL[[#Headers],[#Data],[subtotal label]],1,FALSE)))</f>
        <v/>
      </c>
      <c r="AF1494" s="1063" t="e">
        <f>IF((TB_prev[[#This Row],[Synt]]-TB_prev[[#This Row],[Subtotal Y/N]])=0,0,VLOOKUP(TB_prev[[#This Row],[Synt]],GL[[Account]:[Line]],3,FALSE))</f>
        <v>#VALUE!</v>
      </c>
      <c r="AG1494" s="1063" t="e">
        <f>VLOOKUP(TB_prev[[#This Row],[Synt]],GL[[Account]:[B/P]],4,FALSE)</f>
        <v>#N/A</v>
      </c>
      <c r="AH1494" s="1066" t="e">
        <v>#VALUE!</v>
      </c>
      <c r="AI1494" s="1065" t="e">
        <f>TB_prev[[#This Row],[Synt]]&amp;TB_prev[[#This Row],[Line No. manual corr.]]</f>
        <v>#VALUE!</v>
      </c>
      <c r="AJ1494" s="1064">
        <f t="shared" si="116"/>
        <v>0</v>
      </c>
      <c r="AK1494" s="1064">
        <f t="shared" si="117"/>
        <v>0</v>
      </c>
      <c r="AL1494" s="1064">
        <f t="shared" si="118"/>
        <v>0</v>
      </c>
      <c r="AM1494" s="1064">
        <f t="shared" si="119"/>
        <v>0</v>
      </c>
      <c r="AN1494" s="1064"/>
      <c r="AO1494" s="1064">
        <f>TB_prev[[#This Row],[Closing balance]]+TB_prev[[#This Row],[Rounding]]</f>
        <v>0</v>
      </c>
    </row>
    <row r="1495" spans="30:41" x14ac:dyDescent="0.25">
      <c r="AD1495" s="1067" t="str">
        <f t="shared" si="115"/>
        <v/>
      </c>
      <c r="AE1495" s="1063" t="str">
        <f>IF(ISNA(VLOOKUP(TB_prev[[#This Row],[Synt]],GL[[#Headers],[#Data],[subtotal label]],1,FALSE)),0,(VLOOKUP(TB_prev[[#This Row],[Synt]],GL[[#Headers],[#Data],[subtotal label]],1,FALSE)))</f>
        <v/>
      </c>
      <c r="AF1495" s="1063" t="e">
        <f>IF((TB_prev[[#This Row],[Synt]]-TB_prev[[#This Row],[Subtotal Y/N]])=0,0,VLOOKUP(TB_prev[[#This Row],[Synt]],GL[[Account]:[Line]],3,FALSE))</f>
        <v>#VALUE!</v>
      </c>
      <c r="AG1495" s="1063" t="e">
        <f>VLOOKUP(TB_prev[[#This Row],[Synt]],GL[[Account]:[B/P]],4,FALSE)</f>
        <v>#N/A</v>
      </c>
      <c r="AH1495" s="1066" t="e">
        <v>#VALUE!</v>
      </c>
      <c r="AI1495" s="1065" t="e">
        <f>TB_prev[[#This Row],[Synt]]&amp;TB_prev[[#This Row],[Line No. manual corr.]]</f>
        <v>#VALUE!</v>
      </c>
      <c r="AJ1495" s="1064">
        <f t="shared" si="116"/>
        <v>0</v>
      </c>
      <c r="AK1495" s="1064">
        <f t="shared" si="117"/>
        <v>0</v>
      </c>
      <c r="AL1495" s="1064">
        <f t="shared" si="118"/>
        <v>0</v>
      </c>
      <c r="AM1495" s="1064">
        <f t="shared" si="119"/>
        <v>0</v>
      </c>
      <c r="AN1495" s="1064"/>
      <c r="AO1495" s="1064">
        <f>TB_prev[[#This Row],[Closing balance]]+TB_prev[[#This Row],[Rounding]]</f>
        <v>0</v>
      </c>
    </row>
    <row r="1496" spans="30:41" x14ac:dyDescent="0.25">
      <c r="AD1496" s="1067" t="str">
        <f t="shared" si="115"/>
        <v/>
      </c>
      <c r="AE1496" s="1063" t="str">
        <f>IF(ISNA(VLOOKUP(TB_prev[[#This Row],[Synt]],GL[[#Headers],[#Data],[subtotal label]],1,FALSE)),0,(VLOOKUP(TB_prev[[#This Row],[Synt]],GL[[#Headers],[#Data],[subtotal label]],1,FALSE)))</f>
        <v/>
      </c>
      <c r="AF1496" s="1063" t="e">
        <f>IF((TB_prev[[#This Row],[Synt]]-TB_prev[[#This Row],[Subtotal Y/N]])=0,0,VLOOKUP(TB_prev[[#This Row],[Synt]],GL[[Account]:[Line]],3,FALSE))</f>
        <v>#VALUE!</v>
      </c>
      <c r="AG1496" s="1063" t="e">
        <f>VLOOKUP(TB_prev[[#This Row],[Synt]],GL[[Account]:[B/P]],4,FALSE)</f>
        <v>#N/A</v>
      </c>
      <c r="AH1496" s="1066" t="e">
        <v>#VALUE!</v>
      </c>
      <c r="AI1496" s="1065" t="e">
        <f>TB_prev[[#This Row],[Synt]]&amp;TB_prev[[#This Row],[Line No. manual corr.]]</f>
        <v>#VALUE!</v>
      </c>
      <c r="AJ1496" s="1064">
        <f t="shared" si="116"/>
        <v>0</v>
      </c>
      <c r="AK1496" s="1064">
        <f t="shared" si="117"/>
        <v>0</v>
      </c>
      <c r="AL1496" s="1064">
        <f t="shared" si="118"/>
        <v>0</v>
      </c>
      <c r="AM1496" s="1064">
        <f t="shared" si="119"/>
        <v>0</v>
      </c>
      <c r="AN1496" s="1064"/>
      <c r="AO1496" s="1064">
        <f>TB_prev[[#This Row],[Closing balance]]+TB_prev[[#This Row],[Rounding]]</f>
        <v>0</v>
      </c>
    </row>
    <row r="1497" spans="30:41" x14ac:dyDescent="0.25">
      <c r="AD1497" s="1067" t="str">
        <f t="shared" si="115"/>
        <v/>
      </c>
      <c r="AE1497" s="1063" t="str">
        <f>IF(ISNA(VLOOKUP(TB_prev[[#This Row],[Synt]],GL[[#Headers],[#Data],[subtotal label]],1,FALSE)),0,(VLOOKUP(TB_prev[[#This Row],[Synt]],GL[[#Headers],[#Data],[subtotal label]],1,FALSE)))</f>
        <v/>
      </c>
      <c r="AF1497" s="1063" t="e">
        <f>IF((TB_prev[[#This Row],[Synt]]-TB_prev[[#This Row],[Subtotal Y/N]])=0,0,VLOOKUP(TB_prev[[#This Row],[Synt]],GL[[Account]:[Line]],3,FALSE))</f>
        <v>#VALUE!</v>
      </c>
      <c r="AG1497" s="1063" t="e">
        <f>VLOOKUP(TB_prev[[#This Row],[Synt]],GL[[Account]:[B/P]],4,FALSE)</f>
        <v>#N/A</v>
      </c>
      <c r="AH1497" s="1066" t="e">
        <v>#VALUE!</v>
      </c>
      <c r="AI1497" s="1065" t="e">
        <f>TB_prev[[#This Row],[Synt]]&amp;TB_prev[[#This Row],[Line No. manual corr.]]</f>
        <v>#VALUE!</v>
      </c>
      <c r="AJ1497" s="1064">
        <f t="shared" si="116"/>
        <v>0</v>
      </c>
      <c r="AK1497" s="1064">
        <f t="shared" si="117"/>
        <v>0</v>
      </c>
      <c r="AL1497" s="1064">
        <f t="shared" si="118"/>
        <v>0</v>
      </c>
      <c r="AM1497" s="1064">
        <f t="shared" si="119"/>
        <v>0</v>
      </c>
      <c r="AN1497" s="1064"/>
      <c r="AO1497" s="1064">
        <f>TB_prev[[#This Row],[Closing balance]]+TB_prev[[#This Row],[Rounding]]</f>
        <v>0</v>
      </c>
    </row>
    <row r="1498" spans="30:41" x14ac:dyDescent="0.25">
      <c r="AD1498" s="1067" t="str">
        <f t="shared" si="115"/>
        <v/>
      </c>
      <c r="AE1498" s="1063" t="str">
        <f>IF(ISNA(VLOOKUP(TB_prev[[#This Row],[Synt]],GL[[#Headers],[#Data],[subtotal label]],1,FALSE)),0,(VLOOKUP(TB_prev[[#This Row],[Synt]],GL[[#Headers],[#Data],[subtotal label]],1,FALSE)))</f>
        <v/>
      </c>
      <c r="AF1498" s="1063" t="e">
        <f>IF((TB_prev[[#This Row],[Synt]]-TB_prev[[#This Row],[Subtotal Y/N]])=0,0,VLOOKUP(TB_prev[[#This Row],[Synt]],GL[[Account]:[Line]],3,FALSE))</f>
        <v>#VALUE!</v>
      </c>
      <c r="AG1498" s="1063" t="e">
        <f>VLOOKUP(TB_prev[[#This Row],[Synt]],GL[[Account]:[B/P]],4,FALSE)</f>
        <v>#N/A</v>
      </c>
      <c r="AH1498" s="1066" t="e">
        <v>#VALUE!</v>
      </c>
      <c r="AI1498" s="1065" t="e">
        <f>TB_prev[[#This Row],[Synt]]&amp;TB_prev[[#This Row],[Line No. manual corr.]]</f>
        <v>#VALUE!</v>
      </c>
      <c r="AJ1498" s="1064">
        <f t="shared" si="116"/>
        <v>0</v>
      </c>
      <c r="AK1498" s="1064">
        <f t="shared" si="117"/>
        <v>0</v>
      </c>
      <c r="AL1498" s="1064">
        <f t="shared" si="118"/>
        <v>0</v>
      </c>
      <c r="AM1498" s="1064">
        <f t="shared" si="119"/>
        <v>0</v>
      </c>
      <c r="AN1498" s="1064"/>
      <c r="AO1498" s="1064">
        <f>TB_prev[[#This Row],[Closing balance]]+TB_prev[[#This Row],[Rounding]]</f>
        <v>0</v>
      </c>
    </row>
    <row r="1499" spans="30:41" x14ac:dyDescent="0.25">
      <c r="AD1499" s="1067" t="str">
        <f t="shared" si="115"/>
        <v/>
      </c>
      <c r="AE1499" s="1063" t="str">
        <f>IF(ISNA(VLOOKUP(TB_prev[[#This Row],[Synt]],GL[[#Headers],[#Data],[subtotal label]],1,FALSE)),0,(VLOOKUP(TB_prev[[#This Row],[Synt]],GL[[#Headers],[#Data],[subtotal label]],1,FALSE)))</f>
        <v/>
      </c>
      <c r="AF1499" s="1063" t="e">
        <f>IF((TB_prev[[#This Row],[Synt]]-TB_prev[[#This Row],[Subtotal Y/N]])=0,0,VLOOKUP(TB_prev[[#This Row],[Synt]],GL[[Account]:[Line]],3,FALSE))</f>
        <v>#VALUE!</v>
      </c>
      <c r="AG1499" s="1063" t="e">
        <f>VLOOKUP(TB_prev[[#This Row],[Synt]],GL[[Account]:[B/P]],4,FALSE)</f>
        <v>#N/A</v>
      </c>
      <c r="AH1499" s="1066" t="e">
        <v>#VALUE!</v>
      </c>
      <c r="AI1499" s="1065" t="e">
        <f>TB_prev[[#This Row],[Synt]]&amp;TB_prev[[#This Row],[Line No. manual corr.]]</f>
        <v>#VALUE!</v>
      </c>
      <c r="AJ1499" s="1064">
        <f t="shared" si="116"/>
        <v>0</v>
      </c>
      <c r="AK1499" s="1064">
        <f t="shared" si="117"/>
        <v>0</v>
      </c>
      <c r="AL1499" s="1064">
        <f t="shared" si="118"/>
        <v>0</v>
      </c>
      <c r="AM1499" s="1064">
        <f t="shared" si="119"/>
        <v>0</v>
      </c>
      <c r="AN1499" s="1064"/>
      <c r="AO1499" s="1064">
        <f>TB_prev[[#This Row],[Closing balance]]+TB_prev[[#This Row],[Rounding]]</f>
        <v>0</v>
      </c>
    </row>
    <row r="1500" spans="30:41" x14ac:dyDescent="0.25">
      <c r="AD1500" s="1067" t="str">
        <f t="shared" si="115"/>
        <v/>
      </c>
      <c r="AE1500" s="1063" t="str">
        <f>IF(ISNA(VLOOKUP(TB_prev[[#This Row],[Synt]],GL[[#Headers],[#Data],[subtotal label]],1,FALSE)),0,(VLOOKUP(TB_prev[[#This Row],[Synt]],GL[[#Headers],[#Data],[subtotal label]],1,FALSE)))</f>
        <v/>
      </c>
      <c r="AF1500" s="1063" t="e">
        <f>IF((TB_prev[[#This Row],[Synt]]-TB_prev[[#This Row],[Subtotal Y/N]])=0,0,VLOOKUP(TB_prev[[#This Row],[Synt]],GL[[Account]:[Line]],3,FALSE))</f>
        <v>#VALUE!</v>
      </c>
      <c r="AG1500" s="1063" t="e">
        <f>VLOOKUP(TB_prev[[#This Row],[Synt]],GL[[Account]:[B/P]],4,FALSE)</f>
        <v>#N/A</v>
      </c>
      <c r="AH1500" s="1066" t="e">
        <v>#VALUE!</v>
      </c>
      <c r="AI1500" s="1065" t="e">
        <f>TB_prev[[#This Row],[Synt]]&amp;TB_prev[[#This Row],[Line No. manual corr.]]</f>
        <v>#VALUE!</v>
      </c>
      <c r="AJ1500" s="1064">
        <f t="shared" si="116"/>
        <v>0</v>
      </c>
      <c r="AK1500" s="1064">
        <f t="shared" si="117"/>
        <v>0</v>
      </c>
      <c r="AL1500" s="1064">
        <f t="shared" si="118"/>
        <v>0</v>
      </c>
      <c r="AM1500" s="1064">
        <f t="shared" si="119"/>
        <v>0</v>
      </c>
      <c r="AN1500" s="1064"/>
      <c r="AO1500" s="1064">
        <f>TB_prev[[#This Row],[Closing balance]]+TB_prev[[#This Row],[Rounding]]</f>
        <v>0</v>
      </c>
    </row>
    <row r="1501" spans="30:41" x14ac:dyDescent="0.25">
      <c r="AD1501" s="1067" t="str">
        <f t="shared" si="115"/>
        <v/>
      </c>
      <c r="AE1501" s="1063" t="str">
        <f>IF(ISNA(VLOOKUP(TB_prev[[#This Row],[Synt]],GL[[#Headers],[#Data],[subtotal label]],1,FALSE)),0,(VLOOKUP(TB_prev[[#This Row],[Synt]],GL[[#Headers],[#Data],[subtotal label]],1,FALSE)))</f>
        <v/>
      </c>
      <c r="AF1501" s="1063" t="e">
        <f>IF((TB_prev[[#This Row],[Synt]]-TB_prev[[#This Row],[Subtotal Y/N]])=0,0,VLOOKUP(TB_prev[[#This Row],[Synt]],GL[[Account]:[Line]],3,FALSE))</f>
        <v>#VALUE!</v>
      </c>
      <c r="AG1501" s="1063" t="e">
        <f>VLOOKUP(TB_prev[[#This Row],[Synt]],GL[[Account]:[B/P]],4,FALSE)</f>
        <v>#N/A</v>
      </c>
      <c r="AH1501" s="1066" t="e">
        <v>#VALUE!</v>
      </c>
      <c r="AI1501" s="1065" t="e">
        <f>TB_prev[[#This Row],[Synt]]&amp;TB_prev[[#This Row],[Line No. manual corr.]]</f>
        <v>#VALUE!</v>
      </c>
      <c r="AJ1501" s="1064">
        <f t="shared" si="116"/>
        <v>0</v>
      </c>
      <c r="AK1501" s="1064">
        <f t="shared" si="117"/>
        <v>0</v>
      </c>
      <c r="AL1501" s="1064">
        <f t="shared" si="118"/>
        <v>0</v>
      </c>
      <c r="AM1501" s="1064">
        <f t="shared" si="119"/>
        <v>0</v>
      </c>
      <c r="AN1501" s="1064"/>
      <c r="AO1501" s="1064">
        <f>TB_prev[[#This Row],[Closing balance]]+TB_prev[[#This Row],[Rounding]]</f>
        <v>0</v>
      </c>
    </row>
    <row r="1502" spans="30:41" x14ac:dyDescent="0.25">
      <c r="AD1502" s="1067" t="str">
        <f t="shared" si="115"/>
        <v/>
      </c>
      <c r="AE1502" s="1063" t="str">
        <f>IF(ISNA(VLOOKUP(TB_prev[[#This Row],[Synt]],GL[[#Headers],[#Data],[subtotal label]],1,FALSE)),0,(VLOOKUP(TB_prev[[#This Row],[Synt]],GL[[#Headers],[#Data],[subtotal label]],1,FALSE)))</f>
        <v/>
      </c>
      <c r="AF1502" s="1063" t="e">
        <f>IF((TB_prev[[#This Row],[Synt]]-TB_prev[[#This Row],[Subtotal Y/N]])=0,0,VLOOKUP(TB_prev[[#This Row],[Synt]],GL[[Account]:[Line]],3,FALSE))</f>
        <v>#VALUE!</v>
      </c>
      <c r="AG1502" s="1063" t="e">
        <f>VLOOKUP(TB_prev[[#This Row],[Synt]],GL[[Account]:[B/P]],4,FALSE)</f>
        <v>#N/A</v>
      </c>
      <c r="AH1502" s="1066" t="e">
        <v>#VALUE!</v>
      </c>
      <c r="AI1502" s="1065" t="e">
        <f>TB_prev[[#This Row],[Synt]]&amp;TB_prev[[#This Row],[Line No. manual corr.]]</f>
        <v>#VALUE!</v>
      </c>
      <c r="AJ1502" s="1064">
        <f t="shared" si="116"/>
        <v>0</v>
      </c>
      <c r="AK1502" s="1064">
        <f t="shared" si="117"/>
        <v>0</v>
      </c>
      <c r="AL1502" s="1064">
        <f t="shared" si="118"/>
        <v>0</v>
      </c>
      <c r="AM1502" s="1064">
        <f t="shared" si="119"/>
        <v>0</v>
      </c>
      <c r="AN1502" s="1064"/>
      <c r="AO1502" s="1064">
        <f>TB_prev[[#This Row],[Closing balance]]+TB_prev[[#This Row],[Rounding]]</f>
        <v>0</v>
      </c>
    </row>
    <row r="1503" spans="30:41" x14ac:dyDescent="0.25">
      <c r="AD1503" s="1067" t="str">
        <f t="shared" si="115"/>
        <v/>
      </c>
      <c r="AE1503" s="1063" t="str">
        <f>IF(ISNA(VLOOKUP(TB_prev[[#This Row],[Synt]],GL[[#Headers],[#Data],[subtotal label]],1,FALSE)),0,(VLOOKUP(TB_prev[[#This Row],[Synt]],GL[[#Headers],[#Data],[subtotal label]],1,FALSE)))</f>
        <v/>
      </c>
      <c r="AF1503" s="1063" t="e">
        <f>IF((TB_prev[[#This Row],[Synt]]-TB_prev[[#This Row],[Subtotal Y/N]])=0,0,VLOOKUP(TB_prev[[#This Row],[Synt]],GL[[Account]:[Line]],3,FALSE))</f>
        <v>#VALUE!</v>
      </c>
      <c r="AG1503" s="1063" t="e">
        <f>VLOOKUP(TB_prev[[#This Row],[Synt]],GL[[Account]:[B/P]],4,FALSE)</f>
        <v>#N/A</v>
      </c>
      <c r="AH1503" s="1066" t="e">
        <v>#VALUE!</v>
      </c>
      <c r="AI1503" s="1065" t="e">
        <f>TB_prev[[#This Row],[Synt]]&amp;TB_prev[[#This Row],[Line No. manual corr.]]</f>
        <v>#VALUE!</v>
      </c>
      <c r="AJ1503" s="1064">
        <f t="shared" si="116"/>
        <v>0</v>
      </c>
      <c r="AK1503" s="1064">
        <f t="shared" si="117"/>
        <v>0</v>
      </c>
      <c r="AL1503" s="1064">
        <f t="shared" si="118"/>
        <v>0</v>
      </c>
      <c r="AM1503" s="1064">
        <f t="shared" si="119"/>
        <v>0</v>
      </c>
      <c r="AN1503" s="1064"/>
      <c r="AO1503" s="1064">
        <f>TB_prev[[#This Row],[Closing balance]]+TB_prev[[#This Row],[Rounding]]</f>
        <v>0</v>
      </c>
    </row>
    <row r="1504" spans="30:41" x14ac:dyDescent="0.25">
      <c r="AD1504" s="1067" t="str">
        <f t="shared" si="115"/>
        <v/>
      </c>
      <c r="AE1504" s="1063" t="str">
        <f>IF(ISNA(VLOOKUP(TB_prev[[#This Row],[Synt]],GL[[#Headers],[#Data],[subtotal label]],1,FALSE)),0,(VLOOKUP(TB_prev[[#This Row],[Synt]],GL[[#Headers],[#Data],[subtotal label]],1,FALSE)))</f>
        <v/>
      </c>
      <c r="AF1504" s="1063" t="e">
        <f>IF((TB_prev[[#This Row],[Synt]]-TB_prev[[#This Row],[Subtotal Y/N]])=0,0,VLOOKUP(TB_prev[[#This Row],[Synt]],GL[[Account]:[Line]],3,FALSE))</f>
        <v>#VALUE!</v>
      </c>
      <c r="AG1504" s="1063" t="e">
        <f>VLOOKUP(TB_prev[[#This Row],[Synt]],GL[[Account]:[B/P]],4,FALSE)</f>
        <v>#N/A</v>
      </c>
      <c r="AH1504" s="1066" t="e">
        <v>#VALUE!</v>
      </c>
      <c r="AI1504" s="1065" t="e">
        <f>TB_prev[[#This Row],[Synt]]&amp;TB_prev[[#This Row],[Line No. manual corr.]]</f>
        <v>#VALUE!</v>
      </c>
      <c r="AJ1504" s="1064">
        <f t="shared" si="116"/>
        <v>0</v>
      </c>
      <c r="AK1504" s="1064">
        <f t="shared" si="117"/>
        <v>0</v>
      </c>
      <c r="AL1504" s="1064">
        <f t="shared" si="118"/>
        <v>0</v>
      </c>
      <c r="AM1504" s="1064">
        <f t="shared" si="119"/>
        <v>0</v>
      </c>
      <c r="AN1504" s="1064"/>
      <c r="AO1504" s="1064">
        <f>TB_prev[[#This Row],[Closing balance]]+TB_prev[[#This Row],[Rounding]]</f>
        <v>0</v>
      </c>
    </row>
    <row r="1505" spans="30:41" x14ac:dyDescent="0.25">
      <c r="AD1505" s="1067" t="str">
        <f t="shared" si="115"/>
        <v/>
      </c>
      <c r="AE1505" s="1063" t="str">
        <f>IF(ISNA(VLOOKUP(TB_prev[[#This Row],[Synt]],GL[[#Headers],[#Data],[subtotal label]],1,FALSE)),0,(VLOOKUP(TB_prev[[#This Row],[Synt]],GL[[#Headers],[#Data],[subtotal label]],1,FALSE)))</f>
        <v/>
      </c>
      <c r="AF1505" s="1063" t="e">
        <f>IF((TB_prev[[#This Row],[Synt]]-TB_prev[[#This Row],[Subtotal Y/N]])=0,0,VLOOKUP(TB_prev[[#This Row],[Synt]],GL[[Account]:[Line]],3,FALSE))</f>
        <v>#VALUE!</v>
      </c>
      <c r="AG1505" s="1063" t="e">
        <f>VLOOKUP(TB_prev[[#This Row],[Synt]],GL[[Account]:[B/P]],4,FALSE)</f>
        <v>#N/A</v>
      </c>
      <c r="AH1505" s="1066" t="e">
        <v>#VALUE!</v>
      </c>
      <c r="AI1505" s="1065" t="e">
        <f>TB_prev[[#This Row],[Synt]]&amp;TB_prev[[#This Row],[Line No. manual corr.]]</f>
        <v>#VALUE!</v>
      </c>
      <c r="AJ1505" s="1064">
        <f t="shared" si="116"/>
        <v>0</v>
      </c>
      <c r="AK1505" s="1064">
        <f t="shared" si="117"/>
        <v>0</v>
      </c>
      <c r="AL1505" s="1064">
        <f t="shared" si="118"/>
        <v>0</v>
      </c>
      <c r="AM1505" s="1064">
        <f t="shared" si="119"/>
        <v>0</v>
      </c>
      <c r="AN1505" s="1064"/>
      <c r="AO1505" s="1064">
        <f>TB_prev[[#This Row],[Closing balance]]+TB_prev[[#This Row],[Rounding]]</f>
        <v>0</v>
      </c>
    </row>
    <row r="1506" spans="30:41" x14ac:dyDescent="0.25">
      <c r="AD1506" s="1067" t="str">
        <f t="shared" si="115"/>
        <v/>
      </c>
      <c r="AE1506" s="1063" t="str">
        <f>IF(ISNA(VLOOKUP(TB_prev[[#This Row],[Synt]],GL[[#Headers],[#Data],[subtotal label]],1,FALSE)),0,(VLOOKUP(TB_prev[[#This Row],[Synt]],GL[[#Headers],[#Data],[subtotal label]],1,FALSE)))</f>
        <v/>
      </c>
      <c r="AF1506" s="1063" t="e">
        <f>IF((TB_prev[[#This Row],[Synt]]-TB_prev[[#This Row],[Subtotal Y/N]])=0,0,VLOOKUP(TB_prev[[#This Row],[Synt]],GL[[Account]:[Line]],3,FALSE))</f>
        <v>#VALUE!</v>
      </c>
      <c r="AG1506" s="1063" t="e">
        <f>VLOOKUP(TB_prev[[#This Row],[Synt]],GL[[Account]:[B/P]],4,FALSE)</f>
        <v>#N/A</v>
      </c>
      <c r="AH1506" s="1066" t="e">
        <v>#VALUE!</v>
      </c>
      <c r="AI1506" s="1065" t="e">
        <f>TB_prev[[#This Row],[Synt]]&amp;TB_prev[[#This Row],[Line No. manual corr.]]</f>
        <v>#VALUE!</v>
      </c>
      <c r="AJ1506" s="1064">
        <f t="shared" si="116"/>
        <v>0</v>
      </c>
      <c r="AK1506" s="1064">
        <f t="shared" si="117"/>
        <v>0</v>
      </c>
      <c r="AL1506" s="1064">
        <f t="shared" si="118"/>
        <v>0</v>
      </c>
      <c r="AM1506" s="1064">
        <f t="shared" si="119"/>
        <v>0</v>
      </c>
      <c r="AN1506" s="1064"/>
      <c r="AO1506" s="1064">
        <f>TB_prev[[#This Row],[Closing balance]]+TB_prev[[#This Row],[Rounding]]</f>
        <v>0</v>
      </c>
    </row>
    <row r="1507" spans="30:41" x14ac:dyDescent="0.25">
      <c r="AD1507" s="1067" t="str">
        <f t="shared" si="115"/>
        <v/>
      </c>
      <c r="AE1507" s="1063" t="str">
        <f>IF(ISNA(VLOOKUP(TB_prev[[#This Row],[Synt]],GL[[#Headers],[#Data],[subtotal label]],1,FALSE)),0,(VLOOKUP(TB_prev[[#This Row],[Synt]],GL[[#Headers],[#Data],[subtotal label]],1,FALSE)))</f>
        <v/>
      </c>
      <c r="AF1507" s="1063" t="e">
        <f>IF((TB_prev[[#This Row],[Synt]]-TB_prev[[#This Row],[Subtotal Y/N]])=0,0,VLOOKUP(TB_prev[[#This Row],[Synt]],GL[[Account]:[Line]],3,FALSE))</f>
        <v>#VALUE!</v>
      </c>
      <c r="AG1507" s="1063" t="e">
        <f>VLOOKUP(TB_prev[[#This Row],[Synt]],GL[[Account]:[B/P]],4,FALSE)</f>
        <v>#N/A</v>
      </c>
      <c r="AH1507" s="1066" t="e">
        <v>#VALUE!</v>
      </c>
      <c r="AI1507" s="1065" t="e">
        <f>TB_prev[[#This Row],[Synt]]&amp;TB_prev[[#This Row],[Line No. manual corr.]]</f>
        <v>#VALUE!</v>
      </c>
      <c r="AJ1507" s="1064">
        <f t="shared" si="116"/>
        <v>0</v>
      </c>
      <c r="AK1507" s="1064">
        <f t="shared" si="117"/>
        <v>0</v>
      </c>
      <c r="AL1507" s="1064">
        <f t="shared" si="118"/>
        <v>0</v>
      </c>
      <c r="AM1507" s="1064">
        <f t="shared" si="119"/>
        <v>0</v>
      </c>
      <c r="AN1507" s="1064"/>
      <c r="AO1507" s="1064">
        <f>TB_prev[[#This Row],[Closing balance]]+TB_prev[[#This Row],[Rounding]]</f>
        <v>0</v>
      </c>
    </row>
    <row r="1508" spans="30:41" x14ac:dyDescent="0.25">
      <c r="AD1508" s="1067" t="str">
        <f t="shared" si="115"/>
        <v/>
      </c>
      <c r="AE1508" s="1063" t="str">
        <f>IF(ISNA(VLOOKUP(TB_prev[[#This Row],[Synt]],GL[[#Headers],[#Data],[subtotal label]],1,FALSE)),0,(VLOOKUP(TB_prev[[#This Row],[Synt]],GL[[#Headers],[#Data],[subtotal label]],1,FALSE)))</f>
        <v/>
      </c>
      <c r="AF1508" s="1063" t="e">
        <f>IF((TB_prev[[#This Row],[Synt]]-TB_prev[[#This Row],[Subtotal Y/N]])=0,0,VLOOKUP(TB_prev[[#This Row],[Synt]],GL[[Account]:[Line]],3,FALSE))</f>
        <v>#VALUE!</v>
      </c>
      <c r="AG1508" s="1063" t="e">
        <f>VLOOKUP(TB_prev[[#This Row],[Synt]],GL[[Account]:[B/P]],4,FALSE)</f>
        <v>#N/A</v>
      </c>
      <c r="AH1508" s="1066" t="e">
        <v>#VALUE!</v>
      </c>
      <c r="AI1508" s="1065" t="e">
        <f>TB_prev[[#This Row],[Synt]]&amp;TB_prev[[#This Row],[Line No. manual corr.]]</f>
        <v>#VALUE!</v>
      </c>
      <c r="AJ1508" s="1064">
        <f t="shared" si="116"/>
        <v>0</v>
      </c>
      <c r="AK1508" s="1064">
        <f t="shared" si="117"/>
        <v>0</v>
      </c>
      <c r="AL1508" s="1064">
        <f t="shared" si="118"/>
        <v>0</v>
      </c>
      <c r="AM1508" s="1064">
        <f t="shared" si="119"/>
        <v>0</v>
      </c>
      <c r="AN1508" s="1064"/>
      <c r="AO1508" s="1064">
        <f>TB_prev[[#This Row],[Closing balance]]+TB_prev[[#This Row],[Rounding]]</f>
        <v>0</v>
      </c>
    </row>
    <row r="1509" spans="30:41" x14ac:dyDescent="0.25">
      <c r="AD1509" s="1067" t="str">
        <f t="shared" si="115"/>
        <v/>
      </c>
      <c r="AE1509" s="1063" t="str">
        <f>IF(ISNA(VLOOKUP(TB_prev[[#This Row],[Synt]],GL[[#Headers],[#Data],[subtotal label]],1,FALSE)),0,(VLOOKUP(TB_prev[[#This Row],[Synt]],GL[[#Headers],[#Data],[subtotal label]],1,FALSE)))</f>
        <v/>
      </c>
      <c r="AF1509" s="1063" t="e">
        <f>IF((TB_prev[[#This Row],[Synt]]-TB_prev[[#This Row],[Subtotal Y/N]])=0,0,VLOOKUP(TB_prev[[#This Row],[Synt]],GL[[Account]:[Line]],3,FALSE))</f>
        <v>#VALUE!</v>
      </c>
      <c r="AG1509" s="1063" t="e">
        <f>VLOOKUP(TB_prev[[#This Row],[Synt]],GL[[Account]:[B/P]],4,FALSE)</f>
        <v>#N/A</v>
      </c>
      <c r="AH1509" s="1066" t="e">
        <v>#VALUE!</v>
      </c>
      <c r="AI1509" s="1065" t="e">
        <f>TB_prev[[#This Row],[Synt]]&amp;TB_prev[[#This Row],[Line No. manual corr.]]</f>
        <v>#VALUE!</v>
      </c>
      <c r="AJ1509" s="1064">
        <f t="shared" si="116"/>
        <v>0</v>
      </c>
      <c r="AK1509" s="1064">
        <f t="shared" si="117"/>
        <v>0</v>
      </c>
      <c r="AL1509" s="1064">
        <f t="shared" si="118"/>
        <v>0</v>
      </c>
      <c r="AM1509" s="1064">
        <f t="shared" si="119"/>
        <v>0</v>
      </c>
      <c r="AN1509" s="1064"/>
      <c r="AO1509" s="1064">
        <f>TB_prev[[#This Row],[Closing balance]]+TB_prev[[#This Row],[Rounding]]</f>
        <v>0</v>
      </c>
    </row>
    <row r="1510" spans="30:41" x14ac:dyDescent="0.25">
      <c r="AD1510" s="1067" t="str">
        <f t="shared" si="115"/>
        <v/>
      </c>
      <c r="AE1510" s="1063" t="str">
        <f>IF(ISNA(VLOOKUP(TB_prev[[#This Row],[Synt]],GL[[#Headers],[#Data],[subtotal label]],1,FALSE)),0,(VLOOKUP(TB_prev[[#This Row],[Synt]],GL[[#Headers],[#Data],[subtotal label]],1,FALSE)))</f>
        <v/>
      </c>
      <c r="AF1510" s="1063" t="e">
        <f>IF((TB_prev[[#This Row],[Synt]]-TB_prev[[#This Row],[Subtotal Y/N]])=0,0,VLOOKUP(TB_prev[[#This Row],[Synt]],GL[[Account]:[Line]],3,FALSE))</f>
        <v>#VALUE!</v>
      </c>
      <c r="AG1510" s="1063" t="e">
        <f>VLOOKUP(TB_prev[[#This Row],[Synt]],GL[[Account]:[B/P]],4,FALSE)</f>
        <v>#N/A</v>
      </c>
      <c r="AH1510" s="1066" t="e">
        <v>#VALUE!</v>
      </c>
      <c r="AI1510" s="1065" t="e">
        <f>TB_prev[[#This Row],[Synt]]&amp;TB_prev[[#This Row],[Line No. manual corr.]]</f>
        <v>#VALUE!</v>
      </c>
      <c r="AJ1510" s="1064">
        <f t="shared" si="116"/>
        <v>0</v>
      </c>
      <c r="AK1510" s="1064">
        <f t="shared" si="117"/>
        <v>0</v>
      </c>
      <c r="AL1510" s="1064">
        <f t="shared" si="118"/>
        <v>0</v>
      </c>
      <c r="AM1510" s="1064">
        <f t="shared" si="119"/>
        <v>0</v>
      </c>
      <c r="AN1510" s="1064"/>
      <c r="AO1510" s="1064">
        <f>TB_prev[[#This Row],[Closing balance]]+TB_prev[[#This Row],[Rounding]]</f>
        <v>0</v>
      </c>
    </row>
    <row r="1511" spans="30:41" x14ac:dyDescent="0.25">
      <c r="AD1511" s="1067" t="str">
        <f t="shared" si="115"/>
        <v/>
      </c>
      <c r="AE1511" s="1063" t="str">
        <f>IF(ISNA(VLOOKUP(TB_prev[[#This Row],[Synt]],GL[[#Headers],[#Data],[subtotal label]],1,FALSE)),0,(VLOOKUP(TB_prev[[#This Row],[Synt]],GL[[#Headers],[#Data],[subtotal label]],1,FALSE)))</f>
        <v/>
      </c>
      <c r="AF1511" s="1063" t="e">
        <f>IF((TB_prev[[#This Row],[Synt]]-TB_prev[[#This Row],[Subtotal Y/N]])=0,0,VLOOKUP(TB_prev[[#This Row],[Synt]],GL[[Account]:[Line]],3,FALSE))</f>
        <v>#VALUE!</v>
      </c>
      <c r="AG1511" s="1063" t="e">
        <f>VLOOKUP(TB_prev[[#This Row],[Synt]],GL[[Account]:[B/P]],4,FALSE)</f>
        <v>#N/A</v>
      </c>
      <c r="AH1511" s="1066" t="e">
        <v>#VALUE!</v>
      </c>
      <c r="AI1511" s="1065" t="e">
        <f>TB_prev[[#This Row],[Synt]]&amp;TB_prev[[#This Row],[Line No. manual corr.]]</f>
        <v>#VALUE!</v>
      </c>
      <c r="AJ1511" s="1064">
        <f t="shared" si="116"/>
        <v>0</v>
      </c>
      <c r="AK1511" s="1064">
        <f t="shared" si="117"/>
        <v>0</v>
      </c>
      <c r="AL1511" s="1064">
        <f t="shared" si="118"/>
        <v>0</v>
      </c>
      <c r="AM1511" s="1064">
        <f t="shared" si="119"/>
        <v>0</v>
      </c>
      <c r="AN1511" s="1064"/>
      <c r="AO1511" s="1064">
        <f>TB_prev[[#This Row],[Closing balance]]+TB_prev[[#This Row],[Rounding]]</f>
        <v>0</v>
      </c>
    </row>
    <row r="1512" spans="30:41" x14ac:dyDescent="0.25">
      <c r="AD1512" s="1067" t="str">
        <f t="shared" si="115"/>
        <v/>
      </c>
      <c r="AE1512" s="1063" t="str">
        <f>IF(ISNA(VLOOKUP(TB_prev[[#This Row],[Synt]],GL[[#Headers],[#Data],[subtotal label]],1,FALSE)),0,(VLOOKUP(TB_prev[[#This Row],[Synt]],GL[[#Headers],[#Data],[subtotal label]],1,FALSE)))</f>
        <v/>
      </c>
      <c r="AF1512" s="1063" t="e">
        <f>IF((TB_prev[[#This Row],[Synt]]-TB_prev[[#This Row],[Subtotal Y/N]])=0,0,VLOOKUP(TB_prev[[#This Row],[Synt]],GL[[Account]:[Line]],3,FALSE))</f>
        <v>#VALUE!</v>
      </c>
      <c r="AG1512" s="1063" t="e">
        <f>VLOOKUP(TB_prev[[#This Row],[Synt]],GL[[Account]:[B/P]],4,FALSE)</f>
        <v>#N/A</v>
      </c>
      <c r="AH1512" s="1066" t="e">
        <v>#VALUE!</v>
      </c>
      <c r="AI1512" s="1065" t="e">
        <f>TB_prev[[#This Row],[Synt]]&amp;TB_prev[[#This Row],[Line No. manual corr.]]</f>
        <v>#VALUE!</v>
      </c>
      <c r="AJ1512" s="1064">
        <f t="shared" si="116"/>
        <v>0</v>
      </c>
      <c r="AK1512" s="1064">
        <f t="shared" si="117"/>
        <v>0</v>
      </c>
      <c r="AL1512" s="1064">
        <f t="shared" si="118"/>
        <v>0</v>
      </c>
      <c r="AM1512" s="1064">
        <f t="shared" si="119"/>
        <v>0</v>
      </c>
      <c r="AN1512" s="1064"/>
      <c r="AO1512" s="1064">
        <f>TB_prev[[#This Row],[Closing balance]]+TB_prev[[#This Row],[Rounding]]</f>
        <v>0</v>
      </c>
    </row>
    <row r="1513" spans="30:41" x14ac:dyDescent="0.25">
      <c r="AD1513" s="1067" t="str">
        <f t="shared" si="115"/>
        <v/>
      </c>
      <c r="AE1513" s="1063" t="str">
        <f>IF(ISNA(VLOOKUP(TB_prev[[#This Row],[Synt]],GL[[#Headers],[#Data],[subtotal label]],1,FALSE)),0,(VLOOKUP(TB_prev[[#This Row],[Synt]],GL[[#Headers],[#Data],[subtotal label]],1,FALSE)))</f>
        <v/>
      </c>
      <c r="AF1513" s="1063" t="e">
        <f>IF((TB_prev[[#This Row],[Synt]]-TB_prev[[#This Row],[Subtotal Y/N]])=0,0,VLOOKUP(TB_prev[[#This Row],[Synt]],GL[[Account]:[Line]],3,FALSE))</f>
        <v>#VALUE!</v>
      </c>
      <c r="AG1513" s="1063" t="e">
        <f>VLOOKUP(TB_prev[[#This Row],[Synt]],GL[[Account]:[B/P]],4,FALSE)</f>
        <v>#N/A</v>
      </c>
      <c r="AH1513" s="1066" t="e">
        <v>#VALUE!</v>
      </c>
      <c r="AI1513" s="1065" t="e">
        <f>TB_prev[[#This Row],[Synt]]&amp;TB_prev[[#This Row],[Line No. manual corr.]]</f>
        <v>#VALUE!</v>
      </c>
      <c r="AJ1513" s="1064">
        <f t="shared" si="116"/>
        <v>0</v>
      </c>
      <c r="AK1513" s="1064">
        <f t="shared" si="117"/>
        <v>0</v>
      </c>
      <c r="AL1513" s="1064">
        <f t="shared" si="118"/>
        <v>0</v>
      </c>
      <c r="AM1513" s="1064">
        <f t="shared" si="119"/>
        <v>0</v>
      </c>
      <c r="AN1513" s="1064"/>
      <c r="AO1513" s="1064">
        <f>TB_prev[[#This Row],[Closing balance]]+TB_prev[[#This Row],[Rounding]]</f>
        <v>0</v>
      </c>
    </row>
    <row r="1514" spans="30:41" x14ac:dyDescent="0.25">
      <c r="AD1514" s="1067" t="str">
        <f t="shared" si="115"/>
        <v/>
      </c>
      <c r="AE1514" s="1063" t="str">
        <f>IF(ISNA(VLOOKUP(TB_prev[[#This Row],[Synt]],GL[[#Headers],[#Data],[subtotal label]],1,FALSE)),0,(VLOOKUP(TB_prev[[#This Row],[Synt]],GL[[#Headers],[#Data],[subtotal label]],1,FALSE)))</f>
        <v/>
      </c>
      <c r="AF1514" s="1063" t="e">
        <f>IF((TB_prev[[#This Row],[Synt]]-TB_prev[[#This Row],[Subtotal Y/N]])=0,0,VLOOKUP(TB_prev[[#This Row],[Synt]],GL[[Account]:[Line]],3,FALSE))</f>
        <v>#VALUE!</v>
      </c>
      <c r="AG1514" s="1063" t="e">
        <f>VLOOKUP(TB_prev[[#This Row],[Synt]],GL[[Account]:[B/P]],4,FALSE)</f>
        <v>#N/A</v>
      </c>
      <c r="AH1514" s="1066" t="e">
        <v>#VALUE!</v>
      </c>
      <c r="AI1514" s="1065" t="e">
        <f>TB_prev[[#This Row],[Synt]]&amp;TB_prev[[#This Row],[Line No. manual corr.]]</f>
        <v>#VALUE!</v>
      </c>
      <c r="AJ1514" s="1064">
        <f t="shared" si="116"/>
        <v>0</v>
      </c>
      <c r="AK1514" s="1064">
        <f t="shared" si="117"/>
        <v>0</v>
      </c>
      <c r="AL1514" s="1064">
        <f t="shared" si="118"/>
        <v>0</v>
      </c>
      <c r="AM1514" s="1064">
        <f t="shared" si="119"/>
        <v>0</v>
      </c>
      <c r="AN1514" s="1064"/>
      <c r="AO1514" s="1064">
        <f>TB_prev[[#This Row],[Closing balance]]+TB_prev[[#This Row],[Rounding]]</f>
        <v>0</v>
      </c>
    </row>
    <row r="1515" spans="30:41" x14ac:dyDescent="0.25">
      <c r="AD1515" s="1067" t="str">
        <f t="shared" si="115"/>
        <v/>
      </c>
      <c r="AE1515" s="1063" t="str">
        <f>IF(ISNA(VLOOKUP(TB_prev[[#This Row],[Synt]],GL[[#Headers],[#Data],[subtotal label]],1,FALSE)),0,(VLOOKUP(TB_prev[[#This Row],[Synt]],GL[[#Headers],[#Data],[subtotal label]],1,FALSE)))</f>
        <v/>
      </c>
      <c r="AF1515" s="1063" t="e">
        <f>IF((TB_prev[[#This Row],[Synt]]-TB_prev[[#This Row],[Subtotal Y/N]])=0,0,VLOOKUP(TB_prev[[#This Row],[Synt]],GL[[Account]:[Line]],3,FALSE))</f>
        <v>#VALUE!</v>
      </c>
      <c r="AG1515" s="1063" t="e">
        <f>VLOOKUP(TB_prev[[#This Row],[Synt]],GL[[Account]:[B/P]],4,FALSE)</f>
        <v>#N/A</v>
      </c>
      <c r="AH1515" s="1066" t="e">
        <v>#VALUE!</v>
      </c>
      <c r="AI1515" s="1065" t="e">
        <f>TB_prev[[#This Row],[Synt]]&amp;TB_prev[[#This Row],[Line No. manual corr.]]</f>
        <v>#VALUE!</v>
      </c>
      <c r="AJ1515" s="1064">
        <f t="shared" si="116"/>
        <v>0</v>
      </c>
      <c r="AK1515" s="1064">
        <f t="shared" si="117"/>
        <v>0</v>
      </c>
      <c r="AL1515" s="1064">
        <f t="shared" si="118"/>
        <v>0</v>
      </c>
      <c r="AM1515" s="1064">
        <f t="shared" si="119"/>
        <v>0</v>
      </c>
      <c r="AN1515" s="1064"/>
      <c r="AO1515" s="1064">
        <f>TB_prev[[#This Row],[Closing balance]]+TB_prev[[#This Row],[Rounding]]</f>
        <v>0</v>
      </c>
    </row>
    <row r="1516" spans="30:41" x14ac:dyDescent="0.25">
      <c r="AD1516" s="1067" t="str">
        <f t="shared" si="115"/>
        <v/>
      </c>
      <c r="AE1516" s="1063" t="str">
        <f>IF(ISNA(VLOOKUP(TB_prev[[#This Row],[Synt]],GL[[#Headers],[#Data],[subtotal label]],1,FALSE)),0,(VLOOKUP(TB_prev[[#This Row],[Synt]],GL[[#Headers],[#Data],[subtotal label]],1,FALSE)))</f>
        <v/>
      </c>
      <c r="AF1516" s="1063" t="e">
        <f>IF((TB_prev[[#This Row],[Synt]]-TB_prev[[#This Row],[Subtotal Y/N]])=0,0,VLOOKUP(TB_prev[[#This Row],[Synt]],GL[[Account]:[Line]],3,FALSE))</f>
        <v>#VALUE!</v>
      </c>
      <c r="AG1516" s="1063" t="e">
        <f>VLOOKUP(TB_prev[[#This Row],[Synt]],GL[[Account]:[B/P]],4,FALSE)</f>
        <v>#N/A</v>
      </c>
      <c r="AH1516" s="1066" t="e">
        <v>#VALUE!</v>
      </c>
      <c r="AI1516" s="1065" t="e">
        <f>TB_prev[[#This Row],[Synt]]&amp;TB_prev[[#This Row],[Line No. manual corr.]]</f>
        <v>#VALUE!</v>
      </c>
      <c r="AJ1516" s="1064">
        <f t="shared" si="116"/>
        <v>0</v>
      </c>
      <c r="AK1516" s="1064">
        <f t="shared" si="117"/>
        <v>0</v>
      </c>
      <c r="AL1516" s="1064">
        <f t="shared" si="118"/>
        <v>0</v>
      </c>
      <c r="AM1516" s="1064">
        <f t="shared" si="119"/>
        <v>0</v>
      </c>
      <c r="AN1516" s="1064"/>
      <c r="AO1516" s="1064">
        <f>TB_prev[[#This Row],[Closing balance]]+TB_prev[[#This Row],[Rounding]]</f>
        <v>0</v>
      </c>
    </row>
    <row r="1517" spans="30:41" x14ac:dyDescent="0.25">
      <c r="AD1517" s="1067" t="str">
        <f t="shared" si="115"/>
        <v/>
      </c>
      <c r="AE1517" s="1063" t="str">
        <f>IF(ISNA(VLOOKUP(TB_prev[[#This Row],[Synt]],GL[[#Headers],[#Data],[subtotal label]],1,FALSE)),0,(VLOOKUP(TB_prev[[#This Row],[Synt]],GL[[#Headers],[#Data],[subtotal label]],1,FALSE)))</f>
        <v/>
      </c>
      <c r="AF1517" s="1063" t="e">
        <f>IF((TB_prev[[#This Row],[Synt]]-TB_prev[[#This Row],[Subtotal Y/N]])=0,0,VLOOKUP(TB_prev[[#This Row],[Synt]],GL[[Account]:[Line]],3,FALSE))</f>
        <v>#VALUE!</v>
      </c>
      <c r="AG1517" s="1063" t="e">
        <f>VLOOKUP(TB_prev[[#This Row],[Synt]],GL[[Account]:[B/P]],4,FALSE)</f>
        <v>#N/A</v>
      </c>
      <c r="AH1517" s="1066" t="e">
        <v>#VALUE!</v>
      </c>
      <c r="AI1517" s="1065" t="e">
        <f>TB_prev[[#This Row],[Synt]]&amp;TB_prev[[#This Row],[Line No. manual corr.]]</f>
        <v>#VALUE!</v>
      </c>
      <c r="AJ1517" s="1064">
        <f t="shared" si="116"/>
        <v>0</v>
      </c>
      <c r="AK1517" s="1064">
        <f t="shared" si="117"/>
        <v>0</v>
      </c>
      <c r="AL1517" s="1064">
        <f t="shared" si="118"/>
        <v>0</v>
      </c>
      <c r="AM1517" s="1064">
        <f t="shared" si="119"/>
        <v>0</v>
      </c>
      <c r="AN1517" s="1064"/>
      <c r="AO1517" s="1064">
        <f>TB_prev[[#This Row],[Closing balance]]+TB_prev[[#This Row],[Rounding]]</f>
        <v>0</v>
      </c>
    </row>
    <row r="1518" spans="30:41" x14ac:dyDescent="0.25">
      <c r="AD1518" s="1067" t="str">
        <f t="shared" si="115"/>
        <v/>
      </c>
      <c r="AE1518" s="1063" t="str">
        <f>IF(ISNA(VLOOKUP(TB_prev[[#This Row],[Synt]],GL[[#Headers],[#Data],[subtotal label]],1,FALSE)),0,(VLOOKUP(TB_prev[[#This Row],[Synt]],GL[[#Headers],[#Data],[subtotal label]],1,FALSE)))</f>
        <v/>
      </c>
      <c r="AF1518" s="1063" t="e">
        <f>IF((TB_prev[[#This Row],[Synt]]-TB_prev[[#This Row],[Subtotal Y/N]])=0,0,VLOOKUP(TB_prev[[#This Row],[Synt]],GL[[Account]:[Line]],3,FALSE))</f>
        <v>#VALUE!</v>
      </c>
      <c r="AG1518" s="1063" t="e">
        <f>VLOOKUP(TB_prev[[#This Row],[Synt]],GL[[Account]:[B/P]],4,FALSE)</f>
        <v>#N/A</v>
      </c>
      <c r="AH1518" s="1066" t="e">
        <v>#VALUE!</v>
      </c>
      <c r="AI1518" s="1065" t="e">
        <f>TB_prev[[#This Row],[Synt]]&amp;TB_prev[[#This Row],[Line No. manual corr.]]</f>
        <v>#VALUE!</v>
      </c>
      <c r="AJ1518" s="1064">
        <f t="shared" si="116"/>
        <v>0</v>
      </c>
      <c r="AK1518" s="1064">
        <f t="shared" si="117"/>
        <v>0</v>
      </c>
      <c r="AL1518" s="1064">
        <f t="shared" si="118"/>
        <v>0</v>
      </c>
      <c r="AM1518" s="1064">
        <f t="shared" si="119"/>
        <v>0</v>
      </c>
      <c r="AN1518" s="1064"/>
      <c r="AO1518" s="1064">
        <f>TB_prev[[#This Row],[Closing balance]]+TB_prev[[#This Row],[Rounding]]</f>
        <v>0</v>
      </c>
    </row>
    <row r="1519" spans="30:41" x14ac:dyDescent="0.25">
      <c r="AD1519" s="1067" t="str">
        <f t="shared" si="115"/>
        <v/>
      </c>
      <c r="AE1519" s="1063" t="str">
        <f>IF(ISNA(VLOOKUP(TB_prev[[#This Row],[Synt]],GL[[#Headers],[#Data],[subtotal label]],1,FALSE)),0,(VLOOKUP(TB_prev[[#This Row],[Synt]],GL[[#Headers],[#Data],[subtotal label]],1,FALSE)))</f>
        <v/>
      </c>
      <c r="AF1519" s="1063" t="e">
        <f>IF((TB_prev[[#This Row],[Synt]]-TB_prev[[#This Row],[Subtotal Y/N]])=0,0,VLOOKUP(TB_prev[[#This Row],[Synt]],GL[[Account]:[Line]],3,FALSE))</f>
        <v>#VALUE!</v>
      </c>
      <c r="AG1519" s="1063" t="e">
        <f>VLOOKUP(TB_prev[[#This Row],[Synt]],GL[[Account]:[B/P]],4,FALSE)</f>
        <v>#N/A</v>
      </c>
      <c r="AH1519" s="1066" t="e">
        <v>#VALUE!</v>
      </c>
      <c r="AI1519" s="1065" t="e">
        <f>TB_prev[[#This Row],[Synt]]&amp;TB_prev[[#This Row],[Line No. manual corr.]]</f>
        <v>#VALUE!</v>
      </c>
      <c r="AJ1519" s="1064">
        <f t="shared" si="116"/>
        <v>0</v>
      </c>
      <c r="AK1519" s="1064">
        <f t="shared" si="117"/>
        <v>0</v>
      </c>
      <c r="AL1519" s="1064">
        <f t="shared" si="118"/>
        <v>0</v>
      </c>
      <c r="AM1519" s="1064">
        <f t="shared" si="119"/>
        <v>0</v>
      </c>
      <c r="AN1519" s="1064"/>
      <c r="AO1519" s="1064">
        <f>TB_prev[[#This Row],[Closing balance]]+TB_prev[[#This Row],[Rounding]]</f>
        <v>0</v>
      </c>
    </row>
    <row r="1520" spans="30:41" x14ac:dyDescent="0.25">
      <c r="AD1520" s="1067" t="str">
        <f t="shared" si="115"/>
        <v/>
      </c>
      <c r="AE1520" s="1063" t="str">
        <f>IF(ISNA(VLOOKUP(TB_prev[[#This Row],[Synt]],GL[[#Headers],[#Data],[subtotal label]],1,FALSE)),0,(VLOOKUP(TB_prev[[#This Row],[Synt]],GL[[#Headers],[#Data],[subtotal label]],1,FALSE)))</f>
        <v/>
      </c>
      <c r="AF1520" s="1063" t="e">
        <f>IF((TB_prev[[#This Row],[Synt]]-TB_prev[[#This Row],[Subtotal Y/N]])=0,0,VLOOKUP(TB_prev[[#This Row],[Synt]],GL[[Account]:[Line]],3,FALSE))</f>
        <v>#VALUE!</v>
      </c>
      <c r="AG1520" s="1063" t="e">
        <f>VLOOKUP(TB_prev[[#This Row],[Synt]],GL[[Account]:[B/P]],4,FALSE)</f>
        <v>#N/A</v>
      </c>
      <c r="AH1520" s="1066" t="e">
        <v>#VALUE!</v>
      </c>
      <c r="AI1520" s="1065" t="e">
        <f>TB_prev[[#This Row],[Synt]]&amp;TB_prev[[#This Row],[Line No. manual corr.]]</f>
        <v>#VALUE!</v>
      </c>
      <c r="AJ1520" s="1064">
        <f t="shared" si="116"/>
        <v>0</v>
      </c>
      <c r="AK1520" s="1064">
        <f t="shared" si="117"/>
        <v>0</v>
      </c>
      <c r="AL1520" s="1064">
        <f t="shared" si="118"/>
        <v>0</v>
      </c>
      <c r="AM1520" s="1064">
        <f t="shared" si="119"/>
        <v>0</v>
      </c>
      <c r="AN1520" s="1064"/>
      <c r="AO1520" s="1064">
        <f>TB_prev[[#This Row],[Closing balance]]+TB_prev[[#This Row],[Rounding]]</f>
        <v>0</v>
      </c>
    </row>
    <row r="1521" spans="30:41" x14ac:dyDescent="0.25">
      <c r="AD1521" s="1067" t="str">
        <f t="shared" si="115"/>
        <v/>
      </c>
      <c r="AE1521" s="1063" t="str">
        <f>IF(ISNA(VLOOKUP(TB_prev[[#This Row],[Synt]],GL[[#Headers],[#Data],[subtotal label]],1,FALSE)),0,(VLOOKUP(TB_prev[[#This Row],[Synt]],GL[[#Headers],[#Data],[subtotal label]],1,FALSE)))</f>
        <v/>
      </c>
      <c r="AF1521" s="1063" t="e">
        <f>IF((TB_prev[[#This Row],[Synt]]-TB_prev[[#This Row],[Subtotal Y/N]])=0,0,VLOOKUP(TB_prev[[#This Row],[Synt]],GL[[Account]:[Line]],3,FALSE))</f>
        <v>#VALUE!</v>
      </c>
      <c r="AG1521" s="1063" t="e">
        <f>VLOOKUP(TB_prev[[#This Row],[Synt]],GL[[Account]:[B/P]],4,FALSE)</f>
        <v>#N/A</v>
      </c>
      <c r="AH1521" s="1066" t="e">
        <v>#VALUE!</v>
      </c>
      <c r="AI1521" s="1065" t="e">
        <f>TB_prev[[#This Row],[Synt]]&amp;TB_prev[[#This Row],[Line No. manual corr.]]</f>
        <v>#VALUE!</v>
      </c>
      <c r="AJ1521" s="1064">
        <f t="shared" si="116"/>
        <v>0</v>
      </c>
      <c r="AK1521" s="1064">
        <f t="shared" si="117"/>
        <v>0</v>
      </c>
      <c r="AL1521" s="1064">
        <f t="shared" si="118"/>
        <v>0</v>
      </c>
      <c r="AM1521" s="1064">
        <f t="shared" si="119"/>
        <v>0</v>
      </c>
      <c r="AN1521" s="1064"/>
      <c r="AO1521" s="1064">
        <f>TB_prev[[#This Row],[Closing balance]]+TB_prev[[#This Row],[Rounding]]</f>
        <v>0</v>
      </c>
    </row>
    <row r="1522" spans="30:41" x14ac:dyDescent="0.25">
      <c r="AD1522" s="1067" t="str">
        <f t="shared" si="115"/>
        <v/>
      </c>
      <c r="AE1522" s="1063" t="str">
        <f>IF(ISNA(VLOOKUP(TB_prev[[#This Row],[Synt]],GL[[#Headers],[#Data],[subtotal label]],1,FALSE)),0,(VLOOKUP(TB_prev[[#This Row],[Synt]],GL[[#Headers],[#Data],[subtotal label]],1,FALSE)))</f>
        <v/>
      </c>
      <c r="AF1522" s="1063" t="e">
        <f>IF((TB_prev[[#This Row],[Synt]]-TB_prev[[#This Row],[Subtotal Y/N]])=0,0,VLOOKUP(TB_prev[[#This Row],[Synt]],GL[[Account]:[Line]],3,FALSE))</f>
        <v>#VALUE!</v>
      </c>
      <c r="AG1522" s="1063" t="e">
        <f>VLOOKUP(TB_prev[[#This Row],[Synt]],GL[[Account]:[B/P]],4,FALSE)</f>
        <v>#N/A</v>
      </c>
      <c r="AH1522" s="1066" t="e">
        <v>#VALUE!</v>
      </c>
      <c r="AI1522" s="1065" t="e">
        <f>TB_prev[[#This Row],[Synt]]&amp;TB_prev[[#This Row],[Line No. manual corr.]]</f>
        <v>#VALUE!</v>
      </c>
      <c r="AJ1522" s="1064">
        <f t="shared" si="116"/>
        <v>0</v>
      </c>
      <c r="AK1522" s="1064">
        <f t="shared" si="117"/>
        <v>0</v>
      </c>
      <c r="AL1522" s="1064">
        <f t="shared" si="118"/>
        <v>0</v>
      </c>
      <c r="AM1522" s="1064">
        <f t="shared" si="119"/>
        <v>0</v>
      </c>
      <c r="AN1522" s="1064"/>
      <c r="AO1522" s="1064">
        <f>TB_prev[[#This Row],[Closing balance]]+TB_prev[[#This Row],[Rounding]]</f>
        <v>0</v>
      </c>
    </row>
    <row r="1523" spans="30:41" x14ac:dyDescent="0.25">
      <c r="AD1523" s="1067" t="str">
        <f t="shared" si="115"/>
        <v/>
      </c>
      <c r="AE1523" s="1063" t="str">
        <f>IF(ISNA(VLOOKUP(TB_prev[[#This Row],[Synt]],GL[[#Headers],[#Data],[subtotal label]],1,FALSE)),0,(VLOOKUP(TB_prev[[#This Row],[Synt]],GL[[#Headers],[#Data],[subtotal label]],1,FALSE)))</f>
        <v/>
      </c>
      <c r="AF1523" s="1063" t="e">
        <f>IF((TB_prev[[#This Row],[Synt]]-TB_prev[[#This Row],[Subtotal Y/N]])=0,0,VLOOKUP(TB_prev[[#This Row],[Synt]],GL[[Account]:[Line]],3,FALSE))</f>
        <v>#VALUE!</v>
      </c>
      <c r="AG1523" s="1063" t="e">
        <f>VLOOKUP(TB_prev[[#This Row],[Synt]],GL[[Account]:[B/P]],4,FALSE)</f>
        <v>#N/A</v>
      </c>
      <c r="AH1523" s="1066" t="e">
        <v>#VALUE!</v>
      </c>
      <c r="AI1523" s="1065" t="e">
        <f>TB_prev[[#This Row],[Synt]]&amp;TB_prev[[#This Row],[Line No. manual corr.]]</f>
        <v>#VALUE!</v>
      </c>
      <c r="AJ1523" s="1064">
        <f t="shared" si="116"/>
        <v>0</v>
      </c>
      <c r="AK1523" s="1064">
        <f t="shared" si="117"/>
        <v>0</v>
      </c>
      <c r="AL1523" s="1064">
        <f t="shared" si="118"/>
        <v>0</v>
      </c>
      <c r="AM1523" s="1064">
        <f t="shared" si="119"/>
        <v>0</v>
      </c>
      <c r="AN1523" s="1064"/>
      <c r="AO1523" s="1064">
        <f>TB_prev[[#This Row],[Closing balance]]+TB_prev[[#This Row],[Rounding]]</f>
        <v>0</v>
      </c>
    </row>
    <row r="1524" spans="30:41" x14ac:dyDescent="0.25">
      <c r="AD1524" s="1067" t="str">
        <f t="shared" si="115"/>
        <v/>
      </c>
      <c r="AE1524" s="1063" t="str">
        <f>IF(ISNA(VLOOKUP(TB_prev[[#This Row],[Synt]],GL[[#Headers],[#Data],[subtotal label]],1,FALSE)),0,(VLOOKUP(TB_prev[[#This Row],[Synt]],GL[[#Headers],[#Data],[subtotal label]],1,FALSE)))</f>
        <v/>
      </c>
      <c r="AF1524" s="1063" t="e">
        <f>IF((TB_prev[[#This Row],[Synt]]-TB_prev[[#This Row],[Subtotal Y/N]])=0,0,VLOOKUP(TB_prev[[#This Row],[Synt]],GL[[Account]:[Line]],3,FALSE))</f>
        <v>#VALUE!</v>
      </c>
      <c r="AG1524" s="1063" t="e">
        <f>VLOOKUP(TB_prev[[#This Row],[Synt]],GL[[Account]:[B/P]],4,FALSE)</f>
        <v>#N/A</v>
      </c>
      <c r="AH1524" s="1066" t="e">
        <v>#VALUE!</v>
      </c>
      <c r="AI1524" s="1065" t="e">
        <f>TB_prev[[#This Row],[Synt]]&amp;TB_prev[[#This Row],[Line No. manual corr.]]</f>
        <v>#VALUE!</v>
      </c>
      <c r="AJ1524" s="1064">
        <f t="shared" si="116"/>
        <v>0</v>
      </c>
      <c r="AK1524" s="1064">
        <f t="shared" si="117"/>
        <v>0</v>
      </c>
      <c r="AL1524" s="1064">
        <f t="shared" si="118"/>
        <v>0</v>
      </c>
      <c r="AM1524" s="1064">
        <f t="shared" si="119"/>
        <v>0</v>
      </c>
      <c r="AN1524" s="1064"/>
      <c r="AO1524" s="1064">
        <f>TB_prev[[#This Row],[Closing balance]]+TB_prev[[#This Row],[Rounding]]</f>
        <v>0</v>
      </c>
    </row>
    <row r="1525" spans="30:41" x14ac:dyDescent="0.25">
      <c r="AD1525" s="1067" t="str">
        <f t="shared" si="115"/>
        <v/>
      </c>
      <c r="AE1525" s="1063" t="str">
        <f>IF(ISNA(VLOOKUP(TB_prev[[#This Row],[Synt]],GL[[#Headers],[#Data],[subtotal label]],1,FALSE)),0,(VLOOKUP(TB_prev[[#This Row],[Synt]],GL[[#Headers],[#Data],[subtotal label]],1,FALSE)))</f>
        <v/>
      </c>
      <c r="AF1525" s="1063" t="e">
        <f>IF((TB_prev[[#This Row],[Synt]]-TB_prev[[#This Row],[Subtotal Y/N]])=0,0,VLOOKUP(TB_prev[[#This Row],[Synt]],GL[[Account]:[Line]],3,FALSE))</f>
        <v>#VALUE!</v>
      </c>
      <c r="AG1525" s="1063" t="e">
        <f>VLOOKUP(TB_prev[[#This Row],[Synt]],GL[[Account]:[B/P]],4,FALSE)</f>
        <v>#N/A</v>
      </c>
      <c r="AH1525" s="1066" t="e">
        <v>#VALUE!</v>
      </c>
      <c r="AI1525" s="1065" t="e">
        <f>TB_prev[[#This Row],[Synt]]&amp;TB_prev[[#This Row],[Line No. manual corr.]]</f>
        <v>#VALUE!</v>
      </c>
      <c r="AJ1525" s="1064">
        <f t="shared" si="116"/>
        <v>0</v>
      </c>
      <c r="AK1525" s="1064">
        <f t="shared" si="117"/>
        <v>0</v>
      </c>
      <c r="AL1525" s="1064">
        <f t="shared" si="118"/>
        <v>0</v>
      </c>
      <c r="AM1525" s="1064">
        <f t="shared" si="119"/>
        <v>0</v>
      </c>
      <c r="AN1525" s="1064"/>
      <c r="AO1525" s="1064">
        <f>TB_prev[[#This Row],[Closing balance]]+TB_prev[[#This Row],[Rounding]]</f>
        <v>0</v>
      </c>
    </row>
    <row r="1526" spans="30:41" x14ac:dyDescent="0.25">
      <c r="AD1526" s="1067" t="str">
        <f t="shared" si="115"/>
        <v/>
      </c>
      <c r="AE1526" s="1063" t="str">
        <f>IF(ISNA(VLOOKUP(TB_prev[[#This Row],[Synt]],GL[[#Headers],[#Data],[subtotal label]],1,FALSE)),0,(VLOOKUP(TB_prev[[#This Row],[Synt]],GL[[#Headers],[#Data],[subtotal label]],1,FALSE)))</f>
        <v/>
      </c>
      <c r="AF1526" s="1063" t="e">
        <f>IF((TB_prev[[#This Row],[Synt]]-TB_prev[[#This Row],[Subtotal Y/N]])=0,0,VLOOKUP(TB_prev[[#This Row],[Synt]],GL[[Account]:[Line]],3,FALSE))</f>
        <v>#VALUE!</v>
      </c>
      <c r="AG1526" s="1063" t="e">
        <f>VLOOKUP(TB_prev[[#This Row],[Synt]],GL[[Account]:[B/P]],4,FALSE)</f>
        <v>#N/A</v>
      </c>
      <c r="AH1526" s="1066" t="e">
        <v>#VALUE!</v>
      </c>
      <c r="AI1526" s="1065" t="e">
        <f>TB_prev[[#This Row],[Synt]]&amp;TB_prev[[#This Row],[Line No. manual corr.]]</f>
        <v>#VALUE!</v>
      </c>
      <c r="AJ1526" s="1064">
        <f t="shared" si="116"/>
        <v>0</v>
      </c>
      <c r="AK1526" s="1064">
        <f t="shared" si="117"/>
        <v>0</v>
      </c>
      <c r="AL1526" s="1064">
        <f t="shared" si="118"/>
        <v>0</v>
      </c>
      <c r="AM1526" s="1064">
        <f t="shared" si="119"/>
        <v>0</v>
      </c>
      <c r="AN1526" s="1064"/>
      <c r="AO1526" s="1064">
        <f>TB_prev[[#This Row],[Closing balance]]+TB_prev[[#This Row],[Rounding]]</f>
        <v>0</v>
      </c>
    </row>
    <row r="1527" spans="30:41" x14ac:dyDescent="0.25">
      <c r="AD1527" s="1067" t="str">
        <f t="shared" si="115"/>
        <v/>
      </c>
      <c r="AE1527" s="1063" t="str">
        <f>IF(ISNA(VLOOKUP(TB_prev[[#This Row],[Synt]],GL[[#Headers],[#Data],[subtotal label]],1,FALSE)),0,(VLOOKUP(TB_prev[[#This Row],[Synt]],GL[[#Headers],[#Data],[subtotal label]],1,FALSE)))</f>
        <v/>
      </c>
      <c r="AF1527" s="1063" t="e">
        <f>IF((TB_prev[[#This Row],[Synt]]-TB_prev[[#This Row],[Subtotal Y/N]])=0,0,VLOOKUP(TB_prev[[#This Row],[Synt]],GL[[Account]:[Line]],3,FALSE))</f>
        <v>#VALUE!</v>
      </c>
      <c r="AG1527" s="1063" t="e">
        <f>VLOOKUP(TB_prev[[#This Row],[Synt]],GL[[Account]:[B/P]],4,FALSE)</f>
        <v>#N/A</v>
      </c>
      <c r="AH1527" s="1066" t="e">
        <v>#VALUE!</v>
      </c>
      <c r="AI1527" s="1065" t="e">
        <f>TB_prev[[#This Row],[Synt]]&amp;TB_prev[[#This Row],[Line No. manual corr.]]</f>
        <v>#VALUE!</v>
      </c>
      <c r="AJ1527" s="1064">
        <f t="shared" si="116"/>
        <v>0</v>
      </c>
      <c r="AK1527" s="1064">
        <f t="shared" si="117"/>
        <v>0</v>
      </c>
      <c r="AL1527" s="1064">
        <f t="shared" si="118"/>
        <v>0</v>
      </c>
      <c r="AM1527" s="1064">
        <f t="shared" si="119"/>
        <v>0</v>
      </c>
      <c r="AN1527" s="1064"/>
      <c r="AO1527" s="1064">
        <f>TB_prev[[#This Row],[Closing balance]]+TB_prev[[#This Row],[Rounding]]</f>
        <v>0</v>
      </c>
    </row>
    <row r="1528" spans="30:41" x14ac:dyDescent="0.25">
      <c r="AD1528" s="1067" t="str">
        <f t="shared" si="115"/>
        <v/>
      </c>
      <c r="AE1528" s="1063" t="str">
        <f>IF(ISNA(VLOOKUP(TB_prev[[#This Row],[Synt]],GL[[#Headers],[#Data],[subtotal label]],1,FALSE)),0,(VLOOKUP(TB_prev[[#This Row],[Synt]],GL[[#Headers],[#Data],[subtotal label]],1,FALSE)))</f>
        <v/>
      </c>
      <c r="AF1528" s="1063" t="e">
        <f>IF((TB_prev[[#This Row],[Synt]]-TB_prev[[#This Row],[Subtotal Y/N]])=0,0,VLOOKUP(TB_prev[[#This Row],[Synt]],GL[[Account]:[Line]],3,FALSE))</f>
        <v>#VALUE!</v>
      </c>
      <c r="AG1528" s="1063" t="e">
        <f>VLOOKUP(TB_prev[[#This Row],[Synt]],GL[[Account]:[B/P]],4,FALSE)</f>
        <v>#N/A</v>
      </c>
      <c r="AH1528" s="1066" t="e">
        <v>#VALUE!</v>
      </c>
      <c r="AI1528" s="1065" t="e">
        <f>TB_prev[[#This Row],[Synt]]&amp;TB_prev[[#This Row],[Line No. manual corr.]]</f>
        <v>#VALUE!</v>
      </c>
      <c r="AJ1528" s="1064">
        <f t="shared" si="116"/>
        <v>0</v>
      </c>
      <c r="AK1528" s="1064">
        <f t="shared" si="117"/>
        <v>0</v>
      </c>
      <c r="AL1528" s="1064">
        <f t="shared" si="118"/>
        <v>0</v>
      </c>
      <c r="AM1528" s="1064">
        <f t="shared" si="119"/>
        <v>0</v>
      </c>
      <c r="AN1528" s="1064"/>
      <c r="AO1528" s="1064">
        <f>TB_prev[[#This Row],[Closing balance]]+TB_prev[[#This Row],[Rounding]]</f>
        <v>0</v>
      </c>
    </row>
    <row r="1529" spans="30:41" x14ac:dyDescent="0.25">
      <c r="AD1529" s="1067" t="str">
        <f t="shared" si="115"/>
        <v/>
      </c>
      <c r="AE1529" s="1063" t="str">
        <f>IF(ISNA(VLOOKUP(TB_prev[[#This Row],[Synt]],GL[[#Headers],[#Data],[subtotal label]],1,FALSE)),0,(VLOOKUP(TB_prev[[#This Row],[Synt]],GL[[#Headers],[#Data],[subtotal label]],1,FALSE)))</f>
        <v/>
      </c>
      <c r="AF1529" s="1063" t="e">
        <f>IF((TB_prev[[#This Row],[Synt]]-TB_prev[[#This Row],[Subtotal Y/N]])=0,0,VLOOKUP(TB_prev[[#This Row],[Synt]],GL[[Account]:[Line]],3,FALSE))</f>
        <v>#VALUE!</v>
      </c>
      <c r="AG1529" s="1063" t="e">
        <f>VLOOKUP(TB_prev[[#This Row],[Synt]],GL[[Account]:[B/P]],4,FALSE)</f>
        <v>#N/A</v>
      </c>
      <c r="AH1529" s="1066" t="e">
        <v>#VALUE!</v>
      </c>
      <c r="AI1529" s="1065" t="e">
        <f>TB_prev[[#This Row],[Synt]]&amp;TB_prev[[#This Row],[Line No. manual corr.]]</f>
        <v>#VALUE!</v>
      </c>
      <c r="AJ1529" s="1064">
        <f t="shared" si="116"/>
        <v>0</v>
      </c>
      <c r="AK1529" s="1064">
        <f t="shared" si="117"/>
        <v>0</v>
      </c>
      <c r="AL1529" s="1064">
        <f t="shared" si="118"/>
        <v>0</v>
      </c>
      <c r="AM1529" s="1064">
        <f t="shared" si="119"/>
        <v>0</v>
      </c>
      <c r="AN1529" s="1064"/>
      <c r="AO1529" s="1064">
        <f>TB_prev[[#This Row],[Closing balance]]+TB_prev[[#This Row],[Rounding]]</f>
        <v>0</v>
      </c>
    </row>
    <row r="1530" spans="30:41" x14ac:dyDescent="0.25">
      <c r="AD1530" s="1067" t="str">
        <f t="shared" si="115"/>
        <v/>
      </c>
      <c r="AE1530" s="1063" t="str">
        <f>IF(ISNA(VLOOKUP(TB_prev[[#This Row],[Synt]],GL[[#Headers],[#Data],[subtotal label]],1,FALSE)),0,(VLOOKUP(TB_prev[[#This Row],[Synt]],GL[[#Headers],[#Data],[subtotal label]],1,FALSE)))</f>
        <v/>
      </c>
      <c r="AF1530" s="1063" t="e">
        <f>IF((TB_prev[[#This Row],[Synt]]-TB_prev[[#This Row],[Subtotal Y/N]])=0,0,VLOOKUP(TB_prev[[#This Row],[Synt]],GL[[Account]:[Line]],3,FALSE))</f>
        <v>#VALUE!</v>
      </c>
      <c r="AG1530" s="1063" t="e">
        <f>VLOOKUP(TB_prev[[#This Row],[Synt]],GL[[Account]:[B/P]],4,FALSE)</f>
        <v>#N/A</v>
      </c>
      <c r="AH1530" s="1066" t="e">
        <v>#VALUE!</v>
      </c>
      <c r="AI1530" s="1065" t="e">
        <f>TB_prev[[#This Row],[Synt]]&amp;TB_prev[[#This Row],[Line No. manual corr.]]</f>
        <v>#VALUE!</v>
      </c>
      <c r="AJ1530" s="1064">
        <f t="shared" si="116"/>
        <v>0</v>
      </c>
      <c r="AK1530" s="1064">
        <f t="shared" si="117"/>
        <v>0</v>
      </c>
      <c r="AL1530" s="1064">
        <f t="shared" si="118"/>
        <v>0</v>
      </c>
      <c r="AM1530" s="1064">
        <f t="shared" si="119"/>
        <v>0</v>
      </c>
      <c r="AN1530" s="1064"/>
      <c r="AO1530" s="1064">
        <f>TB_prev[[#This Row],[Closing balance]]+TB_prev[[#This Row],[Rounding]]</f>
        <v>0</v>
      </c>
    </row>
    <row r="1531" spans="30:41" x14ac:dyDescent="0.25">
      <c r="AD1531" s="1067" t="str">
        <f t="shared" si="115"/>
        <v/>
      </c>
      <c r="AE1531" s="1063" t="str">
        <f>IF(ISNA(VLOOKUP(TB_prev[[#This Row],[Synt]],GL[[#Headers],[#Data],[subtotal label]],1,FALSE)),0,(VLOOKUP(TB_prev[[#This Row],[Synt]],GL[[#Headers],[#Data],[subtotal label]],1,FALSE)))</f>
        <v/>
      </c>
      <c r="AF1531" s="1063" t="e">
        <f>IF((TB_prev[[#This Row],[Synt]]-TB_prev[[#This Row],[Subtotal Y/N]])=0,0,VLOOKUP(TB_prev[[#This Row],[Synt]],GL[[Account]:[Line]],3,FALSE))</f>
        <v>#VALUE!</v>
      </c>
      <c r="AG1531" s="1063" t="e">
        <f>VLOOKUP(TB_prev[[#This Row],[Synt]],GL[[Account]:[B/P]],4,FALSE)</f>
        <v>#N/A</v>
      </c>
      <c r="AH1531" s="1066" t="e">
        <v>#VALUE!</v>
      </c>
      <c r="AI1531" s="1065" t="e">
        <f>TB_prev[[#This Row],[Synt]]&amp;TB_prev[[#This Row],[Line No. manual corr.]]</f>
        <v>#VALUE!</v>
      </c>
      <c r="AJ1531" s="1064">
        <f t="shared" si="116"/>
        <v>0</v>
      </c>
      <c r="AK1531" s="1064">
        <f t="shared" si="117"/>
        <v>0</v>
      </c>
      <c r="AL1531" s="1064">
        <f t="shared" si="118"/>
        <v>0</v>
      </c>
      <c r="AM1531" s="1064">
        <f t="shared" si="119"/>
        <v>0</v>
      </c>
      <c r="AN1531" s="1064"/>
      <c r="AO1531" s="1064">
        <f>TB_prev[[#This Row],[Closing balance]]+TB_prev[[#This Row],[Rounding]]</f>
        <v>0</v>
      </c>
    </row>
    <row r="1532" spans="30:41" x14ac:dyDescent="0.25">
      <c r="AD1532" s="1067" t="str">
        <f t="shared" si="115"/>
        <v/>
      </c>
      <c r="AE1532" s="1063" t="str">
        <f>IF(ISNA(VLOOKUP(TB_prev[[#This Row],[Synt]],GL[[#Headers],[#Data],[subtotal label]],1,FALSE)),0,(VLOOKUP(TB_prev[[#This Row],[Synt]],GL[[#Headers],[#Data],[subtotal label]],1,FALSE)))</f>
        <v/>
      </c>
      <c r="AF1532" s="1063" t="e">
        <f>IF((TB_prev[[#This Row],[Synt]]-TB_prev[[#This Row],[Subtotal Y/N]])=0,0,VLOOKUP(TB_prev[[#This Row],[Synt]],GL[[Account]:[Line]],3,FALSE))</f>
        <v>#VALUE!</v>
      </c>
      <c r="AG1532" s="1063" t="e">
        <f>VLOOKUP(TB_prev[[#This Row],[Synt]],GL[[Account]:[B/P]],4,FALSE)</f>
        <v>#N/A</v>
      </c>
      <c r="AH1532" s="1066" t="e">
        <v>#VALUE!</v>
      </c>
      <c r="AI1532" s="1065" t="e">
        <f>TB_prev[[#This Row],[Synt]]&amp;TB_prev[[#This Row],[Line No. manual corr.]]</f>
        <v>#VALUE!</v>
      </c>
      <c r="AJ1532" s="1064">
        <f t="shared" si="116"/>
        <v>0</v>
      </c>
      <c r="AK1532" s="1064">
        <f t="shared" si="117"/>
        <v>0</v>
      </c>
      <c r="AL1532" s="1064">
        <f t="shared" si="118"/>
        <v>0</v>
      </c>
      <c r="AM1532" s="1064">
        <f t="shared" si="119"/>
        <v>0</v>
      </c>
      <c r="AN1532" s="1064"/>
      <c r="AO1532" s="1064">
        <f>TB_prev[[#This Row],[Closing balance]]+TB_prev[[#This Row],[Rounding]]</f>
        <v>0</v>
      </c>
    </row>
    <row r="1533" spans="30:41" x14ac:dyDescent="0.25">
      <c r="AD1533" s="1067" t="str">
        <f t="shared" si="115"/>
        <v/>
      </c>
      <c r="AE1533" s="1063" t="str">
        <f>IF(ISNA(VLOOKUP(TB_prev[[#This Row],[Synt]],GL[[#Headers],[#Data],[subtotal label]],1,FALSE)),0,(VLOOKUP(TB_prev[[#This Row],[Synt]],GL[[#Headers],[#Data],[subtotal label]],1,FALSE)))</f>
        <v/>
      </c>
      <c r="AF1533" s="1063" t="e">
        <f>IF((TB_prev[[#This Row],[Synt]]-TB_prev[[#This Row],[Subtotal Y/N]])=0,0,VLOOKUP(TB_prev[[#This Row],[Synt]],GL[[Account]:[Line]],3,FALSE))</f>
        <v>#VALUE!</v>
      </c>
      <c r="AG1533" s="1063" t="e">
        <f>VLOOKUP(TB_prev[[#This Row],[Synt]],GL[[Account]:[B/P]],4,FALSE)</f>
        <v>#N/A</v>
      </c>
      <c r="AH1533" s="1066" t="e">
        <v>#VALUE!</v>
      </c>
      <c r="AI1533" s="1065" t="e">
        <f>TB_prev[[#This Row],[Synt]]&amp;TB_prev[[#This Row],[Line No. manual corr.]]</f>
        <v>#VALUE!</v>
      </c>
      <c r="AJ1533" s="1064">
        <f t="shared" si="116"/>
        <v>0</v>
      </c>
      <c r="AK1533" s="1064">
        <f t="shared" si="117"/>
        <v>0</v>
      </c>
      <c r="AL1533" s="1064">
        <f t="shared" si="118"/>
        <v>0</v>
      </c>
      <c r="AM1533" s="1064">
        <f t="shared" si="119"/>
        <v>0</v>
      </c>
      <c r="AN1533" s="1064"/>
      <c r="AO1533" s="1064">
        <f>TB_prev[[#This Row],[Closing balance]]+TB_prev[[#This Row],[Rounding]]</f>
        <v>0</v>
      </c>
    </row>
    <row r="1534" spans="30:41" x14ac:dyDescent="0.25">
      <c r="AD1534" s="1067" t="str">
        <f t="shared" si="115"/>
        <v/>
      </c>
      <c r="AE1534" s="1063" t="str">
        <f>IF(ISNA(VLOOKUP(TB_prev[[#This Row],[Synt]],GL[[#Headers],[#Data],[subtotal label]],1,FALSE)),0,(VLOOKUP(TB_prev[[#This Row],[Synt]],GL[[#Headers],[#Data],[subtotal label]],1,FALSE)))</f>
        <v/>
      </c>
      <c r="AF1534" s="1063" t="e">
        <f>IF((TB_prev[[#This Row],[Synt]]-TB_prev[[#This Row],[Subtotal Y/N]])=0,0,VLOOKUP(TB_prev[[#This Row],[Synt]],GL[[Account]:[Line]],3,FALSE))</f>
        <v>#VALUE!</v>
      </c>
      <c r="AG1534" s="1063" t="e">
        <f>VLOOKUP(TB_prev[[#This Row],[Synt]],GL[[Account]:[B/P]],4,FALSE)</f>
        <v>#N/A</v>
      </c>
      <c r="AH1534" s="1066" t="e">
        <v>#VALUE!</v>
      </c>
      <c r="AI1534" s="1065" t="e">
        <f>TB_prev[[#This Row],[Synt]]&amp;TB_prev[[#This Row],[Line No. manual corr.]]</f>
        <v>#VALUE!</v>
      </c>
      <c r="AJ1534" s="1064">
        <f t="shared" si="116"/>
        <v>0</v>
      </c>
      <c r="AK1534" s="1064">
        <f t="shared" si="117"/>
        <v>0</v>
      </c>
      <c r="AL1534" s="1064">
        <f t="shared" si="118"/>
        <v>0</v>
      </c>
      <c r="AM1534" s="1064">
        <f t="shared" si="119"/>
        <v>0</v>
      </c>
      <c r="AN1534" s="1064"/>
      <c r="AO1534" s="1064">
        <f>TB_prev[[#This Row],[Closing balance]]+TB_prev[[#This Row],[Rounding]]</f>
        <v>0</v>
      </c>
    </row>
    <row r="1535" spans="30:41" x14ac:dyDescent="0.25">
      <c r="AD1535" s="1067" t="str">
        <f t="shared" si="115"/>
        <v/>
      </c>
      <c r="AE1535" s="1063" t="str">
        <f>IF(ISNA(VLOOKUP(TB_prev[[#This Row],[Synt]],GL[[#Headers],[#Data],[subtotal label]],1,FALSE)),0,(VLOOKUP(TB_prev[[#This Row],[Synt]],GL[[#Headers],[#Data],[subtotal label]],1,FALSE)))</f>
        <v/>
      </c>
      <c r="AF1535" s="1063" t="e">
        <f>IF((TB_prev[[#This Row],[Synt]]-TB_prev[[#This Row],[Subtotal Y/N]])=0,0,VLOOKUP(TB_prev[[#This Row],[Synt]],GL[[Account]:[Line]],3,FALSE))</f>
        <v>#VALUE!</v>
      </c>
      <c r="AG1535" s="1063" t="e">
        <f>VLOOKUP(TB_prev[[#This Row],[Synt]],GL[[Account]:[B/P]],4,FALSE)</f>
        <v>#N/A</v>
      </c>
      <c r="AH1535" s="1066" t="e">
        <v>#VALUE!</v>
      </c>
      <c r="AI1535" s="1065" t="e">
        <f>TB_prev[[#This Row],[Synt]]&amp;TB_prev[[#This Row],[Line No. manual corr.]]</f>
        <v>#VALUE!</v>
      </c>
      <c r="AJ1535" s="1064">
        <f t="shared" si="116"/>
        <v>0</v>
      </c>
      <c r="AK1535" s="1064">
        <f t="shared" si="117"/>
        <v>0</v>
      </c>
      <c r="AL1535" s="1064">
        <f t="shared" si="118"/>
        <v>0</v>
      </c>
      <c r="AM1535" s="1064">
        <f t="shared" si="119"/>
        <v>0</v>
      </c>
      <c r="AN1535" s="1064"/>
      <c r="AO1535" s="1064">
        <f>TB_prev[[#This Row],[Closing balance]]+TB_prev[[#This Row],[Rounding]]</f>
        <v>0</v>
      </c>
    </row>
    <row r="1536" spans="30:41" x14ac:dyDescent="0.25">
      <c r="AD1536" s="1067" t="str">
        <f t="shared" si="115"/>
        <v/>
      </c>
      <c r="AE1536" s="1063" t="str">
        <f>IF(ISNA(VLOOKUP(TB_prev[[#This Row],[Synt]],GL[[#Headers],[#Data],[subtotal label]],1,FALSE)),0,(VLOOKUP(TB_prev[[#This Row],[Synt]],GL[[#Headers],[#Data],[subtotal label]],1,FALSE)))</f>
        <v/>
      </c>
      <c r="AF1536" s="1063" t="e">
        <f>IF((TB_prev[[#This Row],[Synt]]-TB_prev[[#This Row],[Subtotal Y/N]])=0,0,VLOOKUP(TB_prev[[#This Row],[Synt]],GL[[Account]:[Line]],3,FALSE))</f>
        <v>#VALUE!</v>
      </c>
      <c r="AG1536" s="1063" t="e">
        <f>VLOOKUP(TB_prev[[#This Row],[Synt]],GL[[Account]:[B/P]],4,FALSE)</f>
        <v>#N/A</v>
      </c>
      <c r="AH1536" s="1066" t="e">
        <v>#VALUE!</v>
      </c>
      <c r="AI1536" s="1065" t="e">
        <f>TB_prev[[#This Row],[Synt]]&amp;TB_prev[[#This Row],[Line No. manual corr.]]</f>
        <v>#VALUE!</v>
      </c>
      <c r="AJ1536" s="1064">
        <f t="shared" si="116"/>
        <v>0</v>
      </c>
      <c r="AK1536" s="1064">
        <f t="shared" si="117"/>
        <v>0</v>
      </c>
      <c r="AL1536" s="1064">
        <f t="shared" si="118"/>
        <v>0</v>
      </c>
      <c r="AM1536" s="1064">
        <f t="shared" si="119"/>
        <v>0</v>
      </c>
      <c r="AN1536" s="1064"/>
      <c r="AO1536" s="1064">
        <f>TB_prev[[#This Row],[Closing balance]]+TB_prev[[#This Row],[Rounding]]</f>
        <v>0</v>
      </c>
    </row>
    <row r="1537" spans="30:41" x14ac:dyDescent="0.25">
      <c r="AD1537" s="1067" t="str">
        <f t="shared" si="115"/>
        <v/>
      </c>
      <c r="AE1537" s="1063" t="str">
        <f>IF(ISNA(VLOOKUP(TB_prev[[#This Row],[Synt]],GL[[#Headers],[#Data],[subtotal label]],1,FALSE)),0,(VLOOKUP(TB_prev[[#This Row],[Synt]],GL[[#Headers],[#Data],[subtotal label]],1,FALSE)))</f>
        <v/>
      </c>
      <c r="AF1537" s="1063" t="e">
        <f>IF((TB_prev[[#This Row],[Synt]]-TB_prev[[#This Row],[Subtotal Y/N]])=0,0,VLOOKUP(TB_prev[[#This Row],[Synt]],GL[[Account]:[Line]],3,FALSE))</f>
        <v>#VALUE!</v>
      </c>
      <c r="AG1537" s="1063" t="e">
        <f>VLOOKUP(TB_prev[[#This Row],[Synt]],GL[[Account]:[B/P]],4,FALSE)</f>
        <v>#N/A</v>
      </c>
      <c r="AH1537" s="1066" t="e">
        <v>#VALUE!</v>
      </c>
      <c r="AI1537" s="1065" t="e">
        <f>TB_prev[[#This Row],[Synt]]&amp;TB_prev[[#This Row],[Line No. manual corr.]]</f>
        <v>#VALUE!</v>
      </c>
      <c r="AJ1537" s="1064">
        <f t="shared" si="116"/>
        <v>0</v>
      </c>
      <c r="AK1537" s="1064">
        <f t="shared" si="117"/>
        <v>0</v>
      </c>
      <c r="AL1537" s="1064">
        <f t="shared" si="118"/>
        <v>0</v>
      </c>
      <c r="AM1537" s="1064">
        <f t="shared" si="119"/>
        <v>0</v>
      </c>
      <c r="AN1537" s="1064"/>
      <c r="AO1537" s="1064">
        <f>TB_prev[[#This Row],[Closing balance]]+TB_prev[[#This Row],[Rounding]]</f>
        <v>0</v>
      </c>
    </row>
    <row r="1538" spans="30:41" x14ac:dyDescent="0.25">
      <c r="AD1538" s="1067" t="str">
        <f t="shared" si="115"/>
        <v/>
      </c>
      <c r="AE1538" s="1063" t="str">
        <f>IF(ISNA(VLOOKUP(TB_prev[[#This Row],[Synt]],GL[[#Headers],[#Data],[subtotal label]],1,FALSE)),0,(VLOOKUP(TB_prev[[#This Row],[Synt]],GL[[#Headers],[#Data],[subtotal label]],1,FALSE)))</f>
        <v/>
      </c>
      <c r="AF1538" s="1063" t="e">
        <f>IF((TB_prev[[#This Row],[Synt]]-TB_prev[[#This Row],[Subtotal Y/N]])=0,0,VLOOKUP(TB_prev[[#This Row],[Synt]],GL[[Account]:[Line]],3,FALSE))</f>
        <v>#VALUE!</v>
      </c>
      <c r="AG1538" s="1063" t="e">
        <f>VLOOKUP(TB_prev[[#This Row],[Synt]],GL[[Account]:[B/P]],4,FALSE)</f>
        <v>#N/A</v>
      </c>
      <c r="AH1538" s="1066" t="e">
        <v>#VALUE!</v>
      </c>
      <c r="AI1538" s="1065" t="e">
        <f>TB_prev[[#This Row],[Synt]]&amp;TB_prev[[#This Row],[Line No. manual corr.]]</f>
        <v>#VALUE!</v>
      </c>
      <c r="AJ1538" s="1064">
        <f t="shared" si="116"/>
        <v>0</v>
      </c>
      <c r="AK1538" s="1064">
        <f t="shared" si="117"/>
        <v>0</v>
      </c>
      <c r="AL1538" s="1064">
        <f t="shared" si="118"/>
        <v>0</v>
      </c>
      <c r="AM1538" s="1064">
        <f t="shared" si="119"/>
        <v>0</v>
      </c>
      <c r="AN1538" s="1064"/>
      <c r="AO1538" s="1064">
        <f>TB_prev[[#This Row],[Closing balance]]+TB_prev[[#This Row],[Rounding]]</f>
        <v>0</v>
      </c>
    </row>
    <row r="1539" spans="30:41" x14ac:dyDescent="0.25">
      <c r="AD1539" s="1067" t="str">
        <f t="shared" si="115"/>
        <v/>
      </c>
      <c r="AE1539" s="1063" t="str">
        <f>IF(ISNA(VLOOKUP(TB_prev[[#This Row],[Synt]],GL[[#Headers],[#Data],[subtotal label]],1,FALSE)),0,(VLOOKUP(TB_prev[[#This Row],[Synt]],GL[[#Headers],[#Data],[subtotal label]],1,FALSE)))</f>
        <v/>
      </c>
      <c r="AF1539" s="1063" t="e">
        <f>IF((TB_prev[[#This Row],[Synt]]-TB_prev[[#This Row],[Subtotal Y/N]])=0,0,VLOOKUP(TB_prev[[#This Row],[Synt]],GL[[Account]:[Line]],3,FALSE))</f>
        <v>#VALUE!</v>
      </c>
      <c r="AG1539" s="1063" t="e">
        <f>VLOOKUP(TB_prev[[#This Row],[Synt]],GL[[Account]:[B/P]],4,FALSE)</f>
        <v>#N/A</v>
      </c>
      <c r="AH1539" s="1066" t="e">
        <v>#VALUE!</v>
      </c>
      <c r="AI1539" s="1065" t="e">
        <f>TB_prev[[#This Row],[Synt]]&amp;TB_prev[[#This Row],[Line No. manual corr.]]</f>
        <v>#VALUE!</v>
      </c>
      <c r="AJ1539" s="1064">
        <f t="shared" si="116"/>
        <v>0</v>
      </c>
      <c r="AK1539" s="1064">
        <f t="shared" si="117"/>
        <v>0</v>
      </c>
      <c r="AL1539" s="1064">
        <f t="shared" si="118"/>
        <v>0</v>
      </c>
      <c r="AM1539" s="1064">
        <f t="shared" si="119"/>
        <v>0</v>
      </c>
      <c r="AN1539" s="1064"/>
      <c r="AO1539" s="1064">
        <f>TB_prev[[#This Row],[Closing balance]]+TB_prev[[#This Row],[Rounding]]</f>
        <v>0</v>
      </c>
    </row>
    <row r="1540" spans="30:41" x14ac:dyDescent="0.25">
      <c r="AD1540" s="1067" t="str">
        <f t="shared" si="115"/>
        <v/>
      </c>
      <c r="AE1540" s="1063" t="str">
        <f>IF(ISNA(VLOOKUP(TB_prev[[#This Row],[Synt]],GL[[#Headers],[#Data],[subtotal label]],1,FALSE)),0,(VLOOKUP(TB_prev[[#This Row],[Synt]],GL[[#Headers],[#Data],[subtotal label]],1,FALSE)))</f>
        <v/>
      </c>
      <c r="AF1540" s="1063" t="e">
        <f>IF((TB_prev[[#This Row],[Synt]]-TB_prev[[#This Row],[Subtotal Y/N]])=0,0,VLOOKUP(TB_prev[[#This Row],[Synt]],GL[[Account]:[Line]],3,FALSE))</f>
        <v>#VALUE!</v>
      </c>
      <c r="AG1540" s="1063" t="e">
        <f>VLOOKUP(TB_prev[[#This Row],[Synt]],GL[[Account]:[B/P]],4,FALSE)</f>
        <v>#N/A</v>
      </c>
      <c r="AH1540" s="1066" t="e">
        <v>#VALUE!</v>
      </c>
      <c r="AI1540" s="1065" t="e">
        <f>TB_prev[[#This Row],[Synt]]&amp;TB_prev[[#This Row],[Line No. manual corr.]]</f>
        <v>#VALUE!</v>
      </c>
      <c r="AJ1540" s="1064">
        <f t="shared" si="116"/>
        <v>0</v>
      </c>
      <c r="AK1540" s="1064">
        <f t="shared" si="117"/>
        <v>0</v>
      </c>
      <c r="AL1540" s="1064">
        <f t="shared" si="118"/>
        <v>0</v>
      </c>
      <c r="AM1540" s="1064">
        <f t="shared" si="119"/>
        <v>0</v>
      </c>
      <c r="AN1540" s="1064"/>
      <c r="AO1540" s="1064">
        <f>TB_prev[[#This Row],[Closing balance]]+TB_prev[[#This Row],[Rounding]]</f>
        <v>0</v>
      </c>
    </row>
    <row r="1541" spans="30:41" x14ac:dyDescent="0.25">
      <c r="AD1541" s="1067" t="str">
        <f t="shared" si="115"/>
        <v/>
      </c>
      <c r="AE1541" s="1063" t="str">
        <f>IF(ISNA(VLOOKUP(TB_prev[[#This Row],[Synt]],GL[[#Headers],[#Data],[subtotal label]],1,FALSE)),0,(VLOOKUP(TB_prev[[#This Row],[Synt]],GL[[#Headers],[#Data],[subtotal label]],1,FALSE)))</f>
        <v/>
      </c>
      <c r="AF1541" s="1063" t="e">
        <f>IF((TB_prev[[#This Row],[Synt]]-TB_prev[[#This Row],[Subtotal Y/N]])=0,0,VLOOKUP(TB_prev[[#This Row],[Synt]],GL[[Account]:[Line]],3,FALSE))</f>
        <v>#VALUE!</v>
      </c>
      <c r="AG1541" s="1063" t="e">
        <f>VLOOKUP(TB_prev[[#This Row],[Synt]],GL[[Account]:[B/P]],4,FALSE)</f>
        <v>#N/A</v>
      </c>
      <c r="AH1541" s="1066" t="e">
        <v>#VALUE!</v>
      </c>
      <c r="AI1541" s="1065" t="e">
        <f>TB_prev[[#This Row],[Synt]]&amp;TB_prev[[#This Row],[Line No. manual corr.]]</f>
        <v>#VALUE!</v>
      </c>
      <c r="AJ1541" s="1064">
        <f t="shared" si="116"/>
        <v>0</v>
      </c>
      <c r="AK1541" s="1064">
        <f t="shared" si="117"/>
        <v>0</v>
      </c>
      <c r="AL1541" s="1064">
        <f t="shared" si="118"/>
        <v>0</v>
      </c>
      <c r="AM1541" s="1064">
        <f t="shared" si="119"/>
        <v>0</v>
      </c>
      <c r="AN1541" s="1064"/>
      <c r="AO1541" s="1064">
        <f>TB_prev[[#This Row],[Closing balance]]+TB_prev[[#This Row],[Rounding]]</f>
        <v>0</v>
      </c>
    </row>
    <row r="1542" spans="30:41" x14ac:dyDescent="0.25">
      <c r="AD1542" s="1067" t="str">
        <f t="shared" si="115"/>
        <v/>
      </c>
      <c r="AE1542" s="1063" t="str">
        <f>IF(ISNA(VLOOKUP(TB_prev[[#This Row],[Synt]],GL[[#Headers],[#Data],[subtotal label]],1,FALSE)),0,(VLOOKUP(TB_prev[[#This Row],[Synt]],GL[[#Headers],[#Data],[subtotal label]],1,FALSE)))</f>
        <v/>
      </c>
      <c r="AF1542" s="1063" t="e">
        <f>IF((TB_prev[[#This Row],[Synt]]-TB_prev[[#This Row],[Subtotal Y/N]])=0,0,VLOOKUP(TB_prev[[#This Row],[Synt]],GL[[Account]:[Line]],3,FALSE))</f>
        <v>#VALUE!</v>
      </c>
      <c r="AG1542" s="1063" t="e">
        <f>VLOOKUP(TB_prev[[#This Row],[Synt]],GL[[Account]:[B/P]],4,FALSE)</f>
        <v>#N/A</v>
      </c>
      <c r="AH1542" s="1066" t="e">
        <v>#VALUE!</v>
      </c>
      <c r="AI1542" s="1065" t="e">
        <f>TB_prev[[#This Row],[Synt]]&amp;TB_prev[[#This Row],[Line No. manual corr.]]</f>
        <v>#VALUE!</v>
      </c>
      <c r="AJ1542" s="1064">
        <f t="shared" si="116"/>
        <v>0</v>
      </c>
      <c r="AK1542" s="1064">
        <f t="shared" si="117"/>
        <v>0</v>
      </c>
      <c r="AL1542" s="1064">
        <f t="shared" si="118"/>
        <v>0</v>
      </c>
      <c r="AM1542" s="1064">
        <f t="shared" si="119"/>
        <v>0</v>
      </c>
      <c r="AN1542" s="1064"/>
      <c r="AO1542" s="1064">
        <f>TB_prev[[#This Row],[Closing balance]]+TB_prev[[#This Row],[Rounding]]</f>
        <v>0</v>
      </c>
    </row>
    <row r="1543" spans="30:41" x14ac:dyDescent="0.25">
      <c r="AD1543" s="1067" t="str">
        <f t="shared" si="115"/>
        <v/>
      </c>
      <c r="AE1543" s="1063" t="str">
        <f>IF(ISNA(VLOOKUP(TB_prev[[#This Row],[Synt]],GL[[#Headers],[#Data],[subtotal label]],1,FALSE)),0,(VLOOKUP(TB_prev[[#This Row],[Synt]],GL[[#Headers],[#Data],[subtotal label]],1,FALSE)))</f>
        <v/>
      </c>
      <c r="AF1543" s="1063" t="e">
        <f>IF((TB_prev[[#This Row],[Synt]]-TB_prev[[#This Row],[Subtotal Y/N]])=0,0,VLOOKUP(TB_prev[[#This Row],[Synt]],GL[[Account]:[Line]],3,FALSE))</f>
        <v>#VALUE!</v>
      </c>
      <c r="AG1543" s="1063" t="e">
        <f>VLOOKUP(TB_prev[[#This Row],[Synt]],GL[[Account]:[B/P]],4,FALSE)</f>
        <v>#N/A</v>
      </c>
      <c r="AH1543" s="1066" t="e">
        <v>#VALUE!</v>
      </c>
      <c r="AI1543" s="1065" t="e">
        <f>TB_prev[[#This Row],[Synt]]&amp;TB_prev[[#This Row],[Line No. manual corr.]]</f>
        <v>#VALUE!</v>
      </c>
      <c r="AJ1543" s="1064">
        <f t="shared" si="116"/>
        <v>0</v>
      </c>
      <c r="AK1543" s="1064">
        <f t="shared" si="117"/>
        <v>0</v>
      </c>
      <c r="AL1543" s="1064">
        <f t="shared" si="118"/>
        <v>0</v>
      </c>
      <c r="AM1543" s="1064">
        <f t="shared" si="119"/>
        <v>0</v>
      </c>
      <c r="AN1543" s="1064"/>
      <c r="AO1543" s="1064">
        <f>TB_prev[[#This Row],[Closing balance]]+TB_prev[[#This Row],[Rounding]]</f>
        <v>0</v>
      </c>
    </row>
    <row r="1544" spans="30:41" x14ac:dyDescent="0.25">
      <c r="AD1544" s="1067" t="str">
        <f t="shared" ref="AD1544:AD1599" si="120">LEFT(B1544,3)</f>
        <v/>
      </c>
      <c r="AE1544" s="1063" t="str">
        <f>IF(ISNA(VLOOKUP(TB_prev[[#This Row],[Synt]],GL[[#Headers],[#Data],[subtotal label]],1,FALSE)),0,(VLOOKUP(TB_prev[[#This Row],[Synt]],GL[[#Headers],[#Data],[subtotal label]],1,FALSE)))</f>
        <v/>
      </c>
      <c r="AF1544" s="1063" t="e">
        <f>IF((TB_prev[[#This Row],[Synt]]-TB_prev[[#This Row],[Subtotal Y/N]])=0,0,VLOOKUP(TB_prev[[#This Row],[Synt]],GL[[Account]:[Line]],3,FALSE))</f>
        <v>#VALUE!</v>
      </c>
      <c r="AG1544" s="1063" t="e">
        <f>VLOOKUP(TB_prev[[#This Row],[Synt]],GL[[Account]:[B/P]],4,FALSE)</f>
        <v>#N/A</v>
      </c>
      <c r="AH1544" s="1066" t="e">
        <v>#VALUE!</v>
      </c>
      <c r="AI1544" s="1065" t="e">
        <f>TB_prev[[#This Row],[Synt]]&amp;TB_prev[[#This Row],[Line No. manual corr.]]</f>
        <v>#VALUE!</v>
      </c>
      <c r="AJ1544" s="1064">
        <f t="shared" ref="AJ1544:AJ1599" si="121">K1544-N1544</f>
        <v>0</v>
      </c>
      <c r="AK1544" s="1064">
        <f t="shared" ref="AK1544:AK1599" si="122">Q1544</f>
        <v>0</v>
      </c>
      <c r="AL1544" s="1064">
        <f t="shared" ref="AL1544:AL1599" si="123">U1544</f>
        <v>0</v>
      </c>
      <c r="AM1544" s="1064">
        <f t="shared" ref="AM1544:AM1599" si="124">X1544-AB1544</f>
        <v>0</v>
      </c>
      <c r="AN1544" s="1064"/>
      <c r="AO1544" s="1064">
        <f>TB_prev[[#This Row],[Closing balance]]+TB_prev[[#This Row],[Rounding]]</f>
        <v>0</v>
      </c>
    </row>
    <row r="1545" spans="30:41" x14ac:dyDescent="0.25">
      <c r="AD1545" s="1067" t="str">
        <f t="shared" si="120"/>
        <v/>
      </c>
      <c r="AE1545" s="1063" t="str">
        <f>IF(ISNA(VLOOKUP(TB_prev[[#This Row],[Synt]],GL[[#Headers],[#Data],[subtotal label]],1,FALSE)),0,(VLOOKUP(TB_prev[[#This Row],[Synt]],GL[[#Headers],[#Data],[subtotal label]],1,FALSE)))</f>
        <v/>
      </c>
      <c r="AF1545" s="1063" t="e">
        <f>IF((TB_prev[[#This Row],[Synt]]-TB_prev[[#This Row],[Subtotal Y/N]])=0,0,VLOOKUP(TB_prev[[#This Row],[Synt]],GL[[Account]:[Line]],3,FALSE))</f>
        <v>#VALUE!</v>
      </c>
      <c r="AG1545" s="1063" t="e">
        <f>VLOOKUP(TB_prev[[#This Row],[Synt]],GL[[Account]:[B/P]],4,FALSE)</f>
        <v>#N/A</v>
      </c>
      <c r="AH1545" s="1066" t="e">
        <v>#VALUE!</v>
      </c>
      <c r="AI1545" s="1065" t="e">
        <f>TB_prev[[#This Row],[Synt]]&amp;TB_prev[[#This Row],[Line No. manual corr.]]</f>
        <v>#VALUE!</v>
      </c>
      <c r="AJ1545" s="1064">
        <f t="shared" si="121"/>
        <v>0</v>
      </c>
      <c r="AK1545" s="1064">
        <f t="shared" si="122"/>
        <v>0</v>
      </c>
      <c r="AL1545" s="1064">
        <f t="shared" si="123"/>
        <v>0</v>
      </c>
      <c r="AM1545" s="1064">
        <f t="shared" si="124"/>
        <v>0</v>
      </c>
      <c r="AN1545" s="1064"/>
      <c r="AO1545" s="1064">
        <f>TB_prev[[#This Row],[Closing balance]]+TB_prev[[#This Row],[Rounding]]</f>
        <v>0</v>
      </c>
    </row>
    <row r="1546" spans="30:41" x14ac:dyDescent="0.25">
      <c r="AD1546" s="1067" t="str">
        <f t="shared" si="120"/>
        <v/>
      </c>
      <c r="AE1546" s="1063" t="str">
        <f>IF(ISNA(VLOOKUP(TB_prev[[#This Row],[Synt]],GL[[#Headers],[#Data],[subtotal label]],1,FALSE)),0,(VLOOKUP(TB_prev[[#This Row],[Synt]],GL[[#Headers],[#Data],[subtotal label]],1,FALSE)))</f>
        <v/>
      </c>
      <c r="AF1546" s="1063" t="e">
        <f>IF((TB_prev[[#This Row],[Synt]]-TB_prev[[#This Row],[Subtotal Y/N]])=0,0,VLOOKUP(TB_prev[[#This Row],[Synt]],GL[[Account]:[Line]],3,FALSE))</f>
        <v>#VALUE!</v>
      </c>
      <c r="AG1546" s="1063" t="e">
        <f>VLOOKUP(TB_prev[[#This Row],[Synt]],GL[[Account]:[B/P]],4,FALSE)</f>
        <v>#N/A</v>
      </c>
      <c r="AH1546" s="1066" t="e">
        <v>#VALUE!</v>
      </c>
      <c r="AI1546" s="1065" t="e">
        <f>TB_prev[[#This Row],[Synt]]&amp;TB_prev[[#This Row],[Line No. manual corr.]]</f>
        <v>#VALUE!</v>
      </c>
      <c r="AJ1546" s="1064">
        <f t="shared" si="121"/>
        <v>0</v>
      </c>
      <c r="AK1546" s="1064">
        <f t="shared" si="122"/>
        <v>0</v>
      </c>
      <c r="AL1546" s="1064">
        <f t="shared" si="123"/>
        <v>0</v>
      </c>
      <c r="AM1546" s="1064">
        <f t="shared" si="124"/>
        <v>0</v>
      </c>
      <c r="AN1546" s="1064"/>
      <c r="AO1546" s="1064">
        <f>TB_prev[[#This Row],[Closing balance]]+TB_prev[[#This Row],[Rounding]]</f>
        <v>0</v>
      </c>
    </row>
    <row r="1547" spans="30:41" x14ac:dyDescent="0.25">
      <c r="AD1547" s="1067" t="str">
        <f t="shared" si="120"/>
        <v/>
      </c>
      <c r="AE1547" s="1063" t="str">
        <f>IF(ISNA(VLOOKUP(TB_prev[[#This Row],[Synt]],GL[[#Headers],[#Data],[subtotal label]],1,FALSE)),0,(VLOOKUP(TB_prev[[#This Row],[Synt]],GL[[#Headers],[#Data],[subtotal label]],1,FALSE)))</f>
        <v/>
      </c>
      <c r="AF1547" s="1063" t="e">
        <f>IF((TB_prev[[#This Row],[Synt]]-TB_prev[[#This Row],[Subtotal Y/N]])=0,0,VLOOKUP(TB_prev[[#This Row],[Synt]],GL[[Account]:[Line]],3,FALSE))</f>
        <v>#VALUE!</v>
      </c>
      <c r="AG1547" s="1063" t="e">
        <f>VLOOKUP(TB_prev[[#This Row],[Synt]],GL[[Account]:[B/P]],4,FALSE)</f>
        <v>#N/A</v>
      </c>
      <c r="AH1547" s="1066" t="e">
        <v>#VALUE!</v>
      </c>
      <c r="AI1547" s="1065" t="e">
        <f>TB_prev[[#This Row],[Synt]]&amp;TB_prev[[#This Row],[Line No. manual corr.]]</f>
        <v>#VALUE!</v>
      </c>
      <c r="AJ1547" s="1064">
        <f t="shared" si="121"/>
        <v>0</v>
      </c>
      <c r="AK1547" s="1064">
        <f t="shared" si="122"/>
        <v>0</v>
      </c>
      <c r="AL1547" s="1064">
        <f t="shared" si="123"/>
        <v>0</v>
      </c>
      <c r="AM1547" s="1064">
        <f t="shared" si="124"/>
        <v>0</v>
      </c>
      <c r="AN1547" s="1064"/>
      <c r="AO1547" s="1064">
        <f>TB_prev[[#This Row],[Closing balance]]+TB_prev[[#This Row],[Rounding]]</f>
        <v>0</v>
      </c>
    </row>
    <row r="1548" spans="30:41" x14ac:dyDescent="0.25">
      <c r="AD1548" s="1067" t="str">
        <f t="shared" si="120"/>
        <v/>
      </c>
      <c r="AE1548" s="1063" t="str">
        <f>IF(ISNA(VLOOKUP(TB_prev[[#This Row],[Synt]],GL[[#Headers],[#Data],[subtotal label]],1,FALSE)),0,(VLOOKUP(TB_prev[[#This Row],[Synt]],GL[[#Headers],[#Data],[subtotal label]],1,FALSE)))</f>
        <v/>
      </c>
      <c r="AF1548" s="1063" t="e">
        <f>IF((TB_prev[[#This Row],[Synt]]-TB_prev[[#This Row],[Subtotal Y/N]])=0,0,VLOOKUP(TB_prev[[#This Row],[Synt]],GL[[Account]:[Line]],3,FALSE))</f>
        <v>#VALUE!</v>
      </c>
      <c r="AG1548" s="1063" t="e">
        <f>VLOOKUP(TB_prev[[#This Row],[Synt]],GL[[Account]:[B/P]],4,FALSE)</f>
        <v>#N/A</v>
      </c>
      <c r="AH1548" s="1066" t="e">
        <v>#VALUE!</v>
      </c>
      <c r="AI1548" s="1065" t="e">
        <f>TB_prev[[#This Row],[Synt]]&amp;TB_prev[[#This Row],[Line No. manual corr.]]</f>
        <v>#VALUE!</v>
      </c>
      <c r="AJ1548" s="1064">
        <f t="shared" si="121"/>
        <v>0</v>
      </c>
      <c r="AK1548" s="1064">
        <f t="shared" si="122"/>
        <v>0</v>
      </c>
      <c r="AL1548" s="1064">
        <f t="shared" si="123"/>
        <v>0</v>
      </c>
      <c r="AM1548" s="1064">
        <f t="shared" si="124"/>
        <v>0</v>
      </c>
      <c r="AN1548" s="1064"/>
      <c r="AO1548" s="1064">
        <f>TB_prev[[#This Row],[Closing balance]]+TB_prev[[#This Row],[Rounding]]</f>
        <v>0</v>
      </c>
    </row>
    <row r="1549" spans="30:41" x14ac:dyDescent="0.25">
      <c r="AD1549" s="1067" t="str">
        <f t="shared" si="120"/>
        <v/>
      </c>
      <c r="AE1549" s="1063" t="str">
        <f>IF(ISNA(VLOOKUP(TB_prev[[#This Row],[Synt]],GL[[#Headers],[#Data],[subtotal label]],1,FALSE)),0,(VLOOKUP(TB_prev[[#This Row],[Synt]],GL[[#Headers],[#Data],[subtotal label]],1,FALSE)))</f>
        <v/>
      </c>
      <c r="AF1549" s="1063" t="e">
        <f>IF((TB_prev[[#This Row],[Synt]]-TB_prev[[#This Row],[Subtotal Y/N]])=0,0,VLOOKUP(TB_prev[[#This Row],[Synt]],GL[[Account]:[Line]],3,FALSE))</f>
        <v>#VALUE!</v>
      </c>
      <c r="AG1549" s="1063" t="e">
        <f>VLOOKUP(TB_prev[[#This Row],[Synt]],GL[[Account]:[B/P]],4,FALSE)</f>
        <v>#N/A</v>
      </c>
      <c r="AH1549" s="1066" t="e">
        <v>#VALUE!</v>
      </c>
      <c r="AI1549" s="1065" t="e">
        <f>TB_prev[[#This Row],[Synt]]&amp;TB_prev[[#This Row],[Line No. manual corr.]]</f>
        <v>#VALUE!</v>
      </c>
      <c r="AJ1549" s="1064">
        <f t="shared" si="121"/>
        <v>0</v>
      </c>
      <c r="AK1549" s="1064">
        <f t="shared" si="122"/>
        <v>0</v>
      </c>
      <c r="AL1549" s="1064">
        <f t="shared" si="123"/>
        <v>0</v>
      </c>
      <c r="AM1549" s="1064">
        <f t="shared" si="124"/>
        <v>0</v>
      </c>
      <c r="AN1549" s="1064"/>
      <c r="AO1549" s="1064">
        <f>TB_prev[[#This Row],[Closing balance]]+TB_prev[[#This Row],[Rounding]]</f>
        <v>0</v>
      </c>
    </row>
    <row r="1550" spans="30:41" x14ac:dyDescent="0.25">
      <c r="AD1550" s="1067" t="str">
        <f t="shared" si="120"/>
        <v/>
      </c>
      <c r="AE1550" s="1063" t="str">
        <f>IF(ISNA(VLOOKUP(TB_prev[[#This Row],[Synt]],GL[[#Headers],[#Data],[subtotal label]],1,FALSE)),0,(VLOOKUP(TB_prev[[#This Row],[Synt]],GL[[#Headers],[#Data],[subtotal label]],1,FALSE)))</f>
        <v/>
      </c>
      <c r="AF1550" s="1063" t="e">
        <f>IF((TB_prev[[#This Row],[Synt]]-TB_prev[[#This Row],[Subtotal Y/N]])=0,0,VLOOKUP(TB_prev[[#This Row],[Synt]],GL[[Account]:[Line]],3,FALSE))</f>
        <v>#VALUE!</v>
      </c>
      <c r="AG1550" s="1063" t="e">
        <f>VLOOKUP(TB_prev[[#This Row],[Synt]],GL[[Account]:[B/P]],4,FALSE)</f>
        <v>#N/A</v>
      </c>
      <c r="AH1550" s="1066" t="e">
        <v>#VALUE!</v>
      </c>
      <c r="AI1550" s="1065" t="e">
        <f>TB_prev[[#This Row],[Synt]]&amp;TB_prev[[#This Row],[Line No. manual corr.]]</f>
        <v>#VALUE!</v>
      </c>
      <c r="AJ1550" s="1064">
        <f t="shared" si="121"/>
        <v>0</v>
      </c>
      <c r="AK1550" s="1064">
        <f t="shared" si="122"/>
        <v>0</v>
      </c>
      <c r="AL1550" s="1064">
        <f t="shared" si="123"/>
        <v>0</v>
      </c>
      <c r="AM1550" s="1064">
        <f t="shared" si="124"/>
        <v>0</v>
      </c>
      <c r="AN1550" s="1064"/>
      <c r="AO1550" s="1064">
        <f>TB_prev[[#This Row],[Closing balance]]+TB_prev[[#This Row],[Rounding]]</f>
        <v>0</v>
      </c>
    </row>
    <row r="1551" spans="30:41" x14ac:dyDescent="0.25">
      <c r="AD1551" s="1067" t="str">
        <f t="shared" si="120"/>
        <v/>
      </c>
      <c r="AE1551" s="1063" t="str">
        <f>IF(ISNA(VLOOKUP(TB_prev[[#This Row],[Synt]],GL[[#Headers],[#Data],[subtotal label]],1,FALSE)),0,(VLOOKUP(TB_prev[[#This Row],[Synt]],GL[[#Headers],[#Data],[subtotal label]],1,FALSE)))</f>
        <v/>
      </c>
      <c r="AF1551" s="1063" t="e">
        <f>IF((TB_prev[[#This Row],[Synt]]-TB_prev[[#This Row],[Subtotal Y/N]])=0,0,VLOOKUP(TB_prev[[#This Row],[Synt]],GL[[Account]:[Line]],3,FALSE))</f>
        <v>#VALUE!</v>
      </c>
      <c r="AG1551" s="1063" t="e">
        <f>VLOOKUP(TB_prev[[#This Row],[Synt]],GL[[Account]:[B/P]],4,FALSE)</f>
        <v>#N/A</v>
      </c>
      <c r="AH1551" s="1066" t="e">
        <v>#VALUE!</v>
      </c>
      <c r="AI1551" s="1065" t="e">
        <f>TB_prev[[#This Row],[Synt]]&amp;TB_prev[[#This Row],[Line No. manual corr.]]</f>
        <v>#VALUE!</v>
      </c>
      <c r="AJ1551" s="1064">
        <f t="shared" si="121"/>
        <v>0</v>
      </c>
      <c r="AK1551" s="1064">
        <f t="shared" si="122"/>
        <v>0</v>
      </c>
      <c r="AL1551" s="1064">
        <f t="shared" si="123"/>
        <v>0</v>
      </c>
      <c r="AM1551" s="1064">
        <f t="shared" si="124"/>
        <v>0</v>
      </c>
      <c r="AN1551" s="1064"/>
      <c r="AO1551" s="1064">
        <f>TB_prev[[#This Row],[Closing balance]]+TB_prev[[#This Row],[Rounding]]</f>
        <v>0</v>
      </c>
    </row>
    <row r="1552" spans="30:41" x14ac:dyDescent="0.25">
      <c r="AD1552" s="1067" t="str">
        <f t="shared" si="120"/>
        <v/>
      </c>
      <c r="AE1552" s="1063" t="str">
        <f>IF(ISNA(VLOOKUP(TB_prev[[#This Row],[Synt]],GL[[#Headers],[#Data],[subtotal label]],1,FALSE)),0,(VLOOKUP(TB_prev[[#This Row],[Synt]],GL[[#Headers],[#Data],[subtotal label]],1,FALSE)))</f>
        <v/>
      </c>
      <c r="AF1552" s="1063" t="e">
        <f>IF((TB_prev[[#This Row],[Synt]]-TB_prev[[#This Row],[Subtotal Y/N]])=0,0,VLOOKUP(TB_prev[[#This Row],[Synt]],GL[[Account]:[Line]],3,FALSE))</f>
        <v>#VALUE!</v>
      </c>
      <c r="AG1552" s="1063" t="e">
        <f>VLOOKUP(TB_prev[[#This Row],[Synt]],GL[[Account]:[B/P]],4,FALSE)</f>
        <v>#N/A</v>
      </c>
      <c r="AH1552" s="1066" t="e">
        <v>#VALUE!</v>
      </c>
      <c r="AI1552" s="1065" t="e">
        <f>TB_prev[[#This Row],[Synt]]&amp;TB_prev[[#This Row],[Line No. manual corr.]]</f>
        <v>#VALUE!</v>
      </c>
      <c r="AJ1552" s="1064">
        <f t="shared" si="121"/>
        <v>0</v>
      </c>
      <c r="AK1552" s="1064">
        <f t="shared" si="122"/>
        <v>0</v>
      </c>
      <c r="AL1552" s="1064">
        <f t="shared" si="123"/>
        <v>0</v>
      </c>
      <c r="AM1552" s="1064">
        <f t="shared" si="124"/>
        <v>0</v>
      </c>
      <c r="AN1552" s="1064"/>
      <c r="AO1552" s="1064">
        <f>TB_prev[[#This Row],[Closing balance]]+TB_prev[[#This Row],[Rounding]]</f>
        <v>0</v>
      </c>
    </row>
    <row r="1553" spans="30:41" x14ac:dyDescent="0.25">
      <c r="AD1553" s="1067" t="str">
        <f t="shared" si="120"/>
        <v/>
      </c>
      <c r="AE1553" s="1063" t="str">
        <f>IF(ISNA(VLOOKUP(TB_prev[[#This Row],[Synt]],GL[[#Headers],[#Data],[subtotal label]],1,FALSE)),0,(VLOOKUP(TB_prev[[#This Row],[Synt]],GL[[#Headers],[#Data],[subtotal label]],1,FALSE)))</f>
        <v/>
      </c>
      <c r="AF1553" s="1063" t="e">
        <f>IF((TB_prev[[#This Row],[Synt]]-TB_prev[[#This Row],[Subtotal Y/N]])=0,0,VLOOKUP(TB_prev[[#This Row],[Synt]],GL[[Account]:[Line]],3,FALSE))</f>
        <v>#VALUE!</v>
      </c>
      <c r="AG1553" s="1063" t="e">
        <f>VLOOKUP(TB_prev[[#This Row],[Synt]],GL[[Account]:[B/P]],4,FALSE)</f>
        <v>#N/A</v>
      </c>
      <c r="AH1553" s="1066" t="e">
        <v>#VALUE!</v>
      </c>
      <c r="AI1553" s="1065" t="e">
        <f>TB_prev[[#This Row],[Synt]]&amp;TB_prev[[#This Row],[Line No. manual corr.]]</f>
        <v>#VALUE!</v>
      </c>
      <c r="AJ1553" s="1064">
        <f t="shared" si="121"/>
        <v>0</v>
      </c>
      <c r="AK1553" s="1064">
        <f t="shared" si="122"/>
        <v>0</v>
      </c>
      <c r="AL1553" s="1064">
        <f t="shared" si="123"/>
        <v>0</v>
      </c>
      <c r="AM1553" s="1064">
        <f t="shared" si="124"/>
        <v>0</v>
      </c>
      <c r="AN1553" s="1064"/>
      <c r="AO1553" s="1064">
        <f>TB_prev[[#This Row],[Closing balance]]+TB_prev[[#This Row],[Rounding]]</f>
        <v>0</v>
      </c>
    </row>
    <row r="1554" spans="30:41" x14ac:dyDescent="0.25">
      <c r="AD1554" s="1067" t="str">
        <f t="shared" si="120"/>
        <v/>
      </c>
      <c r="AE1554" s="1063" t="str">
        <f>IF(ISNA(VLOOKUP(TB_prev[[#This Row],[Synt]],GL[[#Headers],[#Data],[subtotal label]],1,FALSE)),0,(VLOOKUP(TB_prev[[#This Row],[Synt]],GL[[#Headers],[#Data],[subtotal label]],1,FALSE)))</f>
        <v/>
      </c>
      <c r="AF1554" s="1063" t="e">
        <f>IF((TB_prev[[#This Row],[Synt]]-TB_prev[[#This Row],[Subtotal Y/N]])=0,0,VLOOKUP(TB_prev[[#This Row],[Synt]],GL[[Account]:[Line]],3,FALSE))</f>
        <v>#VALUE!</v>
      </c>
      <c r="AG1554" s="1063" t="e">
        <f>VLOOKUP(TB_prev[[#This Row],[Synt]],GL[[Account]:[B/P]],4,FALSE)</f>
        <v>#N/A</v>
      </c>
      <c r="AH1554" s="1066" t="e">
        <v>#VALUE!</v>
      </c>
      <c r="AI1554" s="1065" t="e">
        <f>TB_prev[[#This Row],[Synt]]&amp;TB_prev[[#This Row],[Line No. manual corr.]]</f>
        <v>#VALUE!</v>
      </c>
      <c r="AJ1554" s="1064">
        <f t="shared" si="121"/>
        <v>0</v>
      </c>
      <c r="AK1554" s="1064">
        <f t="shared" si="122"/>
        <v>0</v>
      </c>
      <c r="AL1554" s="1064">
        <f t="shared" si="123"/>
        <v>0</v>
      </c>
      <c r="AM1554" s="1064">
        <f t="shared" si="124"/>
        <v>0</v>
      </c>
      <c r="AN1554" s="1064"/>
      <c r="AO1554" s="1064">
        <f>TB_prev[[#This Row],[Closing balance]]+TB_prev[[#This Row],[Rounding]]</f>
        <v>0</v>
      </c>
    </row>
    <row r="1555" spans="30:41" x14ac:dyDescent="0.25">
      <c r="AD1555" s="1067" t="str">
        <f t="shared" si="120"/>
        <v/>
      </c>
      <c r="AE1555" s="1063" t="str">
        <f>IF(ISNA(VLOOKUP(TB_prev[[#This Row],[Synt]],GL[[#Headers],[#Data],[subtotal label]],1,FALSE)),0,(VLOOKUP(TB_prev[[#This Row],[Synt]],GL[[#Headers],[#Data],[subtotal label]],1,FALSE)))</f>
        <v/>
      </c>
      <c r="AF1555" s="1063" t="e">
        <f>IF((TB_prev[[#This Row],[Synt]]-TB_prev[[#This Row],[Subtotal Y/N]])=0,0,VLOOKUP(TB_prev[[#This Row],[Synt]],GL[[Account]:[Line]],3,FALSE))</f>
        <v>#VALUE!</v>
      </c>
      <c r="AG1555" s="1063" t="e">
        <f>VLOOKUP(TB_prev[[#This Row],[Synt]],GL[[Account]:[B/P]],4,FALSE)</f>
        <v>#N/A</v>
      </c>
      <c r="AH1555" s="1066" t="e">
        <v>#VALUE!</v>
      </c>
      <c r="AI1555" s="1065" t="e">
        <f>TB_prev[[#This Row],[Synt]]&amp;TB_prev[[#This Row],[Line No. manual corr.]]</f>
        <v>#VALUE!</v>
      </c>
      <c r="AJ1555" s="1064">
        <f t="shared" si="121"/>
        <v>0</v>
      </c>
      <c r="AK1555" s="1064">
        <f t="shared" si="122"/>
        <v>0</v>
      </c>
      <c r="AL1555" s="1064">
        <f t="shared" si="123"/>
        <v>0</v>
      </c>
      <c r="AM1555" s="1064">
        <f t="shared" si="124"/>
        <v>0</v>
      </c>
      <c r="AN1555" s="1064"/>
      <c r="AO1555" s="1064">
        <f>TB_prev[[#This Row],[Closing balance]]+TB_prev[[#This Row],[Rounding]]</f>
        <v>0</v>
      </c>
    </row>
    <row r="1556" spans="30:41" x14ac:dyDescent="0.25">
      <c r="AD1556" s="1067" t="str">
        <f t="shared" si="120"/>
        <v/>
      </c>
      <c r="AE1556" s="1063" t="str">
        <f>IF(ISNA(VLOOKUP(TB_prev[[#This Row],[Synt]],GL[[#Headers],[#Data],[subtotal label]],1,FALSE)),0,(VLOOKUP(TB_prev[[#This Row],[Synt]],GL[[#Headers],[#Data],[subtotal label]],1,FALSE)))</f>
        <v/>
      </c>
      <c r="AF1556" s="1063" t="e">
        <f>IF((TB_prev[[#This Row],[Synt]]-TB_prev[[#This Row],[Subtotal Y/N]])=0,0,VLOOKUP(TB_prev[[#This Row],[Synt]],GL[[Account]:[Line]],3,FALSE))</f>
        <v>#VALUE!</v>
      </c>
      <c r="AG1556" s="1063" t="e">
        <f>VLOOKUP(TB_prev[[#This Row],[Synt]],GL[[Account]:[B/P]],4,FALSE)</f>
        <v>#N/A</v>
      </c>
      <c r="AH1556" s="1066" t="e">
        <v>#VALUE!</v>
      </c>
      <c r="AI1556" s="1065" t="e">
        <f>TB_prev[[#This Row],[Synt]]&amp;TB_prev[[#This Row],[Line No. manual corr.]]</f>
        <v>#VALUE!</v>
      </c>
      <c r="AJ1556" s="1064">
        <f t="shared" si="121"/>
        <v>0</v>
      </c>
      <c r="AK1556" s="1064">
        <f t="shared" si="122"/>
        <v>0</v>
      </c>
      <c r="AL1556" s="1064">
        <f t="shared" si="123"/>
        <v>0</v>
      </c>
      <c r="AM1556" s="1064">
        <f t="shared" si="124"/>
        <v>0</v>
      </c>
      <c r="AN1556" s="1064"/>
      <c r="AO1556" s="1064">
        <f>TB_prev[[#This Row],[Closing balance]]+TB_prev[[#This Row],[Rounding]]</f>
        <v>0</v>
      </c>
    </row>
    <row r="1557" spans="30:41" x14ac:dyDescent="0.25">
      <c r="AD1557" s="1067" t="str">
        <f t="shared" si="120"/>
        <v/>
      </c>
      <c r="AE1557" s="1063" t="str">
        <f>IF(ISNA(VLOOKUP(TB_prev[[#This Row],[Synt]],GL[[#Headers],[#Data],[subtotal label]],1,FALSE)),0,(VLOOKUP(TB_prev[[#This Row],[Synt]],GL[[#Headers],[#Data],[subtotal label]],1,FALSE)))</f>
        <v/>
      </c>
      <c r="AF1557" s="1063" t="e">
        <f>IF((TB_prev[[#This Row],[Synt]]-TB_prev[[#This Row],[Subtotal Y/N]])=0,0,VLOOKUP(TB_prev[[#This Row],[Synt]],GL[[Account]:[Line]],3,FALSE))</f>
        <v>#VALUE!</v>
      </c>
      <c r="AG1557" s="1063" t="e">
        <f>VLOOKUP(TB_prev[[#This Row],[Synt]],GL[[Account]:[B/P]],4,FALSE)</f>
        <v>#N/A</v>
      </c>
      <c r="AH1557" s="1066" t="e">
        <v>#VALUE!</v>
      </c>
      <c r="AI1557" s="1065" t="e">
        <f>TB_prev[[#This Row],[Synt]]&amp;TB_prev[[#This Row],[Line No. manual corr.]]</f>
        <v>#VALUE!</v>
      </c>
      <c r="AJ1557" s="1064">
        <f t="shared" si="121"/>
        <v>0</v>
      </c>
      <c r="AK1557" s="1064">
        <f t="shared" si="122"/>
        <v>0</v>
      </c>
      <c r="AL1557" s="1064">
        <f t="shared" si="123"/>
        <v>0</v>
      </c>
      <c r="AM1557" s="1064">
        <f t="shared" si="124"/>
        <v>0</v>
      </c>
      <c r="AN1557" s="1064"/>
      <c r="AO1557" s="1064">
        <f>TB_prev[[#This Row],[Closing balance]]+TB_prev[[#This Row],[Rounding]]</f>
        <v>0</v>
      </c>
    </row>
    <row r="1558" spans="30:41" x14ac:dyDescent="0.25">
      <c r="AD1558" s="1067" t="str">
        <f t="shared" si="120"/>
        <v/>
      </c>
      <c r="AE1558" s="1063" t="str">
        <f>IF(ISNA(VLOOKUP(TB_prev[[#This Row],[Synt]],GL[[#Headers],[#Data],[subtotal label]],1,FALSE)),0,(VLOOKUP(TB_prev[[#This Row],[Synt]],GL[[#Headers],[#Data],[subtotal label]],1,FALSE)))</f>
        <v/>
      </c>
      <c r="AF1558" s="1063" t="e">
        <f>IF((TB_prev[[#This Row],[Synt]]-TB_prev[[#This Row],[Subtotal Y/N]])=0,0,VLOOKUP(TB_prev[[#This Row],[Synt]],GL[[Account]:[Line]],3,FALSE))</f>
        <v>#VALUE!</v>
      </c>
      <c r="AG1558" s="1063" t="e">
        <f>VLOOKUP(TB_prev[[#This Row],[Synt]],GL[[Account]:[B/P]],4,FALSE)</f>
        <v>#N/A</v>
      </c>
      <c r="AH1558" s="1066" t="e">
        <v>#VALUE!</v>
      </c>
      <c r="AI1558" s="1065" t="e">
        <f>TB_prev[[#This Row],[Synt]]&amp;TB_prev[[#This Row],[Line No. manual corr.]]</f>
        <v>#VALUE!</v>
      </c>
      <c r="AJ1558" s="1064">
        <f t="shared" si="121"/>
        <v>0</v>
      </c>
      <c r="AK1558" s="1064">
        <f t="shared" si="122"/>
        <v>0</v>
      </c>
      <c r="AL1558" s="1064">
        <f t="shared" si="123"/>
        <v>0</v>
      </c>
      <c r="AM1558" s="1064">
        <f t="shared" si="124"/>
        <v>0</v>
      </c>
      <c r="AN1558" s="1064"/>
      <c r="AO1558" s="1064">
        <f>TB_prev[[#This Row],[Closing balance]]+TB_prev[[#This Row],[Rounding]]</f>
        <v>0</v>
      </c>
    </row>
    <row r="1559" spans="30:41" x14ac:dyDescent="0.25">
      <c r="AD1559" s="1067" t="str">
        <f t="shared" si="120"/>
        <v/>
      </c>
      <c r="AE1559" s="1063" t="str">
        <f>IF(ISNA(VLOOKUP(TB_prev[[#This Row],[Synt]],GL[[#Headers],[#Data],[subtotal label]],1,FALSE)),0,(VLOOKUP(TB_prev[[#This Row],[Synt]],GL[[#Headers],[#Data],[subtotal label]],1,FALSE)))</f>
        <v/>
      </c>
      <c r="AF1559" s="1063" t="e">
        <f>IF((TB_prev[[#This Row],[Synt]]-TB_prev[[#This Row],[Subtotal Y/N]])=0,0,VLOOKUP(TB_prev[[#This Row],[Synt]],GL[[Account]:[Line]],3,FALSE))</f>
        <v>#VALUE!</v>
      </c>
      <c r="AG1559" s="1063" t="e">
        <f>VLOOKUP(TB_prev[[#This Row],[Synt]],GL[[Account]:[B/P]],4,FALSE)</f>
        <v>#N/A</v>
      </c>
      <c r="AH1559" s="1066" t="e">
        <v>#VALUE!</v>
      </c>
      <c r="AI1559" s="1065" t="e">
        <f>TB_prev[[#This Row],[Synt]]&amp;TB_prev[[#This Row],[Line No. manual corr.]]</f>
        <v>#VALUE!</v>
      </c>
      <c r="AJ1559" s="1064">
        <f t="shared" si="121"/>
        <v>0</v>
      </c>
      <c r="AK1559" s="1064">
        <f t="shared" si="122"/>
        <v>0</v>
      </c>
      <c r="AL1559" s="1064">
        <f t="shared" si="123"/>
        <v>0</v>
      </c>
      <c r="AM1559" s="1064">
        <f t="shared" si="124"/>
        <v>0</v>
      </c>
      <c r="AN1559" s="1064"/>
      <c r="AO1559" s="1064">
        <f>TB_prev[[#This Row],[Closing balance]]+TB_prev[[#This Row],[Rounding]]</f>
        <v>0</v>
      </c>
    </row>
    <row r="1560" spans="30:41" x14ac:dyDescent="0.25">
      <c r="AD1560" s="1067" t="str">
        <f t="shared" si="120"/>
        <v/>
      </c>
      <c r="AE1560" s="1063" t="str">
        <f>IF(ISNA(VLOOKUP(TB_prev[[#This Row],[Synt]],GL[[#Headers],[#Data],[subtotal label]],1,FALSE)),0,(VLOOKUP(TB_prev[[#This Row],[Synt]],GL[[#Headers],[#Data],[subtotal label]],1,FALSE)))</f>
        <v/>
      </c>
      <c r="AF1560" s="1063" t="e">
        <f>IF((TB_prev[[#This Row],[Synt]]-TB_prev[[#This Row],[Subtotal Y/N]])=0,0,VLOOKUP(TB_prev[[#This Row],[Synt]],GL[[Account]:[Line]],3,FALSE))</f>
        <v>#VALUE!</v>
      </c>
      <c r="AG1560" s="1063" t="e">
        <f>VLOOKUP(TB_prev[[#This Row],[Synt]],GL[[Account]:[B/P]],4,FALSE)</f>
        <v>#N/A</v>
      </c>
      <c r="AH1560" s="1066" t="e">
        <v>#VALUE!</v>
      </c>
      <c r="AI1560" s="1065" t="e">
        <f>TB_prev[[#This Row],[Synt]]&amp;TB_prev[[#This Row],[Line No. manual corr.]]</f>
        <v>#VALUE!</v>
      </c>
      <c r="AJ1560" s="1064">
        <f t="shared" si="121"/>
        <v>0</v>
      </c>
      <c r="AK1560" s="1064">
        <f t="shared" si="122"/>
        <v>0</v>
      </c>
      <c r="AL1560" s="1064">
        <f t="shared" si="123"/>
        <v>0</v>
      </c>
      <c r="AM1560" s="1064">
        <f t="shared" si="124"/>
        <v>0</v>
      </c>
      <c r="AN1560" s="1064"/>
      <c r="AO1560" s="1064">
        <f>TB_prev[[#This Row],[Closing balance]]+TB_prev[[#This Row],[Rounding]]</f>
        <v>0</v>
      </c>
    </row>
    <row r="1561" spans="30:41" x14ac:dyDescent="0.25">
      <c r="AD1561" s="1067" t="str">
        <f t="shared" si="120"/>
        <v/>
      </c>
      <c r="AE1561" s="1063" t="str">
        <f>IF(ISNA(VLOOKUP(TB_prev[[#This Row],[Synt]],GL[[#Headers],[#Data],[subtotal label]],1,FALSE)),0,(VLOOKUP(TB_prev[[#This Row],[Synt]],GL[[#Headers],[#Data],[subtotal label]],1,FALSE)))</f>
        <v/>
      </c>
      <c r="AF1561" s="1063" t="e">
        <f>IF((TB_prev[[#This Row],[Synt]]-TB_prev[[#This Row],[Subtotal Y/N]])=0,0,VLOOKUP(TB_prev[[#This Row],[Synt]],GL[[Account]:[Line]],3,FALSE))</f>
        <v>#VALUE!</v>
      </c>
      <c r="AG1561" s="1063" t="e">
        <f>VLOOKUP(TB_prev[[#This Row],[Synt]],GL[[Account]:[B/P]],4,FALSE)</f>
        <v>#N/A</v>
      </c>
      <c r="AH1561" s="1066" t="e">
        <v>#VALUE!</v>
      </c>
      <c r="AI1561" s="1065" t="e">
        <f>TB_prev[[#This Row],[Synt]]&amp;TB_prev[[#This Row],[Line No. manual corr.]]</f>
        <v>#VALUE!</v>
      </c>
      <c r="AJ1561" s="1064">
        <f t="shared" si="121"/>
        <v>0</v>
      </c>
      <c r="AK1561" s="1064">
        <f t="shared" si="122"/>
        <v>0</v>
      </c>
      <c r="AL1561" s="1064">
        <f t="shared" si="123"/>
        <v>0</v>
      </c>
      <c r="AM1561" s="1064">
        <f t="shared" si="124"/>
        <v>0</v>
      </c>
      <c r="AN1561" s="1064"/>
      <c r="AO1561" s="1064">
        <f>TB_prev[[#This Row],[Closing balance]]+TB_prev[[#This Row],[Rounding]]</f>
        <v>0</v>
      </c>
    </row>
    <row r="1562" spans="30:41" x14ac:dyDescent="0.25">
      <c r="AD1562" s="1067" t="str">
        <f t="shared" si="120"/>
        <v/>
      </c>
      <c r="AE1562" s="1063" t="str">
        <f>IF(ISNA(VLOOKUP(TB_prev[[#This Row],[Synt]],GL[[#Headers],[#Data],[subtotal label]],1,FALSE)),0,(VLOOKUP(TB_prev[[#This Row],[Synt]],GL[[#Headers],[#Data],[subtotal label]],1,FALSE)))</f>
        <v/>
      </c>
      <c r="AF1562" s="1063" t="e">
        <f>IF((TB_prev[[#This Row],[Synt]]-TB_prev[[#This Row],[Subtotal Y/N]])=0,0,VLOOKUP(TB_prev[[#This Row],[Synt]],GL[[Account]:[Line]],3,FALSE))</f>
        <v>#VALUE!</v>
      </c>
      <c r="AG1562" s="1063" t="e">
        <f>VLOOKUP(TB_prev[[#This Row],[Synt]],GL[[Account]:[B/P]],4,FALSE)</f>
        <v>#N/A</v>
      </c>
      <c r="AH1562" s="1066" t="e">
        <v>#VALUE!</v>
      </c>
      <c r="AI1562" s="1065" t="e">
        <f>TB_prev[[#This Row],[Synt]]&amp;TB_prev[[#This Row],[Line No. manual corr.]]</f>
        <v>#VALUE!</v>
      </c>
      <c r="AJ1562" s="1064">
        <f t="shared" si="121"/>
        <v>0</v>
      </c>
      <c r="AK1562" s="1064">
        <f t="shared" si="122"/>
        <v>0</v>
      </c>
      <c r="AL1562" s="1064">
        <f t="shared" si="123"/>
        <v>0</v>
      </c>
      <c r="AM1562" s="1064">
        <f t="shared" si="124"/>
        <v>0</v>
      </c>
      <c r="AN1562" s="1064"/>
      <c r="AO1562" s="1064">
        <f>TB_prev[[#This Row],[Closing balance]]+TB_prev[[#This Row],[Rounding]]</f>
        <v>0</v>
      </c>
    </row>
    <row r="1563" spans="30:41" x14ac:dyDescent="0.25">
      <c r="AD1563" s="1067" t="str">
        <f t="shared" si="120"/>
        <v/>
      </c>
      <c r="AE1563" s="1063" t="str">
        <f>IF(ISNA(VLOOKUP(TB_prev[[#This Row],[Synt]],GL[[#Headers],[#Data],[subtotal label]],1,FALSE)),0,(VLOOKUP(TB_prev[[#This Row],[Synt]],GL[[#Headers],[#Data],[subtotal label]],1,FALSE)))</f>
        <v/>
      </c>
      <c r="AF1563" s="1063" t="e">
        <f>IF((TB_prev[[#This Row],[Synt]]-TB_prev[[#This Row],[Subtotal Y/N]])=0,0,VLOOKUP(TB_prev[[#This Row],[Synt]],GL[[Account]:[Line]],3,FALSE))</f>
        <v>#VALUE!</v>
      </c>
      <c r="AG1563" s="1063" t="e">
        <f>VLOOKUP(TB_prev[[#This Row],[Synt]],GL[[Account]:[B/P]],4,FALSE)</f>
        <v>#N/A</v>
      </c>
      <c r="AH1563" s="1066" t="e">
        <v>#VALUE!</v>
      </c>
      <c r="AI1563" s="1065" t="e">
        <f>TB_prev[[#This Row],[Synt]]&amp;TB_prev[[#This Row],[Line No. manual corr.]]</f>
        <v>#VALUE!</v>
      </c>
      <c r="AJ1563" s="1064">
        <f t="shared" si="121"/>
        <v>0</v>
      </c>
      <c r="AK1563" s="1064">
        <f t="shared" si="122"/>
        <v>0</v>
      </c>
      <c r="AL1563" s="1064">
        <f t="shared" si="123"/>
        <v>0</v>
      </c>
      <c r="AM1563" s="1064">
        <f t="shared" si="124"/>
        <v>0</v>
      </c>
      <c r="AN1563" s="1064"/>
      <c r="AO1563" s="1064">
        <f>TB_prev[[#This Row],[Closing balance]]+TB_prev[[#This Row],[Rounding]]</f>
        <v>0</v>
      </c>
    </row>
    <row r="1564" spans="30:41" x14ac:dyDescent="0.25">
      <c r="AD1564" s="1067" t="str">
        <f t="shared" si="120"/>
        <v/>
      </c>
      <c r="AE1564" s="1063" t="str">
        <f>IF(ISNA(VLOOKUP(TB_prev[[#This Row],[Synt]],GL[[#Headers],[#Data],[subtotal label]],1,FALSE)),0,(VLOOKUP(TB_prev[[#This Row],[Synt]],GL[[#Headers],[#Data],[subtotal label]],1,FALSE)))</f>
        <v/>
      </c>
      <c r="AF1564" s="1063" t="e">
        <f>IF((TB_prev[[#This Row],[Synt]]-TB_prev[[#This Row],[Subtotal Y/N]])=0,0,VLOOKUP(TB_prev[[#This Row],[Synt]],GL[[Account]:[Line]],3,FALSE))</f>
        <v>#VALUE!</v>
      </c>
      <c r="AG1564" s="1063" t="e">
        <f>VLOOKUP(TB_prev[[#This Row],[Synt]],GL[[Account]:[B/P]],4,FALSE)</f>
        <v>#N/A</v>
      </c>
      <c r="AH1564" s="1066" t="e">
        <v>#VALUE!</v>
      </c>
      <c r="AI1564" s="1065" t="e">
        <f>TB_prev[[#This Row],[Synt]]&amp;TB_prev[[#This Row],[Line No. manual corr.]]</f>
        <v>#VALUE!</v>
      </c>
      <c r="AJ1564" s="1064">
        <f t="shared" si="121"/>
        <v>0</v>
      </c>
      <c r="AK1564" s="1064">
        <f t="shared" si="122"/>
        <v>0</v>
      </c>
      <c r="AL1564" s="1064">
        <f t="shared" si="123"/>
        <v>0</v>
      </c>
      <c r="AM1564" s="1064">
        <f t="shared" si="124"/>
        <v>0</v>
      </c>
      <c r="AN1564" s="1064"/>
      <c r="AO1564" s="1064">
        <f>TB_prev[[#This Row],[Closing balance]]+TB_prev[[#This Row],[Rounding]]</f>
        <v>0</v>
      </c>
    </row>
    <row r="1565" spans="30:41" x14ac:dyDescent="0.25">
      <c r="AD1565" s="1067" t="str">
        <f t="shared" si="120"/>
        <v/>
      </c>
      <c r="AE1565" s="1063" t="str">
        <f>IF(ISNA(VLOOKUP(TB_prev[[#This Row],[Synt]],GL[[#Headers],[#Data],[subtotal label]],1,FALSE)),0,(VLOOKUP(TB_prev[[#This Row],[Synt]],GL[[#Headers],[#Data],[subtotal label]],1,FALSE)))</f>
        <v/>
      </c>
      <c r="AF1565" s="1063" t="e">
        <f>IF((TB_prev[[#This Row],[Synt]]-TB_prev[[#This Row],[Subtotal Y/N]])=0,0,VLOOKUP(TB_prev[[#This Row],[Synt]],GL[[Account]:[Line]],3,FALSE))</f>
        <v>#VALUE!</v>
      </c>
      <c r="AG1565" s="1063" t="e">
        <f>VLOOKUP(TB_prev[[#This Row],[Synt]],GL[[Account]:[B/P]],4,FALSE)</f>
        <v>#N/A</v>
      </c>
      <c r="AH1565" s="1066" t="e">
        <v>#VALUE!</v>
      </c>
      <c r="AI1565" s="1065" t="e">
        <f>TB_prev[[#This Row],[Synt]]&amp;TB_prev[[#This Row],[Line No. manual corr.]]</f>
        <v>#VALUE!</v>
      </c>
      <c r="AJ1565" s="1064">
        <f t="shared" si="121"/>
        <v>0</v>
      </c>
      <c r="AK1565" s="1064">
        <f t="shared" si="122"/>
        <v>0</v>
      </c>
      <c r="AL1565" s="1064">
        <f t="shared" si="123"/>
        <v>0</v>
      </c>
      <c r="AM1565" s="1064">
        <f t="shared" si="124"/>
        <v>0</v>
      </c>
      <c r="AN1565" s="1064"/>
      <c r="AO1565" s="1064">
        <f>TB_prev[[#This Row],[Closing balance]]+TB_prev[[#This Row],[Rounding]]</f>
        <v>0</v>
      </c>
    </row>
    <row r="1566" spans="30:41" x14ac:dyDescent="0.25">
      <c r="AD1566" s="1067" t="str">
        <f t="shared" si="120"/>
        <v/>
      </c>
      <c r="AE1566" s="1063" t="str">
        <f>IF(ISNA(VLOOKUP(TB_prev[[#This Row],[Synt]],GL[[#Headers],[#Data],[subtotal label]],1,FALSE)),0,(VLOOKUP(TB_prev[[#This Row],[Synt]],GL[[#Headers],[#Data],[subtotal label]],1,FALSE)))</f>
        <v/>
      </c>
      <c r="AF1566" s="1063" t="e">
        <f>IF((TB_prev[[#This Row],[Synt]]-TB_prev[[#This Row],[Subtotal Y/N]])=0,0,VLOOKUP(TB_prev[[#This Row],[Synt]],GL[[Account]:[Line]],3,FALSE))</f>
        <v>#VALUE!</v>
      </c>
      <c r="AG1566" s="1063" t="e">
        <f>VLOOKUP(TB_prev[[#This Row],[Synt]],GL[[Account]:[B/P]],4,FALSE)</f>
        <v>#N/A</v>
      </c>
      <c r="AH1566" s="1066" t="e">
        <v>#VALUE!</v>
      </c>
      <c r="AI1566" s="1065" t="e">
        <f>TB_prev[[#This Row],[Synt]]&amp;TB_prev[[#This Row],[Line No. manual corr.]]</f>
        <v>#VALUE!</v>
      </c>
      <c r="AJ1566" s="1064">
        <f t="shared" si="121"/>
        <v>0</v>
      </c>
      <c r="AK1566" s="1064">
        <f t="shared" si="122"/>
        <v>0</v>
      </c>
      <c r="AL1566" s="1064">
        <f t="shared" si="123"/>
        <v>0</v>
      </c>
      <c r="AM1566" s="1064">
        <f t="shared" si="124"/>
        <v>0</v>
      </c>
      <c r="AN1566" s="1064"/>
      <c r="AO1566" s="1064">
        <f>TB_prev[[#This Row],[Closing balance]]+TB_prev[[#This Row],[Rounding]]</f>
        <v>0</v>
      </c>
    </row>
    <row r="1567" spans="30:41" x14ac:dyDescent="0.25">
      <c r="AD1567" s="1067" t="str">
        <f t="shared" si="120"/>
        <v/>
      </c>
      <c r="AE1567" s="1063" t="str">
        <f>IF(ISNA(VLOOKUP(TB_prev[[#This Row],[Synt]],GL[[#Headers],[#Data],[subtotal label]],1,FALSE)),0,(VLOOKUP(TB_prev[[#This Row],[Synt]],GL[[#Headers],[#Data],[subtotal label]],1,FALSE)))</f>
        <v/>
      </c>
      <c r="AF1567" s="1063" t="e">
        <f>IF((TB_prev[[#This Row],[Synt]]-TB_prev[[#This Row],[Subtotal Y/N]])=0,0,VLOOKUP(TB_prev[[#This Row],[Synt]],GL[[Account]:[Line]],3,FALSE))</f>
        <v>#VALUE!</v>
      </c>
      <c r="AG1567" s="1063" t="e">
        <f>VLOOKUP(TB_prev[[#This Row],[Synt]],GL[[Account]:[B/P]],4,FALSE)</f>
        <v>#N/A</v>
      </c>
      <c r="AH1567" s="1066" t="e">
        <v>#VALUE!</v>
      </c>
      <c r="AI1567" s="1065" t="e">
        <f>TB_prev[[#This Row],[Synt]]&amp;TB_prev[[#This Row],[Line No. manual corr.]]</f>
        <v>#VALUE!</v>
      </c>
      <c r="AJ1567" s="1064">
        <f t="shared" si="121"/>
        <v>0</v>
      </c>
      <c r="AK1567" s="1064">
        <f t="shared" si="122"/>
        <v>0</v>
      </c>
      <c r="AL1567" s="1064">
        <f t="shared" si="123"/>
        <v>0</v>
      </c>
      <c r="AM1567" s="1064">
        <f t="shared" si="124"/>
        <v>0</v>
      </c>
      <c r="AN1567" s="1064"/>
      <c r="AO1567" s="1064">
        <f>TB_prev[[#This Row],[Closing balance]]+TB_prev[[#This Row],[Rounding]]</f>
        <v>0</v>
      </c>
    </row>
    <row r="1568" spans="30:41" x14ac:dyDescent="0.25">
      <c r="AD1568" s="1067" t="str">
        <f t="shared" si="120"/>
        <v/>
      </c>
      <c r="AE1568" s="1063" t="str">
        <f>IF(ISNA(VLOOKUP(TB_prev[[#This Row],[Synt]],GL[[#Headers],[#Data],[subtotal label]],1,FALSE)),0,(VLOOKUP(TB_prev[[#This Row],[Synt]],GL[[#Headers],[#Data],[subtotal label]],1,FALSE)))</f>
        <v/>
      </c>
      <c r="AF1568" s="1063" t="e">
        <f>IF((TB_prev[[#This Row],[Synt]]-TB_prev[[#This Row],[Subtotal Y/N]])=0,0,VLOOKUP(TB_prev[[#This Row],[Synt]],GL[[Account]:[Line]],3,FALSE))</f>
        <v>#VALUE!</v>
      </c>
      <c r="AG1568" s="1063" t="e">
        <f>VLOOKUP(TB_prev[[#This Row],[Synt]],GL[[Account]:[B/P]],4,FALSE)</f>
        <v>#N/A</v>
      </c>
      <c r="AH1568" s="1066" t="e">
        <v>#VALUE!</v>
      </c>
      <c r="AI1568" s="1065" t="e">
        <f>TB_prev[[#This Row],[Synt]]&amp;TB_prev[[#This Row],[Line No. manual corr.]]</f>
        <v>#VALUE!</v>
      </c>
      <c r="AJ1568" s="1064">
        <f t="shared" si="121"/>
        <v>0</v>
      </c>
      <c r="AK1568" s="1064">
        <f t="shared" si="122"/>
        <v>0</v>
      </c>
      <c r="AL1568" s="1064">
        <f t="shared" si="123"/>
        <v>0</v>
      </c>
      <c r="AM1568" s="1064">
        <f t="shared" si="124"/>
        <v>0</v>
      </c>
      <c r="AN1568" s="1064"/>
      <c r="AO1568" s="1064">
        <f>TB_prev[[#This Row],[Closing balance]]+TB_prev[[#This Row],[Rounding]]</f>
        <v>0</v>
      </c>
    </row>
    <row r="1569" spans="30:41" x14ac:dyDescent="0.25">
      <c r="AD1569" s="1067" t="str">
        <f t="shared" si="120"/>
        <v/>
      </c>
      <c r="AE1569" s="1063" t="str">
        <f>IF(ISNA(VLOOKUP(TB_prev[[#This Row],[Synt]],GL[[#Headers],[#Data],[subtotal label]],1,FALSE)),0,(VLOOKUP(TB_prev[[#This Row],[Synt]],GL[[#Headers],[#Data],[subtotal label]],1,FALSE)))</f>
        <v/>
      </c>
      <c r="AF1569" s="1063" t="e">
        <f>IF((TB_prev[[#This Row],[Synt]]-TB_prev[[#This Row],[Subtotal Y/N]])=0,0,VLOOKUP(TB_prev[[#This Row],[Synt]],GL[[Account]:[Line]],3,FALSE))</f>
        <v>#VALUE!</v>
      </c>
      <c r="AG1569" s="1063" t="e">
        <f>VLOOKUP(TB_prev[[#This Row],[Synt]],GL[[Account]:[B/P]],4,FALSE)</f>
        <v>#N/A</v>
      </c>
      <c r="AH1569" s="1066" t="e">
        <v>#VALUE!</v>
      </c>
      <c r="AI1569" s="1065" t="e">
        <f>TB_prev[[#This Row],[Synt]]&amp;TB_prev[[#This Row],[Line No. manual corr.]]</f>
        <v>#VALUE!</v>
      </c>
      <c r="AJ1569" s="1064">
        <f t="shared" si="121"/>
        <v>0</v>
      </c>
      <c r="AK1569" s="1064">
        <f t="shared" si="122"/>
        <v>0</v>
      </c>
      <c r="AL1569" s="1064">
        <f t="shared" si="123"/>
        <v>0</v>
      </c>
      <c r="AM1569" s="1064">
        <f t="shared" si="124"/>
        <v>0</v>
      </c>
      <c r="AN1569" s="1064"/>
      <c r="AO1569" s="1064">
        <f>TB_prev[[#This Row],[Closing balance]]+TB_prev[[#This Row],[Rounding]]</f>
        <v>0</v>
      </c>
    </row>
    <row r="1570" spans="30:41" x14ac:dyDescent="0.25">
      <c r="AD1570" s="1067" t="str">
        <f t="shared" si="120"/>
        <v/>
      </c>
      <c r="AE1570" s="1063" t="str">
        <f>IF(ISNA(VLOOKUP(TB_prev[[#This Row],[Synt]],GL[[#Headers],[#Data],[subtotal label]],1,FALSE)),0,(VLOOKUP(TB_prev[[#This Row],[Synt]],GL[[#Headers],[#Data],[subtotal label]],1,FALSE)))</f>
        <v/>
      </c>
      <c r="AF1570" s="1063" t="e">
        <f>IF((TB_prev[[#This Row],[Synt]]-TB_prev[[#This Row],[Subtotal Y/N]])=0,0,VLOOKUP(TB_prev[[#This Row],[Synt]],GL[[Account]:[Line]],3,FALSE))</f>
        <v>#VALUE!</v>
      </c>
      <c r="AG1570" s="1063" t="e">
        <f>VLOOKUP(TB_prev[[#This Row],[Synt]],GL[[Account]:[B/P]],4,FALSE)</f>
        <v>#N/A</v>
      </c>
      <c r="AH1570" s="1066" t="e">
        <v>#VALUE!</v>
      </c>
      <c r="AI1570" s="1065" t="e">
        <f>TB_prev[[#This Row],[Synt]]&amp;TB_prev[[#This Row],[Line No. manual corr.]]</f>
        <v>#VALUE!</v>
      </c>
      <c r="AJ1570" s="1064">
        <f t="shared" si="121"/>
        <v>0</v>
      </c>
      <c r="AK1570" s="1064">
        <f t="shared" si="122"/>
        <v>0</v>
      </c>
      <c r="AL1570" s="1064">
        <f t="shared" si="123"/>
        <v>0</v>
      </c>
      <c r="AM1570" s="1064">
        <f t="shared" si="124"/>
        <v>0</v>
      </c>
      <c r="AN1570" s="1064"/>
      <c r="AO1570" s="1064">
        <f>TB_prev[[#This Row],[Closing balance]]+TB_prev[[#This Row],[Rounding]]</f>
        <v>0</v>
      </c>
    </row>
    <row r="1571" spans="30:41" x14ac:dyDescent="0.25">
      <c r="AD1571" s="1067" t="str">
        <f t="shared" si="120"/>
        <v/>
      </c>
      <c r="AE1571" s="1063" t="str">
        <f>IF(ISNA(VLOOKUP(TB_prev[[#This Row],[Synt]],GL[[#Headers],[#Data],[subtotal label]],1,FALSE)),0,(VLOOKUP(TB_prev[[#This Row],[Synt]],GL[[#Headers],[#Data],[subtotal label]],1,FALSE)))</f>
        <v/>
      </c>
      <c r="AF1571" s="1063" t="e">
        <f>IF((TB_prev[[#This Row],[Synt]]-TB_prev[[#This Row],[Subtotal Y/N]])=0,0,VLOOKUP(TB_prev[[#This Row],[Synt]],GL[[Account]:[Line]],3,FALSE))</f>
        <v>#VALUE!</v>
      </c>
      <c r="AG1571" s="1063" t="e">
        <f>VLOOKUP(TB_prev[[#This Row],[Synt]],GL[[Account]:[B/P]],4,FALSE)</f>
        <v>#N/A</v>
      </c>
      <c r="AH1571" s="1066" t="e">
        <v>#VALUE!</v>
      </c>
      <c r="AI1571" s="1065" t="e">
        <f>TB_prev[[#This Row],[Synt]]&amp;TB_prev[[#This Row],[Line No. manual corr.]]</f>
        <v>#VALUE!</v>
      </c>
      <c r="AJ1571" s="1064">
        <f t="shared" si="121"/>
        <v>0</v>
      </c>
      <c r="AK1571" s="1064">
        <f t="shared" si="122"/>
        <v>0</v>
      </c>
      <c r="AL1571" s="1064">
        <f t="shared" si="123"/>
        <v>0</v>
      </c>
      <c r="AM1571" s="1064">
        <f t="shared" si="124"/>
        <v>0</v>
      </c>
      <c r="AN1571" s="1064"/>
      <c r="AO1571" s="1064">
        <f>TB_prev[[#This Row],[Closing balance]]+TB_prev[[#This Row],[Rounding]]</f>
        <v>0</v>
      </c>
    </row>
    <row r="1572" spans="30:41" x14ac:dyDescent="0.25">
      <c r="AD1572" s="1067" t="str">
        <f t="shared" si="120"/>
        <v/>
      </c>
      <c r="AE1572" s="1063" t="str">
        <f>IF(ISNA(VLOOKUP(TB_prev[[#This Row],[Synt]],GL[[#Headers],[#Data],[subtotal label]],1,FALSE)),0,(VLOOKUP(TB_prev[[#This Row],[Synt]],GL[[#Headers],[#Data],[subtotal label]],1,FALSE)))</f>
        <v/>
      </c>
      <c r="AF1572" s="1063" t="e">
        <f>IF((TB_prev[[#This Row],[Synt]]-TB_prev[[#This Row],[Subtotal Y/N]])=0,0,VLOOKUP(TB_prev[[#This Row],[Synt]],GL[[Account]:[Line]],3,FALSE))</f>
        <v>#VALUE!</v>
      </c>
      <c r="AG1572" s="1063" t="e">
        <f>VLOOKUP(TB_prev[[#This Row],[Synt]],GL[[Account]:[B/P]],4,FALSE)</f>
        <v>#N/A</v>
      </c>
      <c r="AH1572" s="1066" t="e">
        <v>#VALUE!</v>
      </c>
      <c r="AI1572" s="1065" t="e">
        <f>TB_prev[[#This Row],[Synt]]&amp;TB_prev[[#This Row],[Line No. manual corr.]]</f>
        <v>#VALUE!</v>
      </c>
      <c r="AJ1572" s="1064">
        <f t="shared" si="121"/>
        <v>0</v>
      </c>
      <c r="AK1572" s="1064">
        <f t="shared" si="122"/>
        <v>0</v>
      </c>
      <c r="AL1572" s="1064">
        <f t="shared" si="123"/>
        <v>0</v>
      </c>
      <c r="AM1572" s="1064">
        <f t="shared" si="124"/>
        <v>0</v>
      </c>
      <c r="AN1572" s="1064"/>
      <c r="AO1572" s="1064">
        <f>TB_prev[[#This Row],[Closing balance]]+TB_prev[[#This Row],[Rounding]]</f>
        <v>0</v>
      </c>
    </row>
    <row r="1573" spans="30:41" x14ac:dyDescent="0.25">
      <c r="AD1573" s="1067" t="str">
        <f t="shared" si="120"/>
        <v/>
      </c>
      <c r="AE1573" s="1063" t="str">
        <f>IF(ISNA(VLOOKUP(TB_prev[[#This Row],[Synt]],GL[[#Headers],[#Data],[subtotal label]],1,FALSE)),0,(VLOOKUP(TB_prev[[#This Row],[Synt]],GL[[#Headers],[#Data],[subtotal label]],1,FALSE)))</f>
        <v/>
      </c>
      <c r="AF1573" s="1063" t="e">
        <f>IF((TB_prev[[#This Row],[Synt]]-TB_prev[[#This Row],[Subtotal Y/N]])=0,0,VLOOKUP(TB_prev[[#This Row],[Synt]],GL[[Account]:[Line]],3,FALSE))</f>
        <v>#VALUE!</v>
      </c>
      <c r="AG1573" s="1063" t="e">
        <f>VLOOKUP(TB_prev[[#This Row],[Synt]],GL[[Account]:[B/P]],4,FALSE)</f>
        <v>#N/A</v>
      </c>
      <c r="AH1573" s="1066" t="e">
        <v>#VALUE!</v>
      </c>
      <c r="AI1573" s="1065" t="e">
        <f>TB_prev[[#This Row],[Synt]]&amp;TB_prev[[#This Row],[Line No. manual corr.]]</f>
        <v>#VALUE!</v>
      </c>
      <c r="AJ1573" s="1064">
        <f t="shared" si="121"/>
        <v>0</v>
      </c>
      <c r="AK1573" s="1064">
        <f t="shared" si="122"/>
        <v>0</v>
      </c>
      <c r="AL1573" s="1064">
        <f t="shared" si="123"/>
        <v>0</v>
      </c>
      <c r="AM1573" s="1064">
        <f t="shared" si="124"/>
        <v>0</v>
      </c>
      <c r="AN1573" s="1064"/>
      <c r="AO1573" s="1064">
        <f>TB_prev[[#This Row],[Closing balance]]+TB_prev[[#This Row],[Rounding]]</f>
        <v>0</v>
      </c>
    </row>
    <row r="1574" spans="30:41" x14ac:dyDescent="0.25">
      <c r="AD1574" s="1067" t="str">
        <f t="shared" si="120"/>
        <v/>
      </c>
      <c r="AE1574" s="1063" t="str">
        <f>IF(ISNA(VLOOKUP(TB_prev[[#This Row],[Synt]],GL[[#Headers],[#Data],[subtotal label]],1,FALSE)),0,(VLOOKUP(TB_prev[[#This Row],[Synt]],GL[[#Headers],[#Data],[subtotal label]],1,FALSE)))</f>
        <v/>
      </c>
      <c r="AF1574" s="1063" t="e">
        <f>IF((TB_prev[[#This Row],[Synt]]-TB_prev[[#This Row],[Subtotal Y/N]])=0,0,VLOOKUP(TB_prev[[#This Row],[Synt]],GL[[Account]:[Line]],3,FALSE))</f>
        <v>#VALUE!</v>
      </c>
      <c r="AG1574" s="1063" t="e">
        <f>VLOOKUP(TB_prev[[#This Row],[Synt]],GL[[Account]:[B/P]],4,FALSE)</f>
        <v>#N/A</v>
      </c>
      <c r="AH1574" s="1066" t="e">
        <v>#VALUE!</v>
      </c>
      <c r="AI1574" s="1065" t="e">
        <f>TB_prev[[#This Row],[Synt]]&amp;TB_prev[[#This Row],[Line No. manual corr.]]</f>
        <v>#VALUE!</v>
      </c>
      <c r="AJ1574" s="1064">
        <f t="shared" si="121"/>
        <v>0</v>
      </c>
      <c r="AK1574" s="1064">
        <f t="shared" si="122"/>
        <v>0</v>
      </c>
      <c r="AL1574" s="1064">
        <f t="shared" si="123"/>
        <v>0</v>
      </c>
      <c r="AM1574" s="1064">
        <f t="shared" si="124"/>
        <v>0</v>
      </c>
      <c r="AN1574" s="1064"/>
      <c r="AO1574" s="1064">
        <f>TB_prev[[#This Row],[Closing balance]]+TB_prev[[#This Row],[Rounding]]</f>
        <v>0</v>
      </c>
    </row>
    <row r="1575" spans="30:41" x14ac:dyDescent="0.25">
      <c r="AD1575" s="1067" t="str">
        <f t="shared" si="120"/>
        <v/>
      </c>
      <c r="AE1575" s="1063" t="str">
        <f>IF(ISNA(VLOOKUP(TB_prev[[#This Row],[Synt]],GL[[#Headers],[#Data],[subtotal label]],1,FALSE)),0,(VLOOKUP(TB_prev[[#This Row],[Synt]],GL[[#Headers],[#Data],[subtotal label]],1,FALSE)))</f>
        <v/>
      </c>
      <c r="AF1575" s="1063" t="e">
        <f>IF((TB_prev[[#This Row],[Synt]]-TB_prev[[#This Row],[Subtotal Y/N]])=0,0,VLOOKUP(TB_prev[[#This Row],[Synt]],GL[[Account]:[Line]],3,FALSE))</f>
        <v>#VALUE!</v>
      </c>
      <c r="AG1575" s="1063" t="e">
        <f>VLOOKUP(TB_prev[[#This Row],[Synt]],GL[[Account]:[B/P]],4,FALSE)</f>
        <v>#N/A</v>
      </c>
      <c r="AH1575" s="1066" t="e">
        <v>#VALUE!</v>
      </c>
      <c r="AI1575" s="1065" t="e">
        <f>TB_prev[[#This Row],[Synt]]&amp;TB_prev[[#This Row],[Line No. manual corr.]]</f>
        <v>#VALUE!</v>
      </c>
      <c r="AJ1575" s="1064">
        <f t="shared" si="121"/>
        <v>0</v>
      </c>
      <c r="AK1575" s="1064">
        <f t="shared" si="122"/>
        <v>0</v>
      </c>
      <c r="AL1575" s="1064">
        <f t="shared" si="123"/>
        <v>0</v>
      </c>
      <c r="AM1575" s="1064">
        <f t="shared" si="124"/>
        <v>0</v>
      </c>
      <c r="AN1575" s="1064"/>
      <c r="AO1575" s="1064">
        <f>TB_prev[[#This Row],[Closing balance]]+TB_prev[[#This Row],[Rounding]]</f>
        <v>0</v>
      </c>
    </row>
    <row r="1576" spans="30:41" x14ac:dyDescent="0.25">
      <c r="AD1576" s="1067" t="str">
        <f t="shared" si="120"/>
        <v/>
      </c>
      <c r="AE1576" s="1063" t="str">
        <f>IF(ISNA(VLOOKUP(TB_prev[[#This Row],[Synt]],GL[[#Headers],[#Data],[subtotal label]],1,FALSE)),0,(VLOOKUP(TB_prev[[#This Row],[Synt]],GL[[#Headers],[#Data],[subtotal label]],1,FALSE)))</f>
        <v/>
      </c>
      <c r="AF1576" s="1063" t="e">
        <f>IF((TB_prev[[#This Row],[Synt]]-TB_prev[[#This Row],[Subtotal Y/N]])=0,0,VLOOKUP(TB_prev[[#This Row],[Synt]],GL[[Account]:[Line]],3,FALSE))</f>
        <v>#VALUE!</v>
      </c>
      <c r="AG1576" s="1063" t="e">
        <f>VLOOKUP(TB_prev[[#This Row],[Synt]],GL[[Account]:[B/P]],4,FALSE)</f>
        <v>#N/A</v>
      </c>
      <c r="AH1576" s="1066" t="e">
        <v>#VALUE!</v>
      </c>
      <c r="AI1576" s="1065" t="e">
        <f>TB_prev[[#This Row],[Synt]]&amp;TB_prev[[#This Row],[Line No. manual corr.]]</f>
        <v>#VALUE!</v>
      </c>
      <c r="AJ1576" s="1064">
        <f t="shared" si="121"/>
        <v>0</v>
      </c>
      <c r="AK1576" s="1064">
        <f t="shared" si="122"/>
        <v>0</v>
      </c>
      <c r="AL1576" s="1064">
        <f t="shared" si="123"/>
        <v>0</v>
      </c>
      <c r="AM1576" s="1064">
        <f t="shared" si="124"/>
        <v>0</v>
      </c>
      <c r="AN1576" s="1064"/>
      <c r="AO1576" s="1064">
        <f>TB_prev[[#This Row],[Closing balance]]+TB_prev[[#This Row],[Rounding]]</f>
        <v>0</v>
      </c>
    </row>
    <row r="1577" spans="30:41" x14ac:dyDescent="0.25">
      <c r="AD1577" s="1067" t="str">
        <f t="shared" si="120"/>
        <v/>
      </c>
      <c r="AE1577" s="1063" t="str">
        <f>IF(ISNA(VLOOKUP(TB_prev[[#This Row],[Synt]],GL[[#Headers],[#Data],[subtotal label]],1,FALSE)),0,(VLOOKUP(TB_prev[[#This Row],[Synt]],GL[[#Headers],[#Data],[subtotal label]],1,FALSE)))</f>
        <v/>
      </c>
      <c r="AF1577" s="1063" t="e">
        <f>IF((TB_prev[[#This Row],[Synt]]-TB_prev[[#This Row],[Subtotal Y/N]])=0,0,VLOOKUP(TB_prev[[#This Row],[Synt]],GL[[Account]:[Line]],3,FALSE))</f>
        <v>#VALUE!</v>
      </c>
      <c r="AG1577" s="1063" t="e">
        <f>VLOOKUP(TB_prev[[#This Row],[Synt]],GL[[Account]:[B/P]],4,FALSE)</f>
        <v>#N/A</v>
      </c>
      <c r="AH1577" s="1066" t="e">
        <v>#VALUE!</v>
      </c>
      <c r="AI1577" s="1065" t="e">
        <f>TB_prev[[#This Row],[Synt]]&amp;TB_prev[[#This Row],[Line No. manual corr.]]</f>
        <v>#VALUE!</v>
      </c>
      <c r="AJ1577" s="1064">
        <f t="shared" si="121"/>
        <v>0</v>
      </c>
      <c r="AK1577" s="1064">
        <f t="shared" si="122"/>
        <v>0</v>
      </c>
      <c r="AL1577" s="1064">
        <f t="shared" si="123"/>
        <v>0</v>
      </c>
      <c r="AM1577" s="1064">
        <f t="shared" si="124"/>
        <v>0</v>
      </c>
      <c r="AN1577" s="1064"/>
      <c r="AO1577" s="1064">
        <f>TB_prev[[#This Row],[Closing balance]]+TB_prev[[#This Row],[Rounding]]</f>
        <v>0</v>
      </c>
    </row>
    <row r="1578" spans="30:41" x14ac:dyDescent="0.25">
      <c r="AD1578" s="1067" t="str">
        <f t="shared" si="120"/>
        <v/>
      </c>
      <c r="AE1578" s="1063" t="str">
        <f>IF(ISNA(VLOOKUP(TB_prev[[#This Row],[Synt]],GL[[#Headers],[#Data],[subtotal label]],1,FALSE)),0,(VLOOKUP(TB_prev[[#This Row],[Synt]],GL[[#Headers],[#Data],[subtotal label]],1,FALSE)))</f>
        <v/>
      </c>
      <c r="AF1578" s="1063" t="e">
        <f>IF((TB_prev[[#This Row],[Synt]]-TB_prev[[#This Row],[Subtotal Y/N]])=0,0,VLOOKUP(TB_prev[[#This Row],[Synt]],GL[[Account]:[Line]],3,FALSE))</f>
        <v>#VALUE!</v>
      </c>
      <c r="AG1578" s="1063" t="e">
        <f>VLOOKUP(TB_prev[[#This Row],[Synt]],GL[[Account]:[B/P]],4,FALSE)</f>
        <v>#N/A</v>
      </c>
      <c r="AH1578" s="1066" t="e">
        <v>#VALUE!</v>
      </c>
      <c r="AI1578" s="1065" t="e">
        <f>TB_prev[[#This Row],[Synt]]&amp;TB_prev[[#This Row],[Line No. manual corr.]]</f>
        <v>#VALUE!</v>
      </c>
      <c r="AJ1578" s="1064">
        <f t="shared" si="121"/>
        <v>0</v>
      </c>
      <c r="AK1578" s="1064">
        <f t="shared" si="122"/>
        <v>0</v>
      </c>
      <c r="AL1578" s="1064">
        <f t="shared" si="123"/>
        <v>0</v>
      </c>
      <c r="AM1578" s="1064">
        <f t="shared" si="124"/>
        <v>0</v>
      </c>
      <c r="AN1578" s="1064"/>
      <c r="AO1578" s="1064">
        <f>TB_prev[[#This Row],[Closing balance]]+TB_prev[[#This Row],[Rounding]]</f>
        <v>0</v>
      </c>
    </row>
    <row r="1579" spans="30:41" x14ac:dyDescent="0.25">
      <c r="AD1579" s="1067" t="str">
        <f t="shared" si="120"/>
        <v/>
      </c>
      <c r="AE1579" s="1063" t="str">
        <f>IF(ISNA(VLOOKUP(TB_prev[[#This Row],[Synt]],GL[[#Headers],[#Data],[subtotal label]],1,FALSE)),0,(VLOOKUP(TB_prev[[#This Row],[Synt]],GL[[#Headers],[#Data],[subtotal label]],1,FALSE)))</f>
        <v/>
      </c>
      <c r="AF1579" s="1063" t="e">
        <f>IF((TB_prev[[#This Row],[Synt]]-TB_prev[[#This Row],[Subtotal Y/N]])=0,0,VLOOKUP(TB_prev[[#This Row],[Synt]],GL[[Account]:[Line]],3,FALSE))</f>
        <v>#VALUE!</v>
      </c>
      <c r="AG1579" s="1063" t="e">
        <f>VLOOKUP(TB_prev[[#This Row],[Synt]],GL[[Account]:[B/P]],4,FALSE)</f>
        <v>#N/A</v>
      </c>
      <c r="AH1579" s="1066" t="e">
        <v>#VALUE!</v>
      </c>
      <c r="AI1579" s="1065" t="e">
        <f>TB_prev[[#This Row],[Synt]]&amp;TB_prev[[#This Row],[Line No. manual corr.]]</f>
        <v>#VALUE!</v>
      </c>
      <c r="AJ1579" s="1064">
        <f t="shared" si="121"/>
        <v>0</v>
      </c>
      <c r="AK1579" s="1064">
        <f t="shared" si="122"/>
        <v>0</v>
      </c>
      <c r="AL1579" s="1064">
        <f t="shared" si="123"/>
        <v>0</v>
      </c>
      <c r="AM1579" s="1064">
        <f t="shared" si="124"/>
        <v>0</v>
      </c>
      <c r="AN1579" s="1064"/>
      <c r="AO1579" s="1064">
        <f>TB_prev[[#This Row],[Closing balance]]+TB_prev[[#This Row],[Rounding]]</f>
        <v>0</v>
      </c>
    </row>
    <row r="1580" spans="30:41" x14ac:dyDescent="0.25">
      <c r="AD1580" s="1067" t="str">
        <f t="shared" si="120"/>
        <v/>
      </c>
      <c r="AE1580" s="1063" t="str">
        <f>IF(ISNA(VLOOKUP(TB_prev[[#This Row],[Synt]],GL[[#Headers],[#Data],[subtotal label]],1,FALSE)),0,(VLOOKUP(TB_prev[[#This Row],[Synt]],GL[[#Headers],[#Data],[subtotal label]],1,FALSE)))</f>
        <v/>
      </c>
      <c r="AF1580" s="1063" t="e">
        <f>IF((TB_prev[[#This Row],[Synt]]-TB_prev[[#This Row],[Subtotal Y/N]])=0,0,VLOOKUP(TB_prev[[#This Row],[Synt]],GL[[Account]:[Line]],3,FALSE))</f>
        <v>#VALUE!</v>
      </c>
      <c r="AG1580" s="1063" t="e">
        <f>VLOOKUP(TB_prev[[#This Row],[Synt]],GL[[Account]:[B/P]],4,FALSE)</f>
        <v>#N/A</v>
      </c>
      <c r="AH1580" s="1066" t="e">
        <v>#VALUE!</v>
      </c>
      <c r="AI1580" s="1065" t="e">
        <f>TB_prev[[#This Row],[Synt]]&amp;TB_prev[[#This Row],[Line No. manual corr.]]</f>
        <v>#VALUE!</v>
      </c>
      <c r="AJ1580" s="1064">
        <f t="shared" si="121"/>
        <v>0</v>
      </c>
      <c r="AK1580" s="1064">
        <f t="shared" si="122"/>
        <v>0</v>
      </c>
      <c r="AL1580" s="1064">
        <f t="shared" si="123"/>
        <v>0</v>
      </c>
      <c r="AM1580" s="1064">
        <f t="shared" si="124"/>
        <v>0</v>
      </c>
      <c r="AN1580" s="1064"/>
      <c r="AO1580" s="1064">
        <f>TB_prev[[#This Row],[Closing balance]]+TB_prev[[#This Row],[Rounding]]</f>
        <v>0</v>
      </c>
    </row>
    <row r="1581" spans="30:41" x14ac:dyDescent="0.25">
      <c r="AD1581" s="1067" t="str">
        <f t="shared" si="120"/>
        <v/>
      </c>
      <c r="AE1581" s="1063" t="str">
        <f>IF(ISNA(VLOOKUP(TB_prev[[#This Row],[Synt]],GL[[#Headers],[#Data],[subtotal label]],1,FALSE)),0,(VLOOKUP(TB_prev[[#This Row],[Synt]],GL[[#Headers],[#Data],[subtotal label]],1,FALSE)))</f>
        <v/>
      </c>
      <c r="AF1581" s="1063" t="e">
        <f>IF((TB_prev[[#This Row],[Synt]]-TB_prev[[#This Row],[Subtotal Y/N]])=0,0,VLOOKUP(TB_prev[[#This Row],[Synt]],GL[[Account]:[Line]],3,FALSE))</f>
        <v>#VALUE!</v>
      </c>
      <c r="AG1581" s="1063" t="e">
        <f>VLOOKUP(TB_prev[[#This Row],[Synt]],GL[[Account]:[B/P]],4,FALSE)</f>
        <v>#N/A</v>
      </c>
      <c r="AH1581" s="1066" t="e">
        <v>#VALUE!</v>
      </c>
      <c r="AI1581" s="1065" t="e">
        <f>TB_prev[[#This Row],[Synt]]&amp;TB_prev[[#This Row],[Line No. manual corr.]]</f>
        <v>#VALUE!</v>
      </c>
      <c r="AJ1581" s="1064">
        <f t="shared" si="121"/>
        <v>0</v>
      </c>
      <c r="AK1581" s="1064">
        <f t="shared" si="122"/>
        <v>0</v>
      </c>
      <c r="AL1581" s="1064">
        <f t="shared" si="123"/>
        <v>0</v>
      </c>
      <c r="AM1581" s="1064">
        <f t="shared" si="124"/>
        <v>0</v>
      </c>
      <c r="AN1581" s="1064"/>
      <c r="AO1581" s="1064">
        <f>TB_prev[[#This Row],[Closing balance]]+TB_prev[[#This Row],[Rounding]]</f>
        <v>0</v>
      </c>
    </row>
    <row r="1582" spans="30:41" x14ac:dyDescent="0.25">
      <c r="AD1582" s="1067" t="str">
        <f t="shared" si="120"/>
        <v/>
      </c>
      <c r="AE1582" s="1063" t="str">
        <f>IF(ISNA(VLOOKUP(TB_prev[[#This Row],[Synt]],GL[[#Headers],[#Data],[subtotal label]],1,FALSE)),0,(VLOOKUP(TB_prev[[#This Row],[Synt]],GL[[#Headers],[#Data],[subtotal label]],1,FALSE)))</f>
        <v/>
      </c>
      <c r="AF1582" s="1063" t="e">
        <f>IF((TB_prev[[#This Row],[Synt]]-TB_prev[[#This Row],[Subtotal Y/N]])=0,0,VLOOKUP(TB_prev[[#This Row],[Synt]],GL[[Account]:[Line]],3,FALSE))</f>
        <v>#VALUE!</v>
      </c>
      <c r="AG1582" s="1063" t="e">
        <f>VLOOKUP(TB_prev[[#This Row],[Synt]],GL[[Account]:[B/P]],4,FALSE)</f>
        <v>#N/A</v>
      </c>
      <c r="AH1582" s="1066" t="e">
        <v>#VALUE!</v>
      </c>
      <c r="AI1582" s="1065" t="e">
        <f>TB_prev[[#This Row],[Synt]]&amp;TB_prev[[#This Row],[Line No. manual corr.]]</f>
        <v>#VALUE!</v>
      </c>
      <c r="AJ1582" s="1064">
        <f t="shared" si="121"/>
        <v>0</v>
      </c>
      <c r="AK1582" s="1064">
        <f t="shared" si="122"/>
        <v>0</v>
      </c>
      <c r="AL1582" s="1064">
        <f t="shared" si="123"/>
        <v>0</v>
      </c>
      <c r="AM1582" s="1064">
        <f t="shared" si="124"/>
        <v>0</v>
      </c>
      <c r="AN1582" s="1064"/>
      <c r="AO1582" s="1064">
        <f>TB_prev[[#This Row],[Closing balance]]+TB_prev[[#This Row],[Rounding]]</f>
        <v>0</v>
      </c>
    </row>
    <row r="1583" spans="30:41" x14ac:dyDescent="0.25">
      <c r="AD1583" s="1067" t="str">
        <f t="shared" si="120"/>
        <v/>
      </c>
      <c r="AE1583" s="1063" t="str">
        <f>IF(ISNA(VLOOKUP(TB_prev[[#This Row],[Synt]],GL[[#Headers],[#Data],[subtotal label]],1,FALSE)),0,(VLOOKUP(TB_prev[[#This Row],[Synt]],GL[[#Headers],[#Data],[subtotal label]],1,FALSE)))</f>
        <v/>
      </c>
      <c r="AF1583" s="1063" t="e">
        <f>IF((TB_prev[[#This Row],[Synt]]-TB_prev[[#This Row],[Subtotal Y/N]])=0,0,VLOOKUP(TB_prev[[#This Row],[Synt]],GL[[Account]:[Line]],3,FALSE))</f>
        <v>#VALUE!</v>
      </c>
      <c r="AG1583" s="1063" t="e">
        <f>VLOOKUP(TB_prev[[#This Row],[Synt]],GL[[Account]:[B/P]],4,FALSE)</f>
        <v>#N/A</v>
      </c>
      <c r="AH1583" s="1066" t="e">
        <v>#VALUE!</v>
      </c>
      <c r="AI1583" s="1065" t="e">
        <f>TB_prev[[#This Row],[Synt]]&amp;TB_prev[[#This Row],[Line No. manual corr.]]</f>
        <v>#VALUE!</v>
      </c>
      <c r="AJ1583" s="1064">
        <f t="shared" si="121"/>
        <v>0</v>
      </c>
      <c r="AK1583" s="1064">
        <f t="shared" si="122"/>
        <v>0</v>
      </c>
      <c r="AL1583" s="1064">
        <f t="shared" si="123"/>
        <v>0</v>
      </c>
      <c r="AM1583" s="1064">
        <f t="shared" si="124"/>
        <v>0</v>
      </c>
      <c r="AN1583" s="1064"/>
      <c r="AO1583" s="1064">
        <f>TB_prev[[#This Row],[Closing balance]]+TB_prev[[#This Row],[Rounding]]</f>
        <v>0</v>
      </c>
    </row>
    <row r="1584" spans="30:41" x14ac:dyDescent="0.25">
      <c r="AD1584" s="1067" t="str">
        <f t="shared" si="120"/>
        <v/>
      </c>
      <c r="AE1584" s="1063" t="str">
        <f>IF(ISNA(VLOOKUP(TB_prev[[#This Row],[Synt]],GL[[#Headers],[#Data],[subtotal label]],1,FALSE)),0,(VLOOKUP(TB_prev[[#This Row],[Synt]],GL[[#Headers],[#Data],[subtotal label]],1,FALSE)))</f>
        <v/>
      </c>
      <c r="AF1584" s="1063" t="e">
        <f>IF((TB_prev[[#This Row],[Synt]]-TB_prev[[#This Row],[Subtotal Y/N]])=0,0,VLOOKUP(TB_prev[[#This Row],[Synt]],GL[[Account]:[Line]],3,FALSE))</f>
        <v>#VALUE!</v>
      </c>
      <c r="AG1584" s="1063" t="e">
        <f>VLOOKUP(TB_prev[[#This Row],[Synt]],GL[[Account]:[B/P]],4,FALSE)</f>
        <v>#N/A</v>
      </c>
      <c r="AH1584" s="1066" t="e">
        <v>#VALUE!</v>
      </c>
      <c r="AI1584" s="1065" t="e">
        <f>TB_prev[[#This Row],[Synt]]&amp;TB_prev[[#This Row],[Line No. manual corr.]]</f>
        <v>#VALUE!</v>
      </c>
      <c r="AJ1584" s="1064">
        <f t="shared" si="121"/>
        <v>0</v>
      </c>
      <c r="AK1584" s="1064">
        <f t="shared" si="122"/>
        <v>0</v>
      </c>
      <c r="AL1584" s="1064">
        <f t="shared" si="123"/>
        <v>0</v>
      </c>
      <c r="AM1584" s="1064">
        <f t="shared" si="124"/>
        <v>0</v>
      </c>
      <c r="AN1584" s="1064"/>
      <c r="AO1584" s="1064">
        <f>TB_prev[[#This Row],[Closing balance]]+TB_prev[[#This Row],[Rounding]]</f>
        <v>0</v>
      </c>
    </row>
    <row r="1585" spans="30:41" x14ac:dyDescent="0.25">
      <c r="AD1585" s="1067" t="str">
        <f t="shared" si="120"/>
        <v/>
      </c>
      <c r="AE1585" s="1063" t="str">
        <f>IF(ISNA(VLOOKUP(TB_prev[[#This Row],[Synt]],GL[[#Headers],[#Data],[subtotal label]],1,FALSE)),0,(VLOOKUP(TB_prev[[#This Row],[Synt]],GL[[#Headers],[#Data],[subtotal label]],1,FALSE)))</f>
        <v/>
      </c>
      <c r="AF1585" s="1063" t="e">
        <f>IF((TB_prev[[#This Row],[Synt]]-TB_prev[[#This Row],[Subtotal Y/N]])=0,0,VLOOKUP(TB_prev[[#This Row],[Synt]],GL[[Account]:[Line]],3,FALSE))</f>
        <v>#VALUE!</v>
      </c>
      <c r="AG1585" s="1063" t="e">
        <f>VLOOKUP(TB_prev[[#This Row],[Synt]],GL[[Account]:[B/P]],4,FALSE)</f>
        <v>#N/A</v>
      </c>
      <c r="AH1585" s="1066" t="e">
        <v>#VALUE!</v>
      </c>
      <c r="AI1585" s="1065" t="e">
        <f>TB_prev[[#This Row],[Synt]]&amp;TB_prev[[#This Row],[Line No. manual corr.]]</f>
        <v>#VALUE!</v>
      </c>
      <c r="AJ1585" s="1064">
        <f t="shared" si="121"/>
        <v>0</v>
      </c>
      <c r="AK1585" s="1064">
        <f t="shared" si="122"/>
        <v>0</v>
      </c>
      <c r="AL1585" s="1064">
        <f t="shared" si="123"/>
        <v>0</v>
      </c>
      <c r="AM1585" s="1064">
        <f t="shared" si="124"/>
        <v>0</v>
      </c>
      <c r="AN1585" s="1064"/>
      <c r="AO1585" s="1064">
        <f>TB_prev[[#This Row],[Closing balance]]+TB_prev[[#This Row],[Rounding]]</f>
        <v>0</v>
      </c>
    </row>
    <row r="1586" spans="30:41" x14ac:dyDescent="0.25">
      <c r="AD1586" s="1067" t="str">
        <f t="shared" si="120"/>
        <v/>
      </c>
      <c r="AE1586" s="1063" t="str">
        <f>IF(ISNA(VLOOKUP(TB_prev[[#This Row],[Synt]],GL[[#Headers],[#Data],[subtotal label]],1,FALSE)),0,(VLOOKUP(TB_prev[[#This Row],[Synt]],GL[[#Headers],[#Data],[subtotal label]],1,FALSE)))</f>
        <v/>
      </c>
      <c r="AF1586" s="1063" t="e">
        <f>IF((TB_prev[[#This Row],[Synt]]-TB_prev[[#This Row],[Subtotal Y/N]])=0,0,VLOOKUP(TB_prev[[#This Row],[Synt]],GL[[Account]:[Line]],3,FALSE))</f>
        <v>#VALUE!</v>
      </c>
      <c r="AG1586" s="1063" t="e">
        <f>VLOOKUP(TB_prev[[#This Row],[Synt]],GL[[Account]:[B/P]],4,FALSE)</f>
        <v>#N/A</v>
      </c>
      <c r="AH1586" s="1066" t="e">
        <v>#VALUE!</v>
      </c>
      <c r="AI1586" s="1065" t="e">
        <f>TB_prev[[#This Row],[Synt]]&amp;TB_prev[[#This Row],[Line No. manual corr.]]</f>
        <v>#VALUE!</v>
      </c>
      <c r="AJ1586" s="1064">
        <f t="shared" si="121"/>
        <v>0</v>
      </c>
      <c r="AK1586" s="1064">
        <f t="shared" si="122"/>
        <v>0</v>
      </c>
      <c r="AL1586" s="1064">
        <f t="shared" si="123"/>
        <v>0</v>
      </c>
      <c r="AM1586" s="1064">
        <f t="shared" si="124"/>
        <v>0</v>
      </c>
      <c r="AN1586" s="1064"/>
      <c r="AO1586" s="1064">
        <f>TB_prev[[#This Row],[Closing balance]]+TB_prev[[#This Row],[Rounding]]</f>
        <v>0</v>
      </c>
    </row>
    <row r="1587" spans="30:41" x14ac:dyDescent="0.25">
      <c r="AD1587" s="1067" t="str">
        <f t="shared" si="120"/>
        <v/>
      </c>
      <c r="AE1587" s="1063" t="str">
        <f>IF(ISNA(VLOOKUP(TB_prev[[#This Row],[Synt]],GL[[#Headers],[#Data],[subtotal label]],1,FALSE)),0,(VLOOKUP(TB_prev[[#This Row],[Synt]],GL[[#Headers],[#Data],[subtotal label]],1,FALSE)))</f>
        <v/>
      </c>
      <c r="AF1587" s="1063" t="e">
        <f>IF((TB_prev[[#This Row],[Synt]]-TB_prev[[#This Row],[Subtotal Y/N]])=0,0,VLOOKUP(TB_prev[[#This Row],[Synt]],GL[[Account]:[Line]],3,FALSE))</f>
        <v>#VALUE!</v>
      </c>
      <c r="AG1587" s="1063" t="e">
        <f>VLOOKUP(TB_prev[[#This Row],[Synt]],GL[[Account]:[B/P]],4,FALSE)</f>
        <v>#N/A</v>
      </c>
      <c r="AH1587" s="1066" t="e">
        <v>#VALUE!</v>
      </c>
      <c r="AI1587" s="1065" t="e">
        <f>TB_prev[[#This Row],[Synt]]&amp;TB_prev[[#This Row],[Line No. manual corr.]]</f>
        <v>#VALUE!</v>
      </c>
      <c r="AJ1587" s="1064">
        <f t="shared" si="121"/>
        <v>0</v>
      </c>
      <c r="AK1587" s="1064">
        <f t="shared" si="122"/>
        <v>0</v>
      </c>
      <c r="AL1587" s="1064">
        <f t="shared" si="123"/>
        <v>0</v>
      </c>
      <c r="AM1587" s="1064">
        <f t="shared" si="124"/>
        <v>0</v>
      </c>
      <c r="AN1587" s="1064"/>
      <c r="AO1587" s="1064">
        <f>TB_prev[[#This Row],[Closing balance]]+TB_prev[[#This Row],[Rounding]]</f>
        <v>0</v>
      </c>
    </row>
    <row r="1588" spans="30:41" x14ac:dyDescent="0.25">
      <c r="AD1588" s="1067" t="str">
        <f t="shared" si="120"/>
        <v/>
      </c>
      <c r="AE1588" s="1063" t="str">
        <f>IF(ISNA(VLOOKUP(TB_prev[[#This Row],[Synt]],GL[[#Headers],[#Data],[subtotal label]],1,FALSE)),0,(VLOOKUP(TB_prev[[#This Row],[Synt]],GL[[#Headers],[#Data],[subtotal label]],1,FALSE)))</f>
        <v/>
      </c>
      <c r="AF1588" s="1063" t="e">
        <f>IF((TB_prev[[#This Row],[Synt]]-TB_prev[[#This Row],[Subtotal Y/N]])=0,0,VLOOKUP(TB_prev[[#This Row],[Synt]],GL[[Account]:[Line]],3,FALSE))</f>
        <v>#VALUE!</v>
      </c>
      <c r="AG1588" s="1063" t="e">
        <f>VLOOKUP(TB_prev[[#This Row],[Synt]],GL[[Account]:[B/P]],4,FALSE)</f>
        <v>#N/A</v>
      </c>
      <c r="AH1588" s="1066" t="e">
        <v>#VALUE!</v>
      </c>
      <c r="AI1588" s="1065" t="e">
        <f>TB_prev[[#This Row],[Synt]]&amp;TB_prev[[#This Row],[Line No. manual corr.]]</f>
        <v>#VALUE!</v>
      </c>
      <c r="AJ1588" s="1064">
        <f t="shared" si="121"/>
        <v>0</v>
      </c>
      <c r="AK1588" s="1064">
        <f t="shared" si="122"/>
        <v>0</v>
      </c>
      <c r="AL1588" s="1064">
        <f t="shared" si="123"/>
        <v>0</v>
      </c>
      <c r="AM1588" s="1064">
        <f t="shared" si="124"/>
        <v>0</v>
      </c>
      <c r="AN1588" s="1064"/>
      <c r="AO1588" s="1064">
        <f>TB_prev[[#This Row],[Closing balance]]+TB_prev[[#This Row],[Rounding]]</f>
        <v>0</v>
      </c>
    </row>
    <row r="1589" spans="30:41" x14ac:dyDescent="0.25">
      <c r="AD1589" s="1067" t="str">
        <f t="shared" si="120"/>
        <v/>
      </c>
      <c r="AE1589" s="1063" t="str">
        <f>IF(ISNA(VLOOKUP(TB_prev[[#This Row],[Synt]],GL[[#Headers],[#Data],[subtotal label]],1,FALSE)),0,(VLOOKUP(TB_prev[[#This Row],[Synt]],GL[[#Headers],[#Data],[subtotal label]],1,FALSE)))</f>
        <v/>
      </c>
      <c r="AF1589" s="1063" t="e">
        <f>IF((TB_prev[[#This Row],[Synt]]-TB_prev[[#This Row],[Subtotal Y/N]])=0,0,VLOOKUP(TB_prev[[#This Row],[Synt]],GL[[Account]:[Line]],3,FALSE))</f>
        <v>#VALUE!</v>
      </c>
      <c r="AG1589" s="1063" t="e">
        <f>VLOOKUP(TB_prev[[#This Row],[Synt]],GL[[Account]:[B/P]],4,FALSE)</f>
        <v>#N/A</v>
      </c>
      <c r="AH1589" s="1066" t="e">
        <v>#VALUE!</v>
      </c>
      <c r="AI1589" s="1065" t="e">
        <f>TB_prev[[#This Row],[Synt]]&amp;TB_prev[[#This Row],[Line No. manual corr.]]</f>
        <v>#VALUE!</v>
      </c>
      <c r="AJ1589" s="1064">
        <f t="shared" si="121"/>
        <v>0</v>
      </c>
      <c r="AK1589" s="1064">
        <f t="shared" si="122"/>
        <v>0</v>
      </c>
      <c r="AL1589" s="1064">
        <f t="shared" si="123"/>
        <v>0</v>
      </c>
      <c r="AM1589" s="1064">
        <f t="shared" si="124"/>
        <v>0</v>
      </c>
      <c r="AN1589" s="1064"/>
      <c r="AO1589" s="1064">
        <f>TB_prev[[#This Row],[Closing balance]]+TB_prev[[#This Row],[Rounding]]</f>
        <v>0</v>
      </c>
    </row>
    <row r="1590" spans="30:41" x14ac:dyDescent="0.25">
      <c r="AD1590" s="1067" t="str">
        <f t="shared" si="120"/>
        <v/>
      </c>
      <c r="AE1590" s="1063" t="str">
        <f>IF(ISNA(VLOOKUP(TB_prev[[#This Row],[Synt]],GL[[#Headers],[#Data],[subtotal label]],1,FALSE)),0,(VLOOKUP(TB_prev[[#This Row],[Synt]],GL[[#Headers],[#Data],[subtotal label]],1,FALSE)))</f>
        <v/>
      </c>
      <c r="AF1590" s="1063" t="e">
        <f>IF((TB_prev[[#This Row],[Synt]]-TB_prev[[#This Row],[Subtotal Y/N]])=0,0,VLOOKUP(TB_prev[[#This Row],[Synt]],GL[[Account]:[Line]],3,FALSE))</f>
        <v>#VALUE!</v>
      </c>
      <c r="AG1590" s="1063" t="e">
        <f>VLOOKUP(TB_prev[[#This Row],[Synt]],GL[[Account]:[B/P]],4,FALSE)</f>
        <v>#N/A</v>
      </c>
      <c r="AH1590" s="1066" t="e">
        <v>#VALUE!</v>
      </c>
      <c r="AI1590" s="1065" t="e">
        <f>TB_prev[[#This Row],[Synt]]&amp;TB_prev[[#This Row],[Line No. manual corr.]]</f>
        <v>#VALUE!</v>
      </c>
      <c r="AJ1590" s="1064">
        <f t="shared" si="121"/>
        <v>0</v>
      </c>
      <c r="AK1590" s="1064">
        <f t="shared" si="122"/>
        <v>0</v>
      </c>
      <c r="AL1590" s="1064">
        <f t="shared" si="123"/>
        <v>0</v>
      </c>
      <c r="AM1590" s="1064">
        <f t="shared" si="124"/>
        <v>0</v>
      </c>
      <c r="AN1590" s="1064"/>
      <c r="AO1590" s="1064">
        <f>TB_prev[[#This Row],[Closing balance]]+TB_prev[[#This Row],[Rounding]]</f>
        <v>0</v>
      </c>
    </row>
    <row r="1591" spans="30:41" x14ac:dyDescent="0.25">
      <c r="AD1591" s="1067" t="str">
        <f t="shared" si="120"/>
        <v/>
      </c>
      <c r="AE1591" s="1063" t="str">
        <f>IF(ISNA(VLOOKUP(TB_prev[[#This Row],[Synt]],GL[[#Headers],[#Data],[subtotal label]],1,FALSE)),0,(VLOOKUP(TB_prev[[#This Row],[Synt]],GL[[#Headers],[#Data],[subtotal label]],1,FALSE)))</f>
        <v/>
      </c>
      <c r="AF1591" s="1063" t="e">
        <f>IF((TB_prev[[#This Row],[Synt]]-TB_prev[[#This Row],[Subtotal Y/N]])=0,0,VLOOKUP(TB_prev[[#This Row],[Synt]],GL[[Account]:[Line]],3,FALSE))</f>
        <v>#VALUE!</v>
      </c>
      <c r="AG1591" s="1063" t="e">
        <f>VLOOKUP(TB_prev[[#This Row],[Synt]],GL[[Account]:[B/P]],4,FALSE)</f>
        <v>#N/A</v>
      </c>
      <c r="AH1591" s="1066" t="e">
        <v>#VALUE!</v>
      </c>
      <c r="AI1591" s="1065" t="e">
        <f>TB_prev[[#This Row],[Synt]]&amp;TB_prev[[#This Row],[Line No. manual corr.]]</f>
        <v>#VALUE!</v>
      </c>
      <c r="AJ1591" s="1064">
        <f t="shared" si="121"/>
        <v>0</v>
      </c>
      <c r="AK1591" s="1064">
        <f t="shared" si="122"/>
        <v>0</v>
      </c>
      <c r="AL1591" s="1064">
        <f t="shared" si="123"/>
        <v>0</v>
      </c>
      <c r="AM1591" s="1064">
        <f t="shared" si="124"/>
        <v>0</v>
      </c>
      <c r="AN1591" s="1064"/>
      <c r="AO1591" s="1064">
        <f>TB_prev[[#This Row],[Closing balance]]+TB_prev[[#This Row],[Rounding]]</f>
        <v>0</v>
      </c>
    </row>
    <row r="1592" spans="30:41" x14ac:dyDescent="0.25">
      <c r="AD1592" s="1067" t="str">
        <f t="shared" si="120"/>
        <v/>
      </c>
      <c r="AE1592" s="1063" t="str">
        <f>IF(ISNA(VLOOKUP(TB_prev[[#This Row],[Synt]],GL[[#Headers],[#Data],[subtotal label]],1,FALSE)),0,(VLOOKUP(TB_prev[[#This Row],[Synt]],GL[[#Headers],[#Data],[subtotal label]],1,FALSE)))</f>
        <v/>
      </c>
      <c r="AF1592" s="1063" t="e">
        <f>IF((TB_prev[[#This Row],[Synt]]-TB_prev[[#This Row],[Subtotal Y/N]])=0,0,VLOOKUP(TB_prev[[#This Row],[Synt]],GL[[Account]:[Line]],3,FALSE))</f>
        <v>#VALUE!</v>
      </c>
      <c r="AG1592" s="1063" t="e">
        <f>VLOOKUP(TB_prev[[#This Row],[Synt]],GL[[Account]:[B/P]],4,FALSE)</f>
        <v>#N/A</v>
      </c>
      <c r="AH1592" s="1066" t="e">
        <v>#VALUE!</v>
      </c>
      <c r="AI1592" s="1065" t="e">
        <f>TB_prev[[#This Row],[Synt]]&amp;TB_prev[[#This Row],[Line No. manual corr.]]</f>
        <v>#VALUE!</v>
      </c>
      <c r="AJ1592" s="1064">
        <f t="shared" si="121"/>
        <v>0</v>
      </c>
      <c r="AK1592" s="1064">
        <f t="shared" si="122"/>
        <v>0</v>
      </c>
      <c r="AL1592" s="1064">
        <f t="shared" si="123"/>
        <v>0</v>
      </c>
      <c r="AM1592" s="1064">
        <f t="shared" si="124"/>
        <v>0</v>
      </c>
      <c r="AN1592" s="1064"/>
      <c r="AO1592" s="1064">
        <f>TB_prev[[#This Row],[Closing balance]]+TB_prev[[#This Row],[Rounding]]</f>
        <v>0</v>
      </c>
    </row>
    <row r="1593" spans="30:41" x14ac:dyDescent="0.25">
      <c r="AD1593" s="1067" t="str">
        <f t="shared" si="120"/>
        <v/>
      </c>
      <c r="AE1593" s="1063" t="str">
        <f>IF(ISNA(VLOOKUP(TB_prev[[#This Row],[Synt]],GL[[#Headers],[#Data],[subtotal label]],1,FALSE)),0,(VLOOKUP(TB_prev[[#This Row],[Synt]],GL[[#Headers],[#Data],[subtotal label]],1,FALSE)))</f>
        <v/>
      </c>
      <c r="AF1593" s="1063" t="e">
        <f>IF((TB_prev[[#This Row],[Synt]]-TB_prev[[#This Row],[Subtotal Y/N]])=0,0,VLOOKUP(TB_prev[[#This Row],[Synt]],GL[[Account]:[Line]],3,FALSE))</f>
        <v>#VALUE!</v>
      </c>
      <c r="AG1593" s="1063" t="e">
        <f>VLOOKUP(TB_prev[[#This Row],[Synt]],GL[[Account]:[B/P]],4,FALSE)</f>
        <v>#N/A</v>
      </c>
      <c r="AH1593" s="1066" t="e">
        <v>#VALUE!</v>
      </c>
      <c r="AI1593" s="1065" t="e">
        <f>TB_prev[[#This Row],[Synt]]&amp;TB_prev[[#This Row],[Line No. manual corr.]]</f>
        <v>#VALUE!</v>
      </c>
      <c r="AJ1593" s="1064">
        <f t="shared" si="121"/>
        <v>0</v>
      </c>
      <c r="AK1593" s="1064">
        <f t="shared" si="122"/>
        <v>0</v>
      </c>
      <c r="AL1593" s="1064">
        <f t="shared" si="123"/>
        <v>0</v>
      </c>
      <c r="AM1593" s="1064">
        <f t="shared" si="124"/>
        <v>0</v>
      </c>
      <c r="AN1593" s="1064"/>
      <c r="AO1593" s="1064">
        <f>TB_prev[[#This Row],[Closing balance]]+TB_prev[[#This Row],[Rounding]]</f>
        <v>0</v>
      </c>
    </row>
    <row r="1594" spans="30:41" x14ac:dyDescent="0.25">
      <c r="AD1594" s="1067" t="str">
        <f t="shared" si="120"/>
        <v/>
      </c>
      <c r="AE1594" s="1063" t="str">
        <f>IF(ISNA(VLOOKUP(TB_prev[[#This Row],[Synt]],GL[[#Headers],[#Data],[subtotal label]],1,FALSE)),0,(VLOOKUP(TB_prev[[#This Row],[Synt]],GL[[#Headers],[#Data],[subtotal label]],1,FALSE)))</f>
        <v/>
      </c>
      <c r="AF1594" s="1063" t="e">
        <f>IF((TB_prev[[#This Row],[Synt]]-TB_prev[[#This Row],[Subtotal Y/N]])=0,0,VLOOKUP(TB_prev[[#This Row],[Synt]],GL[[Account]:[Line]],3,FALSE))</f>
        <v>#VALUE!</v>
      </c>
      <c r="AG1594" s="1063" t="e">
        <f>VLOOKUP(TB_prev[[#This Row],[Synt]],GL[[Account]:[B/P]],4,FALSE)</f>
        <v>#N/A</v>
      </c>
      <c r="AH1594" s="1066" t="e">
        <v>#VALUE!</v>
      </c>
      <c r="AI1594" s="1065" t="e">
        <f>TB_prev[[#This Row],[Synt]]&amp;TB_prev[[#This Row],[Line No. manual corr.]]</f>
        <v>#VALUE!</v>
      </c>
      <c r="AJ1594" s="1064">
        <f t="shared" si="121"/>
        <v>0</v>
      </c>
      <c r="AK1594" s="1064">
        <f t="shared" si="122"/>
        <v>0</v>
      </c>
      <c r="AL1594" s="1064">
        <f t="shared" si="123"/>
        <v>0</v>
      </c>
      <c r="AM1594" s="1064">
        <f t="shared" si="124"/>
        <v>0</v>
      </c>
      <c r="AN1594" s="1064"/>
      <c r="AO1594" s="1064">
        <f>TB_prev[[#This Row],[Closing balance]]+TB_prev[[#This Row],[Rounding]]</f>
        <v>0</v>
      </c>
    </row>
    <row r="1595" spans="30:41" x14ac:dyDescent="0.25">
      <c r="AD1595" s="1067" t="str">
        <f t="shared" si="120"/>
        <v/>
      </c>
      <c r="AE1595" s="1063" t="str">
        <f>IF(ISNA(VLOOKUP(TB_prev[[#This Row],[Synt]],GL[[#Headers],[#Data],[subtotal label]],1,FALSE)),0,(VLOOKUP(TB_prev[[#This Row],[Synt]],GL[[#Headers],[#Data],[subtotal label]],1,FALSE)))</f>
        <v/>
      </c>
      <c r="AF1595" s="1063" t="e">
        <f>IF((TB_prev[[#This Row],[Synt]]-TB_prev[[#This Row],[Subtotal Y/N]])=0,0,VLOOKUP(TB_prev[[#This Row],[Synt]],GL[[Account]:[Line]],3,FALSE))</f>
        <v>#VALUE!</v>
      </c>
      <c r="AG1595" s="1063" t="e">
        <f>VLOOKUP(TB_prev[[#This Row],[Synt]],GL[[Account]:[B/P]],4,FALSE)</f>
        <v>#N/A</v>
      </c>
      <c r="AH1595" s="1066" t="e">
        <v>#VALUE!</v>
      </c>
      <c r="AI1595" s="1065" t="e">
        <f>TB_prev[[#This Row],[Synt]]&amp;TB_prev[[#This Row],[Line No. manual corr.]]</f>
        <v>#VALUE!</v>
      </c>
      <c r="AJ1595" s="1064">
        <f t="shared" si="121"/>
        <v>0</v>
      </c>
      <c r="AK1595" s="1064">
        <f t="shared" si="122"/>
        <v>0</v>
      </c>
      <c r="AL1595" s="1064">
        <f t="shared" si="123"/>
        <v>0</v>
      </c>
      <c r="AM1595" s="1064">
        <f t="shared" si="124"/>
        <v>0</v>
      </c>
      <c r="AN1595" s="1064"/>
      <c r="AO1595" s="1064">
        <f>TB_prev[[#This Row],[Closing balance]]+TB_prev[[#This Row],[Rounding]]</f>
        <v>0</v>
      </c>
    </row>
    <row r="1596" spans="30:41" x14ac:dyDescent="0.25">
      <c r="AD1596" s="1067" t="str">
        <f t="shared" si="120"/>
        <v/>
      </c>
      <c r="AE1596" s="1063" t="str">
        <f>IF(ISNA(VLOOKUP(TB_prev[[#This Row],[Synt]],GL[[#Headers],[#Data],[subtotal label]],1,FALSE)),0,(VLOOKUP(TB_prev[[#This Row],[Synt]],GL[[#Headers],[#Data],[subtotal label]],1,FALSE)))</f>
        <v/>
      </c>
      <c r="AF1596" s="1063" t="e">
        <f>IF((TB_prev[[#This Row],[Synt]]-TB_prev[[#This Row],[Subtotal Y/N]])=0,0,VLOOKUP(TB_prev[[#This Row],[Synt]],GL[[Account]:[Line]],3,FALSE))</f>
        <v>#VALUE!</v>
      </c>
      <c r="AG1596" s="1063" t="e">
        <f>VLOOKUP(TB_prev[[#This Row],[Synt]],GL[[Account]:[B/P]],4,FALSE)</f>
        <v>#N/A</v>
      </c>
      <c r="AH1596" s="1066" t="e">
        <v>#VALUE!</v>
      </c>
      <c r="AI1596" s="1065" t="e">
        <f>TB_prev[[#This Row],[Synt]]&amp;TB_prev[[#This Row],[Line No. manual corr.]]</f>
        <v>#VALUE!</v>
      </c>
      <c r="AJ1596" s="1064">
        <f t="shared" si="121"/>
        <v>0</v>
      </c>
      <c r="AK1596" s="1064">
        <f t="shared" si="122"/>
        <v>0</v>
      </c>
      <c r="AL1596" s="1064">
        <f t="shared" si="123"/>
        <v>0</v>
      </c>
      <c r="AM1596" s="1064">
        <f t="shared" si="124"/>
        <v>0</v>
      </c>
      <c r="AN1596" s="1064"/>
      <c r="AO1596" s="1064">
        <f>TB_prev[[#This Row],[Closing balance]]+TB_prev[[#This Row],[Rounding]]</f>
        <v>0</v>
      </c>
    </row>
    <row r="1597" spans="30:41" x14ac:dyDescent="0.25">
      <c r="AD1597" s="1067" t="str">
        <f t="shared" si="120"/>
        <v/>
      </c>
      <c r="AE1597" s="1063" t="str">
        <f>IF(ISNA(VLOOKUP(TB_prev[[#This Row],[Synt]],GL[[#Headers],[#Data],[subtotal label]],1,FALSE)),0,(VLOOKUP(TB_prev[[#This Row],[Synt]],GL[[#Headers],[#Data],[subtotal label]],1,FALSE)))</f>
        <v/>
      </c>
      <c r="AF1597" s="1063" t="e">
        <f>IF((TB_prev[[#This Row],[Synt]]-TB_prev[[#This Row],[Subtotal Y/N]])=0,0,VLOOKUP(TB_prev[[#This Row],[Synt]],GL[[Account]:[Line]],3,FALSE))</f>
        <v>#VALUE!</v>
      </c>
      <c r="AG1597" s="1063" t="e">
        <f>VLOOKUP(TB_prev[[#This Row],[Synt]],GL[[Account]:[B/P]],4,FALSE)</f>
        <v>#N/A</v>
      </c>
      <c r="AH1597" s="1066" t="e">
        <v>#VALUE!</v>
      </c>
      <c r="AI1597" s="1065" t="e">
        <f>TB_prev[[#This Row],[Synt]]&amp;TB_prev[[#This Row],[Line No. manual corr.]]</f>
        <v>#VALUE!</v>
      </c>
      <c r="AJ1597" s="1064">
        <f t="shared" si="121"/>
        <v>0</v>
      </c>
      <c r="AK1597" s="1064">
        <f t="shared" si="122"/>
        <v>0</v>
      </c>
      <c r="AL1597" s="1064">
        <f t="shared" si="123"/>
        <v>0</v>
      </c>
      <c r="AM1597" s="1064">
        <f t="shared" si="124"/>
        <v>0</v>
      </c>
      <c r="AN1597" s="1064"/>
      <c r="AO1597" s="1064">
        <f>TB_prev[[#This Row],[Closing balance]]+TB_prev[[#This Row],[Rounding]]</f>
        <v>0</v>
      </c>
    </row>
    <row r="1598" spans="30:41" x14ac:dyDescent="0.25">
      <c r="AD1598" s="1067" t="str">
        <f t="shared" si="120"/>
        <v/>
      </c>
      <c r="AE1598" s="1063" t="str">
        <f>IF(ISNA(VLOOKUP(TB_prev[[#This Row],[Synt]],GL[[#Headers],[#Data],[subtotal label]],1,FALSE)),0,(VLOOKUP(TB_prev[[#This Row],[Synt]],GL[[#Headers],[#Data],[subtotal label]],1,FALSE)))</f>
        <v/>
      </c>
      <c r="AF1598" s="1063" t="e">
        <f>IF((TB_prev[[#This Row],[Synt]]-TB_prev[[#This Row],[Subtotal Y/N]])=0,0,VLOOKUP(TB_prev[[#This Row],[Synt]],GL[[Account]:[Line]],3,FALSE))</f>
        <v>#VALUE!</v>
      </c>
      <c r="AG1598" s="1063" t="e">
        <f>VLOOKUP(TB_prev[[#This Row],[Synt]],GL[[Account]:[B/P]],4,FALSE)</f>
        <v>#N/A</v>
      </c>
      <c r="AH1598" s="1066" t="e">
        <v>#VALUE!</v>
      </c>
      <c r="AI1598" s="1065" t="e">
        <f>TB_prev[[#This Row],[Synt]]&amp;TB_prev[[#This Row],[Line No. manual corr.]]</f>
        <v>#VALUE!</v>
      </c>
      <c r="AJ1598" s="1064">
        <f t="shared" si="121"/>
        <v>0</v>
      </c>
      <c r="AK1598" s="1064">
        <f t="shared" si="122"/>
        <v>0</v>
      </c>
      <c r="AL1598" s="1064">
        <f t="shared" si="123"/>
        <v>0</v>
      </c>
      <c r="AM1598" s="1064">
        <f t="shared" si="124"/>
        <v>0</v>
      </c>
      <c r="AN1598" s="1064"/>
      <c r="AO1598" s="1064">
        <f>TB_prev[[#This Row],[Closing balance]]+TB_prev[[#This Row],[Rounding]]</f>
        <v>0</v>
      </c>
    </row>
    <row r="1599" spans="30:41" x14ac:dyDescent="0.25">
      <c r="AD1599" s="1067" t="str">
        <f t="shared" si="120"/>
        <v/>
      </c>
      <c r="AE1599" s="1063" t="str">
        <f>IF(ISNA(VLOOKUP(TB_prev[[#This Row],[Synt]],GL[[#Headers],[#Data],[subtotal label]],1,FALSE)),0,(VLOOKUP(TB_prev[[#This Row],[Synt]],GL[[#Headers],[#Data],[subtotal label]],1,FALSE)))</f>
        <v/>
      </c>
      <c r="AF1599" s="1063" t="e">
        <f>IF((TB_prev[[#This Row],[Synt]]-TB_prev[[#This Row],[Subtotal Y/N]])=0,0,VLOOKUP(TB_prev[[#This Row],[Synt]],GL[[Account]:[Line]],3,FALSE))</f>
        <v>#VALUE!</v>
      </c>
      <c r="AG1599" s="1063" t="e">
        <f>VLOOKUP(TB_prev[[#This Row],[Synt]],GL[[Account]:[B/P]],4,FALSE)</f>
        <v>#N/A</v>
      </c>
      <c r="AH1599" s="1066" t="e">
        <v>#VALUE!</v>
      </c>
      <c r="AI1599" s="1065" t="e">
        <f>TB_prev[[#This Row],[Synt]]&amp;TB_prev[[#This Row],[Line No. manual corr.]]</f>
        <v>#VALUE!</v>
      </c>
      <c r="AJ1599" s="1064">
        <f t="shared" si="121"/>
        <v>0</v>
      </c>
      <c r="AK1599" s="1064">
        <f t="shared" si="122"/>
        <v>0</v>
      </c>
      <c r="AL1599" s="1064">
        <f t="shared" si="123"/>
        <v>0</v>
      </c>
      <c r="AM1599" s="1064">
        <f t="shared" si="124"/>
        <v>0</v>
      </c>
      <c r="AN1599" s="1064"/>
      <c r="AO1599" s="1064">
        <f>TB_prev[[#This Row],[Closing balance]]+TB_prev[[#This Row],[Rounding]]</f>
        <v>0</v>
      </c>
    </row>
    <row r="1600" spans="30:41" x14ac:dyDescent="0.2">
      <c r="AD1600" s="1147" t="s">
        <v>1539</v>
      </c>
      <c r="AE1600" s="1147"/>
      <c r="AF1600" s="1147"/>
      <c r="AG1600" s="1147"/>
      <c r="AH1600" s="1147"/>
      <c r="AI1600" s="1147"/>
      <c r="AJ1600" s="1148">
        <f>SUBTOTAL(109,TB_prev[Opening balance])</f>
        <v>0</v>
      </c>
      <c r="AK1600" s="1148">
        <f>SUBTOTAL(109,TB_prev[Turnover MD])</f>
        <v>0</v>
      </c>
      <c r="AL1600" s="1148">
        <f>SUBTOTAL(109,TB_prev[Turnover D])</f>
        <v>0</v>
      </c>
      <c r="AM1600" s="1148">
        <f>SUBTOTAL(109,TB_prev[Closing balance])</f>
        <v>0</v>
      </c>
      <c r="AN1600" s="1148">
        <f>SUBTOTAL(109,TB_prev[Rounding])</f>
        <v>-1</v>
      </c>
      <c r="AO1600" s="1148">
        <f>SUBTOTAL(109,TB_prev[Final balance])</f>
        <v>-1</v>
      </c>
    </row>
  </sheetData>
  <mergeCells count="141">
    <mergeCell ref="K31:L31"/>
    <mergeCell ref="N31:O31"/>
    <mergeCell ref="Q31:S31"/>
    <mergeCell ref="U31:V31"/>
    <mergeCell ref="X31:Z31"/>
    <mergeCell ref="AB31:AC31"/>
    <mergeCell ref="K28:L28"/>
    <mergeCell ref="N28:O28"/>
    <mergeCell ref="Q28:S28"/>
    <mergeCell ref="U28:V28"/>
    <mergeCell ref="X28:Z28"/>
    <mergeCell ref="AB28:AC28"/>
    <mergeCell ref="K29:L29"/>
    <mergeCell ref="N29:O29"/>
    <mergeCell ref="Q29:S29"/>
    <mergeCell ref="U29:V29"/>
    <mergeCell ref="X29:Z29"/>
    <mergeCell ref="AB29:AC29"/>
    <mergeCell ref="K26:L26"/>
    <mergeCell ref="N26:O26"/>
    <mergeCell ref="Q26:S26"/>
    <mergeCell ref="U26:V26"/>
    <mergeCell ref="X26:Z26"/>
    <mergeCell ref="AB26:AC26"/>
    <mergeCell ref="K27:L27"/>
    <mergeCell ref="N27:O27"/>
    <mergeCell ref="Q27:S27"/>
    <mergeCell ref="U27:V27"/>
    <mergeCell ref="X27:Z27"/>
    <mergeCell ref="AB27:AC27"/>
    <mergeCell ref="K24:L24"/>
    <mergeCell ref="N24:O24"/>
    <mergeCell ref="Q24:S24"/>
    <mergeCell ref="U24:V24"/>
    <mergeCell ref="X24:Z24"/>
    <mergeCell ref="AB24:AC24"/>
    <mergeCell ref="K25:L25"/>
    <mergeCell ref="N25:O25"/>
    <mergeCell ref="Q25:S25"/>
    <mergeCell ref="U25:V25"/>
    <mergeCell ref="X25:Z25"/>
    <mergeCell ref="AB25:AC25"/>
    <mergeCell ref="K22:L22"/>
    <mergeCell ref="N22:O22"/>
    <mergeCell ref="Q22:S22"/>
    <mergeCell ref="U22:V22"/>
    <mergeCell ref="X22:Z22"/>
    <mergeCell ref="AB22:AC22"/>
    <mergeCell ref="K23:L23"/>
    <mergeCell ref="N23:O23"/>
    <mergeCell ref="Q23:S23"/>
    <mergeCell ref="U23:V23"/>
    <mergeCell ref="X23:Z23"/>
    <mergeCell ref="AB23:AC23"/>
    <mergeCell ref="K20:L20"/>
    <mergeCell ref="N20:O20"/>
    <mergeCell ref="Q20:S20"/>
    <mergeCell ref="U20:V20"/>
    <mergeCell ref="X20:Z20"/>
    <mergeCell ref="AB20:AC20"/>
    <mergeCell ref="K21:L21"/>
    <mergeCell ref="N21:O21"/>
    <mergeCell ref="Q21:S21"/>
    <mergeCell ref="U21:V21"/>
    <mergeCell ref="X21:Z21"/>
    <mergeCell ref="AB21:AC21"/>
    <mergeCell ref="K18:L18"/>
    <mergeCell ref="N18:O18"/>
    <mergeCell ref="Q18:S18"/>
    <mergeCell ref="U18:V18"/>
    <mergeCell ref="X18:Z18"/>
    <mergeCell ref="AB18:AC18"/>
    <mergeCell ref="K19:L19"/>
    <mergeCell ref="N19:O19"/>
    <mergeCell ref="Q19:S19"/>
    <mergeCell ref="U19:V19"/>
    <mergeCell ref="X19:Z19"/>
    <mergeCell ref="AB19:AC19"/>
    <mergeCell ref="K16:L16"/>
    <mergeCell ref="N16:O16"/>
    <mergeCell ref="Q16:S16"/>
    <mergeCell ref="U16:V16"/>
    <mergeCell ref="X16:Z16"/>
    <mergeCell ref="AB16:AC16"/>
    <mergeCell ref="K17:L17"/>
    <mergeCell ref="N17:O17"/>
    <mergeCell ref="Q17:S17"/>
    <mergeCell ref="U17:V17"/>
    <mergeCell ref="X17:Z17"/>
    <mergeCell ref="AB17:AC17"/>
    <mergeCell ref="K9:L9"/>
    <mergeCell ref="N9:O9"/>
    <mergeCell ref="Q9:S9"/>
    <mergeCell ref="U9:V9"/>
    <mergeCell ref="X9:Z9"/>
    <mergeCell ref="AB9:AC9"/>
    <mergeCell ref="K15:L15"/>
    <mergeCell ref="N15:O15"/>
    <mergeCell ref="Q15:S15"/>
    <mergeCell ref="U15:V15"/>
    <mergeCell ref="X15:Z15"/>
    <mergeCell ref="AB15:AC15"/>
    <mergeCell ref="K10:L10"/>
    <mergeCell ref="N10:O10"/>
    <mergeCell ref="Q10:S10"/>
    <mergeCell ref="U10:V10"/>
    <mergeCell ref="X10:Z10"/>
    <mergeCell ref="AB10:AC10"/>
    <mergeCell ref="K11:L11"/>
    <mergeCell ref="N11:O11"/>
    <mergeCell ref="Q11:S11"/>
    <mergeCell ref="U11:V11"/>
    <mergeCell ref="X11:Z11"/>
    <mergeCell ref="AB11:AC11"/>
    <mergeCell ref="Y1:AC1"/>
    <mergeCell ref="Y2:AC2"/>
    <mergeCell ref="R5:S5"/>
    <mergeCell ref="K8:L8"/>
    <mergeCell ref="N8:O8"/>
    <mergeCell ref="Q8:S8"/>
    <mergeCell ref="U8:V8"/>
    <mergeCell ref="X8:Z8"/>
    <mergeCell ref="AB8:AC8"/>
    <mergeCell ref="K14:L14"/>
    <mergeCell ref="N14:O14"/>
    <mergeCell ref="Q14:S14"/>
    <mergeCell ref="U14:V14"/>
    <mergeCell ref="X14:Z14"/>
    <mergeCell ref="AB14:AC14"/>
    <mergeCell ref="K12:L12"/>
    <mergeCell ref="N12:O12"/>
    <mergeCell ref="Q12:S12"/>
    <mergeCell ref="U12:V12"/>
    <mergeCell ref="X12:Z12"/>
    <mergeCell ref="AB12:AC12"/>
    <mergeCell ref="K13:L13"/>
    <mergeCell ref="N13:O13"/>
    <mergeCell ref="Q13:S13"/>
    <mergeCell ref="U13:V13"/>
    <mergeCell ref="X13:Z13"/>
    <mergeCell ref="AB13:AC13"/>
  </mergeCells>
  <conditionalFormatting sqref="AD1:AE1048576">
    <cfRule type="cellIs" dxfId="109" priority="4" operator="equal">
      <formula>0</formula>
    </cfRule>
  </conditionalFormatting>
  <conditionalFormatting sqref="AH8:AI1599">
    <cfRule type="cellIs" dxfId="108" priority="3" operator="equal">
      <formula>0</formula>
    </cfRule>
  </conditionalFormatting>
  <conditionalFormatting sqref="AO6">
    <cfRule type="cellIs" dxfId="107" priority="1" operator="between">
      <formula>-0.01</formula>
      <formula>0.01</formula>
    </cfRule>
    <cfRule type="cellIs" dxfId="106" priority="2" operator="equal">
      <formula>0</formula>
    </cfRule>
  </conditionalFormatting>
  <printOptions gridLinesSet="0"/>
  <pageMargins left="0" right="0" top="0" bottom="0" header="0" footer="0"/>
  <pageSetup paperSize="9" scale="0" fitToWidth="0" fitToHeight="0" orientation="landscape" horizontalDpi="1" verticalDpi="1"/>
  <headerFooter alignWithMargins="0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J352"/>
  <sheetViews>
    <sheetView showGridLines="0" showZeros="0" zoomScaleNormal="100" workbookViewId="0">
      <pane ySplit="4" topLeftCell="A71" activePane="bottomLeft" state="frozen"/>
      <selection pane="bottomLeft" activeCell="A279" sqref="A279"/>
    </sheetView>
  </sheetViews>
  <sheetFormatPr defaultColWidth="9.140625" defaultRowHeight="15" x14ac:dyDescent="0.25"/>
  <cols>
    <col min="1" max="1" width="127.28515625" style="219" bestFit="1" customWidth="1"/>
    <col min="2" max="2" width="8.85546875"/>
    <col min="3" max="3" width="9" style="1075" customWidth="1"/>
    <col min="4" max="4" width="5.85546875" style="1074" customWidth="1"/>
    <col min="5" max="6" width="6" style="167" customWidth="1"/>
    <col min="7" max="7" width="5.85546875" style="1074" hidden="1" customWidth="1"/>
    <col min="8" max="8" width="16" style="1073" bestFit="1" customWidth="1"/>
    <col min="9" max="9" width="13.42578125" style="1073" bestFit="1" customWidth="1"/>
    <col min="10" max="10" width="16.28515625" style="1073" customWidth="1"/>
    <col min="11" max="16384" width="9.140625" style="167"/>
  </cols>
  <sheetData>
    <row r="1" spans="1:10" ht="11.25" x14ac:dyDescent="0.2">
      <c r="B1" s="1075"/>
      <c r="C1" s="1074"/>
      <c r="D1" s="167"/>
      <c r="E1" s="1072" t="s">
        <v>1883</v>
      </c>
      <c r="F1" s="1072"/>
      <c r="G1" s="1075"/>
      <c r="H1" s="1091">
        <f>SUMIF(GL[[#Headers],[#Data],[B/P]],$E1,GL[[#Headers],[#Data],[Total current year]])</f>
        <v>0</v>
      </c>
      <c r="I1" s="1091">
        <f>SUMIF(GL[[#Headers],[#Data],[B/P]],$E1,GL[[#Headers],[#Data],[Total previous year]])</f>
        <v>0</v>
      </c>
      <c r="J1" s="167"/>
    </row>
    <row r="2" spans="1:10" ht="11.25" x14ac:dyDescent="0.2">
      <c r="B2" s="1075"/>
      <c r="C2" s="1074"/>
      <c r="D2" s="167"/>
      <c r="E2" s="1072" t="s">
        <v>1882</v>
      </c>
      <c r="F2" s="1072"/>
      <c r="G2" s="1075"/>
      <c r="H2" s="1091">
        <f>SUMIF(GL[[#Headers],[#Data],[B/P]],$E2,GL[[#Headers],[#Data],[Total current year]])</f>
        <v>0</v>
      </c>
      <c r="I2" s="1091">
        <f>SUMIF(GL[[#Headers],[#Data],[B/P]],$E2,GL[[#Headers],[#Data],[Total previous year]])</f>
        <v>0</v>
      </c>
      <c r="J2" s="167"/>
    </row>
    <row r="3" spans="1:10" ht="11.25" x14ac:dyDescent="0.2">
      <c r="B3" s="1075"/>
      <c r="C3" s="1074"/>
      <c r="D3" s="167"/>
      <c r="E3" s="1072" t="s">
        <v>1881</v>
      </c>
      <c r="F3" s="1072"/>
      <c r="G3" s="1075"/>
      <c r="H3" s="1091">
        <f>H$352</f>
        <v>0</v>
      </c>
      <c r="I3" s="1091">
        <f>I$352</f>
        <v>0</v>
      </c>
      <c r="J3" s="167"/>
    </row>
    <row r="4" spans="1:10" s="188" customFormat="1" ht="23.25" customHeight="1" x14ac:dyDescent="0.2">
      <c r="A4" s="1090" t="s">
        <v>1824</v>
      </c>
      <c r="B4" s="1090" t="s">
        <v>2005</v>
      </c>
      <c r="C4" s="1090" t="s">
        <v>2004</v>
      </c>
      <c r="D4" s="1090" t="s">
        <v>476</v>
      </c>
      <c r="E4" s="1090" t="s">
        <v>2003</v>
      </c>
      <c r="F4" s="1090" t="s">
        <v>2006</v>
      </c>
      <c r="G4" s="1090" t="s">
        <v>2002</v>
      </c>
      <c r="H4" s="1090" t="s">
        <v>2001</v>
      </c>
      <c r="I4" s="1090" t="s">
        <v>2000</v>
      </c>
    </row>
    <row r="5" spans="1:10" s="174" customFormat="1" ht="12" customHeight="1" x14ac:dyDescent="0.25">
      <c r="A5" s="764" t="s">
        <v>2071</v>
      </c>
      <c r="B5" s="1088" t="s">
        <v>521</v>
      </c>
      <c r="C5" s="1082" t="str">
        <f t="shared" ref="C5:C68" si="0">IF(B5="subtotal",B6,"")</f>
        <v/>
      </c>
      <c r="D5" s="230" t="s">
        <v>786</v>
      </c>
      <c r="E5" s="1082" t="s">
        <v>1883</v>
      </c>
      <c r="F5" s="1082" t="str">
        <f>GL[[#This Row],[Line]]&amp;GL[[#This Row],[B/P]]</f>
        <v>03BS</v>
      </c>
      <c r="G5" s="1081" t="str">
        <f>GL[[#This Row],[Account]]&amp;GL[[#This Row],[Line]]</f>
        <v>01203</v>
      </c>
      <c r="H5" s="1087">
        <f>ROUND(SUMIF(TB_curr[[#Headers],[#Data],[Lookup_line]],GL[[#This Row],[Lookup line]],TB_curr[[#Headers],[#Data],[Final balance]]),0)</f>
        <v>0</v>
      </c>
      <c r="I5" s="1087">
        <f>ROUND(SUMIF(TB_prev[[#Headers],[#Data],[Lookup_line]],GL[[#This Row],[Lookup line]],TB_prev[[#Headers],[#Data],[Final balance]]),0)</f>
        <v>0</v>
      </c>
    </row>
    <row r="6" spans="1:10" s="174" customFormat="1" ht="12" customHeight="1" x14ac:dyDescent="0.25">
      <c r="A6" s="764" t="s">
        <v>2071</v>
      </c>
      <c r="B6" s="1088" t="s">
        <v>523</v>
      </c>
      <c r="C6" s="1082" t="str">
        <f t="shared" si="0"/>
        <v/>
      </c>
      <c r="D6" s="230" t="s">
        <v>786</v>
      </c>
      <c r="E6" s="1082" t="s">
        <v>1883</v>
      </c>
      <c r="F6" s="1082" t="str">
        <f>GL[[#This Row],[Line]]&amp;GL[[#This Row],[B/P]]</f>
        <v>03BS</v>
      </c>
      <c r="G6" s="1081" t="str">
        <f>GL[[#This Row],[Account]]&amp;GL[[#This Row],[Line]]</f>
        <v>01303</v>
      </c>
      <c r="H6" s="1087">
        <f>ROUND(SUMIF(TB_curr[[#Headers],[#Data],[Lookup_line]],GL[[#This Row],[Lookup line]],TB_curr[[#Headers],[#Data],[Final balance]]),0)</f>
        <v>0</v>
      </c>
      <c r="I6" s="1087">
        <f>ROUND(SUMIF(TB_prev[[#Headers],[#Data],[Lookup_line]],GL[[#This Row],[Lookup line]],TB_prev[[#Headers],[#Data],[Final balance]]),0)</f>
        <v>0</v>
      </c>
    </row>
    <row r="7" spans="1:10" s="174" customFormat="1" ht="12" customHeight="1" x14ac:dyDescent="0.25">
      <c r="A7" s="764" t="s">
        <v>2071</v>
      </c>
      <c r="B7" s="1088" t="s">
        <v>525</v>
      </c>
      <c r="C7" s="1082" t="str">
        <f t="shared" si="0"/>
        <v/>
      </c>
      <c r="D7" s="230" t="s">
        <v>786</v>
      </c>
      <c r="E7" s="1082" t="s">
        <v>1883</v>
      </c>
      <c r="F7" s="1082" t="str">
        <f>GL[[#This Row],[Line]]&amp;GL[[#This Row],[B/P]]</f>
        <v>03BS</v>
      </c>
      <c r="G7" s="1081" t="str">
        <f>GL[[#This Row],[Account]]&amp;GL[[#This Row],[Line]]</f>
        <v>01403</v>
      </c>
      <c r="H7" s="1087">
        <f>ROUND(SUMIF(TB_curr[[#Headers],[#Data],[Lookup_line]],GL[[#This Row],[Lookup line]],TB_curr[[#Headers],[#Data],[Final balance]]),0)</f>
        <v>0</v>
      </c>
      <c r="I7" s="1087">
        <f>ROUND(SUMIF(TB_prev[[#Headers],[#Data],[Lookup_line]],GL[[#This Row],[Lookup line]],TB_prev[[#Headers],[#Data],[Final balance]]),0)</f>
        <v>0</v>
      </c>
    </row>
    <row r="8" spans="1:10" s="174" customFormat="1" ht="12" customHeight="1" x14ac:dyDescent="0.25">
      <c r="A8" s="764" t="s">
        <v>2071</v>
      </c>
      <c r="B8" s="1088" t="s">
        <v>527</v>
      </c>
      <c r="C8" s="1082" t="str">
        <f t="shared" si="0"/>
        <v/>
      </c>
      <c r="D8" s="230" t="s">
        <v>786</v>
      </c>
      <c r="E8" s="1082" t="s">
        <v>1883</v>
      </c>
      <c r="F8" s="1082" t="str">
        <f>GL[[#This Row],[Line]]&amp;GL[[#This Row],[B/P]]</f>
        <v>03BS</v>
      </c>
      <c r="G8" s="1081" t="str">
        <f>GL[[#This Row],[Account]]&amp;GL[[#This Row],[Line]]</f>
        <v>01503</v>
      </c>
      <c r="H8" s="1087">
        <f>ROUND(SUMIF(TB_curr[[#Headers],[#Data],[Lookup_line]],GL[[#This Row],[Lookup line]],TB_curr[[#Headers],[#Data],[Final balance]]),0)</f>
        <v>0</v>
      </c>
      <c r="I8" s="1087">
        <f>ROUND(SUMIF(TB_prev[[#Headers],[#Data],[Lookup_line]],GL[[#This Row],[Lookup line]],TB_prev[[#Headers],[#Data],[Final balance]]),0)</f>
        <v>0</v>
      </c>
    </row>
    <row r="9" spans="1:10" s="174" customFormat="1" ht="12" customHeight="1" x14ac:dyDescent="0.25">
      <c r="A9" s="764" t="s">
        <v>2071</v>
      </c>
      <c r="B9" s="1088" t="s">
        <v>536</v>
      </c>
      <c r="C9" s="1082" t="str">
        <f t="shared" si="0"/>
        <v/>
      </c>
      <c r="D9" s="230" t="s">
        <v>786</v>
      </c>
      <c r="E9" s="1082" t="s">
        <v>1883</v>
      </c>
      <c r="F9" s="1082" t="str">
        <f>GL[[#This Row],[Line]]&amp;GL[[#This Row],[B/P]]</f>
        <v>03BS</v>
      </c>
      <c r="G9" s="1081" t="str">
        <f>GL[[#This Row],[Account]]&amp;GL[[#This Row],[Line]]</f>
        <v>01903</v>
      </c>
      <c r="H9" s="1087">
        <f>ROUND(SUMIF(TB_curr[[#Headers],[#Data],[Lookup_line]],GL[[#This Row],[Lookup line]],TB_curr[[#Headers],[#Data],[Final balance]]),0)</f>
        <v>0</v>
      </c>
      <c r="I9" s="1087">
        <f>ROUND(SUMIF(TB_prev[[#Headers],[#Data],[Lookup_line]],GL[[#This Row],[Lookup line]],TB_prev[[#Headers],[#Data],[Final balance]]),0)</f>
        <v>0</v>
      </c>
    </row>
    <row r="10" spans="1:10" s="174" customFormat="1" ht="12" customHeight="1" x14ac:dyDescent="0.25">
      <c r="A10" s="764" t="s">
        <v>2073</v>
      </c>
      <c r="B10" s="1088" t="s">
        <v>542</v>
      </c>
      <c r="C10" s="1082" t="str">
        <f t="shared" si="0"/>
        <v/>
      </c>
      <c r="D10" s="230" t="s">
        <v>792</v>
      </c>
      <c r="E10" s="1082" t="s">
        <v>1883</v>
      </c>
      <c r="F10" s="1082" t="str">
        <f>GL[[#This Row],[Line]]&amp;GL[[#This Row],[B/P]]</f>
        <v>05BS</v>
      </c>
      <c r="G10" s="1081" t="str">
        <f>GL[[#This Row],[Account]]&amp;GL[[#This Row],[Line]]</f>
        <v>02105</v>
      </c>
      <c r="H10" s="1087">
        <f>ROUND(SUMIF(TB_curr[[#Headers],[#Data],[Lookup_line]],GL[[#This Row],[Lookup line]],TB_curr[[#Headers],[#Data],[Final balance]]),0)</f>
        <v>0</v>
      </c>
      <c r="I10" s="1087">
        <f>ROUND(SUMIF(TB_prev[[#Headers],[#Data],[Lookup_line]],GL[[#This Row],[Lookup line]],TB_prev[[#Headers],[#Data],[Final balance]]),0)</f>
        <v>0</v>
      </c>
    </row>
    <row r="11" spans="1:10" s="174" customFormat="1" ht="12" customHeight="1" x14ac:dyDescent="0.25">
      <c r="A11" s="764" t="s">
        <v>2074</v>
      </c>
      <c r="B11" s="1088" t="s">
        <v>545</v>
      </c>
      <c r="C11" s="1082" t="str">
        <f t="shared" si="0"/>
        <v/>
      </c>
      <c r="D11" s="230" t="s">
        <v>794</v>
      </c>
      <c r="E11" s="1082" t="s">
        <v>1883</v>
      </c>
      <c r="F11" s="1082" t="str">
        <f>GL[[#This Row],[Line]]&amp;GL[[#This Row],[B/P]]</f>
        <v>06BS</v>
      </c>
      <c r="G11" s="1081" t="str">
        <f>GL[[#This Row],[Account]]&amp;GL[[#This Row],[Line]]</f>
        <v>02206</v>
      </c>
      <c r="H11" s="1087">
        <f>ROUND(SUMIF(TB_curr[[#Headers],[#Data],[Lookup_line]],GL[[#This Row],[Lookup line]],TB_curr[[#Headers],[#Data],[Final balance]]),0)</f>
        <v>0</v>
      </c>
      <c r="I11" s="1087">
        <f>ROUND(SUMIF(TB_prev[[#Headers],[#Data],[Lookup_line]],GL[[#This Row],[Lookup line]],TB_prev[[#Headers],[#Data],[Final balance]]),0)</f>
        <v>0</v>
      </c>
    </row>
    <row r="12" spans="1:10" s="174" customFormat="1" ht="12" customHeight="1" x14ac:dyDescent="0.25">
      <c r="A12" s="764" t="s">
        <v>2075</v>
      </c>
      <c r="B12" s="1088" t="s">
        <v>551</v>
      </c>
      <c r="C12" s="1082" t="str">
        <f t="shared" si="0"/>
        <v/>
      </c>
      <c r="D12" s="230" t="s">
        <v>796</v>
      </c>
      <c r="E12" s="1082" t="s">
        <v>1883</v>
      </c>
      <c r="F12" s="1082" t="str">
        <f>GL[[#This Row],[Line]]&amp;GL[[#This Row],[B/P]]</f>
        <v>07BS</v>
      </c>
      <c r="G12" s="1081" t="str">
        <f>GL[[#This Row],[Account]]&amp;GL[[#This Row],[Line]]</f>
        <v>02507</v>
      </c>
      <c r="H12" s="1087">
        <f>ROUND(SUMIF(TB_curr[[#Headers],[#Data],[Lookup_line]],GL[[#This Row],[Lookup line]],TB_curr[[#Headers],[#Data],[Final balance]]),0)</f>
        <v>0</v>
      </c>
      <c r="I12" s="1087">
        <f>ROUND(SUMIF(TB_prev[[#Headers],[#Data],[Lookup_line]],GL[[#This Row],[Lookup line]],TB_prev[[#Headers],[#Data],[Final balance]]),0)</f>
        <v>0</v>
      </c>
    </row>
    <row r="13" spans="1:10" s="174" customFormat="1" ht="12" customHeight="1" x14ac:dyDescent="0.25">
      <c r="A13" s="764" t="s">
        <v>2075</v>
      </c>
      <c r="B13" s="1088" t="s">
        <v>553</v>
      </c>
      <c r="C13" s="1082" t="str">
        <f t="shared" si="0"/>
        <v/>
      </c>
      <c r="D13" s="230" t="s">
        <v>796</v>
      </c>
      <c r="E13" s="1082" t="s">
        <v>1883</v>
      </c>
      <c r="F13" s="1082" t="str">
        <f>GL[[#This Row],[Line]]&amp;GL[[#This Row],[B/P]]</f>
        <v>07BS</v>
      </c>
      <c r="G13" s="1081" t="str">
        <f>GL[[#This Row],[Account]]&amp;GL[[#This Row],[Line]]</f>
        <v>02607</v>
      </c>
      <c r="H13" s="1087">
        <f>ROUND(SUMIF(TB_curr[[#Headers],[#Data],[Lookup_line]],GL[[#This Row],[Lookup line]],TB_curr[[#Headers],[#Data],[Final balance]]),0)</f>
        <v>0</v>
      </c>
      <c r="I13" s="1087">
        <f>ROUND(SUMIF(TB_prev[[#Headers],[#Data],[Lookup_line]],GL[[#This Row],[Lookup line]],TB_prev[[#Headers],[#Data],[Final balance]]),0)</f>
        <v>0</v>
      </c>
    </row>
    <row r="14" spans="1:10" s="174" customFormat="1" ht="12" customHeight="1" x14ac:dyDescent="0.25">
      <c r="A14" s="764" t="s">
        <v>2075</v>
      </c>
      <c r="B14" s="1088" t="s">
        <v>559</v>
      </c>
      <c r="C14" s="1082" t="str">
        <f t="shared" si="0"/>
        <v/>
      </c>
      <c r="D14" s="230" t="s">
        <v>796</v>
      </c>
      <c r="E14" s="1082" t="s">
        <v>1883</v>
      </c>
      <c r="F14" s="1082" t="str">
        <f>GL[[#This Row],[Line]]&amp;GL[[#This Row],[B/P]]</f>
        <v>07BS</v>
      </c>
      <c r="G14" s="1081" t="str">
        <f>GL[[#This Row],[Account]]&amp;GL[[#This Row],[Line]]</f>
        <v>02907</v>
      </c>
      <c r="H14" s="1087">
        <f>ROUND(SUMIF(TB_curr[[#Headers],[#Data],[Lookup_line]],GL[[#This Row],[Lookup line]],TB_curr[[#Headers],[#Data],[Final balance]]),0)</f>
        <v>0</v>
      </c>
      <c r="I14" s="1087">
        <f>ROUND(SUMIF(TB_prev[[#Headers],[#Data],[Lookup_line]],GL[[#This Row],[Lookup line]],TB_prev[[#Headers],[#Data],[Final balance]]),0)</f>
        <v>0</v>
      </c>
    </row>
    <row r="15" spans="1:10" s="174" customFormat="1" ht="12" customHeight="1" x14ac:dyDescent="0.25">
      <c r="A15" s="764" t="s">
        <v>2073</v>
      </c>
      <c r="B15" s="1088" t="s">
        <v>565</v>
      </c>
      <c r="C15" s="1082" t="str">
        <f t="shared" si="0"/>
        <v/>
      </c>
      <c r="D15" s="230" t="s">
        <v>792</v>
      </c>
      <c r="E15" s="1082" t="s">
        <v>1883</v>
      </c>
      <c r="F15" s="1082" t="str">
        <f>GL[[#This Row],[Line]]&amp;GL[[#This Row],[B/P]]</f>
        <v>05BS</v>
      </c>
      <c r="G15" s="1081" t="str">
        <f>GL[[#This Row],[Account]]&amp;GL[[#This Row],[Line]]</f>
        <v>03105</v>
      </c>
      <c r="H15" s="1087">
        <f>ROUND(SUMIF(TB_curr[[#Headers],[#Data],[Lookup_line]],GL[[#This Row],[Lookup line]],TB_curr[[#Headers],[#Data],[Final balance]]),0)</f>
        <v>0</v>
      </c>
      <c r="I15" s="1087">
        <f>ROUND(SUMIF(TB_prev[[#Headers],[#Data],[Lookup_line]],GL[[#This Row],[Lookup line]],TB_prev[[#Headers],[#Data],[Final balance]]),0)</f>
        <v>0</v>
      </c>
    </row>
    <row r="16" spans="1:10" s="174" customFormat="1" ht="12" customHeight="1" x14ac:dyDescent="0.25">
      <c r="A16" s="764" t="s">
        <v>2075</v>
      </c>
      <c r="B16" s="1088" t="s">
        <v>568</v>
      </c>
      <c r="C16" s="1082" t="str">
        <f t="shared" si="0"/>
        <v/>
      </c>
      <c r="D16" s="230" t="s">
        <v>796</v>
      </c>
      <c r="E16" s="1082" t="s">
        <v>1883</v>
      </c>
      <c r="F16" s="1082" t="str">
        <f>GL[[#This Row],[Line]]&amp;GL[[#This Row],[B/P]]</f>
        <v>07BS</v>
      </c>
      <c r="G16" s="1081" t="str">
        <f>GL[[#This Row],[Account]]&amp;GL[[#This Row],[Line]]</f>
        <v>03207</v>
      </c>
      <c r="H16" s="1087">
        <f>ROUND(SUMIF(TB_curr[[#Headers],[#Data],[Lookup_line]],GL[[#This Row],[Lookup line]],TB_curr[[#Headers],[#Data],[Final balance]]),0)</f>
        <v>0</v>
      </c>
      <c r="I16" s="1087">
        <f>ROUND(SUMIF(TB_prev[[#Headers],[#Data],[Lookup_line]],GL[[#This Row],[Lookup line]],TB_prev[[#Headers],[#Data],[Final balance]]),0)</f>
        <v>0</v>
      </c>
    </row>
    <row r="17" spans="1:9" s="174" customFormat="1" ht="12" customHeight="1" x14ac:dyDescent="0.25">
      <c r="A17" s="764" t="s">
        <v>2071</v>
      </c>
      <c r="B17" s="1088" t="s">
        <v>588</v>
      </c>
      <c r="C17" s="1082" t="str">
        <f t="shared" si="0"/>
        <v/>
      </c>
      <c r="D17" s="230" t="s">
        <v>786</v>
      </c>
      <c r="E17" s="1082" t="s">
        <v>1883</v>
      </c>
      <c r="F17" s="1082" t="str">
        <f>GL[[#This Row],[Line]]&amp;GL[[#This Row],[B/P]]</f>
        <v>03BS</v>
      </c>
      <c r="G17" s="1081" t="str">
        <f>GL[[#This Row],[Account]]&amp;GL[[#This Row],[Line]]</f>
        <v>04103</v>
      </c>
      <c r="H17" s="1087">
        <f>ROUND(SUMIF(TB_curr[[#Headers],[#Data],[Lookup_line]],GL[[#This Row],[Lookup line]],TB_curr[[#Headers],[#Data],[Final balance]]),0)</f>
        <v>0</v>
      </c>
      <c r="I17" s="1087">
        <f>ROUND(SUMIF(TB_prev[[#Headers],[#Data],[Lookup_line]],GL[[#This Row],[Lookup line]],TB_prev[[#Headers],[#Data],[Final balance]]),0)</f>
        <v>0</v>
      </c>
    </row>
    <row r="18" spans="1:9" s="174" customFormat="1" ht="12" customHeight="1" x14ac:dyDescent="0.25">
      <c r="A18" s="764"/>
      <c r="B18" s="1086" t="s">
        <v>1886</v>
      </c>
      <c r="C18" s="1085" t="str">
        <f t="shared" si="0"/>
        <v>042</v>
      </c>
      <c r="D18" s="230"/>
      <c r="E18" s="1082" t="s">
        <v>1883</v>
      </c>
      <c r="F18" s="1082" t="str">
        <f>GL[[#This Row],[Line]]&amp;GL[[#This Row],[B/P]]</f>
        <v>BS</v>
      </c>
      <c r="G18" s="1081" t="str">
        <f>GL[[#This Row],[Account]]&amp;GL[[#This Row],[Line]]</f>
        <v>subtotal</v>
      </c>
      <c r="H18" s="1087">
        <f>ROUND(SUMIF(TB_curr[[#Headers],[#Data],[Lookup_line]],GL[[#This Row],[Lookup line]],TB_curr[[#Headers],[#Data],[Final balance]]),0)</f>
        <v>0</v>
      </c>
      <c r="I18" s="1087">
        <f>ROUND(SUMIF(TB_prev[[#Headers],[#Data],[Lookup_line]],GL[[#This Row],[Lookup line]],TB_prev[[#Headers],[#Data],[Final balance]]),0)</f>
        <v>0</v>
      </c>
    </row>
    <row r="19" spans="1:9" s="174" customFormat="1" ht="12" customHeight="1" x14ac:dyDescent="0.25">
      <c r="A19" s="764" t="s">
        <v>2073</v>
      </c>
      <c r="B19" s="1088" t="s">
        <v>590</v>
      </c>
      <c r="C19" s="1082" t="str">
        <f t="shared" si="0"/>
        <v/>
      </c>
      <c r="D19" s="230" t="s">
        <v>792</v>
      </c>
      <c r="E19" s="1082" t="s">
        <v>1883</v>
      </c>
      <c r="F19" s="1082" t="str">
        <f>GL[[#This Row],[Line]]&amp;GL[[#This Row],[B/P]]</f>
        <v>05BS</v>
      </c>
      <c r="G19" s="1081" t="str">
        <f>GL[[#This Row],[Account]]&amp;GL[[#This Row],[Line]]</f>
        <v>04205</v>
      </c>
      <c r="H19" s="1087">
        <f>ROUND(SUMIF(TB_curr[[#Headers],[#Data],[Lookup_line]],GL[[#This Row],[Lookup line]],TB_curr[[#Headers],[#Data],[Final balance]]),0)</f>
        <v>0</v>
      </c>
      <c r="I19" s="1087">
        <f>ROUND(SUMIF(TB_prev[[#Headers],[#Data],[Lookup_line]],GL[[#This Row],[Lookup line]],TB_prev[[#Headers],[#Data],[Final balance]]),0)</f>
        <v>0</v>
      </c>
    </row>
    <row r="20" spans="1:9" s="174" customFormat="1" ht="12" customHeight="1" x14ac:dyDescent="0.25">
      <c r="A20" s="764" t="s">
        <v>2074</v>
      </c>
      <c r="B20" s="1088" t="s">
        <v>590</v>
      </c>
      <c r="C20" s="1082" t="str">
        <f t="shared" si="0"/>
        <v/>
      </c>
      <c r="D20" s="230" t="s">
        <v>794</v>
      </c>
      <c r="E20" s="1082" t="s">
        <v>1883</v>
      </c>
      <c r="F20" s="1082" t="str">
        <f>GL[[#This Row],[Line]]&amp;GL[[#This Row],[B/P]]</f>
        <v>06BS</v>
      </c>
      <c r="G20" s="1081" t="str">
        <f>GL[[#This Row],[Account]]&amp;GL[[#This Row],[Line]]</f>
        <v>04206</v>
      </c>
      <c r="H20" s="1087">
        <f>ROUND(SUMIF(TB_curr[[#Headers],[#Data],[Lookup_line]],GL[[#This Row],[Lookup line]],TB_curr[[#Headers],[#Data],[Final balance]]),0)</f>
        <v>0</v>
      </c>
      <c r="I20" s="1087">
        <f>ROUND(SUMIF(TB_prev[[#Headers],[#Data],[Lookup_line]],GL[[#This Row],[Lookup line]],TB_prev[[#Headers],[#Data],[Final balance]]),0)</f>
        <v>0</v>
      </c>
    </row>
    <row r="21" spans="1:9" s="174" customFormat="1" ht="12" customHeight="1" x14ac:dyDescent="0.25">
      <c r="A21" s="764" t="s">
        <v>2075</v>
      </c>
      <c r="B21" s="1088" t="s">
        <v>590</v>
      </c>
      <c r="C21" s="1082" t="str">
        <f t="shared" si="0"/>
        <v/>
      </c>
      <c r="D21" s="230" t="s">
        <v>796</v>
      </c>
      <c r="E21" s="1082" t="s">
        <v>1883</v>
      </c>
      <c r="F21" s="1082" t="str">
        <f>GL[[#This Row],[Line]]&amp;GL[[#This Row],[B/P]]</f>
        <v>07BS</v>
      </c>
      <c r="G21" s="1081" t="str">
        <f>GL[[#This Row],[Account]]&amp;GL[[#This Row],[Line]]</f>
        <v>04207</v>
      </c>
      <c r="H21" s="1087">
        <f>ROUND(SUMIF(TB_curr[[#Headers],[#Data],[Lookup_line]],GL[[#This Row],[Lookup line]],TB_curr[[#Headers],[#Data],[Final balance]]),0)</f>
        <v>0</v>
      </c>
      <c r="I21" s="1087">
        <f>ROUND(SUMIF(TB_prev[[#Headers],[#Data],[Lookup_line]],GL[[#This Row],[Lookup line]],TB_prev[[#Headers],[#Data],[Final balance]]),0)</f>
        <v>0</v>
      </c>
    </row>
    <row r="22" spans="1:9" s="174" customFormat="1" ht="12" customHeight="1" x14ac:dyDescent="0.25">
      <c r="A22" s="764"/>
      <c r="B22" s="1086" t="s">
        <v>1886</v>
      </c>
      <c r="C22" s="1085" t="str">
        <f t="shared" si="0"/>
        <v>043</v>
      </c>
      <c r="D22" s="230"/>
      <c r="E22" s="1082" t="s">
        <v>1883</v>
      </c>
      <c r="F22" s="1082" t="str">
        <f>GL[[#This Row],[Line]]&amp;GL[[#This Row],[B/P]]</f>
        <v>BS</v>
      </c>
      <c r="G22" s="1081" t="str">
        <f>GL[[#This Row],[Account]]&amp;GL[[#This Row],[Line]]</f>
        <v>subtotal</v>
      </c>
      <c r="H22" s="1087">
        <f>ROUND(SUMIF(TB_curr[[#Headers],[#Data],[Lookup_line]],GL[[#This Row],[Lookup line]],TB_curr[[#Headers],[#Data],[Final balance]]),0)</f>
        <v>0</v>
      </c>
      <c r="I22" s="1087">
        <f>ROUND(SUMIF(TB_prev[[#Headers],[#Data],[Lookup_line]],GL[[#This Row],[Lookup line]],TB_prev[[#Headers],[#Data],[Final balance]]),0)</f>
        <v>0</v>
      </c>
    </row>
    <row r="23" spans="1:9" s="174" customFormat="1" ht="12" customHeight="1" x14ac:dyDescent="0.25">
      <c r="A23" s="764" t="s">
        <v>2078</v>
      </c>
      <c r="B23" s="1088" t="s">
        <v>592</v>
      </c>
      <c r="C23" s="1082" t="str">
        <f t="shared" si="0"/>
        <v/>
      </c>
      <c r="D23" s="230" t="s">
        <v>804</v>
      </c>
      <c r="E23" s="1082" t="s">
        <v>1883</v>
      </c>
      <c r="F23" s="1082" t="str">
        <f>GL[[#This Row],[Line]]&amp;GL[[#This Row],[B/P]]</f>
        <v>10BS</v>
      </c>
      <c r="G23" s="1081" t="str">
        <f>GL[[#This Row],[Account]]&amp;GL[[#This Row],[Line]]</f>
        <v>04310</v>
      </c>
      <c r="H23" s="1087">
        <f>ROUND(SUMIF(TB_curr[[#Headers],[#Data],[Lookup_line]],GL[[#This Row],[Lookup line]],TB_curr[[#Headers],[#Data],[Final balance]]),0)</f>
        <v>0</v>
      </c>
      <c r="I23" s="1087">
        <f>ROUND(SUMIF(TB_prev[[#Headers],[#Data],[Lookup_line]],GL[[#This Row],[Lookup line]],TB_prev[[#Headers],[#Data],[Final balance]]),0)</f>
        <v>0</v>
      </c>
    </row>
    <row r="24" spans="1:9" s="174" customFormat="1" ht="12" customHeight="1" x14ac:dyDescent="0.2">
      <c r="A24" s="764" t="s">
        <v>2079</v>
      </c>
      <c r="B24" s="1088" t="s">
        <v>592</v>
      </c>
      <c r="C24" s="1082" t="str">
        <f t="shared" si="0"/>
        <v/>
      </c>
      <c r="D24" s="230" t="s">
        <v>806</v>
      </c>
      <c r="E24" s="1082" t="s">
        <v>1883</v>
      </c>
      <c r="F24" s="1082" t="str">
        <f>GL[[#This Row],[Line]]&amp;GL[[#This Row],[B/P]]</f>
        <v>11BS</v>
      </c>
      <c r="G24" s="1084" t="str">
        <f>GL[[#This Row],[Account]]&amp;GL[[#This Row],[Line]]</f>
        <v>04311</v>
      </c>
      <c r="H24" s="1083">
        <f>ROUND(SUMIF(TB_curr[[#Headers],[#Data],[Lookup_line]],GL[[#This Row],[Lookup line]],TB_curr[[#Headers],[#Data],[Final balance]]),0)</f>
        <v>0</v>
      </c>
      <c r="I24" s="1083">
        <f>ROUND(SUMIF(TB_prev[[#Headers],[#Data],[Lookup_line]],GL[[#This Row],[Lookup line]],TB_prev[[#Headers],[#Data],[Final balance]]),0)</f>
        <v>0</v>
      </c>
    </row>
    <row r="25" spans="1:9" s="174" customFormat="1" ht="12" customHeight="1" x14ac:dyDescent="0.25">
      <c r="A25" s="764" t="s">
        <v>2071</v>
      </c>
      <c r="B25" s="1088" t="s">
        <v>608</v>
      </c>
      <c r="C25" s="1082" t="str">
        <f t="shared" si="0"/>
        <v/>
      </c>
      <c r="D25" s="230" t="s">
        <v>786</v>
      </c>
      <c r="E25" s="1082" t="s">
        <v>1883</v>
      </c>
      <c r="F25" s="1082" t="str">
        <f>GL[[#This Row],[Line]]&amp;GL[[#This Row],[B/P]]</f>
        <v>03BS</v>
      </c>
      <c r="G25" s="1081" t="str">
        <f>GL[[#This Row],[Account]]&amp;GL[[#This Row],[Line]]</f>
        <v>05103</v>
      </c>
      <c r="H25" s="1087">
        <f>ROUND(SUMIF(TB_curr[[#Headers],[#Data],[Lookup_line]],GL[[#This Row],[Lookup line]],TB_curr[[#Headers],[#Data],[Final balance]]),0)</f>
        <v>0</v>
      </c>
      <c r="I25" s="1087">
        <f>ROUND(SUMIF(TB_prev[[#Headers],[#Data],[Lookup_line]],GL[[#This Row],[Lookup line]],TB_prev[[#Headers],[#Data],[Final balance]]),0)</f>
        <v>0</v>
      </c>
    </row>
    <row r="26" spans="1:9" s="174" customFormat="1" ht="12" customHeight="1" x14ac:dyDescent="0.25">
      <c r="A26" s="764"/>
      <c r="B26" s="1086" t="s">
        <v>1886</v>
      </c>
      <c r="C26" s="1085" t="str">
        <f t="shared" si="0"/>
        <v>052</v>
      </c>
      <c r="D26" s="230"/>
      <c r="E26" s="1082" t="s">
        <v>1883</v>
      </c>
      <c r="F26" s="1082" t="str">
        <f>GL[[#This Row],[Line]]&amp;GL[[#This Row],[B/P]]</f>
        <v>BS</v>
      </c>
      <c r="G26" s="1081" t="str">
        <f>GL[[#This Row],[Account]]&amp;GL[[#This Row],[Line]]</f>
        <v>subtotal</v>
      </c>
      <c r="H26" s="1087">
        <f>ROUND(SUMIF(TB_curr[[#Headers],[#Data],[Lookup_line]],GL[[#This Row],[Lookup line]],TB_curr[[#Headers],[#Data],[Final balance]]),0)</f>
        <v>0</v>
      </c>
      <c r="I26" s="1087">
        <f>ROUND(SUMIF(TB_prev[[#Headers],[#Data],[Lookup_line]],GL[[#This Row],[Lookup line]],TB_prev[[#Headers],[#Data],[Final balance]]),0)</f>
        <v>0</v>
      </c>
    </row>
    <row r="27" spans="1:9" s="174" customFormat="1" ht="12" customHeight="1" x14ac:dyDescent="0.2">
      <c r="A27" s="764" t="s">
        <v>2073</v>
      </c>
      <c r="B27" s="1088" t="s">
        <v>610</v>
      </c>
      <c r="C27" s="1082" t="str">
        <f t="shared" si="0"/>
        <v/>
      </c>
      <c r="D27" s="230" t="s">
        <v>792</v>
      </c>
      <c r="E27" s="1082" t="s">
        <v>1883</v>
      </c>
      <c r="F27" s="1082" t="str">
        <f>GL[[#This Row],[Line]]&amp;GL[[#This Row],[B/P]]</f>
        <v>05BS</v>
      </c>
      <c r="G27" s="1084" t="str">
        <f>GL[[#This Row],[Account]]&amp;GL[[#This Row],[Line]]</f>
        <v>05205</v>
      </c>
      <c r="H27" s="1083">
        <f>ROUND(SUMIF(TB_curr[[#Headers],[#Data],[Lookup_line]],GL[[#This Row],[Lookup line]],TB_curr[[#Headers],[#Data],[Final balance]]),0)</f>
        <v>0</v>
      </c>
      <c r="I27" s="1083">
        <f>ROUND(SUMIF(TB_prev[[#Headers],[#Data],[Lookup_line]],GL[[#This Row],[Lookup line]],TB_prev[[#Headers],[#Data],[Final balance]]),0)</f>
        <v>0</v>
      </c>
    </row>
    <row r="28" spans="1:9" s="174" customFormat="1" ht="12" customHeight="1" x14ac:dyDescent="0.25">
      <c r="A28" s="764" t="s">
        <v>2074</v>
      </c>
      <c r="B28" s="1088" t="s">
        <v>610</v>
      </c>
      <c r="C28" s="1082" t="str">
        <f t="shared" si="0"/>
        <v/>
      </c>
      <c r="D28" s="230" t="s">
        <v>794</v>
      </c>
      <c r="E28" s="1082" t="s">
        <v>1883</v>
      </c>
      <c r="F28" s="1082" t="str">
        <f>GL[[#This Row],[Line]]&amp;GL[[#This Row],[B/P]]</f>
        <v>06BS</v>
      </c>
      <c r="G28" s="1081" t="str">
        <f>GL[[#This Row],[Account]]&amp;GL[[#This Row],[Line]]</f>
        <v>05206</v>
      </c>
      <c r="H28" s="1087">
        <f>ROUND(SUMIF(TB_curr[[#Headers],[#Data],[Lookup_line]],GL[[#This Row],[Lookup line]],TB_curr[[#Headers],[#Data],[Final balance]]),0)</f>
        <v>0</v>
      </c>
      <c r="I28" s="1087">
        <f>ROUND(SUMIF(TB_prev[[#Headers],[#Data],[Lookup_line]],GL[[#This Row],[Lookup line]],TB_prev[[#Headers],[#Data],[Final balance]]),0)</f>
        <v>0</v>
      </c>
    </row>
    <row r="29" spans="1:9" s="174" customFormat="1" ht="12" customHeight="1" x14ac:dyDescent="0.25">
      <c r="A29" s="764" t="s">
        <v>2075</v>
      </c>
      <c r="B29" s="1088" t="s">
        <v>610</v>
      </c>
      <c r="C29" s="1082" t="str">
        <f t="shared" si="0"/>
        <v/>
      </c>
      <c r="D29" s="230" t="s">
        <v>796</v>
      </c>
      <c r="E29" s="1082" t="s">
        <v>1883</v>
      </c>
      <c r="F29" s="1082" t="str">
        <f>GL[[#This Row],[Line]]&amp;GL[[#This Row],[B/P]]</f>
        <v>07BS</v>
      </c>
      <c r="G29" s="1081" t="str">
        <f>GL[[#This Row],[Account]]&amp;GL[[#This Row],[Line]]</f>
        <v>05207</v>
      </c>
      <c r="H29" s="1087">
        <f>ROUND(SUMIF(TB_curr[[#Headers],[#Data],[Lookup_line]],GL[[#This Row],[Lookup line]],TB_curr[[#Headers],[#Data],[Final balance]]),0)</f>
        <v>0</v>
      </c>
      <c r="I29" s="1087">
        <f>ROUND(SUMIF(TB_prev[[#Headers],[#Data],[Lookup_line]],GL[[#This Row],[Lookup line]],TB_prev[[#Headers],[#Data],[Final balance]]),0)</f>
        <v>0</v>
      </c>
    </row>
    <row r="30" spans="1:9" s="174" customFormat="1" ht="12" customHeight="1" x14ac:dyDescent="0.25">
      <c r="A30" s="764"/>
      <c r="B30" s="1086" t="s">
        <v>1886</v>
      </c>
      <c r="C30" s="1085" t="str">
        <f t="shared" si="0"/>
        <v>053</v>
      </c>
      <c r="D30" s="230"/>
      <c r="E30" s="1082" t="s">
        <v>1883</v>
      </c>
      <c r="F30" s="1082" t="str">
        <f>GL[[#This Row],[Line]]&amp;GL[[#This Row],[B/P]]</f>
        <v>BS</v>
      </c>
      <c r="G30" s="1081" t="str">
        <f>GL[[#This Row],[Account]]&amp;GL[[#This Row],[Line]]</f>
        <v>subtotal</v>
      </c>
      <c r="H30" s="1087">
        <f>ROUND(SUMIF(TB_curr[[#Headers],[#Data],[Lookup_line]],GL[[#This Row],[Lookup line]],TB_curr[[#Headers],[#Data],[Final balance]]),0)</f>
        <v>0</v>
      </c>
      <c r="I30" s="1087">
        <f>ROUND(SUMIF(TB_prev[[#Headers],[#Data],[Lookup_line]],GL[[#This Row],[Lookup line]],TB_prev[[#Headers],[#Data],[Final balance]]),0)</f>
        <v>0</v>
      </c>
    </row>
    <row r="31" spans="1:9" s="174" customFormat="1" ht="12" customHeight="1" x14ac:dyDescent="0.2">
      <c r="A31" s="764" t="s">
        <v>2078</v>
      </c>
      <c r="B31" s="1088" t="s">
        <v>612</v>
      </c>
      <c r="C31" s="1082" t="str">
        <f t="shared" si="0"/>
        <v/>
      </c>
      <c r="D31" s="230" t="s">
        <v>804</v>
      </c>
      <c r="E31" s="1082" t="s">
        <v>1883</v>
      </c>
      <c r="F31" s="1082" t="str">
        <f>GL[[#This Row],[Line]]&amp;GL[[#This Row],[B/P]]</f>
        <v>10BS</v>
      </c>
      <c r="G31" s="1084" t="str">
        <f>GL[[#This Row],[Account]]&amp;GL[[#This Row],[Line]]</f>
        <v>05310</v>
      </c>
      <c r="H31" s="1083">
        <f>ROUND(SUMIF(TB_curr[[#Headers],[#Data],[Lookup_line]],GL[[#This Row],[Lookup line]],TB_curr[[#Headers],[#Data],[Final balance]]),0)</f>
        <v>0</v>
      </c>
      <c r="I31" s="1083">
        <f>ROUND(SUMIF(TB_prev[[#Headers],[#Data],[Lookup_line]],GL[[#This Row],[Lookup line]],TB_prev[[#Headers],[#Data],[Final balance]]),0)</f>
        <v>0</v>
      </c>
    </row>
    <row r="32" spans="1:9" s="174" customFormat="1" ht="12" customHeight="1" x14ac:dyDescent="0.25">
      <c r="A32" s="764" t="s">
        <v>2079</v>
      </c>
      <c r="B32" s="1088" t="s">
        <v>612</v>
      </c>
      <c r="C32" s="1082" t="str">
        <f t="shared" si="0"/>
        <v/>
      </c>
      <c r="D32" s="230" t="s">
        <v>806</v>
      </c>
      <c r="E32" s="1082" t="s">
        <v>1883</v>
      </c>
      <c r="F32" s="1082" t="str">
        <f>GL[[#This Row],[Line]]&amp;GL[[#This Row],[B/P]]</f>
        <v>11BS</v>
      </c>
      <c r="G32" s="1081" t="str">
        <f>GL[[#This Row],[Account]]&amp;GL[[#This Row],[Line]]</f>
        <v>05311</v>
      </c>
      <c r="H32" s="1087">
        <f>ROUND(SUMIF(TB_curr[[#Headers],[#Data],[Lookup_line]],GL[[#This Row],[Lookup line]],TB_curr[[#Headers],[#Data],[Final balance]]),0)</f>
        <v>0</v>
      </c>
      <c r="I32" s="1087">
        <f>ROUND(SUMIF(TB_prev[[#Headers],[#Data],[Lookup_line]],GL[[#This Row],[Lookup line]],TB_prev[[#Headers],[#Data],[Final balance]]),0)</f>
        <v>0</v>
      </c>
    </row>
    <row r="33" spans="1:9" s="174" customFormat="1" ht="12" customHeight="1" x14ac:dyDescent="0.25">
      <c r="A33" s="764" t="s">
        <v>2078</v>
      </c>
      <c r="B33" s="1088" t="s">
        <v>631</v>
      </c>
      <c r="C33" s="1082" t="str">
        <f t="shared" si="0"/>
        <v/>
      </c>
      <c r="D33" s="230" t="s">
        <v>804</v>
      </c>
      <c r="E33" s="1082" t="s">
        <v>1883</v>
      </c>
      <c r="F33" s="1082" t="str">
        <f>GL[[#This Row],[Line]]&amp;GL[[#This Row],[B/P]]</f>
        <v>10BS</v>
      </c>
      <c r="G33" s="1081" t="str">
        <f>GL[[#This Row],[Account]]&amp;GL[[#This Row],[Line]]</f>
        <v>06110</v>
      </c>
      <c r="H33" s="1087">
        <f>ROUND(SUMIF(TB_curr[[#Headers],[#Data],[Lookup_line]],GL[[#This Row],[Lookup line]],TB_curr[[#Headers],[#Data],[Final balance]]),0)</f>
        <v>0</v>
      </c>
      <c r="I33" s="1087">
        <f>ROUND(SUMIF(TB_prev[[#Headers],[#Data],[Lookup_line]],GL[[#This Row],[Lookup line]],TB_prev[[#Headers],[#Data],[Final balance]]),0)</f>
        <v>0</v>
      </c>
    </row>
    <row r="34" spans="1:9" s="174" customFormat="1" ht="12" customHeight="1" x14ac:dyDescent="0.25">
      <c r="A34" s="764" t="s">
        <v>2078</v>
      </c>
      <c r="B34" s="1088" t="s">
        <v>634</v>
      </c>
      <c r="C34" s="1082" t="str">
        <f t="shared" si="0"/>
        <v/>
      </c>
      <c r="D34" s="230" t="s">
        <v>804</v>
      </c>
      <c r="E34" s="1082" t="s">
        <v>1883</v>
      </c>
      <c r="F34" s="1082" t="str">
        <f>GL[[#This Row],[Line]]&amp;GL[[#This Row],[B/P]]</f>
        <v>10BS</v>
      </c>
      <c r="G34" s="1081" t="str">
        <f>GL[[#This Row],[Account]]&amp;GL[[#This Row],[Line]]</f>
        <v>06210</v>
      </c>
      <c r="H34" s="1087">
        <f>ROUND(SUMIF(TB_curr[[#Headers],[#Data],[Lookup_line]],GL[[#This Row],[Lookup line]],TB_curr[[#Headers],[#Data],[Final balance]]),0)</f>
        <v>0</v>
      </c>
      <c r="I34" s="1087">
        <f>ROUND(SUMIF(TB_prev[[#Headers],[#Data],[Lookup_line]],GL[[#This Row],[Lookup line]],TB_prev[[#Headers],[#Data],[Final balance]]),0)</f>
        <v>0</v>
      </c>
    </row>
    <row r="35" spans="1:9" s="174" customFormat="1" ht="12" customHeight="1" x14ac:dyDescent="0.2">
      <c r="A35" s="764" t="s">
        <v>2078</v>
      </c>
      <c r="B35" s="1088" t="s">
        <v>636</v>
      </c>
      <c r="C35" s="1082" t="str">
        <f t="shared" si="0"/>
        <v/>
      </c>
      <c r="D35" s="230" t="s">
        <v>804</v>
      </c>
      <c r="E35" s="1082" t="s">
        <v>1883</v>
      </c>
      <c r="F35" s="1082" t="str">
        <f>GL[[#This Row],[Line]]&amp;GL[[#This Row],[B/P]]</f>
        <v>10BS</v>
      </c>
      <c r="G35" s="1084" t="str">
        <f>GL[[#This Row],[Account]]&amp;GL[[#This Row],[Line]]</f>
        <v>06310</v>
      </c>
      <c r="H35" s="1083">
        <f>ROUND(SUMIF(TB_curr[[#Headers],[#Data],[Lookup_line]],GL[[#This Row],[Lookup line]],TB_curr[[#Headers],[#Data],[Final balance]]),0)</f>
        <v>0</v>
      </c>
      <c r="I35" s="1083">
        <f>ROUND(SUMIF(TB_prev[[#Headers],[#Data],[Lookup_line]],GL[[#This Row],[Lookup line]],TB_prev[[#Headers],[#Data],[Final balance]]),0)</f>
        <v>0</v>
      </c>
    </row>
    <row r="36" spans="1:9" s="174" customFormat="1" ht="12" customHeight="1" x14ac:dyDescent="0.25">
      <c r="A36" s="764"/>
      <c r="B36" s="1086" t="s">
        <v>1886</v>
      </c>
      <c r="C36" s="1085" t="str">
        <f t="shared" si="0"/>
        <v>065</v>
      </c>
      <c r="D36" s="230"/>
      <c r="E36" s="1082" t="s">
        <v>1883</v>
      </c>
      <c r="F36" s="1082" t="str">
        <f>GL[[#This Row],[Line]]&amp;GL[[#This Row],[B/P]]</f>
        <v>BS</v>
      </c>
      <c r="G36" s="1081" t="str">
        <f>GL[[#This Row],[Account]]&amp;GL[[#This Row],[Line]]</f>
        <v>subtotal</v>
      </c>
      <c r="H36" s="1087">
        <f>ROUND(SUMIF(TB_curr[[#Headers],[#Data],[Lookup_line]],GL[[#This Row],[Lookup line]],TB_curr[[#Headers],[#Data],[Final balance]]),0)</f>
        <v>0</v>
      </c>
      <c r="I36" s="1087">
        <f>ROUND(SUMIF(TB_prev[[#Headers],[#Data],[Lookup_line]],GL[[#This Row],[Lookup line]],TB_prev[[#Headers],[#Data],[Final balance]]),0)</f>
        <v>0</v>
      </c>
    </row>
    <row r="37" spans="1:9" s="174" customFormat="1" ht="12" customHeight="1" x14ac:dyDescent="0.25">
      <c r="A37" s="764" t="s">
        <v>2079</v>
      </c>
      <c r="B37" s="1088" t="s">
        <v>640</v>
      </c>
      <c r="C37" s="1082" t="str">
        <f t="shared" si="0"/>
        <v/>
      </c>
      <c r="D37" s="230" t="s">
        <v>806</v>
      </c>
      <c r="E37" s="1082" t="s">
        <v>1883</v>
      </c>
      <c r="F37" s="1082" t="str">
        <f>GL[[#This Row],[Line]]&amp;GL[[#This Row],[B/P]]</f>
        <v>11BS</v>
      </c>
      <c r="G37" s="1081" t="str">
        <f>GL[[#This Row],[Account]]&amp;GL[[#This Row],[Line]]</f>
        <v>06511</v>
      </c>
      <c r="H37" s="1087">
        <f>ROUND(SUMIF(TB_curr[[#Headers],[#Data],[Lookup_line]],GL[[#This Row],[Lookup line]],TB_curr[[#Headers],[#Data],[Final balance]]),0)</f>
        <v>0</v>
      </c>
      <c r="I37" s="1087">
        <f>ROUND(SUMIF(TB_prev[[#Headers],[#Data],[Lookup_line]],GL[[#This Row],[Lookup line]],TB_prev[[#Headers],[#Data],[Final balance]]),0)</f>
        <v>0</v>
      </c>
    </row>
    <row r="38" spans="1:9" s="174" customFormat="1" ht="12" customHeight="1" x14ac:dyDescent="0.2">
      <c r="A38" s="764" t="s">
        <v>2080</v>
      </c>
      <c r="B38" s="1088" t="s">
        <v>640</v>
      </c>
      <c r="C38" s="1082" t="str">
        <f t="shared" si="0"/>
        <v/>
      </c>
      <c r="D38" s="230" t="s">
        <v>810</v>
      </c>
      <c r="E38" s="1082" t="s">
        <v>1883</v>
      </c>
      <c r="F38" s="1082" t="str">
        <f>GL[[#This Row],[Line]]&amp;GL[[#This Row],[B/P]]</f>
        <v>13BS</v>
      </c>
      <c r="G38" s="1084" t="str">
        <f>GL[[#This Row],[Account]]&amp;GL[[#This Row],[Line]]</f>
        <v>06513</v>
      </c>
      <c r="H38" s="1083">
        <f>ROUND(SUMIF(TB_curr[[#Headers],[#Data],[Lookup_line]],GL[[#This Row],[Lookup line]],TB_curr[[#Headers],[#Data],[Final balance]]),0)</f>
        <v>0</v>
      </c>
      <c r="I38" s="1083">
        <f>ROUND(SUMIF(TB_prev[[#Headers],[#Data],[Lookup_line]],GL[[#This Row],[Lookup line]],TB_prev[[#Headers],[#Data],[Final balance]]),0)</f>
        <v>0</v>
      </c>
    </row>
    <row r="39" spans="1:9" s="174" customFormat="1" ht="12" customHeight="1" x14ac:dyDescent="0.25">
      <c r="A39" s="764"/>
      <c r="B39" s="1086" t="s">
        <v>1886</v>
      </c>
      <c r="C39" s="1085" t="str">
        <f t="shared" si="0"/>
        <v>066</v>
      </c>
      <c r="D39" s="230"/>
      <c r="E39" s="1082" t="s">
        <v>1883</v>
      </c>
      <c r="F39" s="1082" t="str">
        <f>GL[[#This Row],[Line]]&amp;GL[[#This Row],[B/P]]</f>
        <v>BS</v>
      </c>
      <c r="G39" s="1081" t="str">
        <f>GL[[#This Row],[Account]]&amp;GL[[#This Row],[Line]]</f>
        <v>subtotal</v>
      </c>
      <c r="H39" s="1087">
        <f>ROUND(SUMIF(TB_curr[[#Headers],[#Data],[Lookup_line]],GL[[#This Row],[Lookup line]],TB_curr[[#Headers],[#Data],[Final balance]]),0)</f>
        <v>0</v>
      </c>
      <c r="I39" s="1087">
        <f>ROUND(SUMIF(TB_prev[[#Headers],[#Data],[Lookup_line]],GL[[#This Row],[Lookup line]],TB_prev[[#Headers],[#Data],[Final balance]]),0)</f>
        <v>0</v>
      </c>
    </row>
    <row r="40" spans="1:9" s="174" customFormat="1" ht="12" customHeight="1" x14ac:dyDescent="0.25">
      <c r="A40" s="764" t="s">
        <v>2079</v>
      </c>
      <c r="B40" s="1088" t="s">
        <v>647</v>
      </c>
      <c r="C40" s="1082" t="str">
        <f t="shared" si="0"/>
        <v/>
      </c>
      <c r="D40" s="230" t="s">
        <v>806</v>
      </c>
      <c r="E40" s="1082" t="s">
        <v>1883</v>
      </c>
      <c r="F40" s="1082" t="str">
        <f>GL[[#This Row],[Line]]&amp;GL[[#This Row],[B/P]]</f>
        <v>11BS</v>
      </c>
      <c r="G40" s="1081" t="str">
        <f>GL[[#This Row],[Account]]&amp;GL[[#This Row],[Line]]</f>
        <v>06611</v>
      </c>
      <c r="H40" s="1087">
        <f>ROUND(SUMIF(TB_curr[[#Headers],[#Data],[Lookup_line]],GL[[#This Row],[Lookup line]],TB_curr[[#Headers],[#Data],[Final balance]]),0)</f>
        <v>0</v>
      </c>
      <c r="I40" s="1087">
        <f>ROUND(SUMIF(TB_prev[[#Headers],[#Data],[Lookup_line]],GL[[#This Row],[Lookup line]],TB_prev[[#Headers],[#Data],[Final balance]]),0)</f>
        <v>0</v>
      </c>
    </row>
    <row r="41" spans="1:9" s="174" customFormat="1" ht="12" customHeight="1" x14ac:dyDescent="0.25">
      <c r="A41" s="764" t="s">
        <v>2080</v>
      </c>
      <c r="B41" s="1088" t="s">
        <v>647</v>
      </c>
      <c r="C41" s="1082" t="str">
        <f t="shared" si="0"/>
        <v/>
      </c>
      <c r="D41" s="230" t="s">
        <v>810</v>
      </c>
      <c r="E41" s="1082" t="s">
        <v>1883</v>
      </c>
      <c r="F41" s="1082" t="str">
        <f>GL[[#This Row],[Line]]&amp;GL[[#This Row],[B/P]]</f>
        <v>13BS</v>
      </c>
      <c r="G41" s="1081" t="str">
        <f>GL[[#This Row],[Account]]&amp;GL[[#This Row],[Line]]</f>
        <v>06613</v>
      </c>
      <c r="H41" s="1087">
        <f>ROUND(SUMIF(TB_curr[[#Headers],[#Data],[Lookup_line]],GL[[#This Row],[Lookup line]],TB_curr[[#Headers],[#Data],[Final balance]]),0)</f>
        <v>0</v>
      </c>
      <c r="I41" s="1087">
        <f>ROUND(SUMIF(TB_prev[[#Headers],[#Data],[Lookup_line]],GL[[#This Row],[Lookup line]],TB_prev[[#Headers],[#Data],[Final balance]]),0)</f>
        <v>0</v>
      </c>
    </row>
    <row r="42" spans="1:9" s="174" customFormat="1" ht="12" customHeight="1" x14ac:dyDescent="0.25">
      <c r="A42" s="764"/>
      <c r="B42" s="1086" t="s">
        <v>1886</v>
      </c>
      <c r="C42" s="1085" t="str">
        <f t="shared" si="0"/>
        <v>067</v>
      </c>
      <c r="D42" s="230"/>
      <c r="E42" s="1082" t="s">
        <v>1883</v>
      </c>
      <c r="F42" s="1082" t="str">
        <f>GL[[#This Row],[Line]]&amp;GL[[#This Row],[B/P]]</f>
        <v>BS</v>
      </c>
      <c r="G42" s="1081" t="str">
        <f>GL[[#This Row],[Account]]&amp;GL[[#This Row],[Line]]</f>
        <v>subtotal</v>
      </c>
      <c r="H42" s="1087">
        <f>ROUND(SUMIF(TB_curr[[#Headers],[#Data],[Lookup_line]],GL[[#This Row],[Lookup line]],TB_curr[[#Headers],[#Data],[Final balance]]),0)</f>
        <v>0</v>
      </c>
      <c r="I42" s="1087">
        <f>ROUND(SUMIF(TB_prev[[#Headers],[#Data],[Lookup_line]],GL[[#This Row],[Lookup line]],TB_prev[[#Headers],[#Data],[Final balance]]),0)</f>
        <v>0</v>
      </c>
    </row>
    <row r="43" spans="1:9" s="174" customFormat="1" ht="12" customHeight="1" x14ac:dyDescent="0.25">
      <c r="A43" s="764" t="s">
        <v>2079</v>
      </c>
      <c r="B43" s="1088" t="s">
        <v>649</v>
      </c>
      <c r="C43" s="1082" t="str">
        <f t="shared" si="0"/>
        <v/>
      </c>
      <c r="D43" s="230" t="s">
        <v>806</v>
      </c>
      <c r="E43" s="1082" t="s">
        <v>1883</v>
      </c>
      <c r="F43" s="1082" t="str">
        <f>GL[[#This Row],[Line]]&amp;GL[[#This Row],[B/P]]</f>
        <v>11BS</v>
      </c>
      <c r="G43" s="1081" t="str">
        <f>GL[[#This Row],[Account]]&amp;GL[[#This Row],[Line]]</f>
        <v>06711</v>
      </c>
      <c r="H43" s="1087">
        <f>ROUND(SUMIF(TB_curr[[#Headers],[#Data],[Lookup_line]],GL[[#This Row],[Lookup line]],TB_curr[[#Headers],[#Data],[Final balance]]),0)</f>
        <v>0</v>
      </c>
      <c r="I43" s="1087">
        <f>ROUND(SUMIF(TB_prev[[#Headers],[#Data],[Lookup_line]],GL[[#This Row],[Lookup line]],TB_prev[[#Headers],[#Data],[Final balance]]),0)</f>
        <v>0</v>
      </c>
    </row>
    <row r="44" spans="1:9" s="174" customFormat="1" ht="12" customHeight="1" x14ac:dyDescent="0.25">
      <c r="A44" s="764" t="s">
        <v>2080</v>
      </c>
      <c r="B44" s="1088" t="s">
        <v>649</v>
      </c>
      <c r="C44" s="1082" t="str">
        <f t="shared" si="0"/>
        <v/>
      </c>
      <c r="D44" s="230" t="s">
        <v>810</v>
      </c>
      <c r="E44" s="1082" t="s">
        <v>1883</v>
      </c>
      <c r="F44" s="1082" t="str">
        <f>GL[[#This Row],[Line]]&amp;GL[[#This Row],[B/P]]</f>
        <v>13BS</v>
      </c>
      <c r="G44" s="1081" t="str">
        <f>GL[[#This Row],[Account]]&amp;GL[[#This Row],[Line]]</f>
        <v>06713</v>
      </c>
      <c r="H44" s="1087">
        <f>ROUND(SUMIF(TB_curr[[#Headers],[#Data],[Lookup_line]],GL[[#This Row],[Lookup line]],TB_curr[[#Headers],[#Data],[Final balance]]),0)</f>
        <v>0</v>
      </c>
      <c r="I44" s="1087">
        <f>ROUND(SUMIF(TB_prev[[#Headers],[#Data],[Lookup_line]],GL[[#This Row],[Lookup line]],TB_prev[[#Headers],[#Data],[Final balance]]),0)</f>
        <v>0</v>
      </c>
    </row>
    <row r="45" spans="1:9" s="174" customFormat="1" ht="12" customHeight="1" x14ac:dyDescent="0.25">
      <c r="A45" s="764" t="s">
        <v>2079</v>
      </c>
      <c r="B45" s="1088" t="s">
        <v>653</v>
      </c>
      <c r="C45" s="1082" t="str">
        <f t="shared" si="0"/>
        <v/>
      </c>
      <c r="D45" s="230" t="s">
        <v>806</v>
      </c>
      <c r="E45" s="1082" t="s">
        <v>1883</v>
      </c>
      <c r="F45" s="1082" t="str">
        <f>GL[[#This Row],[Line]]&amp;GL[[#This Row],[B/P]]</f>
        <v>11BS</v>
      </c>
      <c r="G45" s="1081" t="str">
        <f>GL[[#This Row],[Account]]&amp;GL[[#This Row],[Line]]</f>
        <v>06911</v>
      </c>
      <c r="H45" s="1087">
        <f>ROUND(SUMIF(TB_curr[[#Headers],[#Data],[Lookup_line]],GL[[#This Row],[Lookup line]],TB_curr[[#Headers],[#Data],[Final balance]]),0)</f>
        <v>0</v>
      </c>
      <c r="I45" s="1087">
        <f>ROUND(SUMIF(TB_prev[[#Headers],[#Data],[Lookup_line]],GL[[#This Row],[Lookup line]],TB_prev[[#Headers],[#Data],[Final balance]]),0)</f>
        <v>0</v>
      </c>
    </row>
    <row r="46" spans="1:9" s="174" customFormat="1" ht="12" customHeight="1" x14ac:dyDescent="0.25">
      <c r="A46" s="764" t="s">
        <v>2071</v>
      </c>
      <c r="B46" s="1088" t="s">
        <v>659</v>
      </c>
      <c r="C46" s="1082" t="str">
        <f t="shared" si="0"/>
        <v/>
      </c>
      <c r="D46" s="230" t="s">
        <v>786</v>
      </c>
      <c r="E46" s="1082" t="s">
        <v>1883</v>
      </c>
      <c r="F46" s="1082" t="str">
        <f>GL[[#This Row],[Line]]&amp;GL[[#This Row],[B/P]]</f>
        <v>03BS</v>
      </c>
      <c r="G46" s="1081" t="str">
        <f>GL[[#This Row],[Account]]&amp;GL[[#This Row],[Line]]</f>
        <v>07203</v>
      </c>
      <c r="H46" s="1087">
        <f>ROUND(SUMIF(TB_curr[[#Headers],[#Data],[Lookup_line]],GL[[#This Row],[Lookup line]],TB_curr[[#Headers],[#Data],[Final balance]]),0)</f>
        <v>0</v>
      </c>
      <c r="I46" s="1087">
        <f>ROUND(SUMIF(TB_prev[[#Headers],[#Data],[Lookup_line]],GL[[#This Row],[Lookup line]],TB_prev[[#Headers],[#Data],[Final balance]]),0)</f>
        <v>0</v>
      </c>
    </row>
    <row r="47" spans="1:9" s="174" customFormat="1" ht="12" customHeight="1" x14ac:dyDescent="0.25">
      <c r="A47" s="764" t="s">
        <v>2071</v>
      </c>
      <c r="B47" s="1088" t="s">
        <v>661</v>
      </c>
      <c r="C47" s="1082" t="str">
        <f t="shared" si="0"/>
        <v/>
      </c>
      <c r="D47" s="230" t="s">
        <v>786</v>
      </c>
      <c r="E47" s="1082" t="s">
        <v>1883</v>
      </c>
      <c r="F47" s="1082" t="str">
        <f>GL[[#This Row],[Line]]&amp;GL[[#This Row],[B/P]]</f>
        <v>03BS</v>
      </c>
      <c r="G47" s="1081" t="str">
        <f>GL[[#This Row],[Account]]&amp;GL[[#This Row],[Line]]</f>
        <v>07303</v>
      </c>
      <c r="H47" s="1087">
        <f>ROUND(SUMIF(TB_curr[[#Headers],[#Data],[Lookup_line]],GL[[#This Row],[Lookup line]],TB_curr[[#Headers],[#Data],[Final balance]]),0)</f>
        <v>0</v>
      </c>
      <c r="I47" s="1087">
        <f>ROUND(SUMIF(TB_prev[[#Headers],[#Data],[Lookup_line]],GL[[#This Row],[Lookup line]],TB_prev[[#Headers],[#Data],[Final balance]]),0)</f>
        <v>0</v>
      </c>
    </row>
    <row r="48" spans="1:9" s="174" customFormat="1" ht="12" customHeight="1" x14ac:dyDescent="0.25">
      <c r="A48" s="764" t="s">
        <v>2071</v>
      </c>
      <c r="B48" s="1088" t="s">
        <v>663</v>
      </c>
      <c r="C48" s="1082" t="str">
        <f t="shared" si="0"/>
        <v/>
      </c>
      <c r="D48" s="230" t="s">
        <v>786</v>
      </c>
      <c r="E48" s="1082" t="s">
        <v>1883</v>
      </c>
      <c r="F48" s="1082" t="str">
        <f>GL[[#This Row],[Line]]&amp;GL[[#This Row],[B/P]]</f>
        <v>03BS</v>
      </c>
      <c r="G48" s="1081" t="str">
        <f>GL[[#This Row],[Account]]&amp;GL[[#This Row],[Line]]</f>
        <v>07403</v>
      </c>
      <c r="H48" s="1087">
        <f>ROUND(SUMIF(TB_curr[[#Headers],[#Data],[Lookup_line]],GL[[#This Row],[Lookup line]],TB_curr[[#Headers],[#Data],[Final balance]]),0)</f>
        <v>0</v>
      </c>
      <c r="I48" s="1087">
        <f>ROUND(SUMIF(TB_prev[[#Headers],[#Data],[Lookup_line]],GL[[#This Row],[Lookup line]],TB_prev[[#Headers],[#Data],[Final balance]]),0)</f>
        <v>0</v>
      </c>
    </row>
    <row r="49" spans="1:9" s="174" customFormat="1" ht="12" customHeight="1" x14ac:dyDescent="0.25">
      <c r="A49" s="764" t="s">
        <v>2071</v>
      </c>
      <c r="B49" s="1088" t="s">
        <v>665</v>
      </c>
      <c r="C49" s="1082" t="str">
        <f t="shared" si="0"/>
        <v/>
      </c>
      <c r="D49" s="230" t="s">
        <v>786</v>
      </c>
      <c r="E49" s="1082" t="s">
        <v>1883</v>
      </c>
      <c r="F49" s="1082" t="str">
        <f>GL[[#This Row],[Line]]&amp;GL[[#This Row],[B/P]]</f>
        <v>03BS</v>
      </c>
      <c r="G49" s="1081" t="str">
        <f>GL[[#This Row],[Account]]&amp;GL[[#This Row],[Line]]</f>
        <v>07503</v>
      </c>
      <c r="H49" s="1087">
        <f>ROUND(SUMIF(TB_curr[[#Headers],[#Data],[Lookup_line]],GL[[#This Row],[Lookup line]],TB_curr[[#Headers],[#Data],[Final balance]]),0)</f>
        <v>0</v>
      </c>
      <c r="I49" s="1087">
        <f>ROUND(SUMIF(TB_prev[[#Headers],[#Data],[Lookup_line]],GL[[#This Row],[Lookup line]],TB_prev[[#Headers],[#Data],[Final balance]]),0)</f>
        <v>0</v>
      </c>
    </row>
    <row r="50" spans="1:9" s="174" customFormat="1" ht="12" customHeight="1" x14ac:dyDescent="0.25">
      <c r="A50" s="764" t="s">
        <v>2071</v>
      </c>
      <c r="B50" s="1088" t="s">
        <v>673</v>
      </c>
      <c r="C50" s="1082" t="str">
        <f t="shared" si="0"/>
        <v/>
      </c>
      <c r="D50" s="230" t="s">
        <v>786</v>
      </c>
      <c r="E50" s="1082" t="s">
        <v>1883</v>
      </c>
      <c r="F50" s="1082" t="str">
        <f>GL[[#This Row],[Line]]&amp;GL[[#This Row],[B/P]]</f>
        <v>03BS</v>
      </c>
      <c r="G50" s="1081" t="str">
        <f>GL[[#This Row],[Account]]&amp;GL[[#This Row],[Line]]</f>
        <v>07903</v>
      </c>
      <c r="H50" s="1087">
        <f>ROUND(SUMIF(TB_curr[[#Headers],[#Data],[Lookup_line]],GL[[#This Row],[Lookup line]],TB_curr[[#Headers],[#Data],[Final balance]]),0)</f>
        <v>0</v>
      </c>
      <c r="I50" s="1087">
        <f>ROUND(SUMIF(TB_prev[[#Headers],[#Data],[Lookup_line]],GL[[#This Row],[Lookup line]],TB_prev[[#Headers],[#Data],[Final balance]]),0)</f>
        <v>0</v>
      </c>
    </row>
    <row r="51" spans="1:9" s="174" customFormat="1" ht="12" customHeight="1" x14ac:dyDescent="0.2">
      <c r="A51" s="764" t="s">
        <v>2073</v>
      </c>
      <c r="B51" s="1088" t="s">
        <v>677</v>
      </c>
      <c r="C51" s="1082" t="str">
        <f t="shared" si="0"/>
        <v/>
      </c>
      <c r="D51" s="230" t="s">
        <v>792</v>
      </c>
      <c r="E51" s="1082" t="s">
        <v>1883</v>
      </c>
      <c r="F51" s="1082" t="str">
        <f>GL[[#This Row],[Line]]&amp;GL[[#This Row],[B/P]]</f>
        <v>05BS</v>
      </c>
      <c r="G51" s="1084" t="str">
        <f>GL[[#This Row],[Account]]&amp;GL[[#This Row],[Line]]</f>
        <v>08105</v>
      </c>
      <c r="H51" s="1083">
        <f>ROUND(SUMIF(TB_curr[[#Headers],[#Data],[Lookup_line]],GL[[#This Row],[Lookup line]],TB_curr[[#Headers],[#Data],[Final balance]]),0)</f>
        <v>0</v>
      </c>
      <c r="I51" s="1083">
        <f>ROUND(SUMIF(TB_prev[[#Headers],[#Data],[Lookup_line]],GL[[#This Row],[Lookup line]],TB_prev[[#Headers],[#Data],[Final balance]]),0)</f>
        <v>0</v>
      </c>
    </row>
    <row r="52" spans="1:9" s="174" customFormat="1" ht="12" customHeight="1" x14ac:dyDescent="0.25">
      <c r="A52" s="764" t="s">
        <v>2074</v>
      </c>
      <c r="B52" s="1088" t="s">
        <v>679</v>
      </c>
      <c r="C52" s="1082" t="str">
        <f t="shared" si="0"/>
        <v/>
      </c>
      <c r="D52" s="230" t="s">
        <v>794</v>
      </c>
      <c r="E52" s="1082" t="s">
        <v>1883</v>
      </c>
      <c r="F52" s="1082" t="str">
        <f>GL[[#This Row],[Line]]&amp;GL[[#This Row],[B/P]]</f>
        <v>06BS</v>
      </c>
      <c r="G52" s="1081" t="str">
        <f>GL[[#This Row],[Account]]&amp;GL[[#This Row],[Line]]</f>
        <v>08206</v>
      </c>
      <c r="H52" s="1087">
        <f>ROUND(SUMIF(TB_curr[[#Headers],[#Data],[Lookup_line]],GL[[#This Row],[Lookup line]],TB_curr[[#Headers],[#Data],[Final balance]]),0)</f>
        <v>0</v>
      </c>
      <c r="I52" s="1087">
        <f>ROUND(SUMIF(TB_prev[[#Headers],[#Data],[Lookup_line]],GL[[#This Row],[Lookup line]],TB_prev[[#Headers],[#Data],[Final balance]]),0)</f>
        <v>0</v>
      </c>
    </row>
    <row r="53" spans="1:9" s="174" customFormat="1" ht="12" customHeight="1" x14ac:dyDescent="0.25">
      <c r="A53" s="764" t="s">
        <v>2075</v>
      </c>
      <c r="B53" s="1088" t="s">
        <v>687</v>
      </c>
      <c r="C53" s="1082" t="str">
        <f t="shared" si="0"/>
        <v/>
      </c>
      <c r="D53" s="230" t="s">
        <v>796</v>
      </c>
      <c r="E53" s="1082" t="s">
        <v>1883</v>
      </c>
      <c r="F53" s="1082" t="str">
        <f>GL[[#This Row],[Line]]&amp;GL[[#This Row],[B/P]]</f>
        <v>07BS</v>
      </c>
      <c r="G53" s="1081" t="str">
        <f>GL[[#This Row],[Account]]&amp;GL[[#This Row],[Line]]</f>
        <v>08507</v>
      </c>
      <c r="H53" s="1087">
        <f>ROUND(SUMIF(TB_curr[[#Headers],[#Data],[Lookup_line]],GL[[#This Row],[Lookup line]],TB_curr[[#Headers],[#Data],[Final balance]]),0)</f>
        <v>0</v>
      </c>
      <c r="I53" s="1087">
        <f>ROUND(SUMIF(TB_prev[[#Headers],[#Data],[Lookup_line]],GL[[#This Row],[Lookup line]],TB_prev[[#Headers],[#Data],[Final balance]]),0)</f>
        <v>0</v>
      </c>
    </row>
    <row r="54" spans="1:9" s="174" customFormat="1" ht="12" customHeight="1" x14ac:dyDescent="0.25">
      <c r="A54" s="764" t="s">
        <v>2075</v>
      </c>
      <c r="B54" s="1088" t="s">
        <v>689</v>
      </c>
      <c r="C54" s="1082" t="str">
        <f t="shared" si="0"/>
        <v/>
      </c>
      <c r="D54" s="230" t="s">
        <v>796</v>
      </c>
      <c r="E54" s="1082" t="s">
        <v>1883</v>
      </c>
      <c r="F54" s="1082" t="str">
        <f>GL[[#This Row],[Line]]&amp;GL[[#This Row],[B/P]]</f>
        <v>07BS</v>
      </c>
      <c r="G54" s="1081" t="str">
        <f>GL[[#This Row],[Account]]&amp;GL[[#This Row],[Line]]</f>
        <v>08607</v>
      </c>
      <c r="H54" s="1087">
        <f>ROUND(SUMIF(TB_curr[[#Headers],[#Data],[Lookup_line]],GL[[#This Row],[Lookup line]],TB_curr[[#Headers],[#Data],[Final balance]]),0)</f>
        <v>0</v>
      </c>
      <c r="I54" s="1087">
        <f>ROUND(SUMIF(TB_prev[[#Headers],[#Data],[Lookup_line]],GL[[#This Row],[Lookup line]],TB_prev[[#Headers],[#Data],[Final balance]]),0)</f>
        <v>0</v>
      </c>
    </row>
    <row r="55" spans="1:9" s="174" customFormat="1" ht="12" customHeight="1" x14ac:dyDescent="0.25">
      <c r="A55" s="764" t="s">
        <v>2075</v>
      </c>
      <c r="B55" s="1088" t="s">
        <v>696</v>
      </c>
      <c r="C55" s="1082" t="str">
        <f t="shared" si="0"/>
        <v/>
      </c>
      <c r="D55" s="230" t="s">
        <v>796</v>
      </c>
      <c r="E55" s="1082" t="s">
        <v>1883</v>
      </c>
      <c r="F55" s="1082" t="str">
        <f>GL[[#This Row],[Line]]&amp;GL[[#This Row],[B/P]]</f>
        <v>07BS</v>
      </c>
      <c r="G55" s="1081" t="str">
        <f>GL[[#This Row],[Account]]&amp;GL[[#This Row],[Line]]</f>
        <v>08907</v>
      </c>
      <c r="H55" s="1087">
        <f>ROUND(SUMIF(TB_curr[[#Headers],[#Data],[Lookup_line]],GL[[#This Row],[Lookup line]],TB_curr[[#Headers],[#Data],[Final balance]]),0)</f>
        <v>0</v>
      </c>
      <c r="I55" s="1087">
        <f>ROUND(SUMIF(TB_prev[[#Headers],[#Data],[Lookup_line]],GL[[#This Row],[Lookup line]],TB_prev[[#Headers],[#Data],[Final balance]]),0)</f>
        <v>0</v>
      </c>
    </row>
    <row r="56" spans="1:9" s="174" customFormat="1" ht="12" customHeight="1" x14ac:dyDescent="0.25">
      <c r="A56" s="764" t="s">
        <v>2071</v>
      </c>
      <c r="B56" s="1088" t="s">
        <v>700</v>
      </c>
      <c r="C56" s="1082" t="str">
        <f t="shared" si="0"/>
        <v/>
      </c>
      <c r="D56" s="230" t="s">
        <v>786</v>
      </c>
      <c r="E56" s="1082" t="s">
        <v>1883</v>
      </c>
      <c r="F56" s="1082" t="str">
        <f>GL[[#This Row],[Line]]&amp;GL[[#This Row],[B/P]]</f>
        <v>03BS</v>
      </c>
      <c r="G56" s="1081" t="str">
        <f>GL[[#This Row],[Account]]&amp;GL[[#This Row],[Line]]</f>
        <v>09103</v>
      </c>
      <c r="H56" s="1087">
        <f>ROUND(SUMIF(TB_curr[[#Headers],[#Data],[Lookup_line]],GL[[#This Row],[Lookup line]],TB_curr[[#Headers],[#Data],[Final balance]]),0)</f>
        <v>0</v>
      </c>
      <c r="I56" s="1087">
        <f>ROUND(SUMIF(TB_prev[[#Headers],[#Data],[Lookup_line]],GL[[#This Row],[Lookup line]],TB_prev[[#Headers],[#Data],[Final balance]]),0)</f>
        <v>0</v>
      </c>
    </row>
    <row r="57" spans="1:9" s="174" customFormat="1" ht="12" customHeight="1" x14ac:dyDescent="0.2">
      <c r="A57" s="764"/>
      <c r="B57" s="1086" t="s">
        <v>1886</v>
      </c>
      <c r="C57" s="1085" t="str">
        <f t="shared" si="0"/>
        <v>092</v>
      </c>
      <c r="D57" s="230"/>
      <c r="E57" s="1082" t="s">
        <v>1883</v>
      </c>
      <c r="F57" s="1082" t="str">
        <f>GL[[#This Row],[Line]]&amp;GL[[#This Row],[B/P]]</f>
        <v>BS</v>
      </c>
      <c r="G57" s="1084" t="str">
        <f>GL[[#This Row],[Account]]&amp;GL[[#This Row],[Line]]</f>
        <v>subtotal</v>
      </c>
      <c r="H57" s="1083">
        <f>ROUND(SUMIF(TB_curr[[#Headers],[#Data],[Lookup_line]],GL[[#This Row],[Lookup line]],TB_curr[[#Headers],[#Data],[Final balance]]),0)</f>
        <v>0</v>
      </c>
      <c r="I57" s="1083">
        <f>ROUND(SUMIF(TB_prev[[#Headers],[#Data],[Lookup_line]],GL[[#This Row],[Lookup line]],TB_prev[[#Headers],[#Data],[Final balance]]),0)</f>
        <v>0</v>
      </c>
    </row>
    <row r="58" spans="1:9" s="174" customFormat="1" ht="12" customHeight="1" x14ac:dyDescent="0.25">
      <c r="A58" s="764" t="s">
        <v>2073</v>
      </c>
      <c r="B58" s="1088" t="s">
        <v>702</v>
      </c>
      <c r="C58" s="1082" t="str">
        <f t="shared" si="0"/>
        <v/>
      </c>
      <c r="D58" s="230" t="s">
        <v>792</v>
      </c>
      <c r="E58" s="1082" t="s">
        <v>1883</v>
      </c>
      <c r="F58" s="1082" t="str">
        <f>GL[[#This Row],[Line]]&amp;GL[[#This Row],[B/P]]</f>
        <v>05BS</v>
      </c>
      <c r="G58" s="1081" t="str">
        <f>GL[[#This Row],[Account]]&amp;GL[[#This Row],[Line]]</f>
        <v>09205</v>
      </c>
      <c r="H58" s="1087">
        <f>ROUND(SUMIF(TB_curr[[#Headers],[#Data],[Lookup_line]],GL[[#This Row],[Lookup line]],TB_curr[[#Headers],[#Data],[Final balance]]),0)</f>
        <v>0</v>
      </c>
      <c r="I58" s="1087">
        <f>ROUND(SUMIF(TB_prev[[#Headers],[#Data],[Lookup_line]],GL[[#This Row],[Lookup line]],TB_prev[[#Headers],[#Data],[Final balance]]),0)</f>
        <v>0</v>
      </c>
    </row>
    <row r="59" spans="1:9" s="174" customFormat="1" ht="12" customHeight="1" x14ac:dyDescent="0.25">
      <c r="A59" s="764" t="s">
        <v>2074</v>
      </c>
      <c r="B59" s="1088" t="s">
        <v>702</v>
      </c>
      <c r="C59" s="1082" t="str">
        <f t="shared" si="0"/>
        <v/>
      </c>
      <c r="D59" s="230" t="s">
        <v>794</v>
      </c>
      <c r="E59" s="1082" t="s">
        <v>1883</v>
      </c>
      <c r="F59" s="1082" t="str">
        <f>GL[[#This Row],[Line]]&amp;GL[[#This Row],[B/P]]</f>
        <v>06BS</v>
      </c>
      <c r="G59" s="1081" t="str">
        <f>GL[[#This Row],[Account]]&amp;GL[[#This Row],[Line]]</f>
        <v>09206</v>
      </c>
      <c r="H59" s="1087">
        <f>ROUND(SUMIF(TB_curr[[#Headers],[#Data],[Lookup_line]],GL[[#This Row],[Lookup line]],TB_curr[[#Headers],[#Data],[Final balance]]),0)</f>
        <v>0</v>
      </c>
      <c r="I59" s="1087">
        <f>ROUND(SUMIF(TB_prev[[#Headers],[#Data],[Lookup_line]],GL[[#This Row],[Lookup line]],TB_prev[[#Headers],[#Data],[Final balance]]),0)</f>
        <v>0</v>
      </c>
    </row>
    <row r="60" spans="1:9" s="174" customFormat="1" ht="12" customHeight="1" x14ac:dyDescent="0.25">
      <c r="A60" s="764" t="s">
        <v>2075</v>
      </c>
      <c r="B60" s="1088" t="s">
        <v>702</v>
      </c>
      <c r="C60" s="1082" t="str">
        <f t="shared" si="0"/>
        <v/>
      </c>
      <c r="D60" s="230" t="s">
        <v>796</v>
      </c>
      <c r="E60" s="1082" t="s">
        <v>1883</v>
      </c>
      <c r="F60" s="1082" t="str">
        <f>GL[[#This Row],[Line]]&amp;GL[[#This Row],[B/P]]</f>
        <v>07BS</v>
      </c>
      <c r="G60" s="1081" t="str">
        <f>GL[[#This Row],[Account]]&amp;GL[[#This Row],[Line]]</f>
        <v>09207</v>
      </c>
      <c r="H60" s="1087">
        <f>ROUND(SUMIF(TB_curr[[#Headers],[#Data],[Lookup_line]],GL[[#This Row],[Lookup line]],TB_curr[[#Headers],[#Data],[Final balance]]),0)</f>
        <v>0</v>
      </c>
      <c r="I60" s="1087">
        <f>ROUND(SUMIF(TB_prev[[#Headers],[#Data],[Lookup_line]],GL[[#This Row],[Lookup line]],TB_prev[[#Headers],[#Data],[Final balance]]),0)</f>
        <v>0</v>
      </c>
    </row>
    <row r="61" spans="1:9" s="174" customFormat="1" ht="12" customHeight="1" x14ac:dyDescent="0.25">
      <c r="A61" s="764" t="s">
        <v>2071</v>
      </c>
      <c r="B61" s="1088" t="s">
        <v>704</v>
      </c>
      <c r="C61" s="1082" t="str">
        <f t="shared" si="0"/>
        <v/>
      </c>
      <c r="D61" s="230" t="s">
        <v>786</v>
      </c>
      <c r="E61" s="1082" t="s">
        <v>1883</v>
      </c>
      <c r="F61" s="1082" t="str">
        <f>GL[[#This Row],[Line]]&amp;GL[[#This Row],[B/P]]</f>
        <v>03BS</v>
      </c>
      <c r="G61" s="1081" t="str">
        <f>GL[[#This Row],[Account]]&amp;GL[[#This Row],[Line]]</f>
        <v>09303</v>
      </c>
      <c r="H61" s="1087">
        <f>ROUND(SUMIF(TB_curr[[#Headers],[#Data],[Lookup_line]],GL[[#This Row],[Lookup line]],TB_curr[[#Headers],[#Data],[Final balance]]),0)</f>
        <v>0</v>
      </c>
      <c r="I61" s="1087">
        <f>ROUND(SUMIF(TB_prev[[#Headers],[#Data],[Lookup_line]],GL[[#This Row],[Lookup line]],TB_prev[[#Headers],[#Data],[Final balance]]),0)</f>
        <v>0</v>
      </c>
    </row>
    <row r="62" spans="1:9" s="174" customFormat="1" ht="12" customHeight="1" x14ac:dyDescent="0.25">
      <c r="A62" s="764"/>
      <c r="B62" s="1086" t="s">
        <v>1886</v>
      </c>
      <c r="C62" s="1085" t="str">
        <f t="shared" si="0"/>
        <v>094</v>
      </c>
      <c r="D62" s="230"/>
      <c r="E62" s="1082" t="s">
        <v>1883</v>
      </c>
      <c r="F62" s="1082" t="str">
        <f>GL[[#This Row],[Line]]&amp;GL[[#This Row],[B/P]]</f>
        <v>BS</v>
      </c>
      <c r="G62" s="1081" t="str">
        <f>GL[[#This Row],[Account]]&amp;GL[[#This Row],[Line]]</f>
        <v>subtotal</v>
      </c>
      <c r="H62" s="1087">
        <f>ROUND(SUMIF(TB_curr[[#Headers],[#Data],[Lookup_line]],GL[[#This Row],[Lookup line]],TB_curr[[#Headers],[#Data],[Final balance]]),0)</f>
        <v>0</v>
      </c>
      <c r="I62" s="1087">
        <f>ROUND(SUMIF(TB_prev[[#Headers],[#Data],[Lookup_line]],GL[[#This Row],[Lookup line]],TB_prev[[#Headers],[#Data],[Final balance]]),0)</f>
        <v>0</v>
      </c>
    </row>
    <row r="63" spans="1:9" s="174" customFormat="1" ht="12" customHeight="1" x14ac:dyDescent="0.25">
      <c r="A63" s="764" t="s">
        <v>2073</v>
      </c>
      <c r="B63" s="1088" t="s">
        <v>706</v>
      </c>
      <c r="C63" s="1082" t="str">
        <f t="shared" si="0"/>
        <v/>
      </c>
      <c r="D63" s="230" t="s">
        <v>792</v>
      </c>
      <c r="E63" s="1082" t="s">
        <v>1883</v>
      </c>
      <c r="F63" s="1082" t="str">
        <f>GL[[#This Row],[Line]]&amp;GL[[#This Row],[B/P]]</f>
        <v>05BS</v>
      </c>
      <c r="G63" s="1081" t="str">
        <f>GL[[#This Row],[Account]]&amp;GL[[#This Row],[Line]]</f>
        <v>09405</v>
      </c>
      <c r="H63" s="1087">
        <f>ROUND(SUMIF(TB_curr[[#Headers],[#Data],[Lookup_line]],GL[[#This Row],[Lookup line]],TB_curr[[#Headers],[#Data],[Final balance]]),0)</f>
        <v>0</v>
      </c>
      <c r="I63" s="1087">
        <f>ROUND(SUMIF(TB_prev[[#Headers],[#Data],[Lookup_line]],GL[[#This Row],[Lookup line]],TB_prev[[#Headers],[#Data],[Final balance]]),0)</f>
        <v>0</v>
      </c>
    </row>
    <row r="64" spans="1:9" s="174" customFormat="1" ht="12" customHeight="1" x14ac:dyDescent="0.25">
      <c r="A64" s="764" t="s">
        <v>2074</v>
      </c>
      <c r="B64" s="1088" t="s">
        <v>706</v>
      </c>
      <c r="C64" s="1082" t="str">
        <f t="shared" si="0"/>
        <v/>
      </c>
      <c r="D64" s="230" t="s">
        <v>794</v>
      </c>
      <c r="E64" s="1082" t="s">
        <v>1883</v>
      </c>
      <c r="F64" s="1082" t="str">
        <f>GL[[#This Row],[Line]]&amp;GL[[#This Row],[B/P]]</f>
        <v>06BS</v>
      </c>
      <c r="G64" s="1081" t="str">
        <f>GL[[#This Row],[Account]]&amp;GL[[#This Row],[Line]]</f>
        <v>09406</v>
      </c>
      <c r="H64" s="1087">
        <f>ROUND(SUMIF(TB_curr[[#Headers],[#Data],[Lookup_line]],GL[[#This Row],[Lookup line]],TB_curr[[#Headers],[#Data],[Final balance]]),0)</f>
        <v>0</v>
      </c>
      <c r="I64" s="1087">
        <f>ROUND(SUMIF(TB_prev[[#Headers],[#Data],[Lookup_line]],GL[[#This Row],[Lookup line]],TB_prev[[#Headers],[#Data],[Final balance]]),0)</f>
        <v>0</v>
      </c>
    </row>
    <row r="65" spans="1:9" s="174" customFormat="1" ht="12" customHeight="1" x14ac:dyDescent="0.25">
      <c r="A65" s="764" t="s">
        <v>2075</v>
      </c>
      <c r="B65" s="1088" t="s">
        <v>706</v>
      </c>
      <c r="C65" s="1082" t="str">
        <f t="shared" si="0"/>
        <v/>
      </c>
      <c r="D65" s="230" t="s">
        <v>796</v>
      </c>
      <c r="E65" s="1082" t="s">
        <v>1883</v>
      </c>
      <c r="F65" s="1082" t="str">
        <f>GL[[#This Row],[Line]]&amp;GL[[#This Row],[B/P]]</f>
        <v>07BS</v>
      </c>
      <c r="G65" s="1081" t="str">
        <f>GL[[#This Row],[Account]]&amp;GL[[#This Row],[Line]]</f>
        <v>09407</v>
      </c>
      <c r="H65" s="1087">
        <f>ROUND(SUMIF(TB_curr[[#Headers],[#Data],[Lookup_line]],GL[[#This Row],[Lookup line]],TB_curr[[#Headers],[#Data],[Final balance]]),0)</f>
        <v>0</v>
      </c>
      <c r="I65" s="1087">
        <f>ROUND(SUMIF(TB_prev[[#Headers],[#Data],[Lookup_line]],GL[[#This Row],[Lookup line]],TB_prev[[#Headers],[#Data],[Final balance]]),0)</f>
        <v>0</v>
      </c>
    </row>
    <row r="66" spans="1:9" s="174" customFormat="1" ht="12" customHeight="1" x14ac:dyDescent="0.2">
      <c r="A66" s="764"/>
      <c r="B66" s="1086" t="s">
        <v>1886</v>
      </c>
      <c r="C66" s="1085" t="str">
        <f t="shared" si="0"/>
        <v>095</v>
      </c>
      <c r="D66" s="230"/>
      <c r="E66" s="1082" t="s">
        <v>1883</v>
      </c>
      <c r="F66" s="1082" t="str">
        <f>GL[[#This Row],[Line]]&amp;GL[[#This Row],[B/P]]</f>
        <v>BS</v>
      </c>
      <c r="G66" s="1084" t="str">
        <f>GL[[#This Row],[Account]]&amp;GL[[#This Row],[Line]]</f>
        <v>subtotal</v>
      </c>
      <c r="H66" s="1083">
        <f>ROUND(SUMIF(TB_curr[[#Headers],[#Data],[Lookup_line]],GL[[#This Row],[Lookup line]],TB_curr[[#Headers],[#Data],[Final balance]]),0)</f>
        <v>0</v>
      </c>
      <c r="I66" s="1083">
        <f>ROUND(SUMIF(TB_prev[[#Headers],[#Data],[Lookup_line]],GL[[#This Row],[Lookup line]],TB_prev[[#Headers],[#Data],[Final balance]]),0)</f>
        <v>0</v>
      </c>
    </row>
    <row r="67" spans="1:9" s="174" customFormat="1" ht="12" customHeight="1" x14ac:dyDescent="0.25">
      <c r="A67" s="764" t="s">
        <v>2071</v>
      </c>
      <c r="B67" s="1088" t="s">
        <v>708</v>
      </c>
      <c r="C67" s="1082" t="str">
        <f t="shared" si="0"/>
        <v/>
      </c>
      <c r="D67" s="230" t="s">
        <v>786</v>
      </c>
      <c r="E67" s="1082" t="s">
        <v>1883</v>
      </c>
      <c r="F67" s="1082" t="str">
        <f>GL[[#This Row],[Line]]&amp;GL[[#This Row],[B/P]]</f>
        <v>03BS</v>
      </c>
      <c r="G67" s="1081" t="str">
        <f>GL[[#This Row],[Account]]&amp;GL[[#This Row],[Line]]</f>
        <v>09503</v>
      </c>
      <c r="H67" s="1087">
        <f>ROUND(SUMIF(TB_curr[[#Headers],[#Data],[Lookup_line]],GL[[#This Row],[Lookup line]],TB_curr[[#Headers],[#Data],[Final balance]]),0)</f>
        <v>0</v>
      </c>
      <c r="I67" s="1087">
        <f>ROUND(SUMIF(TB_prev[[#Headers],[#Data],[Lookup_line]],GL[[#This Row],[Lookup line]],TB_prev[[#Headers],[#Data],[Final balance]]),0)</f>
        <v>0</v>
      </c>
    </row>
    <row r="68" spans="1:9" s="174" customFormat="1" ht="12" customHeight="1" x14ac:dyDescent="0.25">
      <c r="A68" s="764" t="s">
        <v>2073</v>
      </c>
      <c r="B68" s="1088" t="s">
        <v>708</v>
      </c>
      <c r="C68" s="1082" t="str">
        <f t="shared" si="0"/>
        <v/>
      </c>
      <c r="D68" s="230" t="s">
        <v>792</v>
      </c>
      <c r="E68" s="1082" t="s">
        <v>1883</v>
      </c>
      <c r="F68" s="1082" t="str">
        <f>GL[[#This Row],[Line]]&amp;GL[[#This Row],[B/P]]</f>
        <v>05BS</v>
      </c>
      <c r="G68" s="1081" t="str">
        <f>GL[[#This Row],[Account]]&amp;GL[[#This Row],[Line]]</f>
        <v>09505</v>
      </c>
      <c r="H68" s="1087">
        <f>ROUND(SUMIF(TB_curr[[#Headers],[#Data],[Lookup_line]],GL[[#This Row],[Lookup line]],TB_curr[[#Headers],[#Data],[Final balance]]),0)</f>
        <v>0</v>
      </c>
      <c r="I68" s="1087">
        <f>ROUND(SUMIF(TB_prev[[#Headers],[#Data],[Lookup_line]],GL[[#This Row],[Lookup line]],TB_prev[[#Headers],[#Data],[Final balance]]),0)</f>
        <v>0</v>
      </c>
    </row>
    <row r="69" spans="1:9" s="174" customFormat="1" ht="12" customHeight="1" x14ac:dyDescent="0.25">
      <c r="A69" s="764" t="s">
        <v>2074</v>
      </c>
      <c r="B69" s="1088" t="s">
        <v>708</v>
      </c>
      <c r="C69" s="1082" t="str">
        <f t="shared" ref="C69:C132" si="1">IF(B69="subtotal",B70,"")</f>
        <v/>
      </c>
      <c r="D69" s="230" t="s">
        <v>794</v>
      </c>
      <c r="E69" s="1082" t="s">
        <v>1883</v>
      </c>
      <c r="F69" s="1082" t="str">
        <f>GL[[#This Row],[Line]]&amp;GL[[#This Row],[B/P]]</f>
        <v>06BS</v>
      </c>
      <c r="G69" s="1081" t="str">
        <f>GL[[#This Row],[Account]]&amp;GL[[#This Row],[Line]]</f>
        <v>09506</v>
      </c>
      <c r="H69" s="1087">
        <f>ROUND(SUMIF(TB_curr[[#Headers],[#Data],[Lookup_line]],GL[[#This Row],[Lookup line]],TB_curr[[#Headers],[#Data],[Final balance]]),0)</f>
        <v>0</v>
      </c>
      <c r="I69" s="1087">
        <f>ROUND(SUMIF(TB_prev[[#Headers],[#Data],[Lookup_line]],GL[[#This Row],[Lookup line]],TB_prev[[#Headers],[#Data],[Final balance]]),0)</f>
        <v>0</v>
      </c>
    </row>
    <row r="70" spans="1:9" s="174" customFormat="1" ht="12" customHeight="1" x14ac:dyDescent="0.2">
      <c r="A70" s="764" t="s">
        <v>2075</v>
      </c>
      <c r="B70" s="1088" t="s">
        <v>708</v>
      </c>
      <c r="C70" s="1082" t="str">
        <f t="shared" si="1"/>
        <v/>
      </c>
      <c r="D70" s="230" t="s">
        <v>796</v>
      </c>
      <c r="E70" s="1082" t="s">
        <v>1883</v>
      </c>
      <c r="F70" s="1082" t="str">
        <f>GL[[#This Row],[Line]]&amp;GL[[#This Row],[B/P]]</f>
        <v>07BS</v>
      </c>
      <c r="G70" s="1084" t="str">
        <f>GL[[#This Row],[Account]]&amp;GL[[#This Row],[Line]]</f>
        <v>09507</v>
      </c>
      <c r="H70" s="1083">
        <f>ROUND(SUMIF(TB_curr[[#Headers],[#Data],[Lookup_line]],GL[[#This Row],[Lookup line]],TB_curr[[#Headers],[#Data],[Final balance]]),0)</f>
        <v>0</v>
      </c>
      <c r="I70" s="1083">
        <f>ROUND(SUMIF(TB_prev[[#Headers],[#Data],[Lookup_line]],GL[[#This Row],[Lookup line]],TB_prev[[#Headers],[#Data],[Final balance]]),0)</f>
        <v>0</v>
      </c>
    </row>
    <row r="71" spans="1:9" s="174" customFormat="1" ht="12" customHeight="1" x14ac:dyDescent="0.25">
      <c r="A71" s="764" t="s">
        <v>2078</v>
      </c>
      <c r="B71" s="1088" t="s">
        <v>708</v>
      </c>
      <c r="C71" s="1082" t="str">
        <f t="shared" si="1"/>
        <v/>
      </c>
      <c r="D71" s="230" t="s">
        <v>804</v>
      </c>
      <c r="E71" s="1082" t="s">
        <v>1883</v>
      </c>
      <c r="F71" s="1082" t="str">
        <f>GL[[#This Row],[Line]]&amp;GL[[#This Row],[B/P]]</f>
        <v>10BS</v>
      </c>
      <c r="G71" s="1081" t="str">
        <f>GL[[#This Row],[Account]]&amp;GL[[#This Row],[Line]]</f>
        <v>09510</v>
      </c>
      <c r="H71" s="1087">
        <f>ROUND(SUMIF(TB_curr[[#Headers],[#Data],[Lookup_line]],GL[[#This Row],[Lookup line]],TB_curr[[#Headers],[#Data],[Final balance]]),0)</f>
        <v>0</v>
      </c>
      <c r="I71" s="1087">
        <f>ROUND(SUMIF(TB_prev[[#Headers],[#Data],[Lookup_line]],GL[[#This Row],[Lookup line]],TB_prev[[#Headers],[#Data],[Final balance]]),0)</f>
        <v>0</v>
      </c>
    </row>
    <row r="72" spans="1:9" s="174" customFormat="1" ht="12" customHeight="1" x14ac:dyDescent="0.25">
      <c r="A72" s="764" t="s">
        <v>2079</v>
      </c>
      <c r="B72" s="1088" t="s">
        <v>708</v>
      </c>
      <c r="C72" s="1082" t="str">
        <f t="shared" si="1"/>
        <v/>
      </c>
      <c r="D72" s="230" t="s">
        <v>806</v>
      </c>
      <c r="E72" s="1082" t="s">
        <v>1883</v>
      </c>
      <c r="F72" s="1082" t="str">
        <f>GL[[#This Row],[Line]]&amp;GL[[#This Row],[B/P]]</f>
        <v>11BS</v>
      </c>
      <c r="G72" s="1081" t="str">
        <f>GL[[#This Row],[Account]]&amp;GL[[#This Row],[Line]]</f>
        <v>09511</v>
      </c>
      <c r="H72" s="1087">
        <f>ROUND(SUMIF(TB_curr[[#Headers],[#Data],[Lookup_line]],GL[[#This Row],[Lookup line]],TB_curr[[#Headers],[#Data],[Final balance]]),0)</f>
        <v>0</v>
      </c>
      <c r="I72" s="1087">
        <f>ROUND(SUMIF(TB_prev[[#Headers],[#Data],[Lookup_line]],GL[[#This Row],[Lookup line]],TB_prev[[#Headers],[#Data],[Final balance]]),0)</f>
        <v>0</v>
      </c>
    </row>
    <row r="73" spans="1:9" s="174" customFormat="1" ht="12" customHeight="1" x14ac:dyDescent="0.25">
      <c r="A73" s="764"/>
      <c r="B73" s="1086" t="s">
        <v>1886</v>
      </c>
      <c r="C73" s="1085" t="str">
        <f t="shared" si="1"/>
        <v>096</v>
      </c>
      <c r="D73" s="230"/>
      <c r="E73" s="1082" t="s">
        <v>1883</v>
      </c>
      <c r="F73" s="1082" t="str">
        <f>GL[[#This Row],[Line]]&amp;GL[[#This Row],[B/P]]</f>
        <v>BS</v>
      </c>
      <c r="G73" s="1081" t="str">
        <f>GL[[#This Row],[Account]]&amp;GL[[#This Row],[Line]]</f>
        <v>subtotal</v>
      </c>
      <c r="H73" s="1087">
        <f>ROUND(SUMIF(TB_curr[[#Headers],[#Data],[Lookup_line]],GL[[#This Row],[Lookup line]],TB_curr[[#Headers],[#Data],[Final balance]]),0)</f>
        <v>0</v>
      </c>
      <c r="I73" s="1087">
        <f>ROUND(SUMIF(TB_prev[[#Headers],[#Data],[Lookup_line]],GL[[#This Row],[Lookup line]],TB_prev[[#Headers],[#Data],[Final balance]]),0)</f>
        <v>0</v>
      </c>
    </row>
    <row r="74" spans="1:9" s="174" customFormat="1" ht="12" customHeight="1" x14ac:dyDescent="0.25">
      <c r="A74" s="764" t="s">
        <v>2078</v>
      </c>
      <c r="B74" s="1088" t="s">
        <v>709</v>
      </c>
      <c r="C74" s="1082" t="str">
        <f t="shared" si="1"/>
        <v/>
      </c>
      <c r="D74" s="230" t="s">
        <v>804</v>
      </c>
      <c r="E74" s="1082" t="s">
        <v>1883</v>
      </c>
      <c r="F74" s="1082" t="str">
        <f>GL[[#This Row],[Line]]&amp;GL[[#This Row],[B/P]]</f>
        <v>10BS</v>
      </c>
      <c r="G74" s="1081" t="str">
        <f>GL[[#This Row],[Account]]&amp;GL[[#This Row],[Line]]</f>
        <v>09610</v>
      </c>
      <c r="H74" s="1087">
        <f>ROUND(SUMIF(TB_curr[[#Headers],[#Data],[Lookup_line]],GL[[#This Row],[Lookup line]],TB_curr[[#Headers],[#Data],[Final balance]]),0)</f>
        <v>0</v>
      </c>
      <c r="I74" s="1087">
        <f>ROUND(SUMIF(TB_prev[[#Headers],[#Data],[Lookup_line]],GL[[#This Row],[Lookup line]],TB_prev[[#Headers],[#Data],[Final balance]]),0)</f>
        <v>0</v>
      </c>
    </row>
    <row r="75" spans="1:9" s="174" customFormat="1" ht="12" customHeight="1" x14ac:dyDescent="0.25">
      <c r="A75" s="764" t="s">
        <v>2079</v>
      </c>
      <c r="B75" s="1088" t="s">
        <v>709</v>
      </c>
      <c r="C75" s="1082" t="str">
        <f t="shared" si="1"/>
        <v/>
      </c>
      <c r="D75" s="230" t="s">
        <v>806</v>
      </c>
      <c r="E75" s="1082" t="s">
        <v>1883</v>
      </c>
      <c r="F75" s="1082" t="str">
        <f>GL[[#This Row],[Line]]&amp;GL[[#This Row],[B/P]]</f>
        <v>11BS</v>
      </c>
      <c r="G75" s="1081" t="str">
        <f>GL[[#This Row],[Account]]&amp;GL[[#This Row],[Line]]</f>
        <v>09611</v>
      </c>
      <c r="H75" s="1087">
        <f>ROUND(SUMIF(TB_curr[[#Headers],[#Data],[Lookup_line]],GL[[#This Row],[Lookup line]],TB_curr[[#Headers],[#Data],[Final balance]]),0)</f>
        <v>0</v>
      </c>
      <c r="I75" s="1087">
        <f>ROUND(SUMIF(TB_prev[[#Headers],[#Data],[Lookup_line]],GL[[#This Row],[Lookup line]],TB_prev[[#Headers],[#Data],[Final balance]]),0)</f>
        <v>0</v>
      </c>
    </row>
    <row r="76" spans="1:9" s="174" customFormat="1" ht="12" customHeight="1" x14ac:dyDescent="0.25">
      <c r="A76" s="764" t="s">
        <v>2080</v>
      </c>
      <c r="B76" s="1088" t="s">
        <v>709</v>
      </c>
      <c r="C76" s="1082" t="str">
        <f t="shared" si="1"/>
        <v/>
      </c>
      <c r="D76" s="230" t="s">
        <v>810</v>
      </c>
      <c r="E76" s="1082" t="s">
        <v>1883</v>
      </c>
      <c r="F76" s="1082" t="str">
        <f>GL[[#This Row],[Line]]&amp;GL[[#This Row],[B/P]]</f>
        <v>13BS</v>
      </c>
      <c r="G76" s="1081" t="str">
        <f>GL[[#This Row],[Account]]&amp;GL[[#This Row],[Line]]</f>
        <v>09613</v>
      </c>
      <c r="H76" s="1087">
        <f>ROUND(SUMIF(TB_curr[[#Headers],[#Data],[Lookup_line]],GL[[#This Row],[Lookup line]],TB_curr[[#Headers],[#Data],[Final balance]]),0)</f>
        <v>0</v>
      </c>
      <c r="I76" s="1087">
        <f>ROUND(SUMIF(TB_prev[[#Headers],[#Data],[Lookup_line]],GL[[#This Row],[Lookup line]],TB_prev[[#Headers],[#Data],[Final balance]]),0)</f>
        <v>0</v>
      </c>
    </row>
    <row r="77" spans="1:9" s="174" customFormat="1" ht="12" customHeight="1" x14ac:dyDescent="0.25">
      <c r="A77" s="764" t="s">
        <v>2076</v>
      </c>
      <c r="B77" s="1088" t="s">
        <v>711</v>
      </c>
      <c r="C77" s="1082" t="str">
        <f t="shared" si="1"/>
        <v/>
      </c>
      <c r="D77" s="230" t="s">
        <v>798</v>
      </c>
      <c r="E77" s="1082" t="s">
        <v>1883</v>
      </c>
      <c r="F77" s="1082" t="str">
        <f>GL[[#This Row],[Line]]&amp;GL[[#This Row],[B/P]]</f>
        <v>08BS</v>
      </c>
      <c r="G77" s="1081" t="str">
        <f>GL[[#This Row],[Account]]&amp;GL[[#This Row],[Line]]</f>
        <v>09708</v>
      </c>
      <c r="H77" s="1087">
        <f>ROUND(SUMIF(TB_curr[[#Headers],[#Data],[Lookup_line]],GL[[#This Row],[Lookup line]],TB_curr[[#Headers],[#Data],[Final balance]]),0)</f>
        <v>0</v>
      </c>
      <c r="I77" s="1087">
        <f>ROUND(SUMIF(TB_prev[[#Headers],[#Data],[Lookup_line]],GL[[#This Row],[Lookup line]],TB_prev[[#Headers],[#Data],[Final balance]]),0)</f>
        <v>0</v>
      </c>
    </row>
    <row r="78" spans="1:9" s="174" customFormat="1" ht="12" customHeight="1" x14ac:dyDescent="0.25">
      <c r="A78" s="764" t="s">
        <v>2076</v>
      </c>
      <c r="B78" s="1088" t="s">
        <v>713</v>
      </c>
      <c r="C78" s="1082" t="str">
        <f t="shared" si="1"/>
        <v/>
      </c>
      <c r="D78" s="230" t="s">
        <v>798</v>
      </c>
      <c r="E78" s="1082" t="s">
        <v>1883</v>
      </c>
      <c r="F78" s="1082" t="str">
        <f>GL[[#This Row],[Line]]&amp;GL[[#This Row],[B/P]]</f>
        <v>08BS</v>
      </c>
      <c r="G78" s="1081" t="str">
        <f>GL[[#This Row],[Account]]&amp;GL[[#This Row],[Line]]</f>
        <v>09808</v>
      </c>
      <c r="H78" s="1087">
        <f>ROUND(SUMIF(TB_curr[[#Headers],[#Data],[Lookup_line]],GL[[#This Row],[Lookup line]],TB_curr[[#Headers],[#Data],[Final balance]]),0)</f>
        <v>0</v>
      </c>
      <c r="I78" s="1087">
        <f>ROUND(SUMIF(TB_prev[[#Headers],[#Data],[Lookup_line]],GL[[#This Row],[Lookup line]],TB_prev[[#Headers],[#Data],[Final balance]]),0)</f>
        <v>0</v>
      </c>
    </row>
    <row r="79" spans="1:9" s="174" customFormat="1" ht="12" customHeight="1" x14ac:dyDescent="0.25">
      <c r="A79" s="764" t="s">
        <v>2082</v>
      </c>
      <c r="B79" s="1088" t="s">
        <v>742</v>
      </c>
      <c r="C79" s="1082" t="str">
        <f t="shared" si="1"/>
        <v/>
      </c>
      <c r="D79" s="230" t="s">
        <v>815</v>
      </c>
      <c r="E79" s="1082" t="s">
        <v>1883</v>
      </c>
      <c r="F79" s="1082" t="str">
        <f>GL[[#This Row],[Line]]&amp;GL[[#This Row],[B/P]]</f>
        <v>15BS</v>
      </c>
      <c r="G79" s="1081" t="str">
        <f>GL[[#This Row],[Account]]&amp;GL[[#This Row],[Line]]</f>
        <v>11215</v>
      </c>
      <c r="H79" s="1087">
        <f>ROUND(SUMIF(TB_curr[[#Headers],[#Data],[Lookup_line]],GL[[#This Row],[Lookup line]],TB_curr[[#Headers],[#Data],[Final balance]]),0)</f>
        <v>0</v>
      </c>
      <c r="I79" s="1087">
        <f>ROUND(SUMIF(TB_prev[[#Headers],[#Data],[Lookup_line]],GL[[#This Row],[Lookup line]],TB_prev[[#Headers],[#Data],[Final balance]]),0)</f>
        <v>0</v>
      </c>
    </row>
    <row r="80" spans="1:9" s="174" customFormat="1" ht="12" customHeight="1" x14ac:dyDescent="0.25">
      <c r="A80" s="764" t="s">
        <v>2082</v>
      </c>
      <c r="B80" s="1088" t="s">
        <v>758</v>
      </c>
      <c r="C80" s="1082" t="str">
        <f t="shared" si="1"/>
        <v/>
      </c>
      <c r="D80" s="230" t="s">
        <v>815</v>
      </c>
      <c r="E80" s="1082" t="s">
        <v>1883</v>
      </c>
      <c r="F80" s="1082" t="str">
        <f>GL[[#This Row],[Line]]&amp;GL[[#This Row],[B/P]]</f>
        <v>15BS</v>
      </c>
      <c r="G80" s="1081" t="str">
        <f>GL[[#This Row],[Account]]&amp;GL[[#This Row],[Line]]</f>
        <v>11915</v>
      </c>
      <c r="H80" s="1087">
        <f>ROUND(SUMIF(TB_curr[[#Headers],[#Data],[Lookup_line]],GL[[#This Row],[Lookup line]],TB_curr[[#Headers],[#Data],[Final balance]]),0)</f>
        <v>0</v>
      </c>
      <c r="I80" s="1087">
        <f>ROUND(SUMIF(TB_prev[[#Headers],[#Data],[Lookup_line]],GL[[#This Row],[Lookup line]],TB_prev[[#Headers],[#Data],[Final balance]]),0)</f>
        <v>0</v>
      </c>
    </row>
    <row r="81" spans="1:9" s="174" customFormat="1" ht="12" customHeight="1" x14ac:dyDescent="0.25">
      <c r="A81" s="764" t="s">
        <v>2082</v>
      </c>
      <c r="B81" s="1088" t="s">
        <v>762</v>
      </c>
      <c r="C81" s="1082" t="str">
        <f t="shared" si="1"/>
        <v/>
      </c>
      <c r="D81" s="230" t="s">
        <v>815</v>
      </c>
      <c r="E81" s="1082" t="s">
        <v>1883</v>
      </c>
      <c r="F81" s="1082" t="str">
        <f>GL[[#This Row],[Line]]&amp;GL[[#This Row],[B/P]]</f>
        <v>15BS</v>
      </c>
      <c r="G81" s="1081" t="str">
        <f>GL[[#This Row],[Account]]&amp;GL[[#This Row],[Line]]</f>
        <v>12115</v>
      </c>
      <c r="H81" s="1087">
        <f>ROUND(SUMIF(TB_curr[[#Headers],[#Data],[Lookup_line]],GL[[#This Row],[Lookup line]],TB_curr[[#Headers],[#Data],[Final balance]]),0)</f>
        <v>0</v>
      </c>
      <c r="I81" s="1087">
        <f>ROUND(SUMIF(TB_prev[[#Headers],[#Data],[Lookup_line]],GL[[#This Row],[Lookup line]],TB_prev[[#Headers],[#Data],[Final balance]]),0)</f>
        <v>0</v>
      </c>
    </row>
    <row r="82" spans="1:9" s="174" customFormat="1" ht="12" customHeight="1" x14ac:dyDescent="0.25">
      <c r="A82" s="764" t="s">
        <v>2082</v>
      </c>
      <c r="B82" s="1088" t="s">
        <v>764</v>
      </c>
      <c r="C82" s="1082" t="str">
        <f t="shared" si="1"/>
        <v/>
      </c>
      <c r="D82" s="230" t="s">
        <v>815</v>
      </c>
      <c r="E82" s="1082" t="s">
        <v>1883</v>
      </c>
      <c r="F82" s="1082" t="str">
        <f>GL[[#This Row],[Line]]&amp;GL[[#This Row],[B/P]]</f>
        <v>15BS</v>
      </c>
      <c r="G82" s="1081" t="str">
        <f>GL[[#This Row],[Account]]&amp;GL[[#This Row],[Line]]</f>
        <v>12215</v>
      </c>
      <c r="H82" s="1087">
        <f>ROUND(SUMIF(TB_curr[[#Headers],[#Data],[Lookup_line]],GL[[#This Row],[Lookup line]],TB_curr[[#Headers],[#Data],[Final balance]]),0)</f>
        <v>0</v>
      </c>
      <c r="I82" s="1087">
        <f>ROUND(SUMIF(TB_prev[[#Headers],[#Data],[Lookup_line]],GL[[#This Row],[Lookup line]],TB_prev[[#Headers],[#Data],[Final balance]]),0)</f>
        <v>0</v>
      </c>
    </row>
    <row r="83" spans="1:9" s="174" customFormat="1" ht="12" customHeight="1" x14ac:dyDescent="0.25">
      <c r="A83" s="764" t="s">
        <v>2082</v>
      </c>
      <c r="B83" s="1088" t="s">
        <v>766</v>
      </c>
      <c r="C83" s="1082" t="str">
        <f t="shared" si="1"/>
        <v/>
      </c>
      <c r="D83" s="230" t="s">
        <v>815</v>
      </c>
      <c r="E83" s="1082" t="s">
        <v>1883</v>
      </c>
      <c r="F83" s="1082" t="str">
        <f>GL[[#This Row],[Line]]&amp;GL[[#This Row],[B/P]]</f>
        <v>15BS</v>
      </c>
      <c r="G83" s="1081" t="str">
        <f>GL[[#This Row],[Account]]&amp;GL[[#This Row],[Line]]</f>
        <v>12315</v>
      </c>
      <c r="H83" s="1087">
        <f>ROUND(SUMIF(TB_curr[[#Headers],[#Data],[Lookup_line]],GL[[#This Row],[Lookup line]],TB_curr[[#Headers],[#Data],[Final balance]]),0)</f>
        <v>0</v>
      </c>
      <c r="I83" s="1087">
        <f>ROUND(SUMIF(TB_prev[[#Headers],[#Data],[Lookup_line]],GL[[#This Row],[Lookup line]],TB_prev[[#Headers],[#Data],[Final balance]]),0)</f>
        <v>0</v>
      </c>
    </row>
    <row r="84" spans="1:9" s="174" customFormat="1" ht="12" customHeight="1" x14ac:dyDescent="0.25">
      <c r="A84" s="764" t="s">
        <v>2082</v>
      </c>
      <c r="B84" s="1088" t="s">
        <v>768</v>
      </c>
      <c r="C84" s="1082" t="str">
        <f t="shared" si="1"/>
        <v/>
      </c>
      <c r="D84" s="230" t="s">
        <v>815</v>
      </c>
      <c r="E84" s="1082" t="s">
        <v>1883</v>
      </c>
      <c r="F84" s="1082" t="str">
        <f>GL[[#This Row],[Line]]&amp;GL[[#This Row],[B/P]]</f>
        <v>15BS</v>
      </c>
      <c r="G84" s="1081" t="str">
        <f>GL[[#This Row],[Account]]&amp;GL[[#This Row],[Line]]</f>
        <v>12415</v>
      </c>
      <c r="H84" s="1087">
        <f>ROUND(SUMIF(TB_curr[[#Headers],[#Data],[Lookup_line]],GL[[#This Row],[Lookup line]],TB_curr[[#Headers],[#Data],[Final balance]]),0)</f>
        <v>0</v>
      </c>
      <c r="I84" s="1087">
        <f>ROUND(SUMIF(TB_prev[[#Headers],[#Data],[Lookup_line]],GL[[#This Row],[Lookup line]],TB_prev[[#Headers],[#Data],[Final balance]]),0)</f>
        <v>0</v>
      </c>
    </row>
    <row r="85" spans="1:9" s="174" customFormat="1" ht="12" customHeight="1" x14ac:dyDescent="0.25">
      <c r="A85" s="764" t="s">
        <v>2082</v>
      </c>
      <c r="B85" s="1088" t="s">
        <v>1594</v>
      </c>
      <c r="C85" s="1082" t="str">
        <f t="shared" si="1"/>
        <v/>
      </c>
      <c r="D85" s="230" t="s">
        <v>815</v>
      </c>
      <c r="E85" s="1082" t="s">
        <v>1883</v>
      </c>
      <c r="F85" s="1082" t="str">
        <f>GL[[#This Row],[Line]]&amp;GL[[#This Row],[B/P]]</f>
        <v>15BS</v>
      </c>
      <c r="G85" s="1081" t="str">
        <f>GL[[#This Row],[Account]]&amp;GL[[#This Row],[Line]]</f>
        <v>13215</v>
      </c>
      <c r="H85" s="1087">
        <f>ROUND(SUMIF(TB_curr[[#Headers],[#Data],[Lookup_line]],GL[[#This Row],[Lookup line]],TB_curr[[#Headers],[#Data],[Final balance]]),0)</f>
        <v>0</v>
      </c>
      <c r="I85" s="1087">
        <f>ROUND(SUMIF(TB_prev[[#Headers],[#Data],[Lookup_line]],GL[[#This Row],[Lookup line]],TB_prev[[#Headers],[#Data],[Final balance]]),0)</f>
        <v>0</v>
      </c>
    </row>
    <row r="86" spans="1:9" s="174" customFormat="1" ht="12" customHeight="1" x14ac:dyDescent="0.25">
      <c r="A86" s="764" t="s">
        <v>2082</v>
      </c>
      <c r="B86" s="1088" t="s">
        <v>1595</v>
      </c>
      <c r="C86" s="1082" t="str">
        <f t="shared" si="1"/>
        <v/>
      </c>
      <c r="D86" s="230" t="s">
        <v>815</v>
      </c>
      <c r="E86" s="1082" t="s">
        <v>1883</v>
      </c>
      <c r="F86" s="1082" t="str">
        <f>GL[[#This Row],[Line]]&amp;GL[[#This Row],[B/P]]</f>
        <v>15BS</v>
      </c>
      <c r="G86" s="1081" t="str">
        <f>GL[[#This Row],[Account]]&amp;GL[[#This Row],[Line]]</f>
        <v>13315</v>
      </c>
      <c r="H86" s="1087">
        <f>ROUND(SUMIF(TB_curr[[#Headers],[#Data],[Lookup_line]],GL[[#This Row],[Lookup line]],TB_curr[[#Headers],[#Data],[Final balance]]),0)</f>
        <v>0</v>
      </c>
      <c r="I86" s="1087">
        <f>ROUND(SUMIF(TB_prev[[#Headers],[#Data],[Lookup_line]],GL[[#This Row],[Lookup line]],TB_prev[[#Headers],[#Data],[Final balance]]),0)</f>
        <v>0</v>
      </c>
    </row>
    <row r="87" spans="1:9" s="174" customFormat="1" ht="12" customHeight="1" x14ac:dyDescent="0.25">
      <c r="A87" s="764" t="s">
        <v>2082</v>
      </c>
      <c r="B87" s="1088" t="s">
        <v>1602</v>
      </c>
      <c r="C87" s="1082" t="str">
        <f t="shared" si="1"/>
        <v/>
      </c>
      <c r="D87" s="230" t="s">
        <v>815</v>
      </c>
      <c r="E87" s="1082" t="s">
        <v>1883</v>
      </c>
      <c r="F87" s="1082" t="str">
        <f>GL[[#This Row],[Line]]&amp;GL[[#This Row],[B/P]]</f>
        <v>15BS</v>
      </c>
      <c r="G87" s="1081" t="str">
        <f>GL[[#This Row],[Account]]&amp;GL[[#This Row],[Line]]</f>
        <v>13915</v>
      </c>
      <c r="H87" s="1087">
        <f>ROUND(SUMIF(TB_curr[[#Headers],[#Data],[Lookup_line]],GL[[#This Row],[Lookup line]],TB_curr[[#Headers],[#Data],[Final balance]]),0)</f>
        <v>0</v>
      </c>
      <c r="I87" s="1087">
        <f>ROUND(SUMIF(TB_prev[[#Headers],[#Data],[Lookup_line]],GL[[#This Row],[Lookup line]],TB_prev[[#Headers],[#Data],[Final balance]]),0)</f>
        <v>0</v>
      </c>
    </row>
    <row r="88" spans="1:9" s="174" customFormat="1" ht="12" customHeight="1" x14ac:dyDescent="0.25">
      <c r="A88" s="764" t="s">
        <v>2082</v>
      </c>
      <c r="B88" s="1088" t="s">
        <v>1999</v>
      </c>
      <c r="C88" s="1082" t="str">
        <f t="shared" si="1"/>
        <v/>
      </c>
      <c r="D88" s="230" t="s">
        <v>815</v>
      </c>
      <c r="E88" s="1082" t="s">
        <v>1883</v>
      </c>
      <c r="F88" s="1082" t="str">
        <f>GL[[#This Row],[Line]]&amp;GL[[#This Row],[B/P]]</f>
        <v>15BS</v>
      </c>
      <c r="G88" s="1081" t="str">
        <f>GL[[#This Row],[Account]]&amp;GL[[#This Row],[Line]]</f>
        <v>19115</v>
      </c>
      <c r="H88" s="1087">
        <f>ROUND(SUMIF(TB_curr[[#Headers],[#Data],[Lookup_line]],GL[[#This Row],[Lookup line]],TB_curr[[#Headers],[#Data],[Final balance]]),0)</f>
        <v>0</v>
      </c>
      <c r="I88" s="1087">
        <f>ROUND(SUMIF(TB_prev[[#Headers],[#Data],[Lookup_line]],GL[[#This Row],[Lookup line]],TB_prev[[#Headers],[#Data],[Final balance]]),0)</f>
        <v>0</v>
      </c>
    </row>
    <row r="89" spans="1:9" s="174" customFormat="1" ht="12" customHeight="1" x14ac:dyDescent="0.25">
      <c r="A89" s="764" t="s">
        <v>2082</v>
      </c>
      <c r="B89" s="1088" t="s">
        <v>1998</v>
      </c>
      <c r="C89" s="1082" t="str">
        <f t="shared" si="1"/>
        <v/>
      </c>
      <c r="D89" s="230" t="s">
        <v>815</v>
      </c>
      <c r="E89" s="1082" t="s">
        <v>1883</v>
      </c>
      <c r="F89" s="1082" t="str">
        <f>GL[[#This Row],[Line]]&amp;GL[[#This Row],[B/P]]</f>
        <v>15BS</v>
      </c>
      <c r="G89" s="1081" t="str">
        <f>GL[[#This Row],[Account]]&amp;GL[[#This Row],[Line]]</f>
        <v>19215</v>
      </c>
      <c r="H89" s="1087">
        <f>ROUND(SUMIF(TB_curr[[#Headers],[#Data],[Lookup_line]],GL[[#This Row],[Lookup line]],TB_curr[[#Headers],[#Data],[Final balance]]),0)</f>
        <v>0</v>
      </c>
      <c r="I89" s="1087">
        <f>ROUND(SUMIF(TB_prev[[#Headers],[#Data],[Lookup_line]],GL[[#This Row],[Lookup line]],TB_prev[[#Headers],[#Data],[Final balance]]),0)</f>
        <v>0</v>
      </c>
    </row>
    <row r="90" spans="1:9" s="174" customFormat="1" ht="12" customHeight="1" x14ac:dyDescent="0.25">
      <c r="A90" s="764" t="s">
        <v>2082</v>
      </c>
      <c r="B90" s="1088" t="s">
        <v>1997</v>
      </c>
      <c r="C90" s="1082" t="str">
        <f t="shared" si="1"/>
        <v/>
      </c>
      <c r="D90" s="230" t="s">
        <v>815</v>
      </c>
      <c r="E90" s="1082" t="s">
        <v>1883</v>
      </c>
      <c r="F90" s="1082" t="str">
        <f>GL[[#This Row],[Line]]&amp;GL[[#This Row],[B/P]]</f>
        <v>15BS</v>
      </c>
      <c r="G90" s="1081" t="str">
        <f>GL[[#This Row],[Account]]&amp;GL[[#This Row],[Line]]</f>
        <v>19315</v>
      </c>
      <c r="H90" s="1087">
        <f>ROUND(SUMIF(TB_curr[[#Headers],[#Data],[Lookup_line]],GL[[#This Row],[Lookup line]],TB_curr[[#Headers],[#Data],[Final balance]]),0)</f>
        <v>0</v>
      </c>
      <c r="I90" s="1087">
        <f>ROUND(SUMIF(TB_prev[[#Headers],[#Data],[Lookup_line]],GL[[#This Row],[Lookup line]],TB_prev[[#Headers],[#Data],[Final balance]]),0)</f>
        <v>0</v>
      </c>
    </row>
    <row r="91" spans="1:9" s="174" customFormat="1" ht="12" customHeight="1" x14ac:dyDescent="0.25">
      <c r="A91" s="764" t="s">
        <v>2082</v>
      </c>
      <c r="B91" s="1088" t="s">
        <v>1996</v>
      </c>
      <c r="C91" s="1082" t="str">
        <f t="shared" si="1"/>
        <v/>
      </c>
      <c r="D91" s="230" t="s">
        <v>815</v>
      </c>
      <c r="E91" s="1082" t="s">
        <v>1883</v>
      </c>
      <c r="F91" s="1082" t="str">
        <f>GL[[#This Row],[Line]]&amp;GL[[#This Row],[B/P]]</f>
        <v>15BS</v>
      </c>
      <c r="G91" s="1081" t="str">
        <f>GL[[#This Row],[Account]]&amp;GL[[#This Row],[Line]]</f>
        <v>19415</v>
      </c>
      <c r="H91" s="1087">
        <f>ROUND(SUMIF(TB_curr[[#Headers],[#Data],[Lookup_line]],GL[[#This Row],[Lookup line]],TB_curr[[#Headers],[#Data],[Final balance]]),0)</f>
        <v>0</v>
      </c>
      <c r="I91" s="1087">
        <f>ROUND(SUMIF(TB_prev[[#Headers],[#Data],[Lookup_line]],GL[[#This Row],[Lookup line]],TB_prev[[#Headers],[#Data],[Final balance]]),0)</f>
        <v>0</v>
      </c>
    </row>
    <row r="92" spans="1:9" s="174" customFormat="1" ht="12" customHeight="1" x14ac:dyDescent="0.25">
      <c r="A92" s="764" t="s">
        <v>2082</v>
      </c>
      <c r="B92" s="1088" t="s">
        <v>1995</v>
      </c>
      <c r="C92" s="1082" t="str">
        <f t="shared" si="1"/>
        <v/>
      </c>
      <c r="D92" s="230" t="s">
        <v>815</v>
      </c>
      <c r="E92" s="1082" t="s">
        <v>1883</v>
      </c>
      <c r="F92" s="1082" t="str">
        <f>GL[[#This Row],[Line]]&amp;GL[[#This Row],[B/P]]</f>
        <v>15BS</v>
      </c>
      <c r="G92" s="1081" t="str">
        <f>GL[[#This Row],[Account]]&amp;GL[[#This Row],[Line]]</f>
        <v>19515</v>
      </c>
      <c r="H92" s="1087">
        <f>ROUND(SUMIF(TB_curr[[#Headers],[#Data],[Lookup_line]],GL[[#This Row],[Lookup line]],TB_curr[[#Headers],[#Data],[Final balance]]),0)</f>
        <v>0</v>
      </c>
      <c r="I92" s="1087">
        <f>ROUND(SUMIF(TB_prev[[#Headers],[#Data],[Lookup_line]],GL[[#This Row],[Lookup line]],TB_prev[[#Headers],[#Data],[Final balance]]),0)</f>
        <v>0</v>
      </c>
    </row>
    <row r="93" spans="1:9" s="174" customFormat="1" ht="12" customHeight="1" x14ac:dyDescent="0.25">
      <c r="A93" s="764" t="s">
        <v>2082</v>
      </c>
      <c r="B93" s="1088" t="s">
        <v>1994</v>
      </c>
      <c r="C93" s="1082" t="str">
        <f t="shared" si="1"/>
        <v/>
      </c>
      <c r="D93" s="230" t="s">
        <v>815</v>
      </c>
      <c r="E93" s="1082" t="s">
        <v>1883</v>
      </c>
      <c r="F93" s="1082" t="str">
        <f>GL[[#This Row],[Line]]&amp;GL[[#This Row],[B/P]]</f>
        <v>15BS</v>
      </c>
      <c r="G93" s="1081" t="str">
        <f>GL[[#This Row],[Account]]&amp;GL[[#This Row],[Line]]</f>
        <v>19615</v>
      </c>
      <c r="H93" s="1087">
        <f>ROUND(SUMIF(TB_curr[[#Headers],[#Data],[Lookup_line]],GL[[#This Row],[Lookup line]],TB_curr[[#Headers],[#Data],[Final balance]]),0)</f>
        <v>0</v>
      </c>
      <c r="I93" s="1087">
        <f>ROUND(SUMIF(TB_prev[[#Headers],[#Data],[Lookup_line]],GL[[#This Row],[Lookup line]],TB_prev[[#Headers],[#Data],[Final balance]]),0)</f>
        <v>0</v>
      </c>
    </row>
    <row r="94" spans="1:9" s="174" customFormat="1" ht="12" customHeight="1" x14ac:dyDescent="0.25">
      <c r="A94" s="764" t="s">
        <v>2089</v>
      </c>
      <c r="B94" s="1088" t="s">
        <v>1825</v>
      </c>
      <c r="C94" s="1082" t="str">
        <f t="shared" si="1"/>
        <v/>
      </c>
      <c r="D94" s="230" t="s">
        <v>836</v>
      </c>
      <c r="E94" s="1082" t="s">
        <v>1883</v>
      </c>
      <c r="F94" s="1082" t="str">
        <f>GL[[#This Row],[Line]]&amp;GL[[#This Row],[B/P]]</f>
        <v>22BS</v>
      </c>
      <c r="G94" s="1081" t="str">
        <f>GL[[#This Row],[Account]]&amp;GL[[#This Row],[Line]]</f>
        <v>21122</v>
      </c>
      <c r="H94" s="1087">
        <f>ROUND(SUMIF(TB_curr[[#Headers],[#Data],[Lookup_line]],GL[[#This Row],[Lookup line]],TB_curr[[#Headers],[#Data],[Final balance]]),0)</f>
        <v>0</v>
      </c>
      <c r="I94" s="1087">
        <f>ROUND(SUMIF(TB_prev[[#Headers],[#Data],[Lookup_line]],GL[[#This Row],[Lookup line]],TB_prev[[#Headers],[#Data],[Final balance]]),0)</f>
        <v>0</v>
      </c>
    </row>
    <row r="95" spans="1:9" s="174" customFormat="1" ht="12" customHeight="1" x14ac:dyDescent="0.25">
      <c r="A95" s="764" t="s">
        <v>2089</v>
      </c>
      <c r="B95" s="1088" t="s">
        <v>1993</v>
      </c>
      <c r="C95" s="1082" t="str">
        <f t="shared" si="1"/>
        <v/>
      </c>
      <c r="D95" s="230" t="s">
        <v>836</v>
      </c>
      <c r="E95" s="1082" t="s">
        <v>1883</v>
      </c>
      <c r="F95" s="1082" t="str">
        <f>GL[[#This Row],[Line]]&amp;GL[[#This Row],[B/P]]</f>
        <v>22BS</v>
      </c>
      <c r="G95" s="1081" t="str">
        <f>GL[[#This Row],[Account]]&amp;GL[[#This Row],[Line]]</f>
        <v>21322</v>
      </c>
      <c r="H95" s="1087">
        <f>ROUND(SUMIF(TB_curr[[#Headers],[#Data],[Lookup_line]],GL[[#This Row],[Lookup line]],TB_curr[[#Headers],[#Data],[Final balance]]),0)</f>
        <v>0</v>
      </c>
      <c r="I95" s="1087">
        <f>ROUND(SUMIF(TB_prev[[#Headers],[#Data],[Lookup_line]],GL[[#This Row],[Lookup line]],TB_prev[[#Headers],[#Data],[Final balance]]),0)</f>
        <v>0</v>
      </c>
    </row>
    <row r="96" spans="1:9" s="174" customFormat="1" ht="12" customHeight="1" x14ac:dyDescent="0.25">
      <c r="A96" s="764"/>
      <c r="B96" s="1086" t="s">
        <v>1886</v>
      </c>
      <c r="C96" s="1085" t="str">
        <f t="shared" si="1"/>
        <v>221</v>
      </c>
      <c r="D96" s="230"/>
      <c r="E96" s="1082" t="s">
        <v>1883</v>
      </c>
      <c r="F96" s="1082" t="str">
        <f>GL[[#This Row],[Line]]&amp;GL[[#This Row],[B/P]]</f>
        <v>BS</v>
      </c>
      <c r="G96" s="1081" t="str">
        <f>GL[[#This Row],[Account]]&amp;GL[[#This Row],[Line]]</f>
        <v>subtotal</v>
      </c>
      <c r="H96" s="1087">
        <f>ROUND(SUMIF(TB_curr[[#Headers],[#Data],[Lookup_line]],GL[[#This Row],[Lookup line]],TB_curr[[#Headers],[#Data],[Final balance]]),0)</f>
        <v>0</v>
      </c>
      <c r="I96" s="1087">
        <f>ROUND(SUMIF(TB_prev[[#Headers],[#Data],[Lookup_line]],GL[[#This Row],[Lookup line]],TB_prev[[#Headers],[#Data],[Final balance]]),0)</f>
        <v>0</v>
      </c>
    </row>
    <row r="97" spans="1:9" s="174" customFormat="1" ht="12" customHeight="1" x14ac:dyDescent="0.25">
      <c r="A97" s="764" t="s">
        <v>1647</v>
      </c>
      <c r="B97" s="1088" t="s">
        <v>1826</v>
      </c>
      <c r="C97" s="1082" t="str">
        <f t="shared" si="1"/>
        <v/>
      </c>
      <c r="D97" s="230" t="s">
        <v>808</v>
      </c>
      <c r="E97" s="1082" t="s">
        <v>1883</v>
      </c>
      <c r="F97" s="1082" t="str">
        <f>GL[[#This Row],[Line]]&amp;GL[[#This Row],[B/P]]</f>
        <v>12BS</v>
      </c>
      <c r="G97" s="1081" t="str">
        <f>GL[[#This Row],[Account]]&amp;GL[[#This Row],[Line]]</f>
        <v>22112</v>
      </c>
      <c r="H97" s="1089">
        <f>ROUND(SUMIF(TB_curr[[#Headers],[#Data],[Lookup_line]],GL[[#This Row],[Lookup line]],TB_curr[[#Headers],[#Data],[Final balance]]),0)</f>
        <v>0</v>
      </c>
      <c r="I97" s="1089">
        <f>ROUND(SUMIF(TB_prev[[#Headers],[#Data],[Lookup_line]],GL[[#This Row],[Lookup line]],TB_prev[[#Headers],[#Data],[Final balance]]),0)</f>
        <v>0</v>
      </c>
    </row>
    <row r="98" spans="1:9" s="174" customFormat="1" ht="12" customHeight="1" x14ac:dyDescent="0.25">
      <c r="A98" s="764" t="s">
        <v>2089</v>
      </c>
      <c r="B98" s="1088" t="s">
        <v>1826</v>
      </c>
      <c r="C98" s="1082" t="str">
        <f t="shared" si="1"/>
        <v/>
      </c>
      <c r="D98" s="230" t="s">
        <v>836</v>
      </c>
      <c r="E98" s="1082" t="s">
        <v>1883</v>
      </c>
      <c r="F98" s="1082" t="str">
        <f>GL[[#This Row],[Line]]&amp;GL[[#This Row],[B/P]]</f>
        <v>22BS</v>
      </c>
      <c r="G98" s="1081" t="str">
        <f>GL[[#This Row],[Account]]&amp;GL[[#This Row],[Line]]</f>
        <v>22122</v>
      </c>
      <c r="H98" s="1089">
        <f>ROUND(SUMIF(TB_curr[[#Headers],[#Data],[Lookup_line]],GL[[#This Row],[Lookup line]],TB_curr[[#Headers],[#Data],[Final balance]]),0)</f>
        <v>0</v>
      </c>
      <c r="I98" s="1089">
        <f>ROUND(SUMIF(TB_prev[[#Headers],[#Data],[Lookup_line]],GL[[#This Row],[Lookup line]],TB_prev[[#Headers],[#Data],[Final balance]]),0)</f>
        <v>0</v>
      </c>
    </row>
    <row r="99" spans="1:9" s="174" customFormat="1" ht="12" customHeight="1" x14ac:dyDescent="0.2">
      <c r="A99" s="764" t="s">
        <v>1709</v>
      </c>
      <c r="B99" s="1088" t="s">
        <v>1826</v>
      </c>
      <c r="C99" s="1082" t="str">
        <f t="shared" si="1"/>
        <v/>
      </c>
      <c r="D99" s="230" t="s">
        <v>902</v>
      </c>
      <c r="E99" s="1082" t="s">
        <v>1883</v>
      </c>
      <c r="F99" s="1082" t="str">
        <f>GL[[#This Row],[Line]]&amp;GL[[#This Row],[B/P]]</f>
        <v>44BS</v>
      </c>
      <c r="G99" s="1084" t="str">
        <f>GL[[#This Row],[Account]]&amp;GL[[#This Row],[Line]]</f>
        <v>22144</v>
      </c>
      <c r="H99" s="1083">
        <f>ROUND(SUMIF(TB_curr[[#Headers],[#Data],[Lookup_line]],GL[[#This Row],[Lookup line]],TB_curr[[#Headers],[#Data],[Final balance]]),0)</f>
        <v>0</v>
      </c>
      <c r="I99" s="1083">
        <f>ROUND(SUMIF(TB_prev[[#Headers],[#Data],[Lookup_line]],GL[[#This Row],[Lookup line]],TB_prev[[#Headers],[#Data],[Final balance]]),0)</f>
        <v>0</v>
      </c>
    </row>
    <row r="100" spans="1:9" s="174" customFormat="1" ht="12" customHeight="1" x14ac:dyDescent="0.25">
      <c r="A100" s="764" t="s">
        <v>1709</v>
      </c>
      <c r="B100" s="1088" t="s">
        <v>1992</v>
      </c>
      <c r="C100" s="1082" t="str">
        <f t="shared" si="1"/>
        <v/>
      </c>
      <c r="D100" s="230" t="s">
        <v>902</v>
      </c>
      <c r="E100" s="1082" t="s">
        <v>1883</v>
      </c>
      <c r="F100" s="1082" t="str">
        <f>GL[[#This Row],[Line]]&amp;GL[[#This Row],[B/P]]</f>
        <v>44BS</v>
      </c>
      <c r="G100" s="1081" t="str">
        <f>GL[[#This Row],[Account]]&amp;GL[[#This Row],[Line]]</f>
        <v>23144</v>
      </c>
      <c r="H100" s="1087">
        <f>ROUND(SUMIF(TB_curr[[#Headers],[#Data],[Lookup_line]],GL[[#This Row],[Lookup line]],TB_curr[[#Headers],[#Data],[Final balance]]),0)</f>
        <v>0</v>
      </c>
      <c r="I100" s="1087">
        <f>ROUND(SUMIF(TB_prev[[#Headers],[#Data],[Lookup_line]],GL[[#This Row],[Lookup line]],TB_prev[[#Headers],[#Data],[Final balance]]),0)</f>
        <v>0</v>
      </c>
    </row>
    <row r="101" spans="1:9" s="174" customFormat="1" ht="12" customHeight="1" x14ac:dyDescent="0.25">
      <c r="A101" s="764" t="s">
        <v>1709</v>
      </c>
      <c r="B101" s="1088" t="s">
        <v>1991</v>
      </c>
      <c r="C101" s="1082" t="str">
        <f t="shared" si="1"/>
        <v/>
      </c>
      <c r="D101" s="230" t="s">
        <v>902</v>
      </c>
      <c r="E101" s="1082" t="s">
        <v>1883</v>
      </c>
      <c r="F101" s="1082" t="str">
        <f>GL[[#This Row],[Line]]&amp;GL[[#This Row],[B/P]]</f>
        <v>44BS</v>
      </c>
      <c r="G101" s="1081" t="str">
        <f>GL[[#This Row],[Account]]&amp;GL[[#This Row],[Line]]</f>
        <v>23244</v>
      </c>
      <c r="H101" s="1087">
        <f>ROUND(SUMIF(TB_curr[[#Headers],[#Data],[Lookup_line]],GL[[#This Row],[Lookup line]],TB_curr[[#Headers],[#Data],[Final balance]]),0)</f>
        <v>0</v>
      </c>
      <c r="I101" s="1087">
        <f>ROUND(SUMIF(TB_prev[[#Headers],[#Data],[Lookup_line]],GL[[#This Row],[Lookup line]],TB_prev[[#Headers],[#Data],[Final balance]]),0)</f>
        <v>0</v>
      </c>
    </row>
    <row r="102" spans="1:9" s="174" customFormat="1" ht="12" customHeight="1" x14ac:dyDescent="0.2">
      <c r="A102" s="764" t="s">
        <v>1003</v>
      </c>
      <c r="B102" s="1088" t="s">
        <v>1990</v>
      </c>
      <c r="C102" s="1082" t="str">
        <f t="shared" si="1"/>
        <v/>
      </c>
      <c r="D102" s="230" t="s">
        <v>905</v>
      </c>
      <c r="E102" s="1082" t="s">
        <v>1883</v>
      </c>
      <c r="F102" s="1082" t="str">
        <f>GL[[#This Row],[Line]]&amp;GL[[#This Row],[B/P]]</f>
        <v>45BS</v>
      </c>
      <c r="G102" s="1084" t="str">
        <f>GL[[#This Row],[Account]]&amp;GL[[#This Row],[Line]]</f>
        <v>24145</v>
      </c>
      <c r="H102" s="1083">
        <f>ROUND(SUMIF(TB_curr[[#Headers],[#Data],[Lookup_line]],GL[[#This Row],[Lookup line]],TB_curr[[#Headers],[#Data],[Final balance]]),0)</f>
        <v>0</v>
      </c>
      <c r="I102" s="1083">
        <f>ROUND(SUMIF(TB_prev[[#Headers],[#Data],[Lookup_line]],GL[[#This Row],[Lookup line]],TB_prev[[#Headers],[#Data],[Final balance]]),0)</f>
        <v>0</v>
      </c>
    </row>
    <row r="103" spans="1:9" s="174" customFormat="1" ht="12" customHeight="1" x14ac:dyDescent="0.2">
      <c r="A103" s="764" t="s">
        <v>1003</v>
      </c>
      <c r="B103" s="1088" t="s">
        <v>1827</v>
      </c>
      <c r="C103" s="1082" t="str">
        <f t="shared" si="1"/>
        <v/>
      </c>
      <c r="D103" s="230" t="s">
        <v>905</v>
      </c>
      <c r="E103" s="1082" t="s">
        <v>1883</v>
      </c>
      <c r="F103" s="1082" t="str">
        <f>GL[[#This Row],[Line]]&amp;GL[[#This Row],[B/P]]</f>
        <v>45BS</v>
      </c>
      <c r="G103" s="1084" t="str">
        <f>GL[[#This Row],[Account]]&amp;GL[[#This Row],[Line]]</f>
        <v>24945</v>
      </c>
      <c r="H103" s="1083">
        <f>ROUND(SUMIF(TB_curr[[#Headers],[#Data],[Lookup_line]],GL[[#This Row],[Lookup line]],TB_curr[[#Headers],[#Data],[Final balance]]),0)</f>
        <v>0</v>
      </c>
      <c r="I103" s="1083">
        <f>ROUND(SUMIF(TB_prev[[#Headers],[#Data],[Lookup_line]],GL[[#This Row],[Lookup line]],TB_prev[[#Headers],[#Data],[Final balance]]),0)</f>
        <v>0</v>
      </c>
    </row>
    <row r="104" spans="1:9" s="174" customFormat="1" ht="12" customHeight="1" x14ac:dyDescent="0.2">
      <c r="A104" s="764" t="s">
        <v>2090</v>
      </c>
      <c r="B104" s="1088" t="s">
        <v>1989</v>
      </c>
      <c r="C104" s="1082" t="str">
        <f t="shared" si="1"/>
        <v/>
      </c>
      <c r="D104" s="230" t="s">
        <v>839</v>
      </c>
      <c r="E104" s="1082" t="s">
        <v>1883</v>
      </c>
      <c r="F104" s="1082" t="str">
        <f>GL[[#This Row],[Line]]&amp;GL[[#This Row],[B/P]]</f>
        <v>23BS</v>
      </c>
      <c r="G104" s="1084" t="str">
        <f>GL[[#This Row],[Account]]&amp;GL[[#This Row],[Line]]</f>
        <v>25123</v>
      </c>
      <c r="H104" s="1083">
        <f>ROUND(SUMIF(TB_curr[[#Headers],[#Data],[Lookup_line]],GL[[#This Row],[Lookup line]],TB_curr[[#Headers],[#Data],[Final balance]]),0)</f>
        <v>0</v>
      </c>
      <c r="I104" s="1083">
        <f>ROUND(SUMIF(TB_prev[[#Headers],[#Data],[Lookup_line]],GL[[#This Row],[Lookup line]],TB_prev[[#Headers],[#Data],[Final balance]]),0)</f>
        <v>0</v>
      </c>
    </row>
    <row r="105" spans="1:9" s="174" customFormat="1" ht="12" customHeight="1" x14ac:dyDescent="0.2">
      <c r="A105" s="764" t="s">
        <v>2090</v>
      </c>
      <c r="B105" s="1088" t="s">
        <v>1988</v>
      </c>
      <c r="C105" s="1082" t="str">
        <f t="shared" si="1"/>
        <v/>
      </c>
      <c r="D105" s="230" t="s">
        <v>839</v>
      </c>
      <c r="E105" s="1082" t="s">
        <v>1883</v>
      </c>
      <c r="F105" s="1082" t="str">
        <f>GL[[#This Row],[Line]]&amp;GL[[#This Row],[B/P]]</f>
        <v>23BS</v>
      </c>
      <c r="G105" s="1084" t="str">
        <f>GL[[#This Row],[Account]]&amp;GL[[#This Row],[Line]]</f>
        <v>25223</v>
      </c>
      <c r="H105" s="1083">
        <f>ROUND(SUMIF(TB_curr[[#Headers],[#Data],[Lookup_line]],GL[[#This Row],[Lookup line]],TB_curr[[#Headers],[#Data],[Final balance]]),0)</f>
        <v>0</v>
      </c>
      <c r="I105" s="1083">
        <f>ROUND(SUMIF(TB_prev[[#Headers],[#Data],[Lookup_line]],GL[[#This Row],[Lookup line]],TB_prev[[#Headers],[#Data],[Final balance]]),0)</f>
        <v>0</v>
      </c>
    </row>
    <row r="106" spans="1:9" s="174" customFormat="1" ht="12" customHeight="1" x14ac:dyDescent="0.2">
      <c r="A106" s="764" t="s">
        <v>2090</v>
      </c>
      <c r="B106" s="1088" t="s">
        <v>1987</v>
      </c>
      <c r="C106" s="1082" t="str">
        <f t="shared" si="1"/>
        <v/>
      </c>
      <c r="D106" s="230" t="s">
        <v>839</v>
      </c>
      <c r="E106" s="1082" t="s">
        <v>1883</v>
      </c>
      <c r="F106" s="1082" t="str">
        <f>GL[[#This Row],[Line]]&amp;GL[[#This Row],[B/P]]</f>
        <v>23BS</v>
      </c>
      <c r="G106" s="1084" t="str">
        <f>GL[[#This Row],[Account]]&amp;GL[[#This Row],[Line]]</f>
        <v>25323</v>
      </c>
      <c r="H106" s="1083">
        <f>ROUND(SUMIF(TB_curr[[#Headers],[#Data],[Lookup_line]],GL[[#This Row],[Lookup line]],TB_curr[[#Headers],[#Data],[Final balance]]),0)</f>
        <v>0</v>
      </c>
      <c r="I106" s="1083">
        <f>ROUND(SUMIF(TB_prev[[#Headers],[#Data],[Lookup_line]],GL[[#This Row],[Lookup line]],TB_prev[[#Headers],[#Data],[Final balance]]),0)</f>
        <v>0</v>
      </c>
    </row>
    <row r="107" spans="1:9" s="174" customFormat="1" ht="12" customHeight="1" x14ac:dyDescent="0.2">
      <c r="A107" s="764"/>
      <c r="B107" s="1086" t="s">
        <v>1886</v>
      </c>
      <c r="C107" s="1085" t="str">
        <f t="shared" si="1"/>
        <v>255</v>
      </c>
      <c r="D107" s="230"/>
      <c r="E107" s="1082" t="s">
        <v>1883</v>
      </c>
      <c r="F107" s="1082" t="str">
        <f>GL[[#This Row],[Line]]&amp;GL[[#This Row],[B/P]]</f>
        <v>BS</v>
      </c>
      <c r="G107" s="1084" t="str">
        <f>GL[[#This Row],[Account]]&amp;GL[[#This Row],[Line]]</f>
        <v>subtotal</v>
      </c>
      <c r="H107" s="1083">
        <f>ROUND(SUMIF(TB_curr[[#Headers],[#Data],[Lookup_line]],GL[[#This Row],[Lookup line]],TB_curr[[#Headers],[#Data],[Final balance]]),0)</f>
        <v>0</v>
      </c>
      <c r="I107" s="1083">
        <f>ROUND(SUMIF(TB_prev[[#Headers],[#Data],[Lookup_line]],GL[[#This Row],[Lookup line]],TB_prev[[#Headers],[#Data],[Final balance]]),0)</f>
        <v>0</v>
      </c>
    </row>
    <row r="108" spans="1:9" s="174" customFormat="1" ht="12" customHeight="1" x14ac:dyDescent="0.25">
      <c r="A108" s="764" t="s">
        <v>2101</v>
      </c>
      <c r="B108" s="1088" t="s">
        <v>1986</v>
      </c>
      <c r="C108" s="1082" t="str">
        <f t="shared" si="1"/>
        <v/>
      </c>
      <c r="D108" s="230" t="s">
        <v>875</v>
      </c>
      <c r="E108" s="1082" t="s">
        <v>1883</v>
      </c>
      <c r="F108" s="1082" t="str">
        <f>GL[[#This Row],[Line]]&amp;GL[[#This Row],[B/P]]</f>
        <v>35BS</v>
      </c>
      <c r="G108" s="1081" t="str">
        <f>GL[[#This Row],[Account]]&amp;GL[[#This Row],[Line]]</f>
        <v>25535</v>
      </c>
      <c r="H108" s="1089">
        <f>ROUND(SUMIF(TB_curr[[#Headers],[#Data],[Lookup_line]],GL[[#This Row],[Lookup line]],TB_curr[[#Headers],[#Data],[Final balance]]),0)</f>
        <v>0</v>
      </c>
      <c r="I108" s="1089">
        <f>ROUND(SUMIF(TB_prev[[#Headers],[#Data],[Lookup_line]],GL[[#This Row],[Lookup line]],TB_prev[[#Headers],[#Data],[Final balance]]),0)</f>
        <v>0</v>
      </c>
    </row>
    <row r="109" spans="1:9" s="174" customFormat="1" ht="12" customHeight="1" x14ac:dyDescent="0.25">
      <c r="A109" s="764" t="s">
        <v>1003</v>
      </c>
      <c r="B109" s="1088" t="s">
        <v>1986</v>
      </c>
      <c r="C109" s="1082" t="str">
        <f t="shared" si="1"/>
        <v/>
      </c>
      <c r="D109" s="230" t="s">
        <v>905</v>
      </c>
      <c r="E109" s="1082" t="s">
        <v>1883</v>
      </c>
      <c r="F109" s="1082" t="str">
        <f>GL[[#This Row],[Line]]&amp;GL[[#This Row],[B/P]]</f>
        <v>45BS</v>
      </c>
      <c r="G109" s="1081" t="str">
        <f>GL[[#This Row],[Account]]&amp;GL[[#This Row],[Line]]</f>
        <v>25545</v>
      </c>
      <c r="H109" s="1087">
        <f>ROUND(SUMIF(TB_curr[[#Headers],[#Data],[Lookup_line]],GL[[#This Row],[Lookup line]],TB_curr[[#Headers],[#Data],[Final balance]]),0)</f>
        <v>0</v>
      </c>
      <c r="I109" s="1087">
        <f>ROUND(SUMIF(TB_prev[[#Headers],[#Data],[Lookup_line]],GL[[#This Row],[Lookup line]],TB_prev[[#Headers],[#Data],[Final balance]]),0)</f>
        <v>0</v>
      </c>
    </row>
    <row r="110" spans="1:9" s="174" customFormat="1" ht="12" customHeight="1" x14ac:dyDescent="0.25">
      <c r="A110" s="764" t="s">
        <v>2090</v>
      </c>
      <c r="B110" s="1088" t="s">
        <v>1985</v>
      </c>
      <c r="C110" s="1082" t="str">
        <f t="shared" si="1"/>
        <v/>
      </c>
      <c r="D110" s="230" t="s">
        <v>839</v>
      </c>
      <c r="E110" s="1082" t="s">
        <v>1883</v>
      </c>
      <c r="F110" s="1082" t="str">
        <f>GL[[#This Row],[Line]]&amp;GL[[#This Row],[B/P]]</f>
        <v>23BS</v>
      </c>
      <c r="G110" s="1081" t="str">
        <f>GL[[#This Row],[Account]]&amp;GL[[#This Row],[Line]]</f>
        <v>25623</v>
      </c>
      <c r="H110" s="1087">
        <f>ROUND(SUMIF(TB_curr[[#Headers],[#Data],[Lookup_line]],GL[[#This Row],[Lookup line]],TB_curr[[#Headers],[#Data],[Final balance]]),0)</f>
        <v>0</v>
      </c>
      <c r="I110" s="1087">
        <f>ROUND(SUMIF(TB_prev[[#Headers],[#Data],[Lookup_line]],GL[[#This Row],[Lookup line]],TB_prev[[#Headers],[#Data],[Final balance]]),0)</f>
        <v>0</v>
      </c>
    </row>
    <row r="111" spans="1:9" s="174" customFormat="1" ht="12" customHeight="1" x14ac:dyDescent="0.2">
      <c r="A111" s="764" t="s">
        <v>2090</v>
      </c>
      <c r="B111" s="1088" t="s">
        <v>1984</v>
      </c>
      <c r="C111" s="1082" t="str">
        <f t="shared" si="1"/>
        <v/>
      </c>
      <c r="D111" s="230" t="s">
        <v>839</v>
      </c>
      <c r="E111" s="1082" t="s">
        <v>1883</v>
      </c>
      <c r="F111" s="1082" t="str">
        <f>GL[[#This Row],[Line]]&amp;GL[[#This Row],[B/P]]</f>
        <v>23BS</v>
      </c>
      <c r="G111" s="1084" t="str">
        <f>GL[[#This Row],[Account]]&amp;GL[[#This Row],[Line]]</f>
        <v>25723</v>
      </c>
      <c r="H111" s="1083">
        <f>ROUND(SUMIF(TB_curr[[#Headers],[#Data],[Lookup_line]],GL[[#This Row],[Lookup line]],TB_curr[[#Headers],[#Data],[Final balance]]),0)</f>
        <v>0</v>
      </c>
      <c r="I111" s="1083">
        <f>ROUND(SUMIF(TB_prev[[#Headers],[#Data],[Lookup_line]],GL[[#This Row],[Lookup line]],TB_prev[[#Headers],[#Data],[Final balance]]),0)</f>
        <v>0</v>
      </c>
    </row>
    <row r="112" spans="1:9" s="174" customFormat="1" ht="12" customHeight="1" x14ac:dyDescent="0.25">
      <c r="A112" s="764" t="s">
        <v>2090</v>
      </c>
      <c r="B112" s="1088" t="s">
        <v>1983</v>
      </c>
      <c r="C112" s="1082" t="str">
        <f t="shared" si="1"/>
        <v/>
      </c>
      <c r="D112" s="230" t="s">
        <v>839</v>
      </c>
      <c r="E112" s="1082" t="s">
        <v>1883</v>
      </c>
      <c r="F112" s="1082" t="str">
        <f>GL[[#This Row],[Line]]&amp;GL[[#This Row],[B/P]]</f>
        <v>23BS</v>
      </c>
      <c r="G112" s="1081" t="str">
        <f>GL[[#This Row],[Account]]&amp;GL[[#This Row],[Line]]</f>
        <v>25923</v>
      </c>
      <c r="H112" s="1089">
        <f>ROUND(SUMIF(TB_curr[[#Headers],[#Data],[Lookup_line]],GL[[#This Row],[Lookup line]],TB_curr[[#Headers],[#Data],[Final balance]]),0)</f>
        <v>0</v>
      </c>
      <c r="I112" s="1089">
        <f>ROUND(SUMIF(TB_prev[[#Headers],[#Data],[Lookup_line]],GL[[#This Row],[Lookup line]],TB_prev[[#Headers],[#Data],[Final balance]]),0)</f>
        <v>0</v>
      </c>
    </row>
    <row r="113" spans="1:9" s="174" customFormat="1" ht="12" customHeight="1" x14ac:dyDescent="0.25">
      <c r="A113" s="764" t="s">
        <v>2089</v>
      </c>
      <c r="B113" s="1088" t="s">
        <v>1828</v>
      </c>
      <c r="C113" s="1082" t="str">
        <f t="shared" si="1"/>
        <v/>
      </c>
      <c r="D113" s="230" t="s">
        <v>836</v>
      </c>
      <c r="E113" s="1082" t="s">
        <v>1883</v>
      </c>
      <c r="F113" s="1082" t="str">
        <f>GL[[#This Row],[Line]]&amp;GL[[#This Row],[B/P]]</f>
        <v>22BS</v>
      </c>
      <c r="G113" s="1081" t="str">
        <f>GL[[#This Row],[Account]]&amp;GL[[#This Row],[Line]]</f>
        <v>26122</v>
      </c>
      <c r="H113" s="1087">
        <f>ROUND(SUMIF(TB_curr[[#Headers],[#Data],[Lookup_line]],GL[[#This Row],[Lookup line]],TB_curr[[#Headers],[#Data],[Final balance]]),0)</f>
        <v>0</v>
      </c>
      <c r="I113" s="1087">
        <f>ROUND(SUMIF(TB_prev[[#Headers],[#Data],[Lookup_line]],GL[[#This Row],[Lookup line]],TB_prev[[#Headers],[#Data],[Final balance]]),0)</f>
        <v>0</v>
      </c>
    </row>
    <row r="114" spans="1:9" s="174" customFormat="1" ht="12" customHeight="1" x14ac:dyDescent="0.2">
      <c r="A114" s="764" t="s">
        <v>2090</v>
      </c>
      <c r="B114" s="1088" t="s">
        <v>1982</v>
      </c>
      <c r="C114" s="1082" t="str">
        <f t="shared" si="1"/>
        <v/>
      </c>
      <c r="D114" s="230" t="s">
        <v>839</v>
      </c>
      <c r="E114" s="1082" t="s">
        <v>1883</v>
      </c>
      <c r="F114" s="1082" t="str">
        <f>GL[[#This Row],[Line]]&amp;GL[[#This Row],[B/P]]</f>
        <v>23BS</v>
      </c>
      <c r="G114" s="1084" t="str">
        <f>GL[[#This Row],[Account]]&amp;GL[[#This Row],[Line]]</f>
        <v>29123</v>
      </c>
      <c r="H114" s="1083">
        <f>ROUND(SUMIF(TB_curr[[#Headers],[#Data],[Lookup_line]],GL[[#This Row],[Lookup line]],TB_curr[[#Headers],[#Data],[Final balance]]),0)</f>
        <v>0</v>
      </c>
      <c r="I114" s="1083">
        <f>ROUND(SUMIF(TB_prev[[#Headers],[#Data],[Lookup_line]],GL[[#This Row],[Lookup line]],TB_prev[[#Headers],[#Data],[Final balance]]),0)</f>
        <v>0</v>
      </c>
    </row>
    <row r="115" spans="1:9" s="174" customFormat="1" ht="12" customHeight="1" x14ac:dyDescent="0.25">
      <c r="A115" s="764"/>
      <c r="B115" s="1086" t="s">
        <v>1886</v>
      </c>
      <c r="C115" s="1085" t="str">
        <f t="shared" si="1"/>
        <v>311</v>
      </c>
      <c r="D115" s="230"/>
      <c r="E115" s="1082" t="s">
        <v>1883</v>
      </c>
      <c r="F115" s="1082" t="str">
        <f>GL[[#This Row],[Line]]&amp;GL[[#This Row],[B/P]]</f>
        <v>BS</v>
      </c>
      <c r="G115" s="1081" t="str">
        <f>GL[[#This Row],[Account]]&amp;GL[[#This Row],[Line]]</f>
        <v>subtotal</v>
      </c>
      <c r="H115" s="1087">
        <f>ROUND(SUMIF(TB_curr[[#Headers],[#Data],[Lookup_line]],GL[[#This Row],[Lookup line]],TB_curr[[#Headers],[#Data],[Final balance]]),0)</f>
        <v>0</v>
      </c>
      <c r="I115" s="1087">
        <f>ROUND(SUMIF(TB_prev[[#Headers],[#Data],[Lookup_line]],GL[[#This Row],[Lookup line]],TB_prev[[#Headers],[#Data],[Final balance]]),0)</f>
        <v>0</v>
      </c>
    </row>
    <row r="116" spans="1:9" s="174" customFormat="1" ht="12" customHeight="1" x14ac:dyDescent="0.2">
      <c r="A116" s="764" t="s">
        <v>2083</v>
      </c>
      <c r="B116" s="1088" t="s">
        <v>1829</v>
      </c>
      <c r="C116" s="1082" t="str">
        <f t="shared" si="1"/>
        <v/>
      </c>
      <c r="D116" s="230" t="s">
        <v>818</v>
      </c>
      <c r="E116" s="1082" t="s">
        <v>1883</v>
      </c>
      <c r="F116" s="1082" t="str">
        <f>GL[[#This Row],[Line]]&amp;GL[[#This Row],[B/P]]</f>
        <v>16BS</v>
      </c>
      <c r="G116" s="1084" t="str">
        <f>GL[[#This Row],[Account]]&amp;GL[[#This Row],[Line]]</f>
        <v>31116</v>
      </c>
      <c r="H116" s="1083">
        <f>ROUND(SUMIF(TB_curr[[#Headers],[#Data],[Lookup_line]],GL[[#This Row],[Lookup line]],TB_curr[[#Headers],[#Data],[Final balance]]),0)</f>
        <v>0</v>
      </c>
      <c r="I116" s="1083">
        <f>ROUND(SUMIF(TB_prev[[#Headers],[#Data],[Lookup_line]],GL[[#This Row],[Lookup line]],TB_prev[[#Headers],[#Data],[Final balance]]),0)</f>
        <v>0</v>
      </c>
    </row>
    <row r="117" spans="1:9" s="174" customFormat="1" ht="12" customHeight="1" x14ac:dyDescent="0.2">
      <c r="A117" s="764" t="s">
        <v>2085</v>
      </c>
      <c r="B117" s="1088" t="s">
        <v>1829</v>
      </c>
      <c r="C117" s="1082" t="str">
        <f t="shared" si="1"/>
        <v/>
      </c>
      <c r="D117" s="230" t="s">
        <v>824</v>
      </c>
      <c r="E117" s="1082" t="s">
        <v>1883</v>
      </c>
      <c r="F117" s="1082" t="str">
        <f>GL[[#This Row],[Line]]&amp;GL[[#This Row],[B/P]]</f>
        <v>18BS</v>
      </c>
      <c r="G117" s="1084" t="str">
        <f>GL[[#This Row],[Account]]&amp;GL[[#This Row],[Line]]</f>
        <v>31118</v>
      </c>
      <c r="H117" s="1083">
        <f>ROUND(SUMIF(TB_curr[[#Headers],[#Data],[Lookup_line]],GL[[#This Row],[Lookup line]],TB_curr[[#Headers],[#Data],[Final balance]]),0)</f>
        <v>0</v>
      </c>
      <c r="I117" s="1083">
        <f>ROUND(SUMIF(TB_prev[[#Headers],[#Data],[Lookup_line]],GL[[#This Row],[Lookup line]],TB_prev[[#Headers],[#Data],[Final balance]]),0)</f>
        <v>0</v>
      </c>
    </row>
    <row r="118" spans="1:9" s="174" customFormat="1" ht="12" customHeight="1" x14ac:dyDescent="0.25">
      <c r="A118" s="764"/>
      <c r="B118" s="1086" t="s">
        <v>1886</v>
      </c>
      <c r="C118" s="1085" t="str">
        <f t="shared" si="1"/>
        <v>312</v>
      </c>
      <c r="D118" s="230"/>
      <c r="E118" s="1082" t="s">
        <v>1883</v>
      </c>
      <c r="F118" s="1082" t="str">
        <f>GL[[#This Row],[Line]]&amp;GL[[#This Row],[B/P]]</f>
        <v>BS</v>
      </c>
      <c r="G118" s="1081" t="str">
        <f>GL[[#This Row],[Account]]&amp;GL[[#This Row],[Line]]</f>
        <v>subtotal</v>
      </c>
      <c r="H118" s="1089">
        <f>ROUND(SUMIF(TB_curr[[#Headers],[#Data],[Lookup_line]],GL[[#This Row],[Lookup line]],TB_curr[[#Headers],[#Data],[Final balance]]),0)</f>
        <v>0</v>
      </c>
      <c r="I118" s="1089">
        <f>ROUND(SUMIF(TB_prev[[#Headers],[#Data],[Lookup_line]],GL[[#This Row],[Lookup line]],TB_prev[[#Headers],[#Data],[Final balance]]),0)</f>
        <v>0</v>
      </c>
    </row>
    <row r="119" spans="1:9" s="174" customFormat="1" ht="12" customHeight="1" x14ac:dyDescent="0.25">
      <c r="A119" s="764" t="s">
        <v>2083</v>
      </c>
      <c r="B119" s="1088" t="s">
        <v>1981</v>
      </c>
      <c r="C119" s="1082" t="str">
        <f t="shared" si="1"/>
        <v/>
      </c>
      <c r="D119" s="230" t="s">
        <v>818</v>
      </c>
      <c r="E119" s="1082" t="s">
        <v>1883</v>
      </c>
      <c r="F119" s="1082" t="str">
        <f>GL[[#This Row],[Line]]&amp;GL[[#This Row],[B/P]]</f>
        <v>16BS</v>
      </c>
      <c r="G119" s="1081" t="str">
        <f>GL[[#This Row],[Account]]&amp;GL[[#This Row],[Line]]</f>
        <v>31216</v>
      </c>
      <c r="H119" s="1087">
        <f>ROUND(SUMIF(TB_curr[[#Headers],[#Data],[Lookup_line]],GL[[#This Row],[Lookup line]],TB_curr[[#Headers],[#Data],[Final balance]]),0)</f>
        <v>0</v>
      </c>
      <c r="I119" s="1087">
        <f>ROUND(SUMIF(TB_prev[[#Headers],[#Data],[Lookup_line]],GL[[#This Row],[Lookup line]],TB_prev[[#Headers],[#Data],[Final balance]]),0)</f>
        <v>0</v>
      </c>
    </row>
    <row r="120" spans="1:9" s="174" customFormat="1" ht="12" customHeight="1" x14ac:dyDescent="0.2">
      <c r="A120" s="764" t="s">
        <v>2085</v>
      </c>
      <c r="B120" s="1088" t="s">
        <v>1981</v>
      </c>
      <c r="C120" s="1082" t="str">
        <f t="shared" si="1"/>
        <v/>
      </c>
      <c r="D120" s="230" t="s">
        <v>824</v>
      </c>
      <c r="E120" s="1082" t="s">
        <v>1883</v>
      </c>
      <c r="F120" s="1082" t="str">
        <f>GL[[#This Row],[Line]]&amp;GL[[#This Row],[B/P]]</f>
        <v>18BS</v>
      </c>
      <c r="G120" s="1084" t="str">
        <f>GL[[#This Row],[Account]]&amp;GL[[#This Row],[Line]]</f>
        <v>31218</v>
      </c>
      <c r="H120" s="1083">
        <f>ROUND(SUMIF(TB_curr[[#Headers],[#Data],[Lookup_line]],GL[[#This Row],[Lookup line]],TB_curr[[#Headers],[#Data],[Final balance]]),0)</f>
        <v>0</v>
      </c>
      <c r="I120" s="1083">
        <f>ROUND(SUMIF(TB_prev[[#Headers],[#Data],[Lookup_line]],GL[[#This Row],[Lookup line]],TB_prev[[#Headers],[#Data],[Final balance]]),0)</f>
        <v>0</v>
      </c>
    </row>
    <row r="121" spans="1:9" s="174" customFormat="1" ht="12" customHeight="1" x14ac:dyDescent="0.25">
      <c r="A121" s="764"/>
      <c r="B121" s="1086" t="s">
        <v>1886</v>
      </c>
      <c r="C121" s="1085" t="str">
        <f t="shared" si="1"/>
        <v>313</v>
      </c>
      <c r="D121" s="230"/>
      <c r="E121" s="1082" t="s">
        <v>1883</v>
      </c>
      <c r="F121" s="1082" t="str">
        <f>GL[[#This Row],[Line]]&amp;GL[[#This Row],[B/P]]</f>
        <v>BS</v>
      </c>
      <c r="G121" s="1081" t="str">
        <f>GL[[#This Row],[Account]]&amp;GL[[#This Row],[Line]]</f>
        <v>subtotal</v>
      </c>
      <c r="H121" s="1089">
        <f>ROUND(SUMIF(TB_curr[[#Headers],[#Data],[Lookup_line]],GL[[#This Row],[Lookup line]],TB_curr[[#Headers],[#Data],[Final balance]]),0)</f>
        <v>0</v>
      </c>
      <c r="I121" s="1089">
        <f>ROUND(SUMIF(TB_prev[[#Headers],[#Data],[Lookup_line]],GL[[#This Row],[Lookup line]],TB_prev[[#Headers],[#Data],[Final balance]]),0)</f>
        <v>0</v>
      </c>
    </row>
    <row r="122" spans="1:9" s="174" customFormat="1" ht="12" customHeight="1" x14ac:dyDescent="0.25">
      <c r="A122" s="764" t="s">
        <v>2083</v>
      </c>
      <c r="B122" s="1088" t="s">
        <v>1980</v>
      </c>
      <c r="C122" s="1082" t="str">
        <f t="shared" si="1"/>
        <v/>
      </c>
      <c r="D122" s="230" t="s">
        <v>818</v>
      </c>
      <c r="E122" s="1082" t="s">
        <v>1883</v>
      </c>
      <c r="F122" s="1082" t="str">
        <f>GL[[#This Row],[Line]]&amp;GL[[#This Row],[B/P]]</f>
        <v>16BS</v>
      </c>
      <c r="G122" s="1081" t="str">
        <f>GL[[#This Row],[Account]]&amp;GL[[#This Row],[Line]]</f>
        <v>31316</v>
      </c>
      <c r="H122" s="1087">
        <f>ROUND(SUMIF(TB_curr[[#Headers],[#Data],[Lookup_line]],GL[[#This Row],[Lookup line]],TB_curr[[#Headers],[#Data],[Final balance]]),0)</f>
        <v>0</v>
      </c>
      <c r="I122" s="1087">
        <f>ROUND(SUMIF(TB_prev[[#Headers],[#Data],[Lookup_line]],GL[[#This Row],[Lookup line]],TB_prev[[#Headers],[#Data],[Final balance]]),0)</f>
        <v>0</v>
      </c>
    </row>
    <row r="123" spans="1:9" s="174" customFormat="1" ht="12" customHeight="1" x14ac:dyDescent="0.25">
      <c r="A123" s="764" t="s">
        <v>2085</v>
      </c>
      <c r="B123" s="1088" t="s">
        <v>1980</v>
      </c>
      <c r="C123" s="1082" t="str">
        <f t="shared" si="1"/>
        <v/>
      </c>
      <c r="D123" s="230" t="s">
        <v>824</v>
      </c>
      <c r="E123" s="1082" t="s">
        <v>1883</v>
      </c>
      <c r="F123" s="1082" t="str">
        <f>GL[[#This Row],[Line]]&amp;GL[[#This Row],[B/P]]</f>
        <v>18BS</v>
      </c>
      <c r="G123" s="1081" t="str">
        <f>GL[[#This Row],[Account]]&amp;GL[[#This Row],[Line]]</f>
        <v>31318</v>
      </c>
      <c r="H123" s="1087">
        <f>ROUND(SUMIF(TB_curr[[#Headers],[#Data],[Lookup_line]],GL[[#This Row],[Lookup line]],TB_curr[[#Headers],[#Data],[Final balance]]),0)</f>
        <v>0</v>
      </c>
      <c r="I123" s="1087">
        <f>ROUND(SUMIF(TB_prev[[#Headers],[#Data],[Lookup_line]],GL[[#This Row],[Lookup line]],TB_prev[[#Headers],[#Data],[Final balance]]),0)</f>
        <v>0</v>
      </c>
    </row>
    <row r="124" spans="1:9" s="174" customFormat="1" ht="12" customHeight="1" x14ac:dyDescent="0.25">
      <c r="A124" s="764"/>
      <c r="B124" s="1086" t="s">
        <v>1886</v>
      </c>
      <c r="C124" s="1085" t="str">
        <f t="shared" si="1"/>
        <v>314</v>
      </c>
      <c r="D124" s="230"/>
      <c r="E124" s="1082" t="s">
        <v>1883</v>
      </c>
      <c r="F124" s="1082" t="str">
        <f>GL[[#This Row],[Line]]&amp;GL[[#This Row],[B/P]]</f>
        <v>BS</v>
      </c>
      <c r="G124" s="1081" t="str">
        <f>GL[[#This Row],[Account]]&amp;GL[[#This Row],[Line]]</f>
        <v>subtotal</v>
      </c>
      <c r="H124" s="1087">
        <f>ROUND(SUMIF(TB_curr[[#Headers],[#Data],[Lookup_line]],GL[[#This Row],[Lookup line]],TB_curr[[#Headers],[#Data],[Final balance]]),0)</f>
        <v>0</v>
      </c>
      <c r="I124" s="1087">
        <f>ROUND(SUMIF(TB_prev[[#Headers],[#Data],[Lookup_line]],GL[[#This Row],[Lookup line]],TB_prev[[#Headers],[#Data],[Final balance]]),0)</f>
        <v>0</v>
      </c>
    </row>
    <row r="125" spans="1:9" s="174" customFormat="1" ht="12" customHeight="1" x14ac:dyDescent="0.2">
      <c r="A125" s="764" t="s">
        <v>2082</v>
      </c>
      <c r="B125" s="1088" t="s">
        <v>1830</v>
      </c>
      <c r="C125" s="1082" t="str">
        <f t="shared" si="1"/>
        <v/>
      </c>
      <c r="D125" s="230" t="s">
        <v>815</v>
      </c>
      <c r="E125" s="1082" t="s">
        <v>1883</v>
      </c>
      <c r="F125" s="1082" t="str">
        <f>GL[[#This Row],[Line]]&amp;GL[[#This Row],[B/P]]</f>
        <v>15BS</v>
      </c>
      <c r="G125" s="1084" t="str">
        <f>GL[[#This Row],[Account]]&amp;GL[[#This Row],[Line]]</f>
        <v>31415</v>
      </c>
      <c r="H125" s="1083">
        <f>ROUND(SUMIF(TB_curr[[#Headers],[#Data],[Lookup_line]],GL[[#This Row],[Lookup line]],TB_curr[[#Headers],[#Data],[Final balance]]),0)</f>
        <v>0</v>
      </c>
      <c r="I125" s="1083">
        <f>ROUND(SUMIF(TB_prev[[#Headers],[#Data],[Lookup_line]],GL[[#This Row],[Lookup line]],TB_prev[[#Headers],[#Data],[Final balance]]),0)</f>
        <v>0</v>
      </c>
    </row>
    <row r="126" spans="1:9" s="174" customFormat="1" ht="12" customHeight="1" x14ac:dyDescent="0.25">
      <c r="A126" s="764" t="s">
        <v>2083</v>
      </c>
      <c r="B126" s="1088" t="s">
        <v>1830</v>
      </c>
      <c r="C126" s="1082" t="str">
        <f t="shared" si="1"/>
        <v/>
      </c>
      <c r="D126" s="230" t="s">
        <v>818</v>
      </c>
      <c r="E126" s="1082" t="s">
        <v>1883</v>
      </c>
      <c r="F126" s="1082" t="str">
        <f>GL[[#This Row],[Line]]&amp;GL[[#This Row],[B/P]]</f>
        <v>16BS</v>
      </c>
      <c r="G126" s="1081" t="str">
        <f>GL[[#This Row],[Account]]&amp;GL[[#This Row],[Line]]</f>
        <v>31416</v>
      </c>
      <c r="H126" s="1089">
        <f>ROUND(SUMIF(TB_curr[[#Headers],[#Data],[Lookup_line]],GL[[#This Row],[Lookup line]],TB_curr[[#Headers],[#Data],[Final balance]]),0)</f>
        <v>0</v>
      </c>
      <c r="I126" s="1089">
        <f>ROUND(SUMIF(TB_prev[[#Headers],[#Data],[Lookup_line]],GL[[#This Row],[Lookup line]],TB_prev[[#Headers],[#Data],[Final balance]]),0)</f>
        <v>0</v>
      </c>
    </row>
    <row r="127" spans="1:9" s="174" customFormat="1" ht="12" customHeight="1" x14ac:dyDescent="0.25">
      <c r="A127" s="764" t="s">
        <v>2085</v>
      </c>
      <c r="B127" s="1088" t="s">
        <v>1830</v>
      </c>
      <c r="C127" s="1082" t="str">
        <f t="shared" si="1"/>
        <v/>
      </c>
      <c r="D127" s="230" t="s">
        <v>824</v>
      </c>
      <c r="E127" s="1082" t="s">
        <v>1883</v>
      </c>
      <c r="F127" s="1082" t="str">
        <f>GL[[#This Row],[Line]]&amp;GL[[#This Row],[B/P]]</f>
        <v>18BS</v>
      </c>
      <c r="G127" s="1081" t="str">
        <f>GL[[#This Row],[Account]]&amp;GL[[#This Row],[Line]]</f>
        <v>31418</v>
      </c>
      <c r="H127" s="1087">
        <f>ROUND(SUMIF(TB_curr[[#Headers],[#Data],[Lookup_line]],GL[[#This Row],[Lookup line]],TB_curr[[#Headers],[#Data],[Final balance]]),0)</f>
        <v>0</v>
      </c>
      <c r="I127" s="1087">
        <f>ROUND(SUMIF(TB_prev[[#Headers],[#Data],[Lookup_line]],GL[[#This Row],[Lookup line]],TB_prev[[#Headers],[#Data],[Final balance]]),0)</f>
        <v>0</v>
      </c>
    </row>
    <row r="128" spans="1:9" s="174" customFormat="1" ht="12" customHeight="1" x14ac:dyDescent="0.25">
      <c r="A128" s="764" t="s">
        <v>2090</v>
      </c>
      <c r="B128" s="1088" t="s">
        <v>1830</v>
      </c>
      <c r="C128" s="1082" t="str">
        <f t="shared" si="1"/>
        <v/>
      </c>
      <c r="D128" s="230" t="s">
        <v>839</v>
      </c>
      <c r="E128" s="1082" t="s">
        <v>1883</v>
      </c>
      <c r="F128" s="1082" t="str">
        <f>GL[[#This Row],[Line]]&amp;GL[[#This Row],[B/P]]</f>
        <v>23BS</v>
      </c>
      <c r="G128" s="1081" t="str">
        <f>GL[[#This Row],[Account]]&amp;GL[[#This Row],[Line]]</f>
        <v>31423</v>
      </c>
      <c r="H128" s="1087">
        <f>ROUND(SUMIF(TB_curr[[#Headers],[#Data],[Lookup_line]],GL[[#This Row],[Lookup line]],TB_curr[[#Headers],[#Data],[Final balance]]),0)</f>
        <v>0</v>
      </c>
      <c r="I128" s="1087">
        <f>ROUND(SUMIF(TB_prev[[#Headers],[#Data],[Lookup_line]],GL[[#This Row],[Lookup line]],TB_prev[[#Headers],[#Data],[Final balance]]),0)</f>
        <v>0</v>
      </c>
    </row>
    <row r="129" spans="1:9" s="174" customFormat="1" ht="12" customHeight="1" x14ac:dyDescent="0.2">
      <c r="A129" s="764"/>
      <c r="B129" s="1086" t="s">
        <v>1886</v>
      </c>
      <c r="C129" s="1085" t="str">
        <f t="shared" si="1"/>
        <v>315</v>
      </c>
      <c r="D129" s="230"/>
      <c r="E129" s="1082" t="s">
        <v>1883</v>
      </c>
      <c r="F129" s="1082" t="str">
        <f>GL[[#This Row],[Line]]&amp;GL[[#This Row],[B/P]]</f>
        <v>BS</v>
      </c>
      <c r="G129" s="1084" t="str">
        <f>GL[[#This Row],[Account]]&amp;GL[[#This Row],[Line]]</f>
        <v>subtotal</v>
      </c>
      <c r="H129" s="1083">
        <f>ROUND(SUMIF(TB_curr[[#Headers],[#Data],[Lookup_line]],GL[[#This Row],[Lookup line]],TB_curr[[#Headers],[#Data],[Final balance]]),0)</f>
        <v>0</v>
      </c>
      <c r="I129" s="1083">
        <f>ROUND(SUMIF(TB_prev[[#Headers],[#Data],[Lookup_line]],GL[[#This Row],[Lookup line]],TB_prev[[#Headers],[#Data],[Final balance]]),0)</f>
        <v>0</v>
      </c>
    </row>
    <row r="130" spans="1:9" s="174" customFormat="1" ht="12" customHeight="1" x14ac:dyDescent="0.25">
      <c r="A130" s="764" t="s">
        <v>2083</v>
      </c>
      <c r="B130" s="1088" t="s">
        <v>1831</v>
      </c>
      <c r="C130" s="1082" t="str">
        <f t="shared" si="1"/>
        <v/>
      </c>
      <c r="D130" s="230" t="s">
        <v>818</v>
      </c>
      <c r="E130" s="1082" t="s">
        <v>1883</v>
      </c>
      <c r="F130" s="1082" t="str">
        <f>GL[[#This Row],[Line]]&amp;GL[[#This Row],[B/P]]</f>
        <v>16BS</v>
      </c>
      <c r="G130" s="1081" t="str">
        <f>GL[[#This Row],[Account]]&amp;GL[[#This Row],[Line]]</f>
        <v>31516</v>
      </c>
      <c r="H130" s="1087">
        <f>ROUND(SUMIF(TB_curr[[#Headers],[#Data],[Lookup_line]],GL[[#This Row],[Lookup line]],TB_curr[[#Headers],[#Data],[Final balance]]),0)</f>
        <v>0</v>
      </c>
      <c r="I130" s="1087">
        <f>ROUND(SUMIF(TB_prev[[#Headers],[#Data],[Lookup_line]],GL[[#This Row],[Lookup line]],TB_prev[[#Headers],[#Data],[Final balance]]),0)</f>
        <v>0</v>
      </c>
    </row>
    <row r="131" spans="1:9" s="174" customFormat="1" ht="12" customHeight="1" x14ac:dyDescent="0.25">
      <c r="A131" s="764" t="s">
        <v>2085</v>
      </c>
      <c r="B131" s="1088" t="s">
        <v>1831</v>
      </c>
      <c r="C131" s="1082" t="str">
        <f t="shared" si="1"/>
        <v/>
      </c>
      <c r="D131" s="230" t="s">
        <v>824</v>
      </c>
      <c r="E131" s="1082" t="s">
        <v>1883</v>
      </c>
      <c r="F131" s="1082" t="str">
        <f>GL[[#This Row],[Line]]&amp;GL[[#This Row],[B/P]]</f>
        <v>18BS</v>
      </c>
      <c r="G131" s="1081" t="str">
        <f>GL[[#This Row],[Account]]&amp;GL[[#This Row],[Line]]</f>
        <v>31518</v>
      </c>
      <c r="H131" s="1087">
        <f>ROUND(SUMIF(TB_curr[[#Headers],[#Data],[Lookup_line]],GL[[#This Row],[Lookup line]],TB_curr[[#Headers],[#Data],[Final balance]]),0)</f>
        <v>0</v>
      </c>
      <c r="I131" s="1087">
        <f>ROUND(SUMIF(TB_prev[[#Headers],[#Data],[Lookup_line]],GL[[#This Row],[Lookup line]],TB_prev[[#Headers],[#Data],[Final balance]]),0)</f>
        <v>0</v>
      </c>
    </row>
    <row r="132" spans="1:9" s="174" customFormat="1" ht="12" customHeight="1" x14ac:dyDescent="0.25">
      <c r="A132" s="764"/>
      <c r="B132" s="1086" t="s">
        <v>1886</v>
      </c>
      <c r="C132" s="1085" t="str">
        <f t="shared" si="1"/>
        <v>316</v>
      </c>
      <c r="D132" s="230"/>
      <c r="E132" s="1082" t="s">
        <v>1883</v>
      </c>
      <c r="F132" s="1082" t="str">
        <f>GL[[#This Row],[Line]]&amp;GL[[#This Row],[B/P]]</f>
        <v>BS</v>
      </c>
      <c r="G132" s="1081" t="str">
        <f>GL[[#This Row],[Account]]&amp;GL[[#This Row],[Line]]</f>
        <v>subtotal</v>
      </c>
      <c r="H132" s="1087">
        <f>ROUND(SUMIF(TB_curr[[#Headers],[#Data],[Lookup_line]],GL[[#This Row],[Lookup line]],TB_curr[[#Headers],[#Data],[Final balance]]),0)</f>
        <v>0</v>
      </c>
      <c r="I132" s="1087">
        <f>ROUND(SUMIF(TB_prev[[#Headers],[#Data],[Lookup_line]],GL[[#This Row],[Lookup line]],TB_prev[[#Headers],[#Data],[Final balance]]),0)</f>
        <v>0</v>
      </c>
    </row>
    <row r="133" spans="1:9" s="174" customFormat="1" ht="12" customHeight="1" x14ac:dyDescent="0.25">
      <c r="A133" s="764" t="s">
        <v>2083</v>
      </c>
      <c r="B133" s="1088" t="s">
        <v>1979</v>
      </c>
      <c r="C133" s="1082" t="str">
        <f t="shared" ref="C133:C196" si="2">IF(B133="subtotal",B134,"")</f>
        <v/>
      </c>
      <c r="D133" s="230" t="s">
        <v>818</v>
      </c>
      <c r="E133" s="1082" t="s">
        <v>1883</v>
      </c>
      <c r="F133" s="1082" t="str">
        <f>GL[[#This Row],[Line]]&amp;GL[[#This Row],[B/P]]</f>
        <v>16BS</v>
      </c>
      <c r="G133" s="1081" t="str">
        <f>GL[[#This Row],[Account]]&amp;GL[[#This Row],[Line]]</f>
        <v>31616</v>
      </c>
      <c r="H133" s="1087">
        <f>ROUND(SUMIF(TB_curr[[#Headers],[#Data],[Lookup_line]],GL[[#This Row],[Lookup line]],TB_curr[[#Headers],[#Data],[Final balance]]),0)</f>
        <v>0</v>
      </c>
      <c r="I133" s="1087">
        <f>ROUND(SUMIF(TB_prev[[#Headers],[#Data],[Lookup_line]],GL[[#This Row],[Lookup line]],TB_prev[[#Headers],[#Data],[Final balance]]),0)</f>
        <v>0</v>
      </c>
    </row>
    <row r="134" spans="1:9" s="174" customFormat="1" ht="12" customHeight="1" x14ac:dyDescent="0.25">
      <c r="A134" s="764" t="s">
        <v>2085</v>
      </c>
      <c r="B134" s="1088" t="s">
        <v>1979</v>
      </c>
      <c r="C134" s="1082" t="str">
        <f t="shared" si="2"/>
        <v/>
      </c>
      <c r="D134" s="230" t="s">
        <v>824</v>
      </c>
      <c r="E134" s="1082" t="s">
        <v>1883</v>
      </c>
      <c r="F134" s="1082" t="str">
        <f>GL[[#This Row],[Line]]&amp;GL[[#This Row],[B/P]]</f>
        <v>18BS</v>
      </c>
      <c r="G134" s="1081" t="str">
        <f>GL[[#This Row],[Account]]&amp;GL[[#This Row],[Line]]</f>
        <v>31618</v>
      </c>
      <c r="H134" s="1087">
        <f>ROUND(SUMIF(TB_curr[[#Headers],[#Data],[Lookup_line]],GL[[#This Row],[Lookup line]],TB_curr[[#Headers],[#Data],[Final balance]]),0)</f>
        <v>0</v>
      </c>
      <c r="I134" s="1087">
        <f>ROUND(SUMIF(TB_prev[[#Headers],[#Data],[Lookup_line]],GL[[#This Row],[Lookup line]],TB_prev[[#Headers],[#Data],[Final balance]]),0)</f>
        <v>0</v>
      </c>
    </row>
    <row r="135" spans="1:9" s="174" customFormat="1" ht="12" customHeight="1" x14ac:dyDescent="0.25">
      <c r="A135" s="764" t="s">
        <v>2101</v>
      </c>
      <c r="B135" s="1088" t="s">
        <v>1979</v>
      </c>
      <c r="C135" s="1082" t="str">
        <f t="shared" si="2"/>
        <v/>
      </c>
      <c r="D135" s="230" t="s">
        <v>875</v>
      </c>
      <c r="E135" s="1082" t="s">
        <v>1883</v>
      </c>
      <c r="F135" s="1082" t="str">
        <f>GL[[#This Row],[Line]]&amp;GL[[#This Row],[B/P]]</f>
        <v>35BS</v>
      </c>
      <c r="G135" s="1081" t="str">
        <f>GL[[#This Row],[Account]]&amp;GL[[#This Row],[Line]]</f>
        <v>31635</v>
      </c>
      <c r="H135" s="1087">
        <f>ROUND(SUMIF(TB_curr[[#Headers],[#Data],[Lookup_line]],GL[[#This Row],[Lookup line]],TB_curr[[#Headers],[#Data],[Final balance]]),0)</f>
        <v>0</v>
      </c>
      <c r="I135" s="1087">
        <f>ROUND(SUMIF(TB_prev[[#Headers],[#Data],[Lookup_line]],GL[[#This Row],[Lookup line]],TB_prev[[#Headers],[#Data],[Final balance]]),0)</f>
        <v>0</v>
      </c>
    </row>
    <row r="136" spans="1:9" s="174" customFormat="1" ht="12" customHeight="1" x14ac:dyDescent="0.2">
      <c r="A136" s="764" t="s">
        <v>2104</v>
      </c>
      <c r="B136" s="1088" t="s">
        <v>1979</v>
      </c>
      <c r="C136" s="1082" t="str">
        <f t="shared" si="2"/>
        <v/>
      </c>
      <c r="D136" s="230" t="s">
        <v>887</v>
      </c>
      <c r="E136" s="1082" t="s">
        <v>1883</v>
      </c>
      <c r="F136" s="1082" t="str">
        <f>GL[[#This Row],[Line]]&amp;GL[[#This Row],[B/P]]</f>
        <v>39BS</v>
      </c>
      <c r="G136" s="1084" t="str">
        <f>GL[[#This Row],[Account]]&amp;GL[[#This Row],[Line]]</f>
        <v>31639</v>
      </c>
      <c r="H136" s="1083">
        <f>ROUND(SUMIF(TB_curr[[#Headers],[#Data],[Lookup_line]],GL[[#This Row],[Lookup line]],TB_curr[[#Headers],[#Data],[Final balance]]),0)</f>
        <v>0</v>
      </c>
      <c r="I136" s="1083">
        <f>ROUND(SUMIF(TB_prev[[#Headers],[#Data],[Lookup_line]],GL[[#This Row],[Lookup line]],TB_prev[[#Headers],[#Data],[Final balance]]),0)</f>
        <v>0</v>
      </c>
    </row>
    <row r="137" spans="1:9" s="174" customFormat="1" ht="12" customHeight="1" x14ac:dyDescent="0.25">
      <c r="A137" s="764"/>
      <c r="B137" s="1086" t="s">
        <v>1886</v>
      </c>
      <c r="C137" s="1085" t="str">
        <f t="shared" si="2"/>
        <v>321</v>
      </c>
      <c r="D137" s="230"/>
      <c r="E137" s="1082" t="s">
        <v>1883</v>
      </c>
      <c r="F137" s="1082" t="str">
        <f>GL[[#This Row],[Line]]&amp;GL[[#This Row],[B/P]]</f>
        <v>BS</v>
      </c>
      <c r="G137" s="1081" t="str">
        <f>GL[[#This Row],[Account]]&amp;GL[[#This Row],[Line]]</f>
        <v>subtotal</v>
      </c>
      <c r="H137" s="1087">
        <f>ROUND(SUMIF(TB_curr[[#Headers],[#Data],[Lookup_line]],GL[[#This Row],[Lookup line]],TB_curr[[#Headers],[#Data],[Final balance]]),0)</f>
        <v>0</v>
      </c>
      <c r="I137" s="1087">
        <f>ROUND(SUMIF(TB_prev[[#Headers],[#Data],[Lookup_line]],GL[[#This Row],[Lookup line]],TB_prev[[#Headers],[#Data],[Final balance]]),0)</f>
        <v>0</v>
      </c>
    </row>
    <row r="138" spans="1:9" s="174" customFormat="1" ht="12" customHeight="1" x14ac:dyDescent="0.25">
      <c r="A138" s="764" t="s">
        <v>2101</v>
      </c>
      <c r="B138" s="1088" t="s">
        <v>1832</v>
      </c>
      <c r="C138" s="1082" t="str">
        <f t="shared" si="2"/>
        <v/>
      </c>
      <c r="D138" s="230" t="s">
        <v>875</v>
      </c>
      <c r="E138" s="1082" t="s">
        <v>1883</v>
      </c>
      <c r="F138" s="1082" t="str">
        <f>GL[[#This Row],[Line]]&amp;GL[[#This Row],[B/P]]</f>
        <v>35BS</v>
      </c>
      <c r="G138" s="1081" t="str">
        <f>GL[[#This Row],[Account]]&amp;GL[[#This Row],[Line]]</f>
        <v>32135</v>
      </c>
      <c r="H138" s="1087">
        <f>ROUND(SUMIF(TB_curr[[#Headers],[#Data],[Lookup_line]],GL[[#This Row],[Lookup line]],TB_curr[[#Headers],[#Data],[Final balance]]),0)</f>
        <v>0</v>
      </c>
      <c r="I138" s="1087">
        <f>ROUND(SUMIF(TB_prev[[#Headers],[#Data],[Lookup_line]],GL[[#This Row],[Lookup line]],TB_prev[[#Headers],[#Data],[Final balance]]),0)</f>
        <v>0</v>
      </c>
    </row>
    <row r="139" spans="1:9" s="174" customFormat="1" ht="12" customHeight="1" x14ac:dyDescent="0.25">
      <c r="A139" s="764" t="s">
        <v>2104</v>
      </c>
      <c r="B139" s="1088" t="s">
        <v>1832</v>
      </c>
      <c r="C139" s="1082" t="str">
        <f t="shared" si="2"/>
        <v/>
      </c>
      <c r="D139" s="230" t="s">
        <v>887</v>
      </c>
      <c r="E139" s="1082" t="s">
        <v>1883</v>
      </c>
      <c r="F139" s="1082" t="str">
        <f>GL[[#This Row],[Line]]&amp;GL[[#This Row],[B/P]]</f>
        <v>39BS</v>
      </c>
      <c r="G139" s="1081" t="str">
        <f>GL[[#This Row],[Account]]&amp;GL[[#This Row],[Line]]</f>
        <v>32139</v>
      </c>
      <c r="H139" s="1087">
        <f>ROUND(SUMIF(TB_curr[[#Headers],[#Data],[Lookup_line]],GL[[#This Row],[Lookup line]],TB_curr[[#Headers],[#Data],[Final balance]]),0)</f>
        <v>0</v>
      </c>
      <c r="I139" s="1087">
        <f>ROUND(SUMIF(TB_prev[[#Headers],[#Data],[Lookup_line]],GL[[#This Row],[Lookup line]],TB_prev[[#Headers],[#Data],[Final balance]]),0)</f>
        <v>0</v>
      </c>
    </row>
    <row r="140" spans="1:9" s="174" customFormat="1" ht="12" customHeight="1" x14ac:dyDescent="0.25">
      <c r="A140" s="764" t="s">
        <v>2104</v>
      </c>
      <c r="B140" s="1088" t="s">
        <v>1978</v>
      </c>
      <c r="C140" s="1082" t="str">
        <f t="shared" si="2"/>
        <v/>
      </c>
      <c r="D140" s="230" t="s">
        <v>887</v>
      </c>
      <c r="E140" s="1082" t="s">
        <v>1883</v>
      </c>
      <c r="F140" s="1082" t="str">
        <f>GL[[#This Row],[Line]]&amp;GL[[#This Row],[B/P]]</f>
        <v>39BS</v>
      </c>
      <c r="G140" s="1081" t="str">
        <f>GL[[#This Row],[Account]]&amp;GL[[#This Row],[Line]]</f>
        <v>32239</v>
      </c>
      <c r="H140" s="1087">
        <f>ROUND(SUMIF(TB_curr[[#Headers],[#Data],[Lookup_line]],GL[[#This Row],[Lookup line]],TB_curr[[#Headers],[#Data],[Final balance]]),0)</f>
        <v>0</v>
      </c>
      <c r="I140" s="1087">
        <f>ROUND(SUMIF(TB_prev[[#Headers],[#Data],[Lookup_line]],GL[[#This Row],[Lookup line]],TB_prev[[#Headers],[#Data],[Final balance]]),0)</f>
        <v>0</v>
      </c>
    </row>
    <row r="141" spans="1:9" s="174" customFormat="1" ht="12" customHeight="1" x14ac:dyDescent="0.25">
      <c r="A141" s="764" t="s">
        <v>2108</v>
      </c>
      <c r="B141" s="1088" t="s">
        <v>1833</v>
      </c>
      <c r="C141" s="1082" t="str">
        <f t="shared" si="2"/>
        <v/>
      </c>
      <c r="D141" s="230" t="s">
        <v>899</v>
      </c>
      <c r="E141" s="1082" t="s">
        <v>1883</v>
      </c>
      <c r="F141" s="1082" t="str">
        <f>GL[[#This Row],[Line]]&amp;GL[[#This Row],[B/P]]</f>
        <v>43BS</v>
      </c>
      <c r="G141" s="1081" t="str">
        <f>GL[[#This Row],[Account]]&amp;GL[[#This Row],[Line]]</f>
        <v>32343</v>
      </c>
      <c r="H141" s="1087">
        <f>ROUND(SUMIF(TB_curr[[#Headers],[#Data],[Lookup_line]],GL[[#This Row],[Lookup line]],TB_curr[[#Headers],[#Data],[Final balance]]),0)</f>
        <v>0</v>
      </c>
      <c r="I141" s="1087">
        <f>ROUND(SUMIF(TB_prev[[#Headers],[#Data],[Lookup_line]],GL[[#This Row],[Lookup line]],TB_prev[[#Headers],[#Data],[Final balance]]),0)</f>
        <v>0</v>
      </c>
    </row>
    <row r="142" spans="1:9" s="174" customFormat="1" ht="12" customHeight="1" x14ac:dyDescent="0.25">
      <c r="A142" s="764" t="s">
        <v>2104</v>
      </c>
      <c r="B142" s="1088" t="s">
        <v>1834</v>
      </c>
      <c r="C142" s="1082" t="str">
        <f t="shared" si="2"/>
        <v/>
      </c>
      <c r="D142" s="230" t="s">
        <v>887</v>
      </c>
      <c r="E142" s="1082" t="s">
        <v>1883</v>
      </c>
      <c r="F142" s="1082" t="str">
        <f>GL[[#This Row],[Line]]&amp;GL[[#This Row],[B/P]]</f>
        <v>39BS</v>
      </c>
      <c r="G142" s="1081" t="str">
        <f>GL[[#This Row],[Account]]&amp;GL[[#This Row],[Line]]</f>
        <v>32439</v>
      </c>
      <c r="H142" s="1087">
        <f>ROUND(SUMIF(TB_curr[[#Headers],[#Data],[Lookup_line]],GL[[#This Row],[Lookup line]],TB_curr[[#Headers],[#Data],[Final balance]]),0)</f>
        <v>0</v>
      </c>
      <c r="I142" s="1087">
        <f>ROUND(SUMIF(TB_prev[[#Headers],[#Data],[Lookup_line]],GL[[#This Row],[Lookup line]],TB_prev[[#Headers],[#Data],[Final balance]]),0)</f>
        <v>0</v>
      </c>
    </row>
    <row r="143" spans="1:9" s="174" customFormat="1" ht="12" customHeight="1" x14ac:dyDescent="0.2">
      <c r="A143" s="764" t="s">
        <v>2104</v>
      </c>
      <c r="B143" s="1088" t="s">
        <v>1835</v>
      </c>
      <c r="C143" s="1082" t="str">
        <f t="shared" si="2"/>
        <v/>
      </c>
      <c r="D143" s="230" t="s">
        <v>887</v>
      </c>
      <c r="E143" s="1082" t="s">
        <v>1883</v>
      </c>
      <c r="F143" s="1082" t="str">
        <f>GL[[#This Row],[Line]]&amp;GL[[#This Row],[B/P]]</f>
        <v>39BS</v>
      </c>
      <c r="G143" s="1084" t="str">
        <f>GL[[#This Row],[Account]]&amp;GL[[#This Row],[Line]]</f>
        <v>32539</v>
      </c>
      <c r="H143" s="1083">
        <f>ROUND(SUMIF(TB_curr[[#Headers],[#Data],[Lookup_line]],GL[[#This Row],[Lookup line]],TB_curr[[#Headers],[#Data],[Final balance]]),0)</f>
        <v>0</v>
      </c>
      <c r="I143" s="1083">
        <f>ROUND(SUMIF(TB_prev[[#Headers],[#Data],[Lookup_line]],GL[[#This Row],[Lookup line]],TB_prev[[#Headers],[#Data],[Final balance]]),0)</f>
        <v>0</v>
      </c>
    </row>
    <row r="144" spans="1:9" s="174" customFormat="1" ht="12" customHeight="1" x14ac:dyDescent="0.25">
      <c r="A144" s="764" t="s">
        <v>2104</v>
      </c>
      <c r="B144" s="1088" t="s">
        <v>1836</v>
      </c>
      <c r="C144" s="1082" t="str">
        <f t="shared" si="2"/>
        <v/>
      </c>
      <c r="D144" s="230" t="s">
        <v>887</v>
      </c>
      <c r="E144" s="1082" t="s">
        <v>1883</v>
      </c>
      <c r="F144" s="1082" t="str">
        <f>GL[[#This Row],[Line]]&amp;GL[[#This Row],[B/P]]</f>
        <v>39BS</v>
      </c>
      <c r="G144" s="1081" t="str">
        <f>GL[[#This Row],[Account]]&amp;GL[[#This Row],[Line]]</f>
        <v>32639</v>
      </c>
      <c r="H144" s="1087">
        <f>ROUND(SUMIF(TB_curr[[#Headers],[#Data],[Lookup_line]],GL[[#This Row],[Lookup line]],TB_curr[[#Headers],[#Data],[Final balance]]),0)</f>
        <v>0</v>
      </c>
      <c r="I144" s="1087">
        <f>ROUND(SUMIF(TB_prev[[#Headers],[#Data],[Lookup_line]],GL[[#This Row],[Lookup line]],TB_prev[[#Headers],[#Data],[Final balance]]),0)</f>
        <v>0</v>
      </c>
    </row>
    <row r="145" spans="1:9" s="174" customFormat="1" ht="12" customHeight="1" x14ac:dyDescent="0.25">
      <c r="A145" s="764" t="s">
        <v>2105</v>
      </c>
      <c r="B145" s="1088" t="s">
        <v>1977</v>
      </c>
      <c r="C145" s="1082" t="str">
        <f t="shared" si="2"/>
        <v/>
      </c>
      <c r="D145" s="230" t="s">
        <v>890</v>
      </c>
      <c r="E145" s="1082" t="s">
        <v>1883</v>
      </c>
      <c r="F145" s="1082" t="str">
        <f>GL[[#This Row],[Line]]&amp;GL[[#This Row],[B/P]]</f>
        <v>40BS</v>
      </c>
      <c r="G145" s="1081" t="str">
        <f>GL[[#This Row],[Account]]&amp;GL[[#This Row],[Line]]</f>
        <v>33140</v>
      </c>
      <c r="H145" s="1087">
        <f>ROUND(SUMIF(TB_curr[[#Headers],[#Data],[Lookup_line]],GL[[#This Row],[Lookup line]],TB_curr[[#Headers],[#Data],[Final balance]]),0)</f>
        <v>0</v>
      </c>
      <c r="I145" s="1087">
        <f>ROUND(SUMIF(TB_prev[[#Headers],[#Data],[Lookup_line]],GL[[#This Row],[Lookup line]],TB_prev[[#Headers],[#Data],[Final balance]]),0)</f>
        <v>0</v>
      </c>
    </row>
    <row r="146" spans="1:9" s="174" customFormat="1" ht="12" customHeight="1" x14ac:dyDescent="0.25">
      <c r="A146" s="764" t="s">
        <v>2105</v>
      </c>
      <c r="B146" s="1088" t="s">
        <v>1976</v>
      </c>
      <c r="C146" s="1082" t="str">
        <f t="shared" si="2"/>
        <v/>
      </c>
      <c r="D146" s="230" t="s">
        <v>890</v>
      </c>
      <c r="E146" s="1082" t="s">
        <v>1883</v>
      </c>
      <c r="F146" s="1082" t="str">
        <f>GL[[#This Row],[Line]]&amp;GL[[#This Row],[B/P]]</f>
        <v>40BS</v>
      </c>
      <c r="G146" s="1081" t="str">
        <f>GL[[#This Row],[Account]]&amp;GL[[#This Row],[Line]]</f>
        <v>33340</v>
      </c>
      <c r="H146" s="1087">
        <f>ROUND(SUMIF(TB_curr[[#Headers],[#Data],[Lookup_line]],GL[[#This Row],[Lookup line]],TB_curr[[#Headers],[#Data],[Final balance]]),0)</f>
        <v>0</v>
      </c>
      <c r="I146" s="1087">
        <f>ROUND(SUMIF(TB_prev[[#Headers],[#Data],[Lookup_line]],GL[[#This Row],[Lookup line]],TB_prev[[#Headers],[#Data],[Final balance]]),0)</f>
        <v>0</v>
      </c>
    </row>
    <row r="147" spans="1:9" s="174" customFormat="1" ht="12" customHeight="1" x14ac:dyDescent="0.25">
      <c r="A147" s="764"/>
      <c r="B147" s="1086" t="s">
        <v>1886</v>
      </c>
      <c r="C147" s="1085" t="str">
        <f t="shared" si="2"/>
        <v>335</v>
      </c>
      <c r="D147" s="230"/>
      <c r="E147" s="1082" t="s">
        <v>1883</v>
      </c>
      <c r="F147" s="1082" t="str">
        <f>GL[[#This Row],[Line]]&amp;GL[[#This Row],[B/P]]</f>
        <v>BS</v>
      </c>
      <c r="G147" s="1081" t="str">
        <f>GL[[#This Row],[Account]]&amp;GL[[#This Row],[Line]]</f>
        <v>subtotal</v>
      </c>
      <c r="H147" s="1087">
        <f>ROUND(SUMIF(TB_curr[[#Headers],[#Data],[Lookup_line]],GL[[#This Row],[Lookup line]],TB_curr[[#Headers],[#Data],[Final balance]]),0)</f>
        <v>0</v>
      </c>
      <c r="I147" s="1087">
        <f>ROUND(SUMIF(TB_prev[[#Headers],[#Data],[Lookup_line]],GL[[#This Row],[Lookup line]],TB_prev[[#Headers],[#Data],[Final balance]]),0)</f>
        <v>0</v>
      </c>
    </row>
    <row r="148" spans="1:9" s="174" customFormat="1" ht="12" customHeight="1" x14ac:dyDescent="0.25">
      <c r="A148" s="764" t="s">
        <v>2083</v>
      </c>
      <c r="B148" s="1088" t="s">
        <v>1975</v>
      </c>
      <c r="C148" s="1082" t="str">
        <f t="shared" si="2"/>
        <v/>
      </c>
      <c r="D148" s="230" t="s">
        <v>818</v>
      </c>
      <c r="E148" s="1082" t="s">
        <v>1883</v>
      </c>
      <c r="F148" s="1082" t="str">
        <f>GL[[#This Row],[Line]]&amp;GL[[#This Row],[B/P]]</f>
        <v>16BS</v>
      </c>
      <c r="G148" s="1081" t="str">
        <f>GL[[#This Row],[Account]]&amp;GL[[#This Row],[Line]]</f>
        <v>33516</v>
      </c>
      <c r="H148" s="1087">
        <f>ROUND(SUMIF(TB_curr[[#Headers],[#Data],[Lookup_line]],GL[[#This Row],[Lookup line]],TB_curr[[#Headers],[#Data],[Final balance]]),0)</f>
        <v>0</v>
      </c>
      <c r="I148" s="1087">
        <f>ROUND(SUMIF(TB_prev[[#Headers],[#Data],[Lookup_line]],GL[[#This Row],[Lookup line]],TB_prev[[#Headers],[#Data],[Final balance]]),0)</f>
        <v>0</v>
      </c>
    </row>
    <row r="149" spans="1:9" s="174" customFormat="1" ht="12" customHeight="1" x14ac:dyDescent="0.25">
      <c r="A149" s="764" t="s">
        <v>2087</v>
      </c>
      <c r="B149" s="1088" t="s">
        <v>1975</v>
      </c>
      <c r="C149" s="1082" t="str">
        <f t="shared" si="2"/>
        <v/>
      </c>
      <c r="D149" s="230" t="s">
        <v>830</v>
      </c>
      <c r="E149" s="1082" t="s">
        <v>1883</v>
      </c>
      <c r="F149" s="1082" t="str">
        <f>GL[[#This Row],[Line]]&amp;GL[[#This Row],[B/P]]</f>
        <v>20BS</v>
      </c>
      <c r="G149" s="1081" t="str">
        <f>GL[[#This Row],[Account]]&amp;GL[[#This Row],[Line]]</f>
        <v>33520</v>
      </c>
      <c r="H149" s="1087">
        <f>ROUND(SUMIF(TB_curr[[#Headers],[#Data],[Lookup_line]],GL[[#This Row],[Lookup line]],TB_curr[[#Headers],[#Data],[Final balance]]),0)</f>
        <v>0</v>
      </c>
      <c r="I149" s="1087">
        <f>ROUND(SUMIF(TB_prev[[#Headers],[#Data],[Lookup_line]],GL[[#This Row],[Lookup line]],TB_prev[[#Headers],[#Data],[Final balance]]),0)</f>
        <v>0</v>
      </c>
    </row>
    <row r="150" spans="1:9" s="174" customFormat="1" ht="12" customHeight="1" x14ac:dyDescent="0.2">
      <c r="A150" s="764"/>
      <c r="B150" s="1086" t="s">
        <v>1886</v>
      </c>
      <c r="C150" s="1085" t="str">
        <f t="shared" si="2"/>
        <v>336</v>
      </c>
      <c r="D150" s="230"/>
      <c r="E150" s="1082" t="s">
        <v>1883</v>
      </c>
      <c r="F150" s="1082" t="str">
        <f>GL[[#This Row],[Line]]&amp;GL[[#This Row],[B/P]]</f>
        <v>BS</v>
      </c>
      <c r="G150" s="1084" t="str">
        <f>GL[[#This Row],[Account]]&amp;GL[[#This Row],[Line]]</f>
        <v>subtotal</v>
      </c>
      <c r="H150" s="1083">
        <f>ROUND(SUMIF(TB_curr[[#Headers],[#Data],[Lookup_line]],GL[[#This Row],[Lookup line]],TB_curr[[#Headers],[#Data],[Final balance]]),0)</f>
        <v>0</v>
      </c>
      <c r="I150" s="1083">
        <f>ROUND(SUMIF(TB_prev[[#Headers],[#Data],[Lookup_line]],GL[[#This Row],[Lookup line]],TB_prev[[#Headers],[#Data],[Final balance]]),0)</f>
        <v>0</v>
      </c>
    </row>
    <row r="151" spans="1:9" s="174" customFormat="1" ht="12" customHeight="1" x14ac:dyDescent="0.25">
      <c r="A151" s="764" t="s">
        <v>2083</v>
      </c>
      <c r="B151" s="1088" t="s">
        <v>1974</v>
      </c>
      <c r="C151" s="1082" t="str">
        <f t="shared" si="2"/>
        <v/>
      </c>
      <c r="D151" s="230" t="s">
        <v>818</v>
      </c>
      <c r="E151" s="1082" t="s">
        <v>1883</v>
      </c>
      <c r="F151" s="1082" t="str">
        <f>GL[[#This Row],[Line]]&amp;GL[[#This Row],[B/P]]</f>
        <v>16BS</v>
      </c>
      <c r="G151" s="1081" t="str">
        <f>GL[[#This Row],[Account]]&amp;GL[[#This Row],[Line]]</f>
        <v>33616</v>
      </c>
      <c r="H151" s="1087">
        <f>ROUND(SUMIF(TB_curr[[#Headers],[#Data],[Lookup_line]],GL[[#This Row],[Lookup line]],TB_curr[[#Headers],[#Data],[Final balance]]),0)</f>
        <v>0</v>
      </c>
      <c r="I151" s="1087">
        <f>ROUND(SUMIF(TB_prev[[#Headers],[#Data],[Lookup_line]],GL[[#This Row],[Lookup line]],TB_prev[[#Headers],[#Data],[Final balance]]),0)</f>
        <v>0</v>
      </c>
    </row>
    <row r="152" spans="1:9" s="174" customFormat="1" ht="12" customHeight="1" x14ac:dyDescent="0.25">
      <c r="A152" s="764" t="s">
        <v>2086</v>
      </c>
      <c r="B152" s="1088" t="s">
        <v>1974</v>
      </c>
      <c r="C152" s="1082" t="str">
        <f t="shared" si="2"/>
        <v/>
      </c>
      <c r="D152" s="230" t="s">
        <v>827</v>
      </c>
      <c r="E152" s="1082" t="s">
        <v>1883</v>
      </c>
      <c r="F152" s="1082" t="str">
        <f>GL[[#This Row],[Line]]&amp;GL[[#This Row],[B/P]]</f>
        <v>19BS</v>
      </c>
      <c r="G152" s="1081" t="str">
        <f>GL[[#This Row],[Account]]&amp;GL[[#This Row],[Line]]</f>
        <v>33619</v>
      </c>
      <c r="H152" s="1087">
        <f>ROUND(SUMIF(TB_curr[[#Headers],[#Data],[Lookup_line]],GL[[#This Row],[Lookup line]],TB_curr[[#Headers],[#Data],[Final balance]]),0)</f>
        <v>0</v>
      </c>
      <c r="I152" s="1087">
        <f>ROUND(SUMIF(TB_prev[[#Headers],[#Data],[Lookup_line]],GL[[#This Row],[Lookup line]],TB_prev[[#Headers],[#Data],[Final balance]]),0)</f>
        <v>0</v>
      </c>
    </row>
    <row r="153" spans="1:9" s="174" customFormat="1" ht="12" customHeight="1" x14ac:dyDescent="0.25">
      <c r="A153" s="764" t="s">
        <v>2087</v>
      </c>
      <c r="B153" s="1088" t="s">
        <v>1974</v>
      </c>
      <c r="C153" s="1082" t="str">
        <f t="shared" si="2"/>
        <v/>
      </c>
      <c r="D153" s="230" t="s">
        <v>830</v>
      </c>
      <c r="E153" s="1082" t="s">
        <v>1883</v>
      </c>
      <c r="F153" s="1082" t="str">
        <f>GL[[#This Row],[Line]]&amp;GL[[#This Row],[B/P]]</f>
        <v>20BS</v>
      </c>
      <c r="G153" s="1081" t="str">
        <f>GL[[#This Row],[Account]]&amp;GL[[#This Row],[Line]]</f>
        <v>33620</v>
      </c>
      <c r="H153" s="1087">
        <f>ROUND(SUMIF(TB_curr[[#Headers],[#Data],[Lookup_line]],GL[[#This Row],[Lookup line]],TB_curr[[#Headers],[#Data],[Final balance]]),0)</f>
        <v>0</v>
      </c>
      <c r="I153" s="1087">
        <f>ROUND(SUMIF(TB_prev[[#Headers],[#Data],[Lookup_line]],GL[[#This Row],[Lookup line]],TB_prev[[#Headers],[#Data],[Final balance]]),0)</f>
        <v>0</v>
      </c>
    </row>
    <row r="154" spans="1:9" s="174" customFormat="1" ht="12" customHeight="1" x14ac:dyDescent="0.25">
      <c r="A154" s="764" t="s">
        <v>2105</v>
      </c>
      <c r="B154" s="1088" t="s">
        <v>1974</v>
      </c>
      <c r="C154" s="1082" t="str">
        <f t="shared" si="2"/>
        <v/>
      </c>
      <c r="D154" s="230" t="s">
        <v>890</v>
      </c>
      <c r="E154" s="1082" t="s">
        <v>1883</v>
      </c>
      <c r="F154" s="1082" t="str">
        <f>GL[[#This Row],[Line]]&amp;GL[[#This Row],[B/P]]</f>
        <v>40BS</v>
      </c>
      <c r="G154" s="1081" t="str">
        <f>GL[[#This Row],[Account]]&amp;GL[[#This Row],[Line]]</f>
        <v>33640</v>
      </c>
      <c r="H154" s="1087">
        <f>ROUND(SUMIF(TB_curr[[#Headers],[#Data],[Lookup_line]],GL[[#This Row],[Lookup line]],TB_curr[[#Headers],[#Data],[Final balance]]),0)</f>
        <v>0</v>
      </c>
      <c r="I154" s="1087">
        <f>ROUND(SUMIF(TB_prev[[#Headers],[#Data],[Lookup_line]],GL[[#This Row],[Lookup line]],TB_prev[[#Headers],[#Data],[Final balance]]),0)</f>
        <v>0</v>
      </c>
    </row>
    <row r="155" spans="1:9" s="174" customFormat="1" ht="12" customHeight="1" x14ac:dyDescent="0.25">
      <c r="A155" s="764"/>
      <c r="B155" s="1086" t="s">
        <v>1886</v>
      </c>
      <c r="C155" s="1085" t="str">
        <f t="shared" si="2"/>
        <v>341</v>
      </c>
      <c r="D155" s="230"/>
      <c r="E155" s="1082" t="s">
        <v>1883</v>
      </c>
      <c r="F155" s="1082" t="str">
        <f>GL[[#This Row],[Line]]&amp;GL[[#This Row],[B/P]]</f>
        <v>BS</v>
      </c>
      <c r="G155" s="1081" t="str">
        <f>GL[[#This Row],[Account]]&amp;GL[[#This Row],[Line]]</f>
        <v>subtotal</v>
      </c>
      <c r="H155" s="1087">
        <f>ROUND(SUMIF(TB_curr[[#Headers],[#Data],[Lookup_line]],GL[[#This Row],[Lookup line]],TB_curr[[#Headers],[#Data],[Final balance]]),0)</f>
        <v>0</v>
      </c>
      <c r="I155" s="1087">
        <f>ROUND(SUMIF(TB_prev[[#Headers],[#Data],[Lookup_line]],GL[[#This Row],[Lookup line]],TB_prev[[#Headers],[#Data],[Final balance]]),0)</f>
        <v>0</v>
      </c>
    </row>
    <row r="156" spans="1:9" s="174" customFormat="1" ht="12" customHeight="1" x14ac:dyDescent="0.25">
      <c r="A156" s="764" t="s">
        <v>2086</v>
      </c>
      <c r="B156" s="1088" t="s">
        <v>1837</v>
      </c>
      <c r="C156" s="1082" t="str">
        <f t="shared" si="2"/>
        <v/>
      </c>
      <c r="D156" s="230" t="s">
        <v>827</v>
      </c>
      <c r="E156" s="1082" t="s">
        <v>1883</v>
      </c>
      <c r="F156" s="1082" t="str">
        <f>GL[[#This Row],[Line]]&amp;GL[[#This Row],[B/P]]</f>
        <v>19BS</v>
      </c>
      <c r="G156" s="1081" t="str">
        <f>GL[[#This Row],[Account]]&amp;GL[[#This Row],[Line]]</f>
        <v>34119</v>
      </c>
      <c r="H156" s="1087">
        <f>ROUND(SUMIF(TB_curr[[#Headers],[#Data],[Lookup_line]],GL[[#This Row],[Lookup line]],TB_curr[[#Headers],[#Data],[Final balance]]),0)</f>
        <v>0</v>
      </c>
      <c r="I156" s="1087">
        <f>ROUND(SUMIF(TB_prev[[#Headers],[#Data],[Lookup_line]],GL[[#This Row],[Lookup line]],TB_prev[[#Headers],[#Data],[Final balance]]),0)</f>
        <v>0</v>
      </c>
    </row>
    <row r="157" spans="1:9" s="174" customFormat="1" ht="12" customHeight="1" x14ac:dyDescent="0.25">
      <c r="A157" s="764" t="s">
        <v>2106</v>
      </c>
      <c r="B157" s="1088" t="s">
        <v>1837</v>
      </c>
      <c r="C157" s="1082" t="str">
        <f t="shared" si="2"/>
        <v/>
      </c>
      <c r="D157" s="230" t="s">
        <v>893</v>
      </c>
      <c r="E157" s="1082" t="s">
        <v>1883</v>
      </c>
      <c r="F157" s="1082" t="str">
        <f>GL[[#This Row],[Line]]&amp;GL[[#This Row],[B/P]]</f>
        <v>41BS</v>
      </c>
      <c r="G157" s="1081" t="str">
        <f>GL[[#This Row],[Account]]&amp;GL[[#This Row],[Line]]</f>
        <v>34141</v>
      </c>
      <c r="H157" s="1087">
        <f>ROUND(SUMIF(TB_curr[[#Headers],[#Data],[Lookup_line]],GL[[#This Row],[Lookup line]],TB_curr[[#Headers],[#Data],[Final balance]]),0)</f>
        <v>0</v>
      </c>
      <c r="I157" s="1087">
        <f>ROUND(SUMIF(TB_prev[[#Headers],[#Data],[Lookup_line]],GL[[#This Row],[Lookup line]],TB_prev[[#Headers],[#Data],[Final balance]]),0)</f>
        <v>0</v>
      </c>
    </row>
    <row r="158" spans="1:9" s="174" customFormat="1" ht="12" customHeight="1" x14ac:dyDescent="0.2">
      <c r="A158" s="764"/>
      <c r="B158" s="1086" t="s">
        <v>1886</v>
      </c>
      <c r="C158" s="1085" t="str">
        <f t="shared" si="2"/>
        <v>342</v>
      </c>
      <c r="D158" s="230"/>
      <c r="E158" s="1082" t="s">
        <v>1883</v>
      </c>
      <c r="F158" s="1082" t="str">
        <f>GL[[#This Row],[Line]]&amp;GL[[#This Row],[B/P]]</f>
        <v>BS</v>
      </c>
      <c r="G158" s="1084" t="str">
        <f>GL[[#This Row],[Account]]&amp;GL[[#This Row],[Line]]</f>
        <v>subtotal</v>
      </c>
      <c r="H158" s="1083">
        <f>ROUND(SUMIF(TB_curr[[#Headers],[#Data],[Lookup_line]],GL[[#This Row],[Lookup line]],TB_curr[[#Headers],[#Data],[Final balance]]),0)</f>
        <v>0</v>
      </c>
      <c r="I158" s="1083">
        <f>ROUND(SUMIF(TB_prev[[#Headers],[#Data],[Lookup_line]],GL[[#This Row],[Lookup line]],TB_prev[[#Headers],[#Data],[Final balance]]),0)</f>
        <v>0</v>
      </c>
    </row>
    <row r="159" spans="1:9" s="174" customFormat="1" ht="12" customHeight="1" x14ac:dyDescent="0.25">
      <c r="A159" s="764" t="s">
        <v>2086</v>
      </c>
      <c r="B159" s="1088" t="s">
        <v>1973</v>
      </c>
      <c r="C159" s="1082" t="str">
        <f t="shared" si="2"/>
        <v/>
      </c>
      <c r="D159" s="230" t="s">
        <v>827</v>
      </c>
      <c r="E159" s="1082" t="s">
        <v>1883</v>
      </c>
      <c r="F159" s="1082" t="str">
        <f>GL[[#This Row],[Line]]&amp;GL[[#This Row],[B/P]]</f>
        <v>19BS</v>
      </c>
      <c r="G159" s="1081" t="str">
        <f>GL[[#This Row],[Account]]&amp;GL[[#This Row],[Line]]</f>
        <v>34219</v>
      </c>
      <c r="H159" s="1087">
        <f>ROUND(SUMIF(TB_curr[[#Headers],[#Data],[Lookup_line]],GL[[#This Row],[Lookup line]],TB_curr[[#Headers],[#Data],[Final balance]]),0)</f>
        <v>0</v>
      </c>
      <c r="I159" s="1087">
        <f>ROUND(SUMIF(TB_prev[[#Headers],[#Data],[Lookup_line]],GL[[#This Row],[Lookup line]],TB_prev[[#Headers],[#Data],[Final balance]]),0)</f>
        <v>0</v>
      </c>
    </row>
    <row r="160" spans="1:9" s="174" customFormat="1" ht="12" customHeight="1" x14ac:dyDescent="0.25">
      <c r="A160" s="764" t="s">
        <v>2106</v>
      </c>
      <c r="B160" s="1088" t="s">
        <v>1973</v>
      </c>
      <c r="C160" s="1082" t="str">
        <f t="shared" si="2"/>
        <v/>
      </c>
      <c r="D160" s="230" t="s">
        <v>893</v>
      </c>
      <c r="E160" s="1082" t="s">
        <v>1883</v>
      </c>
      <c r="F160" s="1082" t="str">
        <f>GL[[#This Row],[Line]]&amp;GL[[#This Row],[B/P]]</f>
        <v>41BS</v>
      </c>
      <c r="G160" s="1081" t="str">
        <f>GL[[#This Row],[Account]]&amp;GL[[#This Row],[Line]]</f>
        <v>34241</v>
      </c>
      <c r="H160" s="1087">
        <f>ROUND(SUMIF(TB_curr[[#Headers],[#Data],[Lookup_line]],GL[[#This Row],[Lookup line]],TB_curr[[#Headers],[#Data],[Final balance]]),0)</f>
        <v>0</v>
      </c>
      <c r="I160" s="1087">
        <f>ROUND(SUMIF(TB_prev[[#Headers],[#Data],[Lookup_line]],GL[[#This Row],[Lookup line]],TB_prev[[#Headers],[#Data],[Final balance]]),0)</f>
        <v>0</v>
      </c>
    </row>
    <row r="161" spans="1:9" s="174" customFormat="1" ht="12" customHeight="1" x14ac:dyDescent="0.25">
      <c r="A161" s="764"/>
      <c r="B161" s="1086" t="s">
        <v>1886</v>
      </c>
      <c r="C161" s="1085" t="str">
        <f t="shared" si="2"/>
        <v>343</v>
      </c>
      <c r="D161" s="230"/>
      <c r="E161" s="1082" t="s">
        <v>1883</v>
      </c>
      <c r="F161" s="1082" t="str">
        <f>GL[[#This Row],[Line]]&amp;GL[[#This Row],[B/P]]</f>
        <v>BS</v>
      </c>
      <c r="G161" s="1081" t="str">
        <f>GL[[#This Row],[Account]]&amp;GL[[#This Row],[Line]]</f>
        <v>subtotal</v>
      </c>
      <c r="H161" s="1087">
        <f>ROUND(SUMIF(TB_curr[[#Headers],[#Data],[Lookup_line]],GL[[#This Row],[Lookup line]],TB_curr[[#Headers],[#Data],[Final balance]]),0)</f>
        <v>0</v>
      </c>
      <c r="I161" s="1087">
        <f>ROUND(SUMIF(TB_prev[[#Headers],[#Data],[Lookup_line]],GL[[#This Row],[Lookup line]],TB_prev[[#Headers],[#Data],[Final balance]]),0)</f>
        <v>0</v>
      </c>
    </row>
    <row r="162" spans="1:9" s="174" customFormat="1" ht="12" customHeight="1" x14ac:dyDescent="0.25">
      <c r="A162" s="764" t="s">
        <v>2086</v>
      </c>
      <c r="B162" s="1088" t="s">
        <v>1838</v>
      </c>
      <c r="C162" s="1082" t="str">
        <f t="shared" si="2"/>
        <v/>
      </c>
      <c r="D162" s="230" t="s">
        <v>827</v>
      </c>
      <c r="E162" s="1082" t="s">
        <v>1883</v>
      </c>
      <c r="F162" s="1082" t="str">
        <f>GL[[#This Row],[Line]]&amp;GL[[#This Row],[B/P]]</f>
        <v>19BS</v>
      </c>
      <c r="G162" s="1081" t="str">
        <f>GL[[#This Row],[Account]]&amp;GL[[#This Row],[Line]]</f>
        <v>34319</v>
      </c>
      <c r="H162" s="1087">
        <f>ROUND(SUMIF(TB_curr[[#Headers],[#Data],[Lookup_line]],GL[[#This Row],[Lookup line]],TB_curr[[#Headers],[#Data],[Final balance]]),0)</f>
        <v>0</v>
      </c>
      <c r="I162" s="1087">
        <f>ROUND(SUMIF(TB_prev[[#Headers],[#Data],[Lookup_line]],GL[[#This Row],[Lookup line]],TB_prev[[#Headers],[#Data],[Final balance]]),0)</f>
        <v>0</v>
      </c>
    </row>
    <row r="163" spans="1:9" s="174" customFormat="1" ht="12" customHeight="1" x14ac:dyDescent="0.25">
      <c r="A163" s="764" t="s">
        <v>2106</v>
      </c>
      <c r="B163" s="1088" t="s">
        <v>1838</v>
      </c>
      <c r="C163" s="1082" t="str">
        <f t="shared" si="2"/>
        <v/>
      </c>
      <c r="D163" s="230" t="s">
        <v>893</v>
      </c>
      <c r="E163" s="1082" t="s">
        <v>1883</v>
      </c>
      <c r="F163" s="1082" t="str">
        <f>GL[[#This Row],[Line]]&amp;GL[[#This Row],[B/P]]</f>
        <v>41BS</v>
      </c>
      <c r="G163" s="1081" t="str">
        <f>GL[[#This Row],[Account]]&amp;GL[[#This Row],[Line]]</f>
        <v>34341</v>
      </c>
      <c r="H163" s="1087">
        <f>ROUND(SUMIF(TB_curr[[#Headers],[#Data],[Lookup_line]],GL[[#This Row],[Lookup line]],TB_curr[[#Headers],[#Data],[Final balance]]),0)</f>
        <v>0</v>
      </c>
      <c r="I163" s="1087">
        <f>ROUND(SUMIF(TB_prev[[#Headers],[#Data],[Lookup_line]],GL[[#This Row],[Lookup line]],TB_prev[[#Headers],[#Data],[Final balance]]),0)</f>
        <v>0</v>
      </c>
    </row>
    <row r="164" spans="1:9" s="174" customFormat="1" ht="12" customHeight="1" x14ac:dyDescent="0.2">
      <c r="A164" s="764"/>
      <c r="B164" s="1086" t="s">
        <v>1886</v>
      </c>
      <c r="C164" s="1085" t="str">
        <f t="shared" si="2"/>
        <v>345</v>
      </c>
      <c r="D164" s="230"/>
      <c r="E164" s="1082" t="s">
        <v>1883</v>
      </c>
      <c r="F164" s="1082" t="str">
        <f>GL[[#This Row],[Line]]&amp;GL[[#This Row],[B/P]]</f>
        <v>BS</v>
      </c>
      <c r="G164" s="1084" t="str">
        <f>GL[[#This Row],[Account]]&amp;GL[[#This Row],[Line]]</f>
        <v>subtotal</v>
      </c>
      <c r="H164" s="1083">
        <f>ROUND(SUMIF(TB_curr[[#Headers],[#Data],[Lookup_line]],GL[[#This Row],[Lookup line]],TB_curr[[#Headers],[#Data],[Final balance]]),0)</f>
        <v>0</v>
      </c>
      <c r="I164" s="1083">
        <f>ROUND(SUMIF(TB_prev[[#Headers],[#Data],[Lookup_line]],GL[[#This Row],[Lookup line]],TB_prev[[#Headers],[#Data],[Final balance]]),0)</f>
        <v>0</v>
      </c>
    </row>
    <row r="165" spans="1:9" s="174" customFormat="1" ht="12" customHeight="1" x14ac:dyDescent="0.25">
      <c r="A165" s="764" t="s">
        <v>2086</v>
      </c>
      <c r="B165" s="1088" t="s">
        <v>1839</v>
      </c>
      <c r="C165" s="1082" t="str">
        <f t="shared" si="2"/>
        <v/>
      </c>
      <c r="D165" s="230" t="s">
        <v>827</v>
      </c>
      <c r="E165" s="1082" t="s">
        <v>1883</v>
      </c>
      <c r="F165" s="1082" t="str">
        <f>GL[[#This Row],[Line]]&amp;GL[[#This Row],[B/P]]</f>
        <v>19BS</v>
      </c>
      <c r="G165" s="1081" t="str">
        <f>GL[[#This Row],[Account]]&amp;GL[[#This Row],[Line]]</f>
        <v>34519</v>
      </c>
      <c r="H165" s="1087">
        <f>ROUND(SUMIF(TB_curr[[#Headers],[#Data],[Lookup_line]],GL[[#This Row],[Lookup line]],TB_curr[[#Headers],[#Data],[Final balance]]),0)</f>
        <v>0</v>
      </c>
      <c r="I165" s="1087">
        <f>ROUND(SUMIF(TB_prev[[#Headers],[#Data],[Lookup_line]],GL[[#This Row],[Lookup line]],TB_prev[[#Headers],[#Data],[Final balance]]),0)</f>
        <v>0</v>
      </c>
    </row>
    <row r="166" spans="1:9" s="174" customFormat="1" ht="12" customHeight="1" x14ac:dyDescent="0.25">
      <c r="A166" s="764" t="s">
        <v>2106</v>
      </c>
      <c r="B166" s="1088" t="s">
        <v>1839</v>
      </c>
      <c r="C166" s="1082" t="str">
        <f t="shared" si="2"/>
        <v/>
      </c>
      <c r="D166" s="230" t="s">
        <v>893</v>
      </c>
      <c r="E166" s="1082" t="s">
        <v>1883</v>
      </c>
      <c r="F166" s="1082" t="str">
        <f>GL[[#This Row],[Line]]&amp;GL[[#This Row],[B/P]]</f>
        <v>41BS</v>
      </c>
      <c r="G166" s="1081" t="str">
        <f>GL[[#This Row],[Account]]&amp;GL[[#This Row],[Line]]</f>
        <v>34541</v>
      </c>
      <c r="H166" s="1087">
        <f>ROUND(SUMIF(TB_curr[[#Headers],[#Data],[Lookup_line]],GL[[#This Row],[Lookup line]],TB_curr[[#Headers],[#Data],[Final balance]]),0)</f>
        <v>0</v>
      </c>
      <c r="I166" s="1087">
        <f>ROUND(SUMIF(TB_prev[[#Headers],[#Data],[Lookup_line]],GL[[#This Row],[Lookup line]],TB_prev[[#Headers],[#Data],[Final balance]]),0)</f>
        <v>0</v>
      </c>
    </row>
    <row r="167" spans="1:9" s="174" customFormat="1" ht="12" customHeight="1" x14ac:dyDescent="0.25">
      <c r="A167" s="764"/>
      <c r="B167" s="1086" t="s">
        <v>1886</v>
      </c>
      <c r="C167" s="1085" t="str">
        <f t="shared" si="2"/>
        <v>346</v>
      </c>
      <c r="D167" s="230"/>
      <c r="E167" s="1082" t="s">
        <v>1883</v>
      </c>
      <c r="F167" s="1082" t="str">
        <f>GL[[#This Row],[Line]]&amp;GL[[#This Row],[B/P]]</f>
        <v>BS</v>
      </c>
      <c r="G167" s="1081" t="str">
        <f>GL[[#This Row],[Account]]&amp;GL[[#This Row],[Line]]</f>
        <v>subtotal</v>
      </c>
      <c r="H167" s="1087">
        <f>ROUND(SUMIF(TB_curr[[#Headers],[#Data],[Lookup_line]],GL[[#This Row],[Lookup line]],TB_curr[[#Headers],[#Data],[Final balance]]),0)</f>
        <v>0</v>
      </c>
      <c r="I167" s="1087">
        <f>ROUND(SUMIF(TB_prev[[#Headers],[#Data],[Lookup_line]],GL[[#This Row],[Lookup line]],TB_prev[[#Headers],[#Data],[Final balance]]),0)</f>
        <v>0</v>
      </c>
    </row>
    <row r="168" spans="1:9" s="174" customFormat="1" ht="12" customHeight="1" x14ac:dyDescent="0.25">
      <c r="A168" s="764" t="s">
        <v>2086</v>
      </c>
      <c r="B168" s="1088" t="s">
        <v>1972</v>
      </c>
      <c r="C168" s="1082" t="str">
        <f t="shared" si="2"/>
        <v/>
      </c>
      <c r="D168" s="230" t="s">
        <v>827</v>
      </c>
      <c r="E168" s="1082" t="s">
        <v>1883</v>
      </c>
      <c r="F168" s="1082" t="str">
        <f>GL[[#This Row],[Line]]&amp;GL[[#This Row],[B/P]]</f>
        <v>19BS</v>
      </c>
      <c r="G168" s="1081" t="str">
        <f>GL[[#This Row],[Account]]&amp;GL[[#This Row],[Line]]</f>
        <v>34619</v>
      </c>
      <c r="H168" s="1087">
        <f>ROUND(SUMIF(TB_curr[[#Headers],[#Data],[Lookup_line]],GL[[#This Row],[Lookup line]],TB_curr[[#Headers],[#Data],[Final balance]]),0)</f>
        <v>0</v>
      </c>
      <c r="I168" s="1087">
        <f>ROUND(SUMIF(TB_prev[[#Headers],[#Data],[Lookup_line]],GL[[#This Row],[Lookup line]],TB_prev[[#Headers],[#Data],[Final balance]]),0)</f>
        <v>0</v>
      </c>
    </row>
    <row r="169" spans="1:9" s="174" customFormat="1" ht="12" customHeight="1" x14ac:dyDescent="0.2">
      <c r="A169" s="764" t="s">
        <v>2106</v>
      </c>
      <c r="B169" s="1088" t="s">
        <v>1972</v>
      </c>
      <c r="C169" s="1082" t="str">
        <f t="shared" si="2"/>
        <v/>
      </c>
      <c r="D169" s="230" t="s">
        <v>893</v>
      </c>
      <c r="E169" s="1082" t="s">
        <v>1883</v>
      </c>
      <c r="F169" s="1082" t="str">
        <f>GL[[#This Row],[Line]]&amp;GL[[#This Row],[B/P]]</f>
        <v>41BS</v>
      </c>
      <c r="G169" s="1084" t="str">
        <f>GL[[#This Row],[Account]]&amp;GL[[#This Row],[Line]]</f>
        <v>34641</v>
      </c>
      <c r="H169" s="1083">
        <f>ROUND(SUMIF(TB_curr[[#Headers],[#Data],[Lookup_line]],GL[[#This Row],[Lookup line]],TB_curr[[#Headers],[#Data],[Final balance]]),0)</f>
        <v>0</v>
      </c>
      <c r="I169" s="1083">
        <f>ROUND(SUMIF(TB_prev[[#Headers],[#Data],[Lookup_line]],GL[[#This Row],[Lookup line]],TB_prev[[#Headers],[#Data],[Final balance]]),0)</f>
        <v>0</v>
      </c>
    </row>
    <row r="170" spans="1:9" s="174" customFormat="1" ht="12" customHeight="1" x14ac:dyDescent="0.25">
      <c r="A170" s="764"/>
      <c r="B170" s="1086" t="s">
        <v>1886</v>
      </c>
      <c r="C170" s="1085" t="str">
        <f t="shared" si="2"/>
        <v>347</v>
      </c>
      <c r="D170" s="230"/>
      <c r="E170" s="1082" t="s">
        <v>1883</v>
      </c>
      <c r="F170" s="1082" t="str">
        <f>GL[[#This Row],[Line]]&amp;GL[[#This Row],[B/P]]</f>
        <v>BS</v>
      </c>
      <c r="G170" s="1081" t="str">
        <f>GL[[#This Row],[Account]]&amp;GL[[#This Row],[Line]]</f>
        <v>subtotal</v>
      </c>
      <c r="H170" s="1089">
        <f>ROUND(SUMIF(TB_curr[[#Headers],[#Data],[Lookup_line]],GL[[#This Row],[Lookup line]],TB_curr[[#Headers],[#Data],[Final balance]]),0)</f>
        <v>0</v>
      </c>
      <c r="I170" s="1089">
        <f>ROUND(SUMIF(TB_prev[[#Headers],[#Data],[Lookup_line]],GL[[#This Row],[Lookup line]],TB_prev[[#Headers],[#Data],[Final balance]]),0)</f>
        <v>0</v>
      </c>
    </row>
    <row r="171" spans="1:9" s="174" customFormat="1" ht="12" customHeight="1" x14ac:dyDescent="0.25">
      <c r="A171" s="764" t="s">
        <v>2086</v>
      </c>
      <c r="B171" s="1088" t="s">
        <v>1971</v>
      </c>
      <c r="C171" s="1082" t="str">
        <f t="shared" si="2"/>
        <v/>
      </c>
      <c r="D171" s="230" t="s">
        <v>827</v>
      </c>
      <c r="E171" s="1082" t="s">
        <v>1883</v>
      </c>
      <c r="F171" s="1082" t="str">
        <f>GL[[#This Row],[Line]]&amp;GL[[#This Row],[B/P]]</f>
        <v>19BS</v>
      </c>
      <c r="G171" s="1081" t="str">
        <f>GL[[#This Row],[Account]]&amp;GL[[#This Row],[Line]]</f>
        <v>34719</v>
      </c>
      <c r="H171" s="1089">
        <f>ROUND(SUMIF(TB_curr[[#Headers],[#Data],[Lookup_line]],GL[[#This Row],[Lookup line]],TB_curr[[#Headers],[#Data],[Final balance]]),0)</f>
        <v>0</v>
      </c>
      <c r="I171" s="1089">
        <f>ROUND(SUMIF(TB_prev[[#Headers],[#Data],[Lookup_line]],GL[[#This Row],[Lookup line]],TB_prev[[#Headers],[#Data],[Final balance]]),0)</f>
        <v>0</v>
      </c>
    </row>
    <row r="172" spans="1:9" s="174" customFormat="1" ht="12" customHeight="1" x14ac:dyDescent="0.25">
      <c r="A172" s="764" t="s">
        <v>2106</v>
      </c>
      <c r="B172" s="1088" t="s">
        <v>1971</v>
      </c>
      <c r="C172" s="1082" t="str">
        <f t="shared" si="2"/>
        <v/>
      </c>
      <c r="D172" s="230" t="s">
        <v>893</v>
      </c>
      <c r="E172" s="1082" t="s">
        <v>1883</v>
      </c>
      <c r="F172" s="1082" t="str">
        <f>GL[[#This Row],[Line]]&amp;GL[[#This Row],[B/P]]</f>
        <v>41BS</v>
      </c>
      <c r="G172" s="1081" t="str">
        <f>GL[[#This Row],[Account]]&amp;GL[[#This Row],[Line]]</f>
        <v>34741</v>
      </c>
      <c r="H172" s="1089">
        <f>ROUND(SUMIF(TB_curr[[#Headers],[#Data],[Lookup_line]],GL[[#This Row],[Lookup line]],TB_curr[[#Headers],[#Data],[Final balance]]),0)</f>
        <v>0</v>
      </c>
      <c r="I172" s="1089">
        <f>ROUND(SUMIF(TB_prev[[#Headers],[#Data],[Lookup_line]],GL[[#This Row],[Lookup line]],TB_prev[[#Headers],[#Data],[Final balance]]),0)</f>
        <v>0</v>
      </c>
    </row>
    <row r="173" spans="1:9" s="174" customFormat="1" ht="12" customHeight="1" x14ac:dyDescent="0.25">
      <c r="A173" s="764" t="s">
        <v>1052</v>
      </c>
      <c r="B173" s="1088" t="s">
        <v>1970</v>
      </c>
      <c r="C173" s="1082" t="str">
        <f t="shared" si="2"/>
        <v/>
      </c>
      <c r="D173" s="230" t="s">
        <v>854</v>
      </c>
      <c r="E173" s="1082" t="s">
        <v>1883</v>
      </c>
      <c r="F173" s="1082" t="str">
        <f>GL[[#This Row],[Line]]&amp;GL[[#This Row],[B/P]]</f>
        <v>28BS</v>
      </c>
      <c r="G173" s="1081" t="str">
        <f>GL[[#This Row],[Account]]&amp;GL[[#This Row],[Line]]</f>
        <v>35328</v>
      </c>
      <c r="H173" s="1089">
        <f>ROUND(SUMIF(TB_curr[[#Headers],[#Data],[Lookup_line]],GL[[#This Row],[Lookup line]],TB_curr[[#Headers],[#Data],[Final balance]]),0)</f>
        <v>0</v>
      </c>
      <c r="I173" s="1089">
        <f>ROUND(SUMIF(TB_prev[[#Headers],[#Data],[Lookup_line]],GL[[#This Row],[Lookup line]],TB_prev[[#Headers],[#Data],[Final balance]]),0)</f>
        <v>0</v>
      </c>
    </row>
    <row r="174" spans="1:9" s="174" customFormat="1" ht="12" customHeight="1" x14ac:dyDescent="0.25">
      <c r="A174" s="764"/>
      <c r="B174" s="1086" t="s">
        <v>1886</v>
      </c>
      <c r="C174" s="1085" t="str">
        <f t="shared" si="2"/>
        <v>354</v>
      </c>
      <c r="D174" s="230"/>
      <c r="E174" s="1082" t="s">
        <v>1883</v>
      </c>
      <c r="F174" s="1082" t="str">
        <f>GL[[#This Row],[Line]]&amp;GL[[#This Row],[B/P]]</f>
        <v>BS</v>
      </c>
      <c r="G174" s="1081" t="str">
        <f>GL[[#This Row],[Account]]&amp;GL[[#This Row],[Line]]</f>
        <v>subtotal</v>
      </c>
      <c r="H174" s="1089">
        <f>ROUND(SUMIF(TB_curr[[#Headers],[#Data],[Lookup_line]],GL[[#This Row],[Lookup line]],TB_curr[[#Headers],[#Data],[Final balance]]),0)</f>
        <v>0</v>
      </c>
      <c r="I174" s="1089">
        <f>ROUND(SUMIF(TB_prev[[#Headers],[#Data],[Lookup_line]],GL[[#This Row],[Lookup line]],TB_prev[[#Headers],[#Data],[Final balance]]),0)</f>
        <v>0</v>
      </c>
    </row>
    <row r="175" spans="1:9" s="174" customFormat="1" ht="12" customHeight="1" x14ac:dyDescent="0.25">
      <c r="A175" s="764" t="s">
        <v>2083</v>
      </c>
      <c r="B175" s="1088" t="s">
        <v>1969</v>
      </c>
      <c r="C175" s="1082" t="str">
        <f t="shared" si="2"/>
        <v/>
      </c>
      <c r="D175" s="230" t="s">
        <v>818</v>
      </c>
      <c r="E175" s="1082" t="s">
        <v>1883</v>
      </c>
      <c r="F175" s="1082" t="str">
        <f>GL[[#This Row],[Line]]&amp;GL[[#This Row],[B/P]]</f>
        <v>16BS</v>
      </c>
      <c r="G175" s="1081" t="str">
        <f>GL[[#This Row],[Account]]&amp;GL[[#This Row],[Line]]</f>
        <v>35416</v>
      </c>
      <c r="H175" s="1089">
        <f>ROUND(SUMIF(TB_curr[[#Headers],[#Data],[Lookup_line]],GL[[#This Row],[Lookup line]],TB_curr[[#Headers],[#Data],[Final balance]]),0)</f>
        <v>0</v>
      </c>
      <c r="I175" s="1089">
        <f>ROUND(SUMIF(TB_prev[[#Headers],[#Data],[Lookup_line]],GL[[#This Row],[Lookup line]],TB_prev[[#Headers],[#Data],[Final balance]]),0)</f>
        <v>0</v>
      </c>
    </row>
    <row r="176" spans="1:9" s="174" customFormat="1" ht="12" customHeight="1" x14ac:dyDescent="0.2">
      <c r="A176" s="764" t="s">
        <v>2087</v>
      </c>
      <c r="B176" s="1088" t="s">
        <v>1969</v>
      </c>
      <c r="C176" s="1082" t="str">
        <f t="shared" si="2"/>
        <v/>
      </c>
      <c r="D176" s="230" t="s">
        <v>830</v>
      </c>
      <c r="E176" s="1082" t="s">
        <v>1883</v>
      </c>
      <c r="F176" s="1082" t="str">
        <f>GL[[#This Row],[Line]]&amp;GL[[#This Row],[B/P]]</f>
        <v>20BS</v>
      </c>
      <c r="G176" s="1084" t="str">
        <f>GL[[#This Row],[Account]]&amp;GL[[#This Row],[Line]]</f>
        <v>35420</v>
      </c>
      <c r="H176" s="1083">
        <f>ROUND(SUMIF(TB_curr[[#Headers],[#Data],[Lookup_line]],GL[[#This Row],[Lookup line]],TB_curr[[#Headers],[#Data],[Final balance]]),0)</f>
        <v>0</v>
      </c>
      <c r="I176" s="1083">
        <f>ROUND(SUMIF(TB_prev[[#Headers],[#Data],[Lookup_line]],GL[[#This Row],[Lookup line]],TB_prev[[#Headers],[#Data],[Final balance]]),0)</f>
        <v>0</v>
      </c>
    </row>
    <row r="177" spans="1:9" s="174" customFormat="1" ht="12" customHeight="1" x14ac:dyDescent="0.25">
      <c r="A177" s="764"/>
      <c r="B177" s="1086" t="s">
        <v>1886</v>
      </c>
      <c r="C177" s="1085" t="str">
        <f t="shared" si="2"/>
        <v>355</v>
      </c>
      <c r="D177" s="230"/>
      <c r="E177" s="1082" t="s">
        <v>1883</v>
      </c>
      <c r="F177" s="1082" t="str">
        <f>GL[[#This Row],[Line]]&amp;GL[[#This Row],[B/P]]</f>
        <v>BS</v>
      </c>
      <c r="G177" s="1081" t="str">
        <f>GL[[#This Row],[Account]]&amp;GL[[#This Row],[Line]]</f>
        <v>subtotal</v>
      </c>
      <c r="H177" s="1089">
        <f>ROUND(SUMIF(TB_curr[[#Headers],[#Data],[Lookup_line]],GL[[#This Row],[Lookup line]],TB_curr[[#Headers],[#Data],[Final balance]]),0)</f>
        <v>0</v>
      </c>
      <c r="I177" s="1089">
        <f>ROUND(SUMIF(TB_prev[[#Headers],[#Data],[Lookup_line]],GL[[#This Row],[Lookup line]],TB_prev[[#Headers],[#Data],[Final balance]]),0)</f>
        <v>0</v>
      </c>
    </row>
    <row r="178" spans="1:9" s="174" customFormat="1" ht="12" customHeight="1" x14ac:dyDescent="0.25">
      <c r="A178" s="764" t="s">
        <v>2083</v>
      </c>
      <c r="B178" s="1088" t="s">
        <v>1968</v>
      </c>
      <c r="C178" s="1082" t="str">
        <f t="shared" si="2"/>
        <v/>
      </c>
      <c r="D178" s="230" t="s">
        <v>818</v>
      </c>
      <c r="E178" s="1082" t="s">
        <v>1883</v>
      </c>
      <c r="F178" s="1082" t="str">
        <f>GL[[#This Row],[Line]]&amp;GL[[#This Row],[B/P]]</f>
        <v>16BS</v>
      </c>
      <c r="G178" s="1081" t="str">
        <f>GL[[#This Row],[Account]]&amp;GL[[#This Row],[Line]]</f>
        <v>35516</v>
      </c>
      <c r="H178" s="1089">
        <f>ROUND(SUMIF(TB_curr[[#Headers],[#Data],[Lookup_line]],GL[[#This Row],[Lookup line]],TB_curr[[#Headers],[#Data],[Final balance]]),0)</f>
        <v>0</v>
      </c>
      <c r="I178" s="1089">
        <f>ROUND(SUMIF(TB_prev[[#Headers],[#Data],[Lookup_line]],GL[[#This Row],[Lookup line]],TB_prev[[#Headers],[#Data],[Final balance]]),0)</f>
        <v>0</v>
      </c>
    </row>
    <row r="179" spans="1:9" s="174" customFormat="1" ht="12" customHeight="1" x14ac:dyDescent="0.25">
      <c r="A179" s="764" t="s">
        <v>2087</v>
      </c>
      <c r="B179" s="1088" t="s">
        <v>1968</v>
      </c>
      <c r="C179" s="1082" t="str">
        <f t="shared" si="2"/>
        <v/>
      </c>
      <c r="D179" s="230" t="s">
        <v>830</v>
      </c>
      <c r="E179" s="1082" t="s">
        <v>1883</v>
      </c>
      <c r="F179" s="1082" t="str">
        <f>GL[[#This Row],[Line]]&amp;GL[[#This Row],[B/P]]</f>
        <v>20BS</v>
      </c>
      <c r="G179" s="1081" t="str">
        <f>GL[[#This Row],[Account]]&amp;GL[[#This Row],[Line]]</f>
        <v>35520</v>
      </c>
      <c r="H179" s="1089">
        <f>ROUND(SUMIF(TB_curr[[#Headers],[#Data],[Lookup_line]],GL[[#This Row],[Lookup line]],TB_curr[[#Headers],[#Data],[Final balance]]),0)</f>
        <v>0</v>
      </c>
      <c r="I179" s="1089">
        <f>ROUND(SUMIF(TB_prev[[#Headers],[#Data],[Lookup_line]],GL[[#This Row],[Lookup line]],TB_prev[[#Headers],[#Data],[Final balance]]),0)</f>
        <v>0</v>
      </c>
    </row>
    <row r="180" spans="1:9" s="174" customFormat="1" ht="12" customHeight="1" x14ac:dyDescent="0.2">
      <c r="A180" s="764"/>
      <c r="B180" s="1086" t="s">
        <v>1886</v>
      </c>
      <c r="C180" s="1085" t="str">
        <f t="shared" si="2"/>
        <v>358</v>
      </c>
      <c r="D180" s="230"/>
      <c r="E180" s="1082" t="s">
        <v>1883</v>
      </c>
      <c r="F180" s="1082" t="str">
        <f>GL[[#This Row],[Line]]&amp;GL[[#This Row],[B/P]]</f>
        <v>BS</v>
      </c>
      <c r="G180" s="1084" t="str">
        <f>GL[[#This Row],[Account]]&amp;GL[[#This Row],[Line]]</f>
        <v>subtotal</v>
      </c>
      <c r="H180" s="1083">
        <f>ROUND(SUMIF(TB_curr[[#Headers],[#Data],[Lookup_line]],GL[[#This Row],[Lookup line]],TB_curr[[#Headers],[#Data],[Final balance]]),0)</f>
        <v>0</v>
      </c>
      <c r="I180" s="1083">
        <f>ROUND(SUMIF(TB_prev[[#Headers],[#Data],[Lookup_line]],GL[[#This Row],[Lookup line]],TB_prev[[#Headers],[#Data],[Final balance]]),0)</f>
        <v>0</v>
      </c>
    </row>
    <row r="181" spans="1:9" s="174" customFormat="1" ht="12" customHeight="1" x14ac:dyDescent="0.25">
      <c r="A181" s="764" t="s">
        <v>2083</v>
      </c>
      <c r="B181" s="1088" t="s">
        <v>1967</v>
      </c>
      <c r="C181" s="1082" t="str">
        <f t="shared" si="2"/>
        <v/>
      </c>
      <c r="D181" s="230" t="s">
        <v>818</v>
      </c>
      <c r="E181" s="1082" t="s">
        <v>1883</v>
      </c>
      <c r="F181" s="1082" t="str">
        <f>GL[[#This Row],[Line]]&amp;GL[[#This Row],[B/P]]</f>
        <v>16BS</v>
      </c>
      <c r="G181" s="1081" t="str">
        <f>GL[[#This Row],[Account]]&amp;GL[[#This Row],[Line]]</f>
        <v>35816</v>
      </c>
      <c r="H181" s="1087">
        <f>ROUND(SUMIF(TB_curr[[#Headers],[#Data],[Lookup_line]],GL[[#This Row],[Lookup line]],TB_curr[[#Headers],[#Data],[Final balance]]),0)</f>
        <v>0</v>
      </c>
      <c r="I181" s="1087">
        <f>ROUND(SUMIF(TB_prev[[#Headers],[#Data],[Lookup_line]],GL[[#This Row],[Lookup line]],TB_prev[[#Headers],[#Data],[Final balance]]),0)</f>
        <v>0</v>
      </c>
    </row>
    <row r="182" spans="1:9" s="174" customFormat="1" ht="12" customHeight="1" x14ac:dyDescent="0.25">
      <c r="A182" s="764" t="s">
        <v>2087</v>
      </c>
      <c r="B182" s="1088" t="s">
        <v>1967</v>
      </c>
      <c r="C182" s="1082" t="str">
        <f t="shared" si="2"/>
        <v/>
      </c>
      <c r="D182" s="230" t="s">
        <v>830</v>
      </c>
      <c r="E182" s="1082" t="s">
        <v>1883</v>
      </c>
      <c r="F182" s="1082" t="str">
        <f>GL[[#This Row],[Line]]&amp;GL[[#This Row],[B/P]]</f>
        <v>20BS</v>
      </c>
      <c r="G182" s="1081" t="str">
        <f>GL[[#This Row],[Account]]&amp;GL[[#This Row],[Line]]</f>
        <v>35820</v>
      </c>
      <c r="H182" s="1087">
        <f>ROUND(SUMIF(TB_curr[[#Headers],[#Data],[Lookup_line]],GL[[#This Row],[Lookup line]],TB_curr[[#Headers],[#Data],[Final balance]]),0)</f>
        <v>0</v>
      </c>
      <c r="I182" s="1087">
        <f>ROUND(SUMIF(TB_prev[[#Headers],[#Data],[Lookup_line]],GL[[#This Row],[Lookup line]],TB_prev[[#Headers],[#Data],[Final balance]]),0)</f>
        <v>0</v>
      </c>
    </row>
    <row r="183" spans="1:9" s="174" customFormat="1" ht="12" customHeight="1" x14ac:dyDescent="0.2">
      <c r="A183" s="764" t="s">
        <v>2107</v>
      </c>
      <c r="B183" s="1088" t="s">
        <v>1966</v>
      </c>
      <c r="C183" s="1082" t="str">
        <f t="shared" si="2"/>
        <v/>
      </c>
      <c r="D183" s="230" t="s">
        <v>896</v>
      </c>
      <c r="E183" s="1082" t="s">
        <v>1883</v>
      </c>
      <c r="F183" s="1082" t="str">
        <f>GL[[#This Row],[Line]]&amp;GL[[#This Row],[B/P]]</f>
        <v>42BS</v>
      </c>
      <c r="G183" s="1084" t="str">
        <f>GL[[#This Row],[Account]]&amp;GL[[#This Row],[Line]]</f>
        <v>36442</v>
      </c>
      <c r="H183" s="1083">
        <f>ROUND(SUMIF(TB_curr[[#Headers],[#Data],[Lookup_line]],GL[[#This Row],[Lookup line]],TB_curr[[#Headers],[#Data],[Final balance]]),0)</f>
        <v>0</v>
      </c>
      <c r="I183" s="1083">
        <f>ROUND(SUMIF(TB_prev[[#Headers],[#Data],[Lookup_line]],GL[[#This Row],[Lookup line]],TB_prev[[#Headers],[#Data],[Final balance]]),0)</f>
        <v>0</v>
      </c>
    </row>
    <row r="184" spans="1:9" s="174" customFormat="1" ht="12" customHeight="1" x14ac:dyDescent="0.25">
      <c r="A184" s="764" t="s">
        <v>2107</v>
      </c>
      <c r="B184" s="1088" t="s">
        <v>1965</v>
      </c>
      <c r="C184" s="1082" t="str">
        <f t="shared" si="2"/>
        <v/>
      </c>
      <c r="D184" s="230" t="s">
        <v>896</v>
      </c>
      <c r="E184" s="1082" t="s">
        <v>1883</v>
      </c>
      <c r="F184" s="1082" t="str">
        <f>GL[[#This Row],[Line]]&amp;GL[[#This Row],[B/P]]</f>
        <v>42BS</v>
      </c>
      <c r="G184" s="1081" t="str">
        <f>GL[[#This Row],[Account]]&amp;GL[[#This Row],[Line]]</f>
        <v>36542</v>
      </c>
      <c r="H184" s="1089">
        <f>ROUND(SUMIF(TB_curr[[#Headers],[#Data],[Lookup_line]],GL[[#This Row],[Lookup line]],TB_curr[[#Headers],[#Data],[Final balance]]),0)</f>
        <v>0</v>
      </c>
      <c r="I184" s="1089">
        <f>ROUND(SUMIF(TB_prev[[#Headers],[#Data],[Lookup_line]],GL[[#This Row],[Lookup line]],TB_prev[[#Headers],[#Data],[Final balance]]),0)</f>
        <v>0</v>
      </c>
    </row>
    <row r="185" spans="1:9" s="174" customFormat="1" ht="12" customHeight="1" x14ac:dyDescent="0.25">
      <c r="A185" s="764" t="s">
        <v>2107</v>
      </c>
      <c r="B185" s="1088" t="s">
        <v>1964</v>
      </c>
      <c r="C185" s="1082" t="str">
        <f t="shared" si="2"/>
        <v/>
      </c>
      <c r="D185" s="230" t="s">
        <v>896</v>
      </c>
      <c r="E185" s="1082" t="s">
        <v>1883</v>
      </c>
      <c r="F185" s="1082" t="str">
        <f>GL[[#This Row],[Line]]&amp;GL[[#This Row],[B/P]]</f>
        <v>42BS</v>
      </c>
      <c r="G185" s="1081" t="str">
        <f>GL[[#This Row],[Account]]&amp;GL[[#This Row],[Line]]</f>
        <v>36642</v>
      </c>
      <c r="H185" s="1089">
        <f>ROUND(SUMIF(TB_curr[[#Headers],[#Data],[Lookup_line]],GL[[#This Row],[Lookup line]],TB_curr[[#Headers],[#Data],[Final balance]]),0)</f>
        <v>0</v>
      </c>
      <c r="I185" s="1089">
        <f>ROUND(SUMIF(TB_prev[[#Headers],[#Data],[Lookup_line]],GL[[#This Row],[Lookup line]],TB_prev[[#Headers],[#Data],[Final balance]]),0)</f>
        <v>0</v>
      </c>
    </row>
    <row r="186" spans="1:9" s="174" customFormat="1" ht="12" customHeight="1" x14ac:dyDescent="0.25">
      <c r="A186" s="764" t="s">
        <v>2107</v>
      </c>
      <c r="B186" s="1088" t="s">
        <v>1963</v>
      </c>
      <c r="C186" s="1082" t="str">
        <f t="shared" si="2"/>
        <v/>
      </c>
      <c r="D186" s="230" t="s">
        <v>896</v>
      </c>
      <c r="E186" s="1082" t="s">
        <v>1883</v>
      </c>
      <c r="F186" s="1082" t="str">
        <f>GL[[#This Row],[Line]]&amp;GL[[#This Row],[B/P]]</f>
        <v>42BS</v>
      </c>
      <c r="G186" s="1081" t="str">
        <f>GL[[#This Row],[Account]]&amp;GL[[#This Row],[Line]]</f>
        <v>36742</v>
      </c>
      <c r="H186" s="1089">
        <f>ROUND(SUMIF(TB_curr[[#Headers],[#Data],[Lookup_line]],GL[[#This Row],[Lookup line]],TB_curr[[#Headers],[#Data],[Final balance]]),0)</f>
        <v>0</v>
      </c>
      <c r="I186" s="1089">
        <f>ROUND(SUMIF(TB_prev[[#Headers],[#Data],[Lookup_line]],GL[[#This Row],[Lookup line]],TB_prev[[#Headers],[#Data],[Final balance]]),0)</f>
        <v>0</v>
      </c>
    </row>
    <row r="187" spans="1:9" s="174" customFormat="1" ht="12" customHeight="1" x14ac:dyDescent="0.2">
      <c r="A187" s="764" t="s">
        <v>2107</v>
      </c>
      <c r="B187" s="1088" t="s">
        <v>1962</v>
      </c>
      <c r="C187" s="1082" t="str">
        <f t="shared" si="2"/>
        <v/>
      </c>
      <c r="D187" s="230" t="s">
        <v>896</v>
      </c>
      <c r="E187" s="1082" t="s">
        <v>1883</v>
      </c>
      <c r="F187" s="1082" t="str">
        <f>GL[[#This Row],[Line]]&amp;GL[[#This Row],[B/P]]</f>
        <v>42BS</v>
      </c>
      <c r="G187" s="1084" t="str">
        <f>GL[[#This Row],[Account]]&amp;GL[[#This Row],[Line]]</f>
        <v>36842</v>
      </c>
      <c r="H187" s="1083">
        <f>ROUND(SUMIF(TB_curr[[#Headers],[#Data],[Lookup_line]],GL[[#This Row],[Lookup line]],TB_curr[[#Headers],[#Data],[Final balance]]),0)</f>
        <v>0</v>
      </c>
      <c r="I187" s="1083">
        <f>ROUND(SUMIF(TB_prev[[#Headers],[#Data],[Lookup_line]],GL[[#This Row],[Lookup line]],TB_prev[[#Headers],[#Data],[Final balance]]),0)</f>
        <v>0</v>
      </c>
    </row>
    <row r="188" spans="1:9" s="174" customFormat="1" ht="12" customHeight="1" x14ac:dyDescent="0.25">
      <c r="A188" s="764"/>
      <c r="B188" s="1086" t="s">
        <v>1886</v>
      </c>
      <c r="C188" s="1085" t="str">
        <f t="shared" si="2"/>
        <v>371</v>
      </c>
      <c r="D188" s="230"/>
      <c r="E188" s="1082" t="s">
        <v>1883</v>
      </c>
      <c r="F188" s="1082" t="str">
        <f>GL[[#This Row],[Line]]&amp;GL[[#This Row],[B/P]]</f>
        <v>BS</v>
      </c>
      <c r="G188" s="1081" t="str">
        <f>GL[[#This Row],[Account]]&amp;GL[[#This Row],[Line]]</f>
        <v>subtotal</v>
      </c>
      <c r="H188" s="1089">
        <f>ROUND(SUMIF(TB_curr[[#Headers],[#Data],[Lookup_line]],GL[[#This Row],[Lookup line]],TB_curr[[#Headers],[#Data],[Final balance]]),0)</f>
        <v>0</v>
      </c>
      <c r="I188" s="1089">
        <f>ROUND(SUMIF(TB_prev[[#Headers],[#Data],[Lookup_line]],GL[[#This Row],[Lookup line]],TB_prev[[#Headers],[#Data],[Final balance]]),0)</f>
        <v>0</v>
      </c>
    </row>
    <row r="189" spans="1:9" s="174" customFormat="1" ht="12" customHeight="1" x14ac:dyDescent="0.25">
      <c r="A189" s="764" t="s">
        <v>2083</v>
      </c>
      <c r="B189" s="1088" t="s">
        <v>1961</v>
      </c>
      <c r="C189" s="1082" t="str">
        <f t="shared" si="2"/>
        <v/>
      </c>
      <c r="D189" s="230" t="s">
        <v>818</v>
      </c>
      <c r="E189" s="1082" t="s">
        <v>1883</v>
      </c>
      <c r="F189" s="1082" t="str">
        <f>GL[[#This Row],[Line]]&amp;GL[[#This Row],[B/P]]</f>
        <v>16BS</v>
      </c>
      <c r="G189" s="1081" t="str">
        <f>GL[[#This Row],[Account]]&amp;GL[[#This Row],[Line]]</f>
        <v>37116</v>
      </c>
      <c r="H189" s="1089">
        <f>ROUND(SUMIF(TB_curr[[#Headers],[#Data],[Lookup_line]],GL[[#This Row],[Lookup line]],TB_curr[[#Headers],[#Data],[Final balance]]),0)</f>
        <v>0</v>
      </c>
      <c r="I189" s="1089">
        <f>ROUND(SUMIF(TB_prev[[#Headers],[#Data],[Lookup_line]],GL[[#This Row],[Lookup line]],TB_prev[[#Headers],[#Data],[Final balance]]),0)</f>
        <v>0</v>
      </c>
    </row>
    <row r="190" spans="1:9" s="174" customFormat="1" ht="12" customHeight="1" x14ac:dyDescent="0.25">
      <c r="A190" s="764" t="s">
        <v>2087</v>
      </c>
      <c r="B190" s="1088" t="s">
        <v>1961</v>
      </c>
      <c r="C190" s="1082" t="str">
        <f t="shared" si="2"/>
        <v/>
      </c>
      <c r="D190" s="230" t="s">
        <v>830</v>
      </c>
      <c r="E190" s="1082" t="s">
        <v>1883</v>
      </c>
      <c r="F190" s="1082" t="str">
        <f>GL[[#This Row],[Line]]&amp;GL[[#This Row],[B/P]]</f>
        <v>20BS</v>
      </c>
      <c r="G190" s="1081" t="str">
        <f>GL[[#This Row],[Account]]&amp;GL[[#This Row],[Line]]</f>
        <v>37120</v>
      </c>
      <c r="H190" s="1089">
        <f>ROUND(SUMIF(TB_curr[[#Headers],[#Data],[Lookup_line]],GL[[#This Row],[Lookup line]],TB_curr[[#Headers],[#Data],[Final balance]]),0)</f>
        <v>0</v>
      </c>
      <c r="I190" s="1089">
        <f>ROUND(SUMIF(TB_prev[[#Headers],[#Data],[Lookup_line]],GL[[#This Row],[Lookup line]],TB_prev[[#Headers],[#Data],[Final balance]]),0)</f>
        <v>0</v>
      </c>
    </row>
    <row r="191" spans="1:9" s="174" customFormat="1" ht="12" customHeight="1" x14ac:dyDescent="0.2">
      <c r="A191" s="764"/>
      <c r="B191" s="1086" t="s">
        <v>1886</v>
      </c>
      <c r="C191" s="1085" t="str">
        <f t="shared" si="2"/>
        <v>372</v>
      </c>
      <c r="D191" s="230"/>
      <c r="E191" s="1082" t="s">
        <v>1883</v>
      </c>
      <c r="F191" s="1082" t="str">
        <f>GL[[#This Row],[Line]]&amp;GL[[#This Row],[B/P]]</f>
        <v>BS</v>
      </c>
      <c r="G191" s="1084" t="str">
        <f>GL[[#This Row],[Account]]&amp;GL[[#This Row],[Line]]</f>
        <v>subtotal</v>
      </c>
      <c r="H191" s="1083">
        <f>ROUND(SUMIF(TB_curr[[#Headers],[#Data],[Lookup_line]],GL[[#This Row],[Lookup line]],TB_curr[[#Headers],[#Data],[Final balance]]),0)</f>
        <v>0</v>
      </c>
      <c r="I191" s="1083">
        <f>ROUND(SUMIF(TB_prev[[#Headers],[#Data],[Lookup_line]],GL[[#This Row],[Lookup line]],TB_prev[[#Headers],[#Data],[Final balance]]),0)</f>
        <v>0</v>
      </c>
    </row>
    <row r="192" spans="1:9" s="174" customFormat="1" ht="12" customHeight="1" x14ac:dyDescent="0.25">
      <c r="A192" s="764" t="s">
        <v>2101</v>
      </c>
      <c r="B192" s="1088" t="s">
        <v>1960</v>
      </c>
      <c r="C192" s="1082" t="str">
        <f t="shared" si="2"/>
        <v/>
      </c>
      <c r="D192" s="230" t="s">
        <v>875</v>
      </c>
      <c r="E192" s="1082" t="s">
        <v>1883</v>
      </c>
      <c r="F192" s="1082" t="str">
        <f>GL[[#This Row],[Line]]&amp;GL[[#This Row],[B/P]]</f>
        <v>35BS</v>
      </c>
      <c r="G192" s="1081" t="str">
        <f>GL[[#This Row],[Account]]&amp;GL[[#This Row],[Line]]</f>
        <v>37235</v>
      </c>
      <c r="H192" s="1089">
        <f>ROUND(SUMIF(TB_curr[[#Headers],[#Data],[Lookup_line]],GL[[#This Row],[Lookup line]],TB_curr[[#Headers],[#Data],[Final balance]]),0)</f>
        <v>0</v>
      </c>
      <c r="I192" s="1089">
        <f>ROUND(SUMIF(TB_prev[[#Headers],[#Data],[Lookup_line]],GL[[#This Row],[Lookup line]],TB_prev[[#Headers],[#Data],[Final balance]]),0)</f>
        <v>0</v>
      </c>
    </row>
    <row r="193" spans="1:9" s="174" customFormat="1" ht="12" customHeight="1" x14ac:dyDescent="0.25">
      <c r="A193" s="764" t="s">
        <v>2107</v>
      </c>
      <c r="B193" s="1088" t="s">
        <v>1960</v>
      </c>
      <c r="C193" s="1082" t="str">
        <f t="shared" si="2"/>
        <v/>
      </c>
      <c r="D193" s="230" t="s">
        <v>896</v>
      </c>
      <c r="E193" s="1082" t="s">
        <v>1883</v>
      </c>
      <c r="F193" s="1082" t="str">
        <f>GL[[#This Row],[Line]]&amp;GL[[#This Row],[B/P]]</f>
        <v>42BS</v>
      </c>
      <c r="G193" s="1081" t="str">
        <f>GL[[#This Row],[Account]]&amp;GL[[#This Row],[Line]]</f>
        <v>37242</v>
      </c>
      <c r="H193" s="1089">
        <f>ROUND(SUMIF(TB_curr[[#Headers],[#Data],[Lookup_line]],GL[[#This Row],[Lookup line]],TB_curr[[#Headers],[#Data],[Final balance]]),0)</f>
        <v>0</v>
      </c>
      <c r="I193" s="1089">
        <f>ROUND(SUMIF(TB_prev[[#Headers],[#Data],[Lookup_line]],GL[[#This Row],[Lookup line]],TB_prev[[#Headers],[#Data],[Final balance]]),0)</f>
        <v>0</v>
      </c>
    </row>
    <row r="194" spans="1:9" s="174" customFormat="1" ht="12" customHeight="1" x14ac:dyDescent="0.25">
      <c r="A194" s="764"/>
      <c r="B194" s="1086" t="s">
        <v>1886</v>
      </c>
      <c r="C194" s="1085" t="str">
        <f t="shared" si="2"/>
        <v>374</v>
      </c>
      <c r="D194" s="230"/>
      <c r="E194" s="1082" t="s">
        <v>1883</v>
      </c>
      <c r="F194" s="1082" t="str">
        <f>GL[[#This Row],[Line]]&amp;GL[[#This Row],[B/P]]</f>
        <v>BS</v>
      </c>
      <c r="G194" s="1081" t="str">
        <f>GL[[#This Row],[Account]]&amp;GL[[#This Row],[Line]]</f>
        <v>subtotal</v>
      </c>
      <c r="H194" s="1089">
        <f>ROUND(SUMIF(TB_curr[[#Headers],[#Data],[Lookup_line]],GL[[#This Row],[Lookup line]],TB_curr[[#Headers],[#Data],[Final balance]]),0)</f>
        <v>0</v>
      </c>
      <c r="I194" s="1089">
        <f>ROUND(SUMIF(TB_prev[[#Headers],[#Data],[Lookup_line]],GL[[#This Row],[Lookup line]],TB_prev[[#Headers],[#Data],[Final balance]]),0)</f>
        <v>0</v>
      </c>
    </row>
    <row r="195" spans="1:9" s="174" customFormat="1" ht="12" customHeight="1" x14ac:dyDescent="0.25">
      <c r="A195" s="764" t="s">
        <v>2083</v>
      </c>
      <c r="B195" s="1088" t="s">
        <v>1959</v>
      </c>
      <c r="C195" s="1082" t="str">
        <f t="shared" si="2"/>
        <v/>
      </c>
      <c r="D195" s="230" t="s">
        <v>818</v>
      </c>
      <c r="E195" s="1082" t="s">
        <v>1883</v>
      </c>
      <c r="F195" s="1082" t="str">
        <f>GL[[#This Row],[Line]]&amp;GL[[#This Row],[B/P]]</f>
        <v>16BS</v>
      </c>
      <c r="G195" s="1081" t="str">
        <f>GL[[#This Row],[Account]]&amp;GL[[#This Row],[Line]]</f>
        <v>37416</v>
      </c>
      <c r="H195" s="1087">
        <f>ROUND(SUMIF(TB_curr[[#Headers],[#Data],[Lookup_line]],GL[[#This Row],[Lookup line]],TB_curr[[#Headers],[#Data],[Final balance]]),0)</f>
        <v>0</v>
      </c>
      <c r="I195" s="1087">
        <f>ROUND(SUMIF(TB_prev[[#Headers],[#Data],[Lookup_line]],GL[[#This Row],[Lookup line]],TB_prev[[#Headers],[#Data],[Final balance]]),0)</f>
        <v>0</v>
      </c>
    </row>
    <row r="196" spans="1:9" s="174" customFormat="1" ht="12" customHeight="1" x14ac:dyDescent="0.25">
      <c r="A196" s="764" t="s">
        <v>2087</v>
      </c>
      <c r="B196" s="1088" t="s">
        <v>1959</v>
      </c>
      <c r="C196" s="1082" t="str">
        <f t="shared" si="2"/>
        <v/>
      </c>
      <c r="D196" s="230" t="s">
        <v>830</v>
      </c>
      <c r="E196" s="1082" t="s">
        <v>1883</v>
      </c>
      <c r="F196" s="1082" t="str">
        <f>GL[[#This Row],[Line]]&amp;GL[[#This Row],[B/P]]</f>
        <v>20BS</v>
      </c>
      <c r="G196" s="1081" t="str">
        <f>GL[[#This Row],[Account]]&amp;GL[[#This Row],[Line]]</f>
        <v>37420</v>
      </c>
      <c r="H196" s="1087">
        <f>ROUND(SUMIF(TB_curr[[#Headers],[#Data],[Lookup_line]],GL[[#This Row],[Lookup line]],TB_curr[[#Headers],[#Data],[Final balance]]),0)</f>
        <v>0</v>
      </c>
      <c r="I196" s="1087">
        <f>ROUND(SUMIF(TB_prev[[#Headers],[#Data],[Lookup_line]],GL[[#This Row],[Lookup line]],TB_prev[[#Headers],[#Data],[Final balance]]),0)</f>
        <v>0</v>
      </c>
    </row>
    <row r="197" spans="1:9" s="174" customFormat="1" ht="12" customHeight="1" x14ac:dyDescent="0.2">
      <c r="A197" s="764"/>
      <c r="B197" s="1086" t="s">
        <v>1886</v>
      </c>
      <c r="C197" s="1085" t="str">
        <f t="shared" ref="C197:C260" si="3">IF(B197="subtotal",B198,"")</f>
        <v>375</v>
      </c>
      <c r="D197" s="230"/>
      <c r="E197" s="1082" t="s">
        <v>1883</v>
      </c>
      <c r="F197" s="1082" t="str">
        <f>GL[[#This Row],[Line]]&amp;GL[[#This Row],[B/P]]</f>
        <v>BS</v>
      </c>
      <c r="G197" s="1084" t="str">
        <f>GL[[#This Row],[Account]]&amp;GL[[#This Row],[Line]]</f>
        <v>subtotal</v>
      </c>
      <c r="H197" s="1083">
        <f>ROUND(SUMIF(TB_curr[[#Headers],[#Data],[Lookup_line]],GL[[#This Row],[Lookup line]],TB_curr[[#Headers],[#Data],[Final balance]]),0)</f>
        <v>0</v>
      </c>
      <c r="I197" s="1083">
        <f>ROUND(SUMIF(TB_prev[[#Headers],[#Data],[Lookup_line]],GL[[#This Row],[Lookup line]],TB_prev[[#Headers],[#Data],[Final balance]]),0)</f>
        <v>0</v>
      </c>
    </row>
    <row r="198" spans="1:9" s="174" customFormat="1" ht="12" customHeight="1" x14ac:dyDescent="0.25">
      <c r="A198" s="764" t="s">
        <v>2083</v>
      </c>
      <c r="B198" s="1088" t="s">
        <v>1958</v>
      </c>
      <c r="C198" s="1082" t="str">
        <f t="shared" si="3"/>
        <v/>
      </c>
      <c r="D198" s="230" t="s">
        <v>818</v>
      </c>
      <c r="E198" s="1082" t="s">
        <v>1883</v>
      </c>
      <c r="F198" s="1082" t="str">
        <f>GL[[#This Row],[Line]]&amp;GL[[#This Row],[B/P]]</f>
        <v>16BS</v>
      </c>
      <c r="G198" s="1081" t="str">
        <f>GL[[#This Row],[Account]]&amp;GL[[#This Row],[Line]]</f>
        <v>37516</v>
      </c>
      <c r="H198" s="1087">
        <f>ROUND(SUMIF(TB_curr[[#Headers],[#Data],[Lookup_line]],GL[[#This Row],[Lookup line]],TB_curr[[#Headers],[#Data],[Final balance]]),0)</f>
        <v>0</v>
      </c>
      <c r="I198" s="1087">
        <f>ROUND(SUMIF(TB_prev[[#Headers],[#Data],[Lookup_line]],GL[[#This Row],[Lookup line]],TB_prev[[#Headers],[#Data],[Final balance]]),0)</f>
        <v>0</v>
      </c>
    </row>
    <row r="199" spans="1:9" s="174" customFormat="1" ht="12" customHeight="1" x14ac:dyDescent="0.25">
      <c r="A199" s="764" t="s">
        <v>2087</v>
      </c>
      <c r="B199" s="1088" t="s">
        <v>1958</v>
      </c>
      <c r="C199" s="1082" t="str">
        <f t="shared" si="3"/>
        <v/>
      </c>
      <c r="D199" s="230" t="s">
        <v>830</v>
      </c>
      <c r="E199" s="1082" t="s">
        <v>1883</v>
      </c>
      <c r="F199" s="1082" t="str">
        <f>GL[[#This Row],[Line]]&amp;GL[[#This Row],[B/P]]</f>
        <v>20BS</v>
      </c>
      <c r="G199" s="1081" t="str">
        <f>GL[[#This Row],[Account]]&amp;GL[[#This Row],[Line]]</f>
        <v>37520</v>
      </c>
      <c r="H199" s="1087">
        <f>ROUND(SUMIF(TB_curr[[#Headers],[#Data],[Lookup_line]],GL[[#This Row],[Lookup line]],TB_curr[[#Headers],[#Data],[Final balance]]),0)</f>
        <v>0</v>
      </c>
      <c r="I199" s="1087">
        <f>ROUND(SUMIF(TB_prev[[#Headers],[#Data],[Lookup_line]],GL[[#This Row],[Lookup line]],TB_prev[[#Headers],[#Data],[Final balance]]),0)</f>
        <v>0</v>
      </c>
    </row>
    <row r="200" spans="1:9" s="174" customFormat="1" ht="12" customHeight="1" x14ac:dyDescent="0.2">
      <c r="A200" s="764"/>
      <c r="B200" s="1086" t="s">
        <v>1886</v>
      </c>
      <c r="C200" s="1085" t="str">
        <f t="shared" si="3"/>
        <v>378</v>
      </c>
      <c r="D200" s="230"/>
      <c r="E200" s="1082" t="s">
        <v>1883</v>
      </c>
      <c r="F200" s="1082" t="str">
        <f>GL[[#This Row],[Line]]&amp;GL[[#This Row],[B/P]]</f>
        <v>BS</v>
      </c>
      <c r="G200" s="1084" t="str">
        <f>GL[[#This Row],[Account]]&amp;GL[[#This Row],[Line]]</f>
        <v>subtotal</v>
      </c>
      <c r="H200" s="1083">
        <f>ROUND(SUMIF(TB_curr[[#Headers],[#Data],[Lookup_line]],GL[[#This Row],[Lookup line]],TB_curr[[#Headers],[#Data],[Final balance]]),0)</f>
        <v>0</v>
      </c>
      <c r="I200" s="1083">
        <f>ROUND(SUMIF(TB_prev[[#Headers],[#Data],[Lookup_line]],GL[[#This Row],[Lookup line]],TB_prev[[#Headers],[#Data],[Final balance]]),0)</f>
        <v>0</v>
      </c>
    </row>
    <row r="201" spans="1:9" s="174" customFormat="1" ht="12" customHeight="1" x14ac:dyDescent="0.25">
      <c r="A201" s="764" t="s">
        <v>2083</v>
      </c>
      <c r="B201" s="1088" t="s">
        <v>1957</v>
      </c>
      <c r="C201" s="1082" t="str">
        <f t="shared" si="3"/>
        <v/>
      </c>
      <c r="D201" s="230" t="s">
        <v>818</v>
      </c>
      <c r="E201" s="1082" t="s">
        <v>1883</v>
      </c>
      <c r="F201" s="1082" t="str">
        <f>GL[[#This Row],[Line]]&amp;GL[[#This Row],[B/P]]</f>
        <v>16BS</v>
      </c>
      <c r="G201" s="1081" t="str">
        <f>GL[[#This Row],[Account]]&amp;GL[[#This Row],[Line]]</f>
        <v>37816</v>
      </c>
      <c r="H201" s="1087">
        <f>ROUND(SUMIF(TB_curr[[#Headers],[#Data],[Lookup_line]],GL[[#This Row],[Lookup line]],TB_curr[[#Headers],[#Data],[Final balance]]),0)</f>
        <v>0</v>
      </c>
      <c r="I201" s="1087">
        <f>ROUND(SUMIF(TB_prev[[#Headers],[#Data],[Lookup_line]],GL[[#This Row],[Lookup line]],TB_prev[[#Headers],[#Data],[Final balance]]),0)</f>
        <v>0</v>
      </c>
    </row>
    <row r="202" spans="1:9" s="174" customFormat="1" ht="12" customHeight="1" x14ac:dyDescent="0.25">
      <c r="A202" s="764" t="s">
        <v>2087</v>
      </c>
      <c r="B202" s="1088" t="s">
        <v>1957</v>
      </c>
      <c r="C202" s="1082" t="str">
        <f t="shared" si="3"/>
        <v/>
      </c>
      <c r="D202" s="230" t="s">
        <v>830</v>
      </c>
      <c r="E202" s="1082" t="s">
        <v>1883</v>
      </c>
      <c r="F202" s="1082" t="str">
        <f>GL[[#This Row],[Line]]&amp;GL[[#This Row],[B/P]]</f>
        <v>20BS</v>
      </c>
      <c r="G202" s="1081" t="str">
        <f>GL[[#This Row],[Account]]&amp;GL[[#This Row],[Line]]</f>
        <v>37820</v>
      </c>
      <c r="H202" s="1087">
        <f>ROUND(SUMIF(TB_curr[[#Headers],[#Data],[Lookup_line]],GL[[#This Row],[Lookup line]],TB_curr[[#Headers],[#Data],[Final balance]]),0)</f>
        <v>0</v>
      </c>
      <c r="I202" s="1087">
        <f>ROUND(SUMIF(TB_prev[[#Headers],[#Data],[Lookup_line]],GL[[#This Row],[Lookup line]],TB_prev[[#Headers],[#Data],[Final balance]]),0)</f>
        <v>0</v>
      </c>
    </row>
    <row r="203" spans="1:9" s="174" customFormat="1" ht="12" customHeight="1" x14ac:dyDescent="0.25">
      <c r="A203" s="764" t="s">
        <v>2107</v>
      </c>
      <c r="B203" s="1088" t="s">
        <v>1840</v>
      </c>
      <c r="C203" s="1082" t="str">
        <f t="shared" si="3"/>
        <v/>
      </c>
      <c r="D203" s="230" t="s">
        <v>896</v>
      </c>
      <c r="E203" s="1082" t="s">
        <v>1883</v>
      </c>
      <c r="F203" s="1082" t="str">
        <f>GL[[#This Row],[Line]]&amp;GL[[#This Row],[B/P]]</f>
        <v>42BS</v>
      </c>
      <c r="G203" s="1081" t="str">
        <f>GL[[#This Row],[Account]]&amp;GL[[#This Row],[Line]]</f>
        <v>37942</v>
      </c>
      <c r="H203" s="1087">
        <f>ROUND(SUMIF(TB_curr[[#Headers],[#Data],[Lookup_line]],GL[[#This Row],[Lookup line]],TB_curr[[#Headers],[#Data],[Final balance]]),0)</f>
        <v>0</v>
      </c>
      <c r="I203" s="1087">
        <f>ROUND(SUMIF(TB_prev[[#Headers],[#Data],[Lookup_line]],GL[[#This Row],[Lookup line]],TB_prev[[#Headers],[#Data],[Final balance]]),0)</f>
        <v>0</v>
      </c>
    </row>
    <row r="204" spans="1:9" s="174" customFormat="1" ht="12" customHeight="1" x14ac:dyDescent="0.25">
      <c r="A204" s="764"/>
      <c r="B204" s="1086" t="s">
        <v>1886</v>
      </c>
      <c r="C204" s="1085" t="str">
        <f t="shared" si="3"/>
        <v>381</v>
      </c>
      <c r="D204" s="230"/>
      <c r="E204" s="1082" t="s">
        <v>1883</v>
      </c>
      <c r="F204" s="1082" t="str">
        <f>GL[[#This Row],[Line]]&amp;GL[[#This Row],[B/P]]</f>
        <v>BS</v>
      </c>
      <c r="G204" s="1081" t="str">
        <f>GL[[#This Row],[Account]]&amp;GL[[#This Row],[Line]]</f>
        <v>subtotal</v>
      </c>
      <c r="H204" s="1087">
        <f>ROUND(SUMIF(TB_curr[[#Headers],[#Data],[Lookup_line]],GL[[#This Row],[Lookup line]],TB_curr[[#Headers],[#Data],[Final balance]]),0)</f>
        <v>0</v>
      </c>
      <c r="I204" s="1087">
        <f>ROUND(SUMIF(TB_prev[[#Headers],[#Data],[Lookup_line]],GL[[#This Row],[Lookup line]],TB_prev[[#Headers],[#Data],[Final balance]]),0)</f>
        <v>0</v>
      </c>
    </row>
    <row r="205" spans="1:9" s="174" customFormat="1" ht="12" customHeight="1" x14ac:dyDescent="0.2">
      <c r="A205" s="764" t="s">
        <v>2083</v>
      </c>
      <c r="B205" s="1088" t="s">
        <v>1841</v>
      </c>
      <c r="C205" s="1082" t="str">
        <f t="shared" si="3"/>
        <v/>
      </c>
      <c r="D205" s="230" t="s">
        <v>818</v>
      </c>
      <c r="E205" s="1082" t="s">
        <v>1883</v>
      </c>
      <c r="F205" s="1082" t="str">
        <f>GL[[#This Row],[Line]]&amp;GL[[#This Row],[B/P]]</f>
        <v>16BS</v>
      </c>
      <c r="G205" s="1084" t="str">
        <f>GL[[#This Row],[Account]]&amp;GL[[#This Row],[Line]]</f>
        <v>38116</v>
      </c>
      <c r="H205" s="1083">
        <f>ROUND(SUMIF(TB_curr[[#Headers],[#Data],[Lookup_line]],GL[[#This Row],[Lookup line]],TB_curr[[#Headers],[#Data],[Final balance]]),0)</f>
        <v>0</v>
      </c>
      <c r="I205" s="1083">
        <f>ROUND(SUMIF(TB_prev[[#Headers],[#Data],[Lookup_line]],GL[[#This Row],[Lookup line]],TB_prev[[#Headers],[#Data],[Final balance]]),0)</f>
        <v>0</v>
      </c>
    </row>
    <row r="206" spans="1:9" s="196" customFormat="1" ht="12" customHeight="1" x14ac:dyDescent="0.25">
      <c r="A206" s="764" t="s">
        <v>2087</v>
      </c>
      <c r="B206" s="1088" t="s">
        <v>1841</v>
      </c>
      <c r="C206" s="1082" t="str">
        <f t="shared" si="3"/>
        <v/>
      </c>
      <c r="D206" s="230" t="s">
        <v>830</v>
      </c>
      <c r="E206" s="1082" t="s">
        <v>1883</v>
      </c>
      <c r="F206" s="1082" t="str">
        <f>GL[[#This Row],[Line]]&amp;GL[[#This Row],[B/P]]</f>
        <v>20BS</v>
      </c>
      <c r="G206" s="1081" t="str">
        <f>GL[[#This Row],[Account]]&amp;GL[[#This Row],[Line]]</f>
        <v>38120</v>
      </c>
      <c r="H206" s="1087">
        <f>ROUND(SUMIF(TB_curr[[#Headers],[#Data],[Lookup_line]],GL[[#This Row],[Lookup line]],TB_curr[[#Headers],[#Data],[Final balance]]),0)</f>
        <v>0</v>
      </c>
      <c r="I206" s="1087">
        <f>ROUND(SUMIF(TB_prev[[#Headers],[#Data],[Lookup_line]],GL[[#This Row],[Lookup line]],TB_prev[[#Headers],[#Data],[Final balance]]),0)</f>
        <v>0</v>
      </c>
    </row>
    <row r="207" spans="1:9" s="196" customFormat="1" ht="12" customHeight="1" x14ac:dyDescent="0.25">
      <c r="A207" s="764"/>
      <c r="B207" s="1086" t="s">
        <v>1886</v>
      </c>
      <c r="C207" s="1085" t="str">
        <f t="shared" si="3"/>
        <v>382</v>
      </c>
      <c r="D207" s="230"/>
      <c r="E207" s="1082" t="s">
        <v>1883</v>
      </c>
      <c r="F207" s="1082" t="str">
        <f>GL[[#This Row],[Line]]&amp;GL[[#This Row],[B/P]]</f>
        <v>BS</v>
      </c>
      <c r="G207" s="1081" t="str">
        <f>GL[[#This Row],[Account]]&amp;GL[[#This Row],[Line]]</f>
        <v>subtotal</v>
      </c>
      <c r="H207" s="1087">
        <f>ROUND(SUMIF(TB_curr[[#Headers],[#Data],[Lookup_line]],GL[[#This Row],[Lookup line]],TB_curr[[#Headers],[#Data],[Final balance]]),0)</f>
        <v>0</v>
      </c>
      <c r="I207" s="1087">
        <f>ROUND(SUMIF(TB_prev[[#Headers],[#Data],[Lookup_line]],GL[[#This Row],[Lookup line]],TB_prev[[#Headers],[#Data],[Final balance]]),0)</f>
        <v>0</v>
      </c>
    </row>
    <row r="208" spans="1:9" s="196" customFormat="1" ht="12" customHeight="1" x14ac:dyDescent="0.2">
      <c r="A208" s="764" t="s">
        <v>2083</v>
      </c>
      <c r="B208" s="1088" t="s">
        <v>1956</v>
      </c>
      <c r="C208" s="1082" t="str">
        <f t="shared" si="3"/>
        <v/>
      </c>
      <c r="D208" s="230" t="s">
        <v>818</v>
      </c>
      <c r="E208" s="1082" t="s">
        <v>1883</v>
      </c>
      <c r="F208" s="1082" t="str">
        <f>GL[[#This Row],[Line]]&amp;GL[[#This Row],[B/P]]</f>
        <v>16BS</v>
      </c>
      <c r="G208" s="1084" t="str">
        <f>GL[[#This Row],[Account]]&amp;GL[[#This Row],[Line]]</f>
        <v>38216</v>
      </c>
      <c r="H208" s="1083">
        <f>ROUND(SUMIF(TB_curr[[#Headers],[#Data],[Lookup_line]],GL[[#This Row],[Lookup line]],TB_curr[[#Headers],[#Data],[Final balance]]),0)</f>
        <v>0</v>
      </c>
      <c r="I208" s="1083">
        <f>ROUND(SUMIF(TB_prev[[#Headers],[#Data],[Lookup_line]],GL[[#This Row],[Lookup line]],TB_prev[[#Headers],[#Data],[Final balance]]),0)</f>
        <v>0</v>
      </c>
    </row>
    <row r="209" spans="1:9" s="196" customFormat="1" ht="12" customHeight="1" x14ac:dyDescent="0.25">
      <c r="A209" s="764" t="s">
        <v>2087</v>
      </c>
      <c r="B209" s="1088" t="s">
        <v>1956</v>
      </c>
      <c r="C209" s="1082" t="str">
        <f t="shared" si="3"/>
        <v/>
      </c>
      <c r="D209" s="230" t="s">
        <v>830</v>
      </c>
      <c r="E209" s="1082" t="s">
        <v>1883</v>
      </c>
      <c r="F209" s="1082" t="str">
        <f>GL[[#This Row],[Line]]&amp;GL[[#This Row],[B/P]]</f>
        <v>20BS</v>
      </c>
      <c r="G209" s="1081" t="str">
        <f>GL[[#This Row],[Account]]&amp;GL[[#This Row],[Line]]</f>
        <v>38220</v>
      </c>
      <c r="H209" s="1087">
        <f>ROUND(SUMIF(TB_curr[[#Headers],[#Data],[Lookup_line]],GL[[#This Row],[Lookup line]],TB_curr[[#Headers],[#Data],[Final balance]]),0)</f>
        <v>0</v>
      </c>
      <c r="I209" s="1087">
        <f>ROUND(SUMIF(TB_prev[[#Headers],[#Data],[Lookup_line]],GL[[#This Row],[Lookup line]],TB_prev[[#Headers],[#Data],[Final balance]]),0)</f>
        <v>0</v>
      </c>
    </row>
    <row r="210" spans="1:9" s="196" customFormat="1" ht="12" customHeight="1" x14ac:dyDescent="0.25">
      <c r="A210" s="764"/>
      <c r="B210" s="1086" t="s">
        <v>1886</v>
      </c>
      <c r="C210" s="1085" t="str">
        <f t="shared" si="3"/>
        <v>383</v>
      </c>
      <c r="D210" s="230"/>
      <c r="E210" s="1082" t="s">
        <v>1883</v>
      </c>
      <c r="F210" s="1082" t="str">
        <f>GL[[#This Row],[Line]]&amp;GL[[#This Row],[B/P]]</f>
        <v>BS</v>
      </c>
      <c r="G210" s="1081" t="str">
        <f>GL[[#This Row],[Account]]&amp;GL[[#This Row],[Line]]</f>
        <v>subtotal</v>
      </c>
      <c r="H210" s="1087">
        <f>ROUND(SUMIF(TB_curr[[#Headers],[#Data],[Lookup_line]],GL[[#This Row],[Lookup line]],TB_curr[[#Headers],[#Data],[Final balance]]),0)</f>
        <v>0</v>
      </c>
      <c r="I210" s="1087">
        <f>ROUND(SUMIF(TB_prev[[#Headers],[#Data],[Lookup_line]],GL[[#This Row],[Lookup line]],TB_prev[[#Headers],[#Data],[Final balance]]),0)</f>
        <v>0</v>
      </c>
    </row>
    <row r="211" spans="1:9" s="196" customFormat="1" ht="12" customHeight="1" x14ac:dyDescent="0.2">
      <c r="A211" s="764" t="s">
        <v>2101</v>
      </c>
      <c r="B211" s="1088" t="s">
        <v>1955</v>
      </c>
      <c r="C211" s="1082" t="str">
        <f t="shared" si="3"/>
        <v/>
      </c>
      <c r="D211" s="230" t="s">
        <v>875</v>
      </c>
      <c r="E211" s="1082" t="s">
        <v>1883</v>
      </c>
      <c r="F211" s="1082" t="str">
        <f>GL[[#This Row],[Line]]&amp;GL[[#This Row],[B/P]]</f>
        <v>35BS</v>
      </c>
      <c r="G211" s="1084" t="str">
        <f>GL[[#This Row],[Account]]&amp;GL[[#This Row],[Line]]</f>
        <v>38335</v>
      </c>
      <c r="H211" s="1083">
        <f>ROUND(SUMIF(TB_curr[[#Headers],[#Data],[Lookup_line]],GL[[#This Row],[Lookup line]],TB_curr[[#Headers],[#Data],[Final balance]]),0)</f>
        <v>0</v>
      </c>
      <c r="I211" s="1083">
        <f>ROUND(SUMIF(TB_prev[[#Headers],[#Data],[Lookup_line]],GL[[#This Row],[Lookup line]],TB_prev[[#Headers],[#Data],[Final balance]]),0)</f>
        <v>0</v>
      </c>
    </row>
    <row r="212" spans="1:9" s="196" customFormat="1" ht="12" customHeight="1" x14ac:dyDescent="0.25">
      <c r="A212" s="764" t="s">
        <v>2107</v>
      </c>
      <c r="B212" s="1088" t="s">
        <v>1955</v>
      </c>
      <c r="C212" s="1082" t="str">
        <f t="shared" si="3"/>
        <v/>
      </c>
      <c r="D212" s="230" t="s">
        <v>896</v>
      </c>
      <c r="E212" s="1082" t="s">
        <v>1883</v>
      </c>
      <c r="F212" s="1082" t="str">
        <f>GL[[#This Row],[Line]]&amp;GL[[#This Row],[B/P]]</f>
        <v>42BS</v>
      </c>
      <c r="G212" s="1081" t="str">
        <f>GL[[#This Row],[Account]]&amp;GL[[#This Row],[Line]]</f>
        <v>38342</v>
      </c>
      <c r="H212" s="1087">
        <f>ROUND(SUMIF(TB_curr[[#Headers],[#Data],[Lookup_line]],GL[[#This Row],[Lookup line]],TB_curr[[#Headers],[#Data],[Final balance]]),0)</f>
        <v>0</v>
      </c>
      <c r="I212" s="1087">
        <f>ROUND(SUMIF(TB_prev[[#Headers],[#Data],[Lookup_line]],GL[[#This Row],[Lookup line]],TB_prev[[#Headers],[#Data],[Final balance]]),0)</f>
        <v>0</v>
      </c>
    </row>
    <row r="213" spans="1:9" s="174" customFormat="1" ht="12" customHeight="1" x14ac:dyDescent="0.25">
      <c r="A213" s="764"/>
      <c r="B213" s="1086" t="s">
        <v>1886</v>
      </c>
      <c r="C213" s="1085" t="str">
        <f t="shared" si="3"/>
        <v>384</v>
      </c>
      <c r="D213" s="230"/>
      <c r="E213" s="1082" t="s">
        <v>1883</v>
      </c>
      <c r="F213" s="1082" t="str">
        <f>GL[[#This Row],[Line]]&amp;GL[[#This Row],[B/P]]</f>
        <v>BS</v>
      </c>
      <c r="G213" s="1081" t="str">
        <f>GL[[#This Row],[Account]]&amp;GL[[#This Row],[Line]]</f>
        <v>subtotal</v>
      </c>
      <c r="H213" s="1087">
        <f>ROUND(SUMIF(TB_curr[[#Headers],[#Data],[Lookup_line]],GL[[#This Row],[Lookup line]],TB_curr[[#Headers],[#Data],[Final balance]]),0)</f>
        <v>0</v>
      </c>
      <c r="I213" s="1087">
        <f>ROUND(SUMIF(TB_prev[[#Headers],[#Data],[Lookup_line]],GL[[#This Row],[Lookup line]],TB_prev[[#Headers],[#Data],[Final balance]]),0)</f>
        <v>0</v>
      </c>
    </row>
    <row r="214" spans="1:9" s="174" customFormat="1" ht="12" customHeight="1" x14ac:dyDescent="0.2">
      <c r="A214" s="764" t="s">
        <v>2101</v>
      </c>
      <c r="B214" s="1088" t="s">
        <v>1842</v>
      </c>
      <c r="C214" s="1082" t="str">
        <f t="shared" si="3"/>
        <v/>
      </c>
      <c r="D214" s="230" t="s">
        <v>875</v>
      </c>
      <c r="E214" s="1082" t="s">
        <v>1883</v>
      </c>
      <c r="F214" s="1082" t="str">
        <f>GL[[#This Row],[Line]]&amp;GL[[#This Row],[B/P]]</f>
        <v>35BS</v>
      </c>
      <c r="G214" s="1084" t="str">
        <f>GL[[#This Row],[Account]]&amp;GL[[#This Row],[Line]]</f>
        <v>38435</v>
      </c>
      <c r="H214" s="1083">
        <f>ROUND(SUMIF(TB_curr[[#Headers],[#Data],[Lookup_line]],GL[[#This Row],[Lookup line]],TB_curr[[#Headers],[#Data],[Final balance]]),0)</f>
        <v>0</v>
      </c>
      <c r="I214" s="1083">
        <f>ROUND(SUMIF(TB_prev[[#Headers],[#Data],[Lookup_line]],GL[[#This Row],[Lookup line]],TB_prev[[#Headers],[#Data],[Final balance]]),0)</f>
        <v>0</v>
      </c>
    </row>
    <row r="215" spans="1:9" s="174" customFormat="1" ht="12" customHeight="1" x14ac:dyDescent="0.25">
      <c r="A215" s="764" t="s">
        <v>2107</v>
      </c>
      <c r="B215" s="1088" t="s">
        <v>1842</v>
      </c>
      <c r="C215" s="1082" t="str">
        <f t="shared" si="3"/>
        <v/>
      </c>
      <c r="D215" s="230" t="s">
        <v>896</v>
      </c>
      <c r="E215" s="1082" t="s">
        <v>1883</v>
      </c>
      <c r="F215" s="1082" t="str">
        <f>GL[[#This Row],[Line]]&amp;GL[[#This Row],[B/P]]</f>
        <v>42BS</v>
      </c>
      <c r="G215" s="1081" t="str">
        <f>GL[[#This Row],[Account]]&amp;GL[[#This Row],[Line]]</f>
        <v>38442</v>
      </c>
      <c r="H215" s="1087">
        <f>ROUND(SUMIF(TB_curr[[#Headers],[#Data],[Lookup_line]],GL[[#This Row],[Lookup line]],TB_curr[[#Headers],[#Data],[Final balance]]),0)</f>
        <v>0</v>
      </c>
      <c r="I215" s="1087">
        <f>ROUND(SUMIF(TB_prev[[#Headers],[#Data],[Lookup_line]],GL[[#This Row],[Lookup line]],TB_prev[[#Headers],[#Data],[Final balance]]),0)</f>
        <v>0</v>
      </c>
    </row>
    <row r="216" spans="1:9" s="174" customFormat="1" ht="12" customHeight="1" x14ac:dyDescent="0.25">
      <c r="A216" s="764"/>
      <c r="B216" s="1086" t="s">
        <v>1886</v>
      </c>
      <c r="C216" s="1085" t="str">
        <f t="shared" si="3"/>
        <v>385</v>
      </c>
      <c r="D216" s="230"/>
      <c r="E216" s="1082" t="s">
        <v>1883</v>
      </c>
      <c r="F216" s="1082" t="str">
        <f>GL[[#This Row],[Line]]&amp;GL[[#This Row],[B/P]]</f>
        <v>BS</v>
      </c>
      <c r="G216" s="1081" t="str">
        <f>GL[[#This Row],[Account]]&amp;GL[[#This Row],[Line]]</f>
        <v>subtotal</v>
      </c>
      <c r="H216" s="1087">
        <f>ROUND(SUMIF(TB_curr[[#Headers],[#Data],[Lookup_line]],GL[[#This Row],[Lookup line]],TB_curr[[#Headers],[#Data],[Final balance]]),0)</f>
        <v>0</v>
      </c>
      <c r="I216" s="1087">
        <f>ROUND(SUMIF(TB_prev[[#Headers],[#Data],[Lookup_line]],GL[[#This Row],[Lookup line]],TB_prev[[#Headers],[#Data],[Final balance]]),0)</f>
        <v>0</v>
      </c>
    </row>
    <row r="217" spans="1:9" s="174" customFormat="1" ht="12" customHeight="1" x14ac:dyDescent="0.2">
      <c r="A217" s="764" t="s">
        <v>2083</v>
      </c>
      <c r="B217" s="1088" t="s">
        <v>1843</v>
      </c>
      <c r="C217" s="1082" t="str">
        <f t="shared" si="3"/>
        <v/>
      </c>
      <c r="D217" s="230" t="s">
        <v>818</v>
      </c>
      <c r="E217" s="1082" t="s">
        <v>1883</v>
      </c>
      <c r="F217" s="1082" t="str">
        <f>GL[[#This Row],[Line]]&amp;GL[[#This Row],[B/P]]</f>
        <v>16BS</v>
      </c>
      <c r="G217" s="1084" t="str">
        <f>GL[[#This Row],[Account]]&amp;GL[[#This Row],[Line]]</f>
        <v>38516</v>
      </c>
      <c r="H217" s="1083">
        <f>ROUND(SUMIF(TB_curr[[#Headers],[#Data],[Lookup_line]],GL[[#This Row],[Lookup line]],TB_curr[[#Headers],[#Data],[Final balance]]),0)</f>
        <v>0</v>
      </c>
      <c r="I217" s="1083">
        <f>ROUND(SUMIF(TB_prev[[#Headers],[#Data],[Lookup_line]],GL[[#This Row],[Lookup line]],TB_prev[[#Headers],[#Data],[Final balance]]),0)</f>
        <v>0</v>
      </c>
    </row>
    <row r="218" spans="1:9" s="174" customFormat="1" ht="12" customHeight="1" x14ac:dyDescent="0.25">
      <c r="A218" s="764" t="s">
        <v>2087</v>
      </c>
      <c r="B218" s="1088" t="s">
        <v>1843</v>
      </c>
      <c r="C218" s="1082" t="str">
        <f t="shared" si="3"/>
        <v/>
      </c>
      <c r="D218" s="230" t="s">
        <v>830</v>
      </c>
      <c r="E218" s="1082" t="s">
        <v>1883</v>
      </c>
      <c r="F218" s="1082" t="str">
        <f>GL[[#This Row],[Line]]&amp;GL[[#This Row],[B/P]]</f>
        <v>20BS</v>
      </c>
      <c r="G218" s="1081" t="str">
        <f>GL[[#This Row],[Account]]&amp;GL[[#This Row],[Line]]</f>
        <v>38520</v>
      </c>
      <c r="H218" s="1087">
        <f>ROUND(SUMIF(TB_curr[[#Headers],[#Data],[Lookup_line]],GL[[#This Row],[Lookup line]],TB_curr[[#Headers],[#Data],[Final balance]]),0)</f>
        <v>0</v>
      </c>
      <c r="I218" s="1087">
        <f>ROUND(SUMIF(TB_prev[[#Headers],[#Data],[Lookup_line]],GL[[#This Row],[Lookup line]],TB_prev[[#Headers],[#Data],[Final balance]]),0)</f>
        <v>0</v>
      </c>
    </row>
    <row r="219" spans="1:9" s="174" customFormat="1" ht="12" customHeight="1" x14ac:dyDescent="0.25">
      <c r="A219" s="764"/>
      <c r="B219" s="1086" t="s">
        <v>1886</v>
      </c>
      <c r="C219" s="1085" t="str">
        <f t="shared" si="3"/>
        <v>391</v>
      </c>
      <c r="D219" s="230"/>
      <c r="E219" s="1082" t="s">
        <v>1883</v>
      </c>
      <c r="F219" s="1082" t="str">
        <f>GL[[#This Row],[Line]]&amp;GL[[#This Row],[B/P]]</f>
        <v>BS</v>
      </c>
      <c r="G219" s="1081" t="str">
        <f>GL[[#This Row],[Account]]&amp;GL[[#This Row],[Line]]</f>
        <v>subtotal</v>
      </c>
      <c r="H219" s="1087">
        <f>ROUND(SUMIF(TB_curr[[#Headers],[#Data],[Lookup_line]],GL[[#This Row],[Lookup line]],TB_curr[[#Headers],[#Data],[Final balance]]),0)</f>
        <v>0</v>
      </c>
      <c r="I219" s="1087">
        <f>ROUND(SUMIF(TB_prev[[#Headers],[#Data],[Lookup_line]],GL[[#This Row],[Lookup line]],TB_prev[[#Headers],[#Data],[Final balance]]),0)</f>
        <v>0</v>
      </c>
    </row>
    <row r="220" spans="1:9" s="174" customFormat="1" ht="12" customHeight="1" x14ac:dyDescent="0.2">
      <c r="A220" s="764" t="s">
        <v>2082</v>
      </c>
      <c r="B220" s="1088" t="s">
        <v>1844</v>
      </c>
      <c r="C220" s="1082" t="str">
        <f t="shared" si="3"/>
        <v/>
      </c>
      <c r="D220" s="230" t="s">
        <v>815</v>
      </c>
      <c r="E220" s="1082" t="s">
        <v>1883</v>
      </c>
      <c r="F220" s="1082" t="str">
        <f>GL[[#This Row],[Line]]&amp;GL[[#This Row],[B/P]]</f>
        <v>15BS</v>
      </c>
      <c r="G220" s="1084" t="str">
        <f>GL[[#This Row],[Account]]&amp;GL[[#This Row],[Line]]</f>
        <v>39115</v>
      </c>
      <c r="H220" s="1083">
        <f>ROUND(SUMIF(TB_curr[[#Headers],[#Data],[Lookup_line]],GL[[#This Row],[Lookup line]],TB_curr[[#Headers],[#Data],[Final balance]]),0)</f>
        <v>0</v>
      </c>
      <c r="I220" s="1083">
        <f>ROUND(SUMIF(TB_prev[[#Headers],[#Data],[Lookup_line]],GL[[#This Row],[Lookup line]],TB_prev[[#Headers],[#Data],[Final balance]]),0)</f>
        <v>0</v>
      </c>
    </row>
    <row r="221" spans="1:9" s="174" customFormat="1" ht="12" customHeight="1" x14ac:dyDescent="0.25">
      <c r="A221" s="764" t="s">
        <v>2083</v>
      </c>
      <c r="B221" s="1088" t="s">
        <v>1844</v>
      </c>
      <c r="C221" s="1082" t="str">
        <f t="shared" si="3"/>
        <v/>
      </c>
      <c r="D221" s="230" t="s">
        <v>818</v>
      </c>
      <c r="E221" s="1082" t="s">
        <v>1883</v>
      </c>
      <c r="F221" s="1082" t="str">
        <f>GL[[#This Row],[Line]]&amp;GL[[#This Row],[B/P]]</f>
        <v>16BS</v>
      </c>
      <c r="G221" s="1081" t="str">
        <f>GL[[#This Row],[Account]]&amp;GL[[#This Row],[Line]]</f>
        <v>39116</v>
      </c>
      <c r="H221" s="1087">
        <f>ROUND(SUMIF(TB_curr[[#Headers],[#Data],[Lookup_line]],GL[[#This Row],[Lookup line]],TB_curr[[#Headers],[#Data],[Final balance]]),0)</f>
        <v>0</v>
      </c>
      <c r="I221" s="1087">
        <f>ROUND(SUMIF(TB_prev[[#Headers],[#Data],[Lookup_line]],GL[[#This Row],[Lookup line]],TB_prev[[#Headers],[#Data],[Final balance]]),0)</f>
        <v>0</v>
      </c>
    </row>
    <row r="222" spans="1:9" s="174" customFormat="1" ht="12" customHeight="1" x14ac:dyDescent="0.25">
      <c r="A222" s="764" t="s">
        <v>2085</v>
      </c>
      <c r="B222" s="1088" t="s">
        <v>1844</v>
      </c>
      <c r="C222" s="1082" t="str">
        <f t="shared" si="3"/>
        <v/>
      </c>
      <c r="D222" s="230" t="s">
        <v>824</v>
      </c>
      <c r="E222" s="1082" t="s">
        <v>1883</v>
      </c>
      <c r="F222" s="1082" t="str">
        <f>GL[[#This Row],[Line]]&amp;GL[[#This Row],[B/P]]</f>
        <v>18BS</v>
      </c>
      <c r="G222" s="1081" t="str">
        <f>GL[[#This Row],[Account]]&amp;GL[[#This Row],[Line]]</f>
        <v>39118</v>
      </c>
      <c r="H222" s="1087">
        <f>ROUND(SUMIF(TB_curr[[#Headers],[#Data],[Lookup_line]],GL[[#This Row],[Lookup line]],TB_curr[[#Headers],[#Data],[Final balance]]),0)</f>
        <v>0</v>
      </c>
      <c r="I222" s="1087">
        <f>ROUND(SUMIF(TB_prev[[#Headers],[#Data],[Lookup_line]],GL[[#This Row],[Lookup line]],TB_prev[[#Headers],[#Data],[Final balance]]),0)</f>
        <v>0</v>
      </c>
    </row>
    <row r="223" spans="1:9" s="174" customFormat="1" ht="12" customHeight="1" x14ac:dyDescent="0.2">
      <c r="A223" s="764" t="s">
        <v>2086</v>
      </c>
      <c r="B223" s="1088" t="s">
        <v>1844</v>
      </c>
      <c r="C223" s="1082" t="str">
        <f t="shared" si="3"/>
        <v/>
      </c>
      <c r="D223" s="230" t="s">
        <v>827</v>
      </c>
      <c r="E223" s="1082" t="s">
        <v>1883</v>
      </c>
      <c r="F223" s="1082" t="str">
        <f>GL[[#This Row],[Line]]&amp;GL[[#This Row],[B/P]]</f>
        <v>19BS</v>
      </c>
      <c r="G223" s="1084" t="str">
        <f>GL[[#This Row],[Account]]&amp;GL[[#This Row],[Line]]</f>
        <v>39119</v>
      </c>
      <c r="H223" s="1083">
        <f>ROUND(SUMIF(TB_curr[[#Headers],[#Data],[Lookup_line]],GL[[#This Row],[Lookup line]],TB_curr[[#Headers],[#Data],[Final balance]]),0)</f>
        <v>0</v>
      </c>
      <c r="I223" s="1083">
        <f>ROUND(SUMIF(TB_prev[[#Headers],[#Data],[Lookup_line]],GL[[#This Row],[Lookup line]],TB_prev[[#Headers],[#Data],[Final balance]]),0)</f>
        <v>0</v>
      </c>
    </row>
    <row r="224" spans="1:9" s="174" customFormat="1" ht="12" customHeight="1" x14ac:dyDescent="0.25">
      <c r="A224" s="764" t="s">
        <v>2087</v>
      </c>
      <c r="B224" s="1088" t="s">
        <v>1844</v>
      </c>
      <c r="C224" s="1082" t="str">
        <f t="shared" si="3"/>
        <v/>
      </c>
      <c r="D224" s="230" t="s">
        <v>830</v>
      </c>
      <c r="E224" s="1082" t="s">
        <v>1883</v>
      </c>
      <c r="F224" s="1082" t="str">
        <f>GL[[#This Row],[Line]]&amp;GL[[#This Row],[B/P]]</f>
        <v>20BS</v>
      </c>
      <c r="G224" s="1081" t="str">
        <f>GL[[#This Row],[Account]]&amp;GL[[#This Row],[Line]]</f>
        <v>39120</v>
      </c>
      <c r="H224" s="1087">
        <f>ROUND(SUMIF(TB_curr[[#Headers],[#Data],[Lookup_line]],GL[[#This Row],[Lookup line]],TB_curr[[#Headers],[#Data],[Final balance]]),0)</f>
        <v>0</v>
      </c>
      <c r="I224" s="1087">
        <f>ROUND(SUMIF(TB_prev[[#Headers],[#Data],[Lookup_line]],GL[[#This Row],[Lookup line]],TB_prev[[#Headers],[#Data],[Final balance]]),0)</f>
        <v>0</v>
      </c>
    </row>
    <row r="225" spans="1:9" s="196" customFormat="1" ht="12" customHeight="1" x14ac:dyDescent="0.25">
      <c r="A225" s="764"/>
      <c r="B225" s="1086" t="s">
        <v>1886</v>
      </c>
      <c r="C225" s="1085" t="str">
        <f t="shared" si="3"/>
        <v>398</v>
      </c>
      <c r="D225" s="230"/>
      <c r="E225" s="1082" t="s">
        <v>1883</v>
      </c>
      <c r="F225" s="1082" t="str">
        <f>GL[[#This Row],[Line]]&amp;GL[[#This Row],[B/P]]</f>
        <v>BS</v>
      </c>
      <c r="G225" s="1081" t="str">
        <f>GL[[#This Row],[Account]]&amp;GL[[#This Row],[Line]]</f>
        <v>subtotal</v>
      </c>
      <c r="H225" s="1087">
        <f>ROUND(SUMIF(TB_curr[[#Headers],[#Data],[Lookup_line]],GL[[#This Row],[Lookup line]],TB_curr[[#Headers],[#Data],[Final balance]]),0)</f>
        <v>0</v>
      </c>
      <c r="I225" s="1087">
        <f>ROUND(SUMIF(TB_prev[[#Headers],[#Data],[Lookup_line]],GL[[#This Row],[Lookup line]],TB_prev[[#Headers],[#Data],[Final balance]]),0)</f>
        <v>0</v>
      </c>
    </row>
    <row r="226" spans="1:9" s="196" customFormat="1" ht="12" customHeight="1" x14ac:dyDescent="0.25">
      <c r="A226" s="764" t="s">
        <v>2087</v>
      </c>
      <c r="B226" s="1088" t="s">
        <v>1954</v>
      </c>
      <c r="C226" s="1082" t="str">
        <f t="shared" si="3"/>
        <v/>
      </c>
      <c r="D226" s="230" t="s">
        <v>830</v>
      </c>
      <c r="E226" s="1082" t="s">
        <v>1883</v>
      </c>
      <c r="F226" s="1082" t="str">
        <f>GL[[#This Row],[Line]]&amp;GL[[#This Row],[B/P]]</f>
        <v>20BS</v>
      </c>
      <c r="G226" s="1081" t="str">
        <f>GL[[#This Row],[Account]]&amp;GL[[#This Row],[Line]]</f>
        <v>39820</v>
      </c>
      <c r="H226" s="1087">
        <f>ROUND(SUMIF(TB_curr[[#Headers],[#Data],[Lookup_line]],GL[[#This Row],[Lookup line]],TB_curr[[#Headers],[#Data],[Final balance]]),0)</f>
        <v>0</v>
      </c>
      <c r="I226" s="1087">
        <f>ROUND(SUMIF(TB_prev[[#Headers],[#Data],[Lookup_line]],GL[[#This Row],[Lookup line]],TB_prev[[#Headers],[#Data],[Final balance]]),0)</f>
        <v>0</v>
      </c>
    </row>
    <row r="227" spans="1:9" s="174" customFormat="1" ht="12" customHeight="1" x14ac:dyDescent="0.25">
      <c r="A227" s="764" t="s">
        <v>2107</v>
      </c>
      <c r="B227" s="1088" t="s">
        <v>1954</v>
      </c>
      <c r="C227" s="1082" t="str">
        <f t="shared" si="3"/>
        <v/>
      </c>
      <c r="D227" s="230" t="s">
        <v>896</v>
      </c>
      <c r="E227" s="1082" t="s">
        <v>1883</v>
      </c>
      <c r="F227" s="1082" t="str">
        <f>GL[[#This Row],[Line]]&amp;GL[[#This Row],[B/P]]</f>
        <v>42BS</v>
      </c>
      <c r="G227" s="1081" t="str">
        <f>GL[[#This Row],[Account]]&amp;GL[[#This Row],[Line]]</f>
        <v>39842</v>
      </c>
      <c r="H227" s="1087">
        <f>ROUND(SUMIF(TB_curr[[#Headers],[#Data],[Lookup_line]],GL[[#This Row],[Lookup line]],TB_curr[[#Headers],[#Data],[Final balance]]),0)</f>
        <v>0</v>
      </c>
      <c r="I227" s="1087">
        <f>ROUND(SUMIF(TB_prev[[#Headers],[#Data],[Lookup_line]],GL[[#This Row],[Lookup line]],TB_prev[[#Headers],[#Data],[Final balance]]),0)</f>
        <v>0</v>
      </c>
    </row>
    <row r="228" spans="1:9" s="174" customFormat="1" ht="12" customHeight="1" x14ac:dyDescent="0.25">
      <c r="A228" s="764" t="s">
        <v>2094</v>
      </c>
      <c r="B228" s="1088" t="s">
        <v>1845</v>
      </c>
      <c r="C228" s="1082" t="str">
        <f t="shared" si="3"/>
        <v/>
      </c>
      <c r="D228" s="230" t="s">
        <v>851</v>
      </c>
      <c r="E228" s="1082" t="s">
        <v>1883</v>
      </c>
      <c r="F228" s="1082" t="str">
        <f>GL[[#This Row],[Line]]&amp;GL[[#This Row],[B/P]]</f>
        <v>27BS</v>
      </c>
      <c r="G228" s="1081" t="str">
        <f>GL[[#This Row],[Account]]&amp;GL[[#This Row],[Line]]</f>
        <v>41127</v>
      </c>
      <c r="H228" s="1087">
        <f>ROUND(SUMIF(TB_curr[[#Headers],[#Data],[Lookup_line]],GL[[#This Row],[Lookup line]],TB_curr[[#Headers],[#Data],[Final balance]]),0)</f>
        <v>0</v>
      </c>
      <c r="I228" s="1087">
        <f>ROUND(SUMIF(TB_prev[[#Headers],[#Data],[Lookup_line]],GL[[#This Row],[Lookup line]],TB_prev[[#Headers],[#Data],[Final balance]]),0)</f>
        <v>0</v>
      </c>
    </row>
    <row r="229" spans="1:9" s="174" customFormat="1" ht="12" customHeight="1" x14ac:dyDescent="0.2">
      <c r="A229" s="764" t="s">
        <v>2095</v>
      </c>
      <c r="B229" s="1088" t="s">
        <v>2010</v>
      </c>
      <c r="C229" s="1082" t="str">
        <f t="shared" si="3"/>
        <v/>
      </c>
      <c r="D229" s="230" t="s">
        <v>857</v>
      </c>
      <c r="E229" s="1082" t="s">
        <v>1883</v>
      </c>
      <c r="F229" s="1082" t="str">
        <f>GL[[#This Row],[Line]]&amp;GL[[#This Row],[B/P]]</f>
        <v>29BS</v>
      </c>
      <c r="G229" s="1084" t="str">
        <f>GL[[#This Row],[Account]]&amp;GL[[#This Row],[Line]]</f>
        <v>41229</v>
      </c>
      <c r="H229" s="1083">
        <f>ROUND(SUMIF(TB_curr[[#Headers],[#Data],[Lookup_line]],GL[[#This Row],[Lookup line]],TB_curr[[#Headers],[#Data],[Final balance]]),0)</f>
        <v>0</v>
      </c>
      <c r="I229" s="1083">
        <f>ROUND(SUMIF(TB_prev[[#Headers],[#Data],[Lookup_line]],GL[[#This Row],[Lookup line]],TB_prev[[#Headers],[#Data],[Final balance]]),0)</f>
        <v>0</v>
      </c>
    </row>
    <row r="230" spans="1:9" s="174" customFormat="1" ht="12" customHeight="1" x14ac:dyDescent="0.25">
      <c r="A230" s="764" t="s">
        <v>2095</v>
      </c>
      <c r="B230" s="1088" t="s">
        <v>2011</v>
      </c>
      <c r="C230" s="1082" t="str">
        <f t="shared" si="3"/>
        <v/>
      </c>
      <c r="D230" s="230" t="s">
        <v>857</v>
      </c>
      <c r="E230" s="1082" t="s">
        <v>1883</v>
      </c>
      <c r="F230" s="1082" t="str">
        <f>GL[[#This Row],[Line]]&amp;GL[[#This Row],[B/P]]</f>
        <v>29BS</v>
      </c>
      <c r="G230" s="1081" t="str">
        <f>GL[[#This Row],[Account]]&amp;GL[[#This Row],[Line]]</f>
        <v>41329</v>
      </c>
      <c r="H230" s="1087">
        <f>ROUND(SUMIF(TB_curr[[#Headers],[#Data],[Lookup_line]],GL[[#This Row],[Lookup line]],TB_curr[[#Headers],[#Data],[Final balance]]),0)</f>
        <v>0</v>
      </c>
      <c r="I230" s="1087">
        <f>ROUND(SUMIF(TB_prev[[#Headers],[#Data],[Lookup_line]],GL[[#This Row],[Lookup line]],TB_prev[[#Headers],[#Data],[Final balance]]),0)</f>
        <v>0</v>
      </c>
    </row>
    <row r="231" spans="1:9" s="174" customFormat="1" ht="12" customHeight="1" x14ac:dyDescent="0.25">
      <c r="A231" s="764" t="s">
        <v>2097</v>
      </c>
      <c r="B231" s="1088" t="s">
        <v>1953</v>
      </c>
      <c r="C231" s="1082" t="str">
        <f t="shared" si="3"/>
        <v/>
      </c>
      <c r="D231" s="230" t="s">
        <v>863</v>
      </c>
      <c r="E231" s="1082" t="s">
        <v>1883</v>
      </c>
      <c r="F231" s="1082" t="str">
        <f>GL[[#This Row],[Line]]&amp;GL[[#This Row],[B/P]]</f>
        <v>31BS</v>
      </c>
      <c r="G231" s="1081" t="str">
        <f>GL[[#This Row],[Account]]&amp;GL[[#This Row],[Line]]</f>
        <v>41531</v>
      </c>
      <c r="H231" s="1087">
        <f>ROUND(SUMIF(TB_curr[[#Headers],[#Data],[Lookup_line]],GL[[#This Row],[Lookup line]],TB_curr[[#Headers],[#Data],[Final balance]]),0)</f>
        <v>0</v>
      </c>
      <c r="I231" s="1087">
        <f>ROUND(SUMIF(TB_prev[[#Headers],[#Data],[Lookup_line]],GL[[#This Row],[Lookup line]],TB_prev[[#Headers],[#Data],[Final balance]]),0)</f>
        <v>0</v>
      </c>
    </row>
    <row r="232" spans="1:9" s="174" customFormat="1" ht="12" customHeight="1" x14ac:dyDescent="0.2">
      <c r="A232" s="764" t="s">
        <v>2097</v>
      </c>
      <c r="B232" s="1088" t="s">
        <v>1952</v>
      </c>
      <c r="C232" s="1082" t="str">
        <f t="shared" si="3"/>
        <v/>
      </c>
      <c r="D232" s="230" t="s">
        <v>863</v>
      </c>
      <c r="E232" s="1082" t="s">
        <v>1883</v>
      </c>
      <c r="F232" s="1082" t="str">
        <f>GL[[#This Row],[Line]]&amp;GL[[#This Row],[B/P]]</f>
        <v>31BS</v>
      </c>
      <c r="G232" s="1084" t="str">
        <f>GL[[#This Row],[Account]]&amp;GL[[#This Row],[Line]]</f>
        <v>41631</v>
      </c>
      <c r="H232" s="1083">
        <f>ROUND(SUMIF(TB_curr[[#Headers],[#Data],[Lookup_line]],GL[[#This Row],[Lookup line]],TB_curr[[#Headers],[#Data],[Final balance]]),0)</f>
        <v>0</v>
      </c>
      <c r="I232" s="1083">
        <f>ROUND(SUMIF(TB_prev[[#Headers],[#Data],[Lookup_line]],GL[[#This Row],[Lookup line]],TB_prev[[#Headers],[#Data],[Final balance]]),0)</f>
        <v>0</v>
      </c>
    </row>
    <row r="233" spans="1:9" s="174" customFormat="1" ht="12" customHeight="1" x14ac:dyDescent="0.25">
      <c r="A233" s="764" t="s">
        <v>2095</v>
      </c>
      <c r="B233" s="1088" t="s">
        <v>1846</v>
      </c>
      <c r="C233" s="1082" t="str">
        <f t="shared" si="3"/>
        <v/>
      </c>
      <c r="D233" s="230" t="s">
        <v>857</v>
      </c>
      <c r="E233" s="1082" t="s">
        <v>1883</v>
      </c>
      <c r="F233" s="1082" t="str">
        <f>GL[[#This Row],[Line]]&amp;GL[[#This Row],[B/P]]</f>
        <v>29BS</v>
      </c>
      <c r="G233" s="1081" t="str">
        <f>GL[[#This Row],[Account]]&amp;GL[[#This Row],[Line]]</f>
        <v>41729</v>
      </c>
      <c r="H233" s="1087">
        <f>ROUND(SUMIF(TB_curr[[#Headers],[#Data],[Lookup_line]],GL[[#This Row],[Lookup line]],TB_curr[[#Headers],[#Data],[Final balance]]),0)</f>
        <v>0</v>
      </c>
      <c r="I233" s="1087">
        <f>ROUND(SUMIF(TB_prev[[#Headers],[#Data],[Lookup_line]],GL[[#This Row],[Lookup line]],TB_prev[[#Headers],[#Data],[Final balance]]),0)</f>
        <v>0</v>
      </c>
    </row>
    <row r="234" spans="1:9" s="174" customFormat="1" ht="12" customHeight="1" x14ac:dyDescent="0.25">
      <c r="A234" s="764" t="s">
        <v>2095</v>
      </c>
      <c r="B234" s="1088" t="s">
        <v>1951</v>
      </c>
      <c r="C234" s="1082" t="str">
        <f t="shared" si="3"/>
        <v/>
      </c>
      <c r="D234" s="230" t="s">
        <v>857</v>
      </c>
      <c r="E234" s="1082" t="s">
        <v>1883</v>
      </c>
      <c r="F234" s="1082" t="str">
        <f>GL[[#This Row],[Line]]&amp;GL[[#This Row],[B/P]]</f>
        <v>29BS</v>
      </c>
      <c r="G234" s="1081" t="str">
        <f>GL[[#This Row],[Account]]&amp;GL[[#This Row],[Line]]</f>
        <v>41829</v>
      </c>
      <c r="H234" s="1087">
        <f>ROUND(SUMIF(TB_curr[[#Headers],[#Data],[Lookup_line]],GL[[#This Row],[Lookup line]],TB_curr[[#Headers],[#Data],[Final balance]]),0)</f>
        <v>0</v>
      </c>
      <c r="I234" s="1087">
        <f>ROUND(SUMIF(TB_prev[[#Headers],[#Data],[Lookup_line]],GL[[#This Row],[Lookup line]],TB_prev[[#Headers],[#Data],[Final balance]]),0)</f>
        <v>0</v>
      </c>
    </row>
    <row r="235" spans="1:9" s="174" customFormat="1" ht="12" customHeight="1" x14ac:dyDescent="0.2">
      <c r="A235" s="764" t="s">
        <v>2094</v>
      </c>
      <c r="B235" s="1088" t="s">
        <v>1950</v>
      </c>
      <c r="C235" s="1082" t="str">
        <f t="shared" si="3"/>
        <v/>
      </c>
      <c r="D235" s="230" t="s">
        <v>851</v>
      </c>
      <c r="E235" s="1082" t="s">
        <v>1883</v>
      </c>
      <c r="F235" s="1082" t="str">
        <f>GL[[#This Row],[Line]]&amp;GL[[#This Row],[B/P]]</f>
        <v>27BS</v>
      </c>
      <c r="G235" s="1084" t="str">
        <f>GL[[#This Row],[Account]]&amp;GL[[#This Row],[Line]]</f>
        <v>41927</v>
      </c>
      <c r="H235" s="1083">
        <f>ROUND(SUMIF(TB_curr[[#Headers],[#Data],[Lookup_line]],GL[[#This Row],[Lookup line]],TB_curr[[#Headers],[#Data],[Final balance]]),0)</f>
        <v>0</v>
      </c>
      <c r="I235" s="1083">
        <f>ROUND(SUMIF(TB_prev[[#Headers],[#Data],[Lookup_line]],GL[[#This Row],[Lookup line]],TB_prev[[#Headers],[#Data],[Final balance]]),0)</f>
        <v>0</v>
      </c>
    </row>
    <row r="236" spans="1:9" s="174" customFormat="1" ht="12" customHeight="1" x14ac:dyDescent="0.25">
      <c r="A236" s="764" t="s">
        <v>2096</v>
      </c>
      <c r="B236" s="1088" t="s">
        <v>1847</v>
      </c>
      <c r="C236" s="1082" t="str">
        <f t="shared" si="3"/>
        <v/>
      </c>
      <c r="D236" s="230" t="s">
        <v>860</v>
      </c>
      <c r="E236" s="1082" t="s">
        <v>1883</v>
      </c>
      <c r="F236" s="1082" t="str">
        <f>GL[[#This Row],[Line]]&amp;GL[[#This Row],[B/P]]</f>
        <v>30BS</v>
      </c>
      <c r="G236" s="1081" t="str">
        <f>GL[[#This Row],[Account]]&amp;GL[[#This Row],[Line]]</f>
        <v>42130</v>
      </c>
      <c r="H236" s="1087">
        <f>ROUND(SUMIF(TB_curr[[#Headers],[#Data],[Lookup_line]],GL[[#This Row],[Lookup line]],TB_curr[[#Headers],[#Data],[Final balance]]),0)</f>
        <v>0</v>
      </c>
      <c r="I236" s="1087">
        <f>ROUND(SUMIF(TB_prev[[#Headers],[#Data],[Lookup_line]],GL[[#This Row],[Lookup line]],TB_prev[[#Headers],[#Data],[Final balance]]),0)</f>
        <v>0</v>
      </c>
    </row>
    <row r="237" spans="1:9" s="174" customFormat="1" ht="12" customHeight="1" x14ac:dyDescent="0.25">
      <c r="A237" s="764" t="s">
        <v>2096</v>
      </c>
      <c r="B237" s="1088" t="s">
        <v>1949</v>
      </c>
      <c r="C237" s="1082" t="str">
        <f t="shared" si="3"/>
        <v/>
      </c>
      <c r="D237" s="230" t="s">
        <v>860</v>
      </c>
      <c r="E237" s="1082" t="s">
        <v>1883</v>
      </c>
      <c r="F237" s="1082" t="str">
        <f>GL[[#This Row],[Line]]&amp;GL[[#This Row],[B/P]]</f>
        <v>30BS</v>
      </c>
      <c r="G237" s="1081" t="str">
        <f>GL[[#This Row],[Account]]&amp;GL[[#This Row],[Line]]</f>
        <v>42230</v>
      </c>
      <c r="H237" s="1087">
        <f>ROUND(SUMIF(TB_curr[[#Headers],[#Data],[Lookup_line]],GL[[#This Row],[Lookup line]],TB_curr[[#Headers],[#Data],[Final balance]]),0)</f>
        <v>0</v>
      </c>
      <c r="I237" s="1087">
        <f>ROUND(SUMIF(TB_prev[[#Headers],[#Data],[Lookup_line]],GL[[#This Row],[Lookup line]],TB_prev[[#Headers],[#Data],[Final balance]]),0)</f>
        <v>0</v>
      </c>
    </row>
    <row r="238" spans="1:9" s="174" customFormat="1" ht="12" customHeight="1" x14ac:dyDescent="0.2">
      <c r="A238" s="764" t="s">
        <v>2096</v>
      </c>
      <c r="B238" s="1088" t="s">
        <v>1948</v>
      </c>
      <c r="C238" s="1082" t="str">
        <f t="shared" si="3"/>
        <v/>
      </c>
      <c r="D238" s="230" t="s">
        <v>860</v>
      </c>
      <c r="E238" s="1082" t="s">
        <v>1883</v>
      </c>
      <c r="F238" s="1082" t="str">
        <f>GL[[#This Row],[Line]]&amp;GL[[#This Row],[B/P]]</f>
        <v>30BS</v>
      </c>
      <c r="G238" s="1084" t="str">
        <f>GL[[#This Row],[Account]]&amp;GL[[#This Row],[Line]]</f>
        <v>42330</v>
      </c>
      <c r="H238" s="1083">
        <f>ROUND(SUMIF(TB_curr[[#Headers],[#Data],[Lookup_line]],GL[[#This Row],[Lookup line]],TB_curr[[#Headers],[#Data],[Final balance]]),0)</f>
        <v>0</v>
      </c>
      <c r="I238" s="1083">
        <f>ROUND(SUMIF(TB_prev[[#Headers],[#Data],[Lookup_line]],GL[[#This Row],[Lookup line]],TB_prev[[#Headers],[#Data],[Final balance]]),0)</f>
        <v>0</v>
      </c>
    </row>
    <row r="239" spans="1:9" s="174" customFormat="1" ht="12" customHeight="1" x14ac:dyDescent="0.25">
      <c r="A239" s="764" t="s">
        <v>2096</v>
      </c>
      <c r="B239" s="1088" t="s">
        <v>1947</v>
      </c>
      <c r="C239" s="1082" t="str">
        <f t="shared" si="3"/>
        <v/>
      </c>
      <c r="D239" s="230" t="s">
        <v>860</v>
      </c>
      <c r="E239" s="1082" t="s">
        <v>1883</v>
      </c>
      <c r="F239" s="1082" t="str">
        <f>GL[[#This Row],[Line]]&amp;GL[[#This Row],[B/P]]</f>
        <v>30BS</v>
      </c>
      <c r="G239" s="1081" t="str">
        <f>GL[[#This Row],[Account]]&amp;GL[[#This Row],[Line]]</f>
        <v>42730</v>
      </c>
      <c r="H239" s="1087">
        <f>ROUND(SUMIF(TB_curr[[#Headers],[#Data],[Lookup_line]],GL[[#This Row],[Lookup line]],TB_curr[[#Headers],[#Data],[Final balance]]),0)</f>
        <v>0</v>
      </c>
      <c r="I239" s="1087">
        <f>ROUND(SUMIF(TB_prev[[#Headers],[#Data],[Lookup_line]],GL[[#This Row],[Lookup line]],TB_prev[[#Headers],[#Data],[Final balance]]),0)</f>
        <v>0</v>
      </c>
    </row>
    <row r="240" spans="1:9" s="174" customFormat="1" ht="12" customHeight="1" x14ac:dyDescent="0.25">
      <c r="A240" s="764" t="s">
        <v>2098</v>
      </c>
      <c r="B240" s="1088" t="s">
        <v>1946</v>
      </c>
      <c r="C240" s="1082" t="str">
        <f t="shared" si="3"/>
        <v/>
      </c>
      <c r="D240" s="230" t="s">
        <v>866</v>
      </c>
      <c r="E240" s="1082" t="s">
        <v>1883</v>
      </c>
      <c r="F240" s="1082" t="str">
        <f>GL[[#This Row],[Line]]&amp;GL[[#This Row],[B/P]]</f>
        <v>32BS</v>
      </c>
      <c r="G240" s="1081" t="str">
        <f>GL[[#This Row],[Account]]&amp;GL[[#This Row],[Line]]</f>
        <v>42832</v>
      </c>
      <c r="H240" s="1087">
        <f>ROUND(SUMIF(TB_curr[[#Headers],[#Data],[Lookup_line]],GL[[#This Row],[Lookup line]],TB_curr[[#Headers],[#Data],[Final balance]]),0)</f>
        <v>0</v>
      </c>
      <c r="I240" s="1087">
        <f>ROUND(SUMIF(TB_prev[[#Headers],[#Data],[Lookup_line]],GL[[#This Row],[Lookup line]],TB_prev[[#Headers],[#Data],[Final balance]]),0)</f>
        <v>0</v>
      </c>
    </row>
    <row r="241" spans="1:9" s="174" customFormat="1" ht="12" customHeight="1" x14ac:dyDescent="0.25">
      <c r="A241" s="764" t="s">
        <v>2098</v>
      </c>
      <c r="B241" s="1088" t="s">
        <v>1848</v>
      </c>
      <c r="C241" s="1082" t="str">
        <f t="shared" si="3"/>
        <v/>
      </c>
      <c r="D241" s="230" t="s">
        <v>866</v>
      </c>
      <c r="E241" s="1082" t="s">
        <v>1883</v>
      </c>
      <c r="F241" s="1082" t="str">
        <f>GL[[#This Row],[Line]]&amp;GL[[#This Row],[B/P]]</f>
        <v>32BS</v>
      </c>
      <c r="G241" s="1081" t="str">
        <f>GL[[#This Row],[Account]]&amp;GL[[#This Row],[Line]]</f>
        <v>42932</v>
      </c>
      <c r="H241" s="1087">
        <f>ROUND(SUMIF(TB_curr[[#Headers],[#Data],[Lookup_line]],GL[[#This Row],[Lookup line]],TB_curr[[#Headers],[#Data],[Final balance]]),0)</f>
        <v>0</v>
      </c>
      <c r="I241" s="1087">
        <f>ROUND(SUMIF(TB_prev[[#Headers],[#Data],[Lookup_line]],GL[[#This Row],[Lookup line]],TB_prev[[#Headers],[#Data],[Final balance]]),0)</f>
        <v>0</v>
      </c>
    </row>
    <row r="242" spans="1:9" s="174" customFormat="1" ht="12" customHeight="1" x14ac:dyDescent="0.25">
      <c r="A242" s="764"/>
      <c r="B242" s="1086" t="s">
        <v>1886</v>
      </c>
      <c r="C242" s="1085" t="str">
        <f t="shared" si="3"/>
        <v>451</v>
      </c>
      <c r="D242" s="230"/>
      <c r="E242" s="1082" t="s">
        <v>1883</v>
      </c>
      <c r="F242" s="1082" t="str">
        <f>GL[[#This Row],[Line]]&amp;GL[[#This Row],[B/P]]</f>
        <v>BS</v>
      </c>
      <c r="G242" s="1081" t="str">
        <f>GL[[#This Row],[Account]]&amp;GL[[#This Row],[Line]]</f>
        <v>subtotal</v>
      </c>
      <c r="H242" s="1087">
        <f>ROUND(SUMIF(TB_curr[[#Headers],[#Data],[Lookup_line]],GL[[#This Row],[Lookup line]],TB_curr[[#Headers],[#Data],[Final balance]]),0)</f>
        <v>0</v>
      </c>
      <c r="I242" s="1087">
        <f>ROUND(SUMIF(TB_prev[[#Headers],[#Data],[Lookup_line]],GL[[#This Row],[Lookup line]],TB_prev[[#Headers],[#Data],[Final balance]]),0)</f>
        <v>0</v>
      </c>
    </row>
    <row r="243" spans="1:9" s="174" customFormat="1" ht="12" customHeight="1" x14ac:dyDescent="0.25">
      <c r="A243" s="764" t="s">
        <v>2102</v>
      </c>
      <c r="B243" s="1088" t="s">
        <v>1945</v>
      </c>
      <c r="C243" s="1082" t="str">
        <f t="shared" si="3"/>
        <v/>
      </c>
      <c r="D243" s="230" t="s">
        <v>878</v>
      </c>
      <c r="E243" s="1082" t="s">
        <v>1883</v>
      </c>
      <c r="F243" s="1082" t="str">
        <f>GL[[#This Row],[Line]]&amp;GL[[#This Row],[B/P]]</f>
        <v>36BS</v>
      </c>
      <c r="G243" s="1081" t="str">
        <f>GL[[#This Row],[Account]]&amp;GL[[#This Row],[Line]]</f>
        <v>45136</v>
      </c>
      <c r="H243" s="1087">
        <f>ROUND(SUMIF(TB_curr[[#Headers],[#Data],[Lookup_line]],GL[[#This Row],[Lookup line]],TB_curr[[#Headers],[#Data],[Final balance]]),0)</f>
        <v>0</v>
      </c>
      <c r="I243" s="1087">
        <f>ROUND(SUMIF(TB_prev[[#Headers],[#Data],[Lookup_line]],GL[[#This Row],[Lookup line]],TB_prev[[#Headers],[#Data],[Final balance]]),0)</f>
        <v>0</v>
      </c>
    </row>
    <row r="244" spans="1:9" s="174" customFormat="1" ht="12" customHeight="1" x14ac:dyDescent="0.25">
      <c r="A244" s="764" t="s">
        <v>2108</v>
      </c>
      <c r="B244" s="1088" t="s">
        <v>1945</v>
      </c>
      <c r="C244" s="1082" t="str">
        <f t="shared" si="3"/>
        <v/>
      </c>
      <c r="D244" s="230" t="s">
        <v>899</v>
      </c>
      <c r="E244" s="1082" t="s">
        <v>1883</v>
      </c>
      <c r="F244" s="1082" t="str">
        <f>GL[[#This Row],[Line]]&amp;GL[[#This Row],[B/P]]</f>
        <v>43BS</v>
      </c>
      <c r="G244" s="1081" t="str">
        <f>GL[[#This Row],[Account]]&amp;GL[[#This Row],[Line]]</f>
        <v>45143</v>
      </c>
      <c r="H244" s="1087">
        <f>ROUND(SUMIF(TB_curr[[#Headers],[#Data],[Lookup_line]],GL[[#This Row],[Lookup line]],TB_curr[[#Headers],[#Data],[Final balance]]),0)</f>
        <v>0</v>
      </c>
      <c r="I244" s="1087">
        <f>ROUND(SUMIF(TB_prev[[#Headers],[#Data],[Lookup_line]],GL[[#This Row],[Lookup line]],TB_prev[[#Headers],[#Data],[Final balance]]),0)</f>
        <v>0</v>
      </c>
    </row>
    <row r="245" spans="1:9" s="174" customFormat="1" ht="12" customHeight="1" x14ac:dyDescent="0.25">
      <c r="A245" s="764"/>
      <c r="B245" s="1086" t="s">
        <v>1886</v>
      </c>
      <c r="C245" s="1085" t="str">
        <f t="shared" si="3"/>
        <v>459</v>
      </c>
      <c r="D245" s="230"/>
      <c r="E245" s="1082" t="s">
        <v>1883</v>
      </c>
      <c r="F245" s="1082" t="str">
        <f>GL[[#This Row],[Line]]&amp;GL[[#This Row],[B/P]]</f>
        <v>BS</v>
      </c>
      <c r="G245" s="1081" t="str">
        <f>GL[[#This Row],[Account]]&amp;GL[[#This Row],[Line]]</f>
        <v>subtotal</v>
      </c>
      <c r="H245" s="1087">
        <f>ROUND(SUMIF(TB_curr[[#Headers],[#Data],[Lookup_line]],GL[[#This Row],[Lookup line]],TB_curr[[#Headers],[#Data],[Final balance]]),0)</f>
        <v>0</v>
      </c>
      <c r="I245" s="1087">
        <f>ROUND(SUMIF(TB_prev[[#Headers],[#Data],[Lookup_line]],GL[[#This Row],[Lookup line]],TB_prev[[#Headers],[#Data],[Final balance]]),0)</f>
        <v>0</v>
      </c>
    </row>
    <row r="246" spans="1:9" s="174" customFormat="1" ht="12" customHeight="1" x14ac:dyDescent="0.2">
      <c r="A246" s="764" t="s">
        <v>2102</v>
      </c>
      <c r="B246" s="1088" t="s">
        <v>1944</v>
      </c>
      <c r="C246" s="1082" t="str">
        <f t="shared" si="3"/>
        <v/>
      </c>
      <c r="D246" s="230" t="s">
        <v>878</v>
      </c>
      <c r="E246" s="1082" t="s">
        <v>1883</v>
      </c>
      <c r="F246" s="1082" t="str">
        <f>GL[[#This Row],[Line]]&amp;GL[[#This Row],[B/P]]</f>
        <v>36BS</v>
      </c>
      <c r="G246" s="1084" t="str">
        <f>GL[[#This Row],[Account]]&amp;GL[[#This Row],[Line]]</f>
        <v>45936</v>
      </c>
      <c r="H246" s="1083">
        <f>ROUND(SUMIF(TB_curr[[#Headers],[#Data],[Lookup_line]],GL[[#This Row],[Lookup line]],TB_curr[[#Headers],[#Data],[Final balance]]),0)</f>
        <v>0</v>
      </c>
      <c r="I246" s="1083">
        <f>ROUND(SUMIF(TB_prev[[#Headers],[#Data],[Lookup_line]],GL[[#This Row],[Lookup line]],TB_prev[[#Headers],[#Data],[Final balance]]),0)</f>
        <v>0</v>
      </c>
    </row>
    <row r="247" spans="1:9" s="174" customFormat="1" ht="12" customHeight="1" x14ac:dyDescent="0.25">
      <c r="A247" s="764" t="s">
        <v>2108</v>
      </c>
      <c r="B247" s="1088" t="s">
        <v>1944</v>
      </c>
      <c r="C247" s="1082" t="str">
        <f t="shared" si="3"/>
        <v/>
      </c>
      <c r="D247" s="230" t="s">
        <v>899</v>
      </c>
      <c r="E247" s="1082" t="s">
        <v>1883</v>
      </c>
      <c r="F247" s="1082" t="str">
        <f>GL[[#This Row],[Line]]&amp;GL[[#This Row],[B/P]]</f>
        <v>43BS</v>
      </c>
      <c r="G247" s="1081" t="str">
        <f>GL[[#This Row],[Account]]&amp;GL[[#This Row],[Line]]</f>
        <v>45943</v>
      </c>
      <c r="H247" s="1087">
        <f>ROUND(SUMIF(TB_curr[[#Headers],[#Data],[Lookup_line]],GL[[#This Row],[Lookup line]],TB_curr[[#Headers],[#Data],[Final balance]]),0)</f>
        <v>0</v>
      </c>
      <c r="I247" s="1087">
        <f>ROUND(SUMIF(TB_prev[[#Headers],[#Data],[Lookup_line]],GL[[#This Row],[Lookup line]],TB_prev[[#Headers],[#Data],[Final balance]]),0)</f>
        <v>0</v>
      </c>
    </row>
    <row r="248" spans="1:9" s="174" customFormat="1" ht="12" customHeight="1" x14ac:dyDescent="0.25">
      <c r="A248" s="764"/>
      <c r="B248" s="1086" t="s">
        <v>1886</v>
      </c>
      <c r="C248" s="1085" t="str">
        <f t="shared" si="3"/>
        <v>461</v>
      </c>
      <c r="D248" s="230"/>
      <c r="E248" s="1082" t="s">
        <v>1883</v>
      </c>
      <c r="F248" s="1082" t="str">
        <f>GL[[#This Row],[Line]]&amp;GL[[#This Row],[B/P]]</f>
        <v>BS</v>
      </c>
      <c r="G248" s="1081" t="str">
        <f>GL[[#This Row],[Account]]&amp;GL[[#This Row],[Line]]</f>
        <v>subtotal</v>
      </c>
      <c r="H248" s="1087">
        <f>ROUND(SUMIF(TB_curr[[#Headers],[#Data],[Lookup_line]],GL[[#This Row],[Lookup line]],TB_curr[[#Headers],[#Data],[Final balance]]),0)</f>
        <v>0</v>
      </c>
      <c r="I248" s="1087">
        <f>ROUND(SUMIF(TB_prev[[#Headers],[#Data],[Lookup_line]],GL[[#This Row],[Lookup line]],TB_prev[[#Headers],[#Data],[Final balance]]),0)</f>
        <v>0</v>
      </c>
    </row>
    <row r="249" spans="1:9" s="174" customFormat="1" ht="12" customHeight="1" x14ac:dyDescent="0.2">
      <c r="A249" s="764" t="s">
        <v>1694</v>
      </c>
      <c r="B249" s="1088" t="s">
        <v>1849</v>
      </c>
      <c r="C249" s="1082" t="str">
        <f t="shared" si="3"/>
        <v/>
      </c>
      <c r="D249" s="230" t="s">
        <v>881</v>
      </c>
      <c r="E249" s="1082" t="s">
        <v>1883</v>
      </c>
      <c r="F249" s="1082" t="str">
        <f>GL[[#This Row],[Line]]&amp;GL[[#This Row],[B/P]]</f>
        <v>37BS</v>
      </c>
      <c r="G249" s="1084" t="str">
        <f>GL[[#This Row],[Account]]&amp;GL[[#This Row],[Line]]</f>
        <v>46137</v>
      </c>
      <c r="H249" s="1083">
        <f>ROUND(SUMIF(TB_curr[[#Headers],[#Data],[Lookup_line]],GL[[#This Row],[Lookup line]],TB_curr[[#Headers],[#Data],[Final balance]]),0)</f>
        <v>0</v>
      </c>
      <c r="I249" s="1083">
        <f>ROUND(SUMIF(TB_prev[[#Headers],[#Data],[Lookup_line]],GL[[#This Row],[Lookup line]],TB_prev[[#Headers],[#Data],[Final balance]]),0)</f>
        <v>0</v>
      </c>
    </row>
    <row r="250" spans="1:9" s="174" customFormat="1" ht="12" customHeight="1" x14ac:dyDescent="0.25">
      <c r="A250" s="764" t="s">
        <v>1709</v>
      </c>
      <c r="B250" s="1088" t="s">
        <v>1849</v>
      </c>
      <c r="C250" s="1082" t="str">
        <f t="shared" si="3"/>
        <v/>
      </c>
      <c r="D250" s="230" t="s">
        <v>902</v>
      </c>
      <c r="E250" s="1082" t="s">
        <v>1883</v>
      </c>
      <c r="F250" s="1082" t="str">
        <f>GL[[#This Row],[Line]]&amp;GL[[#This Row],[B/P]]</f>
        <v>44BS</v>
      </c>
      <c r="G250" s="1081" t="str">
        <f>GL[[#This Row],[Account]]&amp;GL[[#This Row],[Line]]</f>
        <v>46144</v>
      </c>
      <c r="H250" s="1087">
        <f>ROUND(SUMIF(TB_curr[[#Headers],[#Data],[Lookup_line]],GL[[#This Row],[Lookup line]],TB_curr[[#Headers],[#Data],[Final balance]]),0)</f>
        <v>0</v>
      </c>
      <c r="I250" s="1087">
        <f>ROUND(SUMIF(TB_prev[[#Headers],[#Data],[Lookup_line]],GL[[#This Row],[Lookup line]],TB_prev[[#Headers],[#Data],[Final balance]]),0)</f>
        <v>0</v>
      </c>
    </row>
    <row r="251" spans="1:9" s="174" customFormat="1" ht="12" customHeight="1" x14ac:dyDescent="0.25">
      <c r="A251" s="764"/>
      <c r="B251" s="1086" t="s">
        <v>1886</v>
      </c>
      <c r="C251" s="1085" t="str">
        <f t="shared" si="3"/>
        <v>471</v>
      </c>
      <c r="D251" s="230"/>
      <c r="E251" s="1082" t="s">
        <v>1883</v>
      </c>
      <c r="F251" s="1082" t="str">
        <f>GL[[#This Row],[Line]]&amp;GL[[#This Row],[B/P]]</f>
        <v>BS</v>
      </c>
      <c r="G251" s="1081" t="str">
        <f>GL[[#This Row],[Account]]&amp;GL[[#This Row],[Line]]</f>
        <v>subtotal</v>
      </c>
      <c r="H251" s="1087">
        <f>ROUND(SUMIF(TB_curr[[#Headers],[#Data],[Lookup_line]],GL[[#This Row],[Lookup line]],TB_curr[[#Headers],[#Data],[Final balance]]),0)</f>
        <v>0</v>
      </c>
      <c r="I251" s="1087">
        <f>ROUND(SUMIF(TB_prev[[#Headers],[#Data],[Lookup_line]],GL[[#This Row],[Lookup line]],TB_prev[[#Headers],[#Data],[Final balance]]),0)</f>
        <v>0</v>
      </c>
    </row>
    <row r="252" spans="1:9" s="174" customFormat="1" ht="12" customHeight="1" x14ac:dyDescent="0.2">
      <c r="A252" s="764" t="s">
        <v>2101</v>
      </c>
      <c r="B252" s="1088" t="s">
        <v>1943</v>
      </c>
      <c r="C252" s="1082" t="str">
        <f t="shared" si="3"/>
        <v/>
      </c>
      <c r="D252" s="230" t="s">
        <v>875</v>
      </c>
      <c r="E252" s="1082" t="s">
        <v>1883</v>
      </c>
      <c r="F252" s="1082" t="str">
        <f>GL[[#This Row],[Line]]&amp;GL[[#This Row],[B/P]]</f>
        <v>35BS</v>
      </c>
      <c r="G252" s="1084" t="str">
        <f>GL[[#This Row],[Account]]&amp;GL[[#This Row],[Line]]</f>
        <v>47135</v>
      </c>
      <c r="H252" s="1083">
        <f>ROUND(SUMIF(TB_curr[[#Headers],[#Data],[Lookup_line]],GL[[#This Row],[Lookup line]],TB_curr[[#Headers],[#Data],[Final balance]]),0)</f>
        <v>0</v>
      </c>
      <c r="I252" s="1083">
        <f>ROUND(SUMIF(TB_prev[[#Headers],[#Data],[Lookup_line]],GL[[#This Row],[Lookup line]],TB_prev[[#Headers],[#Data],[Final balance]]),0)</f>
        <v>0</v>
      </c>
    </row>
    <row r="253" spans="1:9" s="174" customFormat="1" ht="12" customHeight="1" x14ac:dyDescent="0.25">
      <c r="A253" s="764" t="s">
        <v>2107</v>
      </c>
      <c r="B253" s="1088" t="s">
        <v>1943</v>
      </c>
      <c r="C253" s="1082" t="str">
        <f t="shared" si="3"/>
        <v/>
      </c>
      <c r="D253" s="230" t="s">
        <v>896</v>
      </c>
      <c r="E253" s="1082" t="s">
        <v>1883</v>
      </c>
      <c r="F253" s="1082" t="str">
        <f>GL[[#This Row],[Line]]&amp;GL[[#This Row],[B/P]]</f>
        <v>42BS</v>
      </c>
      <c r="G253" s="1081" t="str">
        <f>GL[[#This Row],[Account]]&amp;GL[[#This Row],[Line]]</f>
        <v>47142</v>
      </c>
      <c r="H253" s="1087">
        <f>ROUND(SUMIF(TB_curr[[#Headers],[#Data],[Lookup_line]],GL[[#This Row],[Lookup line]],TB_curr[[#Headers],[#Data],[Final balance]]),0)</f>
        <v>0</v>
      </c>
      <c r="I253" s="1087">
        <f>ROUND(SUMIF(TB_prev[[#Headers],[#Data],[Lookup_line]],GL[[#This Row],[Lookup line]],TB_prev[[#Headers],[#Data],[Final balance]]),0)</f>
        <v>0</v>
      </c>
    </row>
    <row r="254" spans="1:9" s="174" customFormat="1" ht="12" customHeight="1" x14ac:dyDescent="0.25">
      <c r="A254" s="764"/>
      <c r="B254" s="1086" t="s">
        <v>1886</v>
      </c>
      <c r="C254" s="1085" t="str">
        <f t="shared" si="3"/>
        <v>472</v>
      </c>
      <c r="D254" s="230"/>
      <c r="E254" s="1082" t="s">
        <v>1883</v>
      </c>
      <c r="F254" s="1082" t="str">
        <f>GL[[#This Row],[Line]]&amp;GL[[#This Row],[B/P]]</f>
        <v>BS</v>
      </c>
      <c r="G254" s="1081" t="str">
        <f>GL[[#This Row],[Account]]&amp;GL[[#This Row],[Line]]</f>
        <v>subtotal</v>
      </c>
      <c r="H254" s="1087">
        <f>ROUND(SUMIF(TB_curr[[#Headers],[#Data],[Lookup_line]],GL[[#This Row],[Lookup line]],TB_curr[[#Headers],[#Data],[Final balance]]),0)</f>
        <v>0</v>
      </c>
      <c r="I254" s="1087">
        <f>ROUND(SUMIF(TB_prev[[#Headers],[#Data],[Lookup_line]],GL[[#This Row],[Lookup line]],TB_prev[[#Headers],[#Data],[Final balance]]),0)</f>
        <v>0</v>
      </c>
    </row>
    <row r="255" spans="1:9" s="174" customFormat="1" ht="12" customHeight="1" x14ac:dyDescent="0.25">
      <c r="A255" s="764" t="s">
        <v>2101</v>
      </c>
      <c r="B255" s="1088" t="s">
        <v>1942</v>
      </c>
      <c r="C255" s="1082" t="str">
        <f t="shared" si="3"/>
        <v/>
      </c>
      <c r="D255" s="230" t="s">
        <v>875</v>
      </c>
      <c r="E255" s="1082" t="s">
        <v>1883</v>
      </c>
      <c r="F255" s="1082" t="str">
        <f>GL[[#This Row],[Line]]&amp;GL[[#This Row],[B/P]]</f>
        <v>35BS</v>
      </c>
      <c r="G255" s="1081" t="str">
        <f>GL[[#This Row],[Account]]&amp;GL[[#This Row],[Line]]</f>
        <v>47235</v>
      </c>
      <c r="H255" s="1087">
        <f>ROUND(SUMIF(TB_curr[[#Headers],[#Data],[Lookup_line]],GL[[#This Row],[Lookup line]],TB_curr[[#Headers],[#Data],[Final balance]]),0)</f>
        <v>0</v>
      </c>
      <c r="I255" s="1087">
        <f>ROUND(SUMIF(TB_prev[[#Headers],[#Data],[Lookup_line]],GL[[#This Row],[Lookup line]],TB_prev[[#Headers],[#Data],[Final balance]]),0)</f>
        <v>0</v>
      </c>
    </row>
    <row r="256" spans="1:9" s="174" customFormat="1" ht="12" customHeight="1" x14ac:dyDescent="0.25">
      <c r="A256" s="764" t="s">
        <v>2107</v>
      </c>
      <c r="B256" s="1088" t="s">
        <v>1942</v>
      </c>
      <c r="C256" s="1082" t="str">
        <f t="shared" si="3"/>
        <v/>
      </c>
      <c r="D256" s="230" t="s">
        <v>896</v>
      </c>
      <c r="E256" s="1082" t="s">
        <v>1883</v>
      </c>
      <c r="F256" s="1082" t="str">
        <f>GL[[#This Row],[Line]]&amp;GL[[#This Row],[B/P]]</f>
        <v>42BS</v>
      </c>
      <c r="G256" s="1081" t="str">
        <f>GL[[#This Row],[Account]]&amp;GL[[#This Row],[Line]]</f>
        <v>47242</v>
      </c>
      <c r="H256" s="1087">
        <f>ROUND(SUMIF(TB_curr[[#Headers],[#Data],[Lookup_line]],GL[[#This Row],[Lookup line]],TB_curr[[#Headers],[#Data],[Final balance]]),0)</f>
        <v>0</v>
      </c>
      <c r="I256" s="1087">
        <f>ROUND(SUMIF(TB_prev[[#Headers],[#Data],[Lookup_line]],GL[[#This Row],[Lookup line]],TB_prev[[#Headers],[#Data],[Final balance]]),0)</f>
        <v>0</v>
      </c>
    </row>
    <row r="257" spans="1:9" s="174" customFormat="1" ht="12" customHeight="1" x14ac:dyDescent="0.2">
      <c r="A257" s="764"/>
      <c r="B257" s="1086" t="s">
        <v>1886</v>
      </c>
      <c r="C257" s="1085" t="str">
        <f t="shared" si="3"/>
        <v>473</v>
      </c>
      <c r="D257" s="230"/>
      <c r="E257" s="1082" t="s">
        <v>1883</v>
      </c>
      <c r="F257" s="1082" t="str">
        <f>GL[[#This Row],[Line]]&amp;GL[[#This Row],[B/P]]</f>
        <v>BS</v>
      </c>
      <c r="G257" s="1084" t="str">
        <f>GL[[#This Row],[Account]]&amp;GL[[#This Row],[Line]]</f>
        <v>subtotal</v>
      </c>
      <c r="H257" s="1083">
        <f>ROUND(SUMIF(TB_curr[[#Headers],[#Data],[Lookup_line]],GL[[#This Row],[Lookup line]],TB_curr[[#Headers],[#Data],[Final balance]]),0)</f>
        <v>0</v>
      </c>
      <c r="I257" s="1083">
        <f>ROUND(SUMIF(TB_prev[[#Headers],[#Data],[Lookup_line]],GL[[#This Row],[Lookup line]],TB_prev[[#Headers],[#Data],[Final balance]]),0)</f>
        <v>0</v>
      </c>
    </row>
    <row r="258" spans="1:9" s="174" customFormat="1" ht="12" customHeight="1" x14ac:dyDescent="0.25">
      <c r="A258" s="764" t="s">
        <v>2101</v>
      </c>
      <c r="B258" s="1088" t="s">
        <v>1941</v>
      </c>
      <c r="C258" s="1082" t="str">
        <f t="shared" si="3"/>
        <v/>
      </c>
      <c r="D258" s="230" t="s">
        <v>875</v>
      </c>
      <c r="E258" s="1082" t="s">
        <v>1883</v>
      </c>
      <c r="F258" s="1082" t="str">
        <f>GL[[#This Row],[Line]]&amp;GL[[#This Row],[B/P]]</f>
        <v>35BS</v>
      </c>
      <c r="G258" s="1081" t="str">
        <f>GL[[#This Row],[Account]]&amp;GL[[#This Row],[Line]]</f>
        <v>47335</v>
      </c>
      <c r="H258" s="1087">
        <f>ROUND(SUMIF(TB_curr[[#Headers],[#Data],[Lookup_line]],GL[[#This Row],[Lookup line]],TB_curr[[#Headers],[#Data],[Final balance]]),0)</f>
        <v>0</v>
      </c>
      <c r="I258" s="1087">
        <f>ROUND(SUMIF(TB_prev[[#Headers],[#Data],[Lookup_line]],GL[[#This Row],[Lookup line]],TB_prev[[#Headers],[#Data],[Final balance]]),0)</f>
        <v>0</v>
      </c>
    </row>
    <row r="259" spans="1:9" s="174" customFormat="1" ht="12" customHeight="1" x14ac:dyDescent="0.25">
      <c r="A259" s="764" t="s">
        <v>1003</v>
      </c>
      <c r="B259" s="1088" t="s">
        <v>1941</v>
      </c>
      <c r="C259" s="1082" t="str">
        <f t="shared" si="3"/>
        <v/>
      </c>
      <c r="D259" s="230" t="s">
        <v>905</v>
      </c>
      <c r="E259" s="1082" t="s">
        <v>1883</v>
      </c>
      <c r="F259" s="1082" t="str">
        <f>GL[[#This Row],[Line]]&amp;GL[[#This Row],[B/P]]</f>
        <v>45BS</v>
      </c>
      <c r="G259" s="1081" t="str">
        <f>GL[[#This Row],[Account]]&amp;GL[[#This Row],[Line]]</f>
        <v>47345</v>
      </c>
      <c r="H259" s="1087">
        <f>ROUND(SUMIF(TB_curr[[#Headers],[#Data],[Lookup_line]],GL[[#This Row],[Lookup line]],TB_curr[[#Headers],[#Data],[Final balance]]),0)</f>
        <v>0</v>
      </c>
      <c r="I259" s="1087">
        <f>ROUND(SUMIF(TB_prev[[#Headers],[#Data],[Lookup_line]],GL[[#This Row],[Lookup line]],TB_prev[[#Headers],[#Data],[Final balance]]),0)</f>
        <v>0</v>
      </c>
    </row>
    <row r="260" spans="1:9" s="174" customFormat="1" ht="12" customHeight="1" x14ac:dyDescent="0.2">
      <c r="A260" s="764"/>
      <c r="B260" s="1086" t="s">
        <v>1886</v>
      </c>
      <c r="C260" s="1085" t="str">
        <f t="shared" si="3"/>
        <v>474</v>
      </c>
      <c r="D260" s="230"/>
      <c r="E260" s="1082" t="s">
        <v>1883</v>
      </c>
      <c r="F260" s="1082" t="str">
        <f>GL[[#This Row],[Line]]&amp;GL[[#This Row],[B/P]]</f>
        <v>BS</v>
      </c>
      <c r="G260" s="1084" t="str">
        <f>GL[[#This Row],[Account]]&amp;GL[[#This Row],[Line]]</f>
        <v>subtotal</v>
      </c>
      <c r="H260" s="1083">
        <f>ROUND(SUMIF(TB_curr[[#Headers],[#Data],[Lookup_line]],GL[[#This Row],[Lookup line]],TB_curr[[#Headers],[#Data],[Final balance]]),0)</f>
        <v>0</v>
      </c>
      <c r="I260" s="1083">
        <f>ROUND(SUMIF(TB_prev[[#Headers],[#Data],[Lookup_line]],GL[[#This Row],[Lookup line]],TB_prev[[#Headers],[#Data],[Final balance]]),0)</f>
        <v>0</v>
      </c>
    </row>
    <row r="261" spans="1:9" s="196" customFormat="1" ht="12" customHeight="1" x14ac:dyDescent="0.25">
      <c r="A261" s="764" t="s">
        <v>2101</v>
      </c>
      <c r="B261" s="1088" t="s">
        <v>1940</v>
      </c>
      <c r="C261" s="1082" t="str">
        <f t="shared" ref="C261:C324" si="4">IF(B261="subtotal",B262,"")</f>
        <v/>
      </c>
      <c r="D261" s="230" t="s">
        <v>875</v>
      </c>
      <c r="E261" s="1082" t="s">
        <v>1883</v>
      </c>
      <c r="F261" s="1082" t="str">
        <f>GL[[#This Row],[Line]]&amp;GL[[#This Row],[B/P]]</f>
        <v>35BS</v>
      </c>
      <c r="G261" s="1081" t="str">
        <f>GL[[#This Row],[Account]]&amp;GL[[#This Row],[Line]]</f>
        <v>47435</v>
      </c>
      <c r="H261" s="1087">
        <f>ROUND(SUMIF(TB_curr[[#Headers],[#Data],[Lookup_line]],GL[[#This Row],[Lookup line]],TB_curr[[#Headers],[#Data],[Final balance]]),0)</f>
        <v>0</v>
      </c>
      <c r="I261" s="1087">
        <f>ROUND(SUMIF(TB_prev[[#Headers],[#Data],[Lookup_line]],GL[[#This Row],[Lookup line]],TB_prev[[#Headers],[#Data],[Final balance]]),0)</f>
        <v>0</v>
      </c>
    </row>
    <row r="262" spans="1:9" s="196" customFormat="1" ht="12" customHeight="1" x14ac:dyDescent="0.25">
      <c r="A262" s="764" t="s">
        <v>2107</v>
      </c>
      <c r="B262" s="1088" t="s">
        <v>1940</v>
      </c>
      <c r="C262" s="1082" t="str">
        <f t="shared" si="4"/>
        <v/>
      </c>
      <c r="D262" s="230" t="s">
        <v>896</v>
      </c>
      <c r="E262" s="1082" t="s">
        <v>1883</v>
      </c>
      <c r="F262" s="1082" t="str">
        <f>GL[[#This Row],[Line]]&amp;GL[[#This Row],[B/P]]</f>
        <v>42BS</v>
      </c>
      <c r="G262" s="1081" t="str">
        <f>GL[[#This Row],[Account]]&amp;GL[[#This Row],[Line]]</f>
        <v>47442</v>
      </c>
      <c r="H262" s="1087">
        <f>ROUND(SUMIF(TB_curr[[#Headers],[#Data],[Lookup_line]],GL[[#This Row],[Lookup line]],TB_curr[[#Headers],[#Data],[Final balance]]),0)</f>
        <v>0</v>
      </c>
      <c r="I262" s="1087">
        <f>ROUND(SUMIF(TB_prev[[#Headers],[#Data],[Lookup_line]],GL[[#This Row],[Lookup line]],TB_prev[[#Headers],[#Data],[Final balance]]),0)</f>
        <v>0</v>
      </c>
    </row>
    <row r="263" spans="1:9" s="196" customFormat="1" ht="12" customHeight="1" x14ac:dyDescent="0.2">
      <c r="A263" s="764"/>
      <c r="B263" s="1086" t="s">
        <v>1886</v>
      </c>
      <c r="C263" s="1085" t="str">
        <f t="shared" si="4"/>
        <v>475</v>
      </c>
      <c r="D263" s="230"/>
      <c r="E263" s="1082" t="s">
        <v>1883</v>
      </c>
      <c r="F263" s="1082" t="str">
        <f>GL[[#This Row],[Line]]&amp;GL[[#This Row],[B/P]]</f>
        <v>BS</v>
      </c>
      <c r="G263" s="1084" t="str">
        <f>GL[[#This Row],[Account]]&amp;GL[[#This Row],[Line]]</f>
        <v>subtotal</v>
      </c>
      <c r="H263" s="1083">
        <f>ROUND(SUMIF(TB_curr[[#Headers],[#Data],[Lookup_line]],GL[[#This Row],[Lookup line]],TB_curr[[#Headers],[#Data],[Final balance]]),0)</f>
        <v>0</v>
      </c>
      <c r="I263" s="1083">
        <f>ROUND(SUMIF(TB_prev[[#Headers],[#Data],[Lookup_line]],GL[[#This Row],[Lookup line]],TB_prev[[#Headers],[#Data],[Final balance]]),0)</f>
        <v>0</v>
      </c>
    </row>
    <row r="264" spans="1:9" s="196" customFormat="1" ht="12" customHeight="1" x14ac:dyDescent="0.25">
      <c r="A264" s="764" t="s">
        <v>2101</v>
      </c>
      <c r="B264" s="1088" t="s">
        <v>1939</v>
      </c>
      <c r="C264" s="1082" t="str">
        <f t="shared" si="4"/>
        <v/>
      </c>
      <c r="D264" s="230" t="s">
        <v>875</v>
      </c>
      <c r="E264" s="1082" t="s">
        <v>1883</v>
      </c>
      <c r="F264" s="1082" t="str">
        <f>GL[[#This Row],[Line]]&amp;GL[[#This Row],[B/P]]</f>
        <v>35BS</v>
      </c>
      <c r="G264" s="1081" t="str">
        <f>GL[[#This Row],[Account]]&amp;GL[[#This Row],[Line]]</f>
        <v>47535</v>
      </c>
      <c r="H264" s="1087">
        <f>ROUND(SUMIF(TB_curr[[#Headers],[#Data],[Lookup_line]],GL[[#This Row],[Lookup line]],TB_curr[[#Headers],[#Data],[Final balance]]),0)</f>
        <v>0</v>
      </c>
      <c r="I264" s="1087">
        <f>ROUND(SUMIF(TB_prev[[#Headers],[#Data],[Lookup_line]],GL[[#This Row],[Lookup line]],TB_prev[[#Headers],[#Data],[Final balance]]),0)</f>
        <v>0</v>
      </c>
    </row>
    <row r="265" spans="1:9" s="196" customFormat="1" ht="12" customHeight="1" x14ac:dyDescent="0.25">
      <c r="A265" s="764" t="s">
        <v>2104</v>
      </c>
      <c r="B265" s="1088" t="s">
        <v>1939</v>
      </c>
      <c r="C265" s="1082" t="str">
        <f t="shared" si="4"/>
        <v/>
      </c>
      <c r="D265" s="230" t="s">
        <v>887</v>
      </c>
      <c r="E265" s="1082" t="s">
        <v>1883</v>
      </c>
      <c r="F265" s="1082" t="str">
        <f>GL[[#This Row],[Line]]&amp;GL[[#This Row],[B/P]]</f>
        <v>39BS</v>
      </c>
      <c r="G265" s="1081" t="str">
        <f>GL[[#This Row],[Account]]&amp;GL[[#This Row],[Line]]</f>
        <v>47539</v>
      </c>
      <c r="H265" s="1087">
        <f>ROUND(SUMIF(TB_curr[[#Headers],[#Data],[Lookup_line]],GL[[#This Row],[Lookup line]],TB_curr[[#Headers],[#Data],[Final balance]]),0)</f>
        <v>0</v>
      </c>
      <c r="I265" s="1087">
        <f>ROUND(SUMIF(TB_prev[[#Headers],[#Data],[Lookup_line]],GL[[#This Row],[Lookup line]],TB_prev[[#Headers],[#Data],[Final balance]]),0)</f>
        <v>0</v>
      </c>
    </row>
    <row r="266" spans="1:9" s="196" customFormat="1" ht="12" customHeight="1" x14ac:dyDescent="0.2">
      <c r="A266" s="764"/>
      <c r="B266" s="1086" t="s">
        <v>1886</v>
      </c>
      <c r="C266" s="1085" t="str">
        <f t="shared" si="4"/>
        <v>476</v>
      </c>
      <c r="D266" s="230"/>
      <c r="E266" s="1082" t="s">
        <v>1883</v>
      </c>
      <c r="F266" s="1082" t="str">
        <f>GL[[#This Row],[Line]]&amp;GL[[#This Row],[B/P]]</f>
        <v>BS</v>
      </c>
      <c r="G266" s="1084" t="str">
        <f>GL[[#This Row],[Account]]&amp;GL[[#This Row],[Line]]</f>
        <v>subtotal</v>
      </c>
      <c r="H266" s="1083">
        <f>ROUND(SUMIF(TB_curr[[#Headers],[#Data],[Lookup_line]],GL[[#This Row],[Lookup line]],TB_curr[[#Headers],[#Data],[Final balance]]),0)</f>
        <v>0</v>
      </c>
      <c r="I266" s="1083">
        <f>ROUND(SUMIF(TB_prev[[#Headers],[#Data],[Lookup_line]],GL[[#This Row],[Lookup line]],TB_prev[[#Headers],[#Data],[Final balance]]),0)</f>
        <v>0</v>
      </c>
    </row>
    <row r="267" spans="1:9" s="196" customFormat="1" ht="12" customHeight="1" x14ac:dyDescent="0.25">
      <c r="A267" s="764" t="s">
        <v>2101</v>
      </c>
      <c r="B267" s="1088" t="s">
        <v>1938</v>
      </c>
      <c r="C267" s="1082" t="str">
        <f t="shared" si="4"/>
        <v/>
      </c>
      <c r="D267" s="230" t="s">
        <v>875</v>
      </c>
      <c r="E267" s="1082" t="s">
        <v>1883</v>
      </c>
      <c r="F267" s="1082" t="str">
        <f>GL[[#This Row],[Line]]&amp;GL[[#This Row],[B/P]]</f>
        <v>35BS</v>
      </c>
      <c r="G267" s="1081" t="str">
        <f>GL[[#This Row],[Account]]&amp;GL[[#This Row],[Line]]</f>
        <v>47635</v>
      </c>
      <c r="H267" s="1087">
        <f>ROUND(SUMIF(TB_curr[[#Headers],[#Data],[Lookup_line]],GL[[#This Row],[Lookup line]],TB_curr[[#Headers],[#Data],[Final balance]]),0)</f>
        <v>0</v>
      </c>
      <c r="I267" s="1087">
        <f>ROUND(SUMIF(TB_prev[[#Headers],[#Data],[Lookup_line]],GL[[#This Row],[Lookup line]],TB_prev[[#Headers],[#Data],[Final balance]]),0)</f>
        <v>0</v>
      </c>
    </row>
    <row r="268" spans="1:9" s="196" customFormat="1" ht="12" customHeight="1" x14ac:dyDescent="0.25">
      <c r="A268" s="764" t="s">
        <v>2104</v>
      </c>
      <c r="B268" s="1088" t="s">
        <v>1938</v>
      </c>
      <c r="C268" s="1082" t="str">
        <f t="shared" si="4"/>
        <v/>
      </c>
      <c r="D268" s="230" t="s">
        <v>887</v>
      </c>
      <c r="E268" s="1082" t="s">
        <v>1883</v>
      </c>
      <c r="F268" s="1082" t="str">
        <f>GL[[#This Row],[Line]]&amp;GL[[#This Row],[B/P]]</f>
        <v>39BS</v>
      </c>
      <c r="G268" s="1081" t="str">
        <f>GL[[#This Row],[Account]]&amp;GL[[#This Row],[Line]]</f>
        <v>47639</v>
      </c>
      <c r="H268" s="1087">
        <f>ROUND(SUMIF(TB_curr[[#Headers],[#Data],[Lookup_line]],GL[[#This Row],[Lookup line]],TB_curr[[#Headers],[#Data],[Final balance]]),0)</f>
        <v>0</v>
      </c>
      <c r="I268" s="1087">
        <f>ROUND(SUMIF(TB_prev[[#Headers],[#Data],[Lookup_line]],GL[[#This Row],[Lookup line]],TB_prev[[#Headers],[#Data],[Final balance]]),0)</f>
        <v>0</v>
      </c>
    </row>
    <row r="269" spans="1:9" s="196" customFormat="1" ht="12" customHeight="1" x14ac:dyDescent="0.2">
      <c r="A269" s="764"/>
      <c r="B269" s="1086" t="s">
        <v>1886</v>
      </c>
      <c r="C269" s="1085" t="str">
        <f t="shared" si="4"/>
        <v>478</v>
      </c>
      <c r="D269" s="230"/>
      <c r="E269" s="1082" t="s">
        <v>1883</v>
      </c>
      <c r="F269" s="1082" t="str">
        <f>GL[[#This Row],[Line]]&amp;GL[[#This Row],[B/P]]</f>
        <v>BS</v>
      </c>
      <c r="G269" s="1084" t="str">
        <f>GL[[#This Row],[Account]]&amp;GL[[#This Row],[Line]]</f>
        <v>subtotal</v>
      </c>
      <c r="H269" s="1083">
        <f>ROUND(SUMIF(TB_curr[[#Headers],[#Data],[Lookup_line]],GL[[#This Row],[Lookup line]],TB_curr[[#Headers],[#Data],[Final balance]]),0)</f>
        <v>0</v>
      </c>
      <c r="I269" s="1083">
        <f>ROUND(SUMIF(TB_prev[[#Headers],[#Data],[Lookup_line]],GL[[#This Row],[Lookup line]],TB_prev[[#Headers],[#Data],[Final balance]]),0)</f>
        <v>0</v>
      </c>
    </row>
    <row r="270" spans="1:9" s="196" customFormat="1" ht="12" customHeight="1" x14ac:dyDescent="0.25">
      <c r="A270" s="764" t="s">
        <v>2101</v>
      </c>
      <c r="B270" s="1088" t="s">
        <v>1937</v>
      </c>
      <c r="C270" s="1082" t="str">
        <f t="shared" si="4"/>
        <v/>
      </c>
      <c r="D270" s="230" t="s">
        <v>875</v>
      </c>
      <c r="E270" s="1082" t="s">
        <v>1883</v>
      </c>
      <c r="F270" s="1082" t="str">
        <f>GL[[#This Row],[Line]]&amp;GL[[#This Row],[B/P]]</f>
        <v>35BS</v>
      </c>
      <c r="G270" s="1081" t="str">
        <f>GL[[#This Row],[Account]]&amp;GL[[#This Row],[Line]]</f>
        <v>47835</v>
      </c>
      <c r="H270" s="1087">
        <f>ROUND(SUMIF(TB_curr[[#Headers],[#Data],[Lookup_line]],GL[[#This Row],[Lookup line]],TB_curr[[#Headers],[#Data],[Final balance]]),0)</f>
        <v>0</v>
      </c>
      <c r="I270" s="1087">
        <f>ROUND(SUMIF(TB_prev[[#Headers],[#Data],[Lookup_line]],GL[[#This Row],[Lookup line]],TB_prev[[#Headers],[#Data],[Final balance]]),0)</f>
        <v>0</v>
      </c>
    </row>
    <row r="271" spans="1:9" s="196" customFormat="1" ht="12" customHeight="1" x14ac:dyDescent="0.25">
      <c r="A271" s="764" t="s">
        <v>2104</v>
      </c>
      <c r="B271" s="1088" t="s">
        <v>1937</v>
      </c>
      <c r="C271" s="1082" t="str">
        <f t="shared" si="4"/>
        <v/>
      </c>
      <c r="D271" s="230" t="s">
        <v>887</v>
      </c>
      <c r="E271" s="1082" t="s">
        <v>1883</v>
      </c>
      <c r="F271" s="1082" t="str">
        <f>GL[[#This Row],[Line]]&amp;GL[[#This Row],[B/P]]</f>
        <v>39BS</v>
      </c>
      <c r="G271" s="1081" t="str">
        <f>GL[[#This Row],[Account]]&amp;GL[[#This Row],[Line]]</f>
        <v>47839</v>
      </c>
      <c r="H271" s="1087">
        <f>ROUND(SUMIF(TB_curr[[#Headers],[#Data],[Lookup_line]],GL[[#This Row],[Lookup line]],TB_curr[[#Headers],[#Data],[Final balance]]),0)</f>
        <v>0</v>
      </c>
      <c r="I271" s="1087">
        <f>ROUND(SUMIF(TB_prev[[#Headers],[#Data],[Lookup_line]],GL[[#This Row],[Lookup line]],TB_prev[[#Headers],[#Data],[Final balance]]),0)</f>
        <v>0</v>
      </c>
    </row>
    <row r="272" spans="1:9" s="196" customFormat="1" ht="12" customHeight="1" x14ac:dyDescent="0.25">
      <c r="A272" s="764" t="s">
        <v>2107</v>
      </c>
      <c r="B272" s="1088" t="s">
        <v>1937</v>
      </c>
      <c r="C272" s="1082" t="str">
        <f t="shared" si="4"/>
        <v/>
      </c>
      <c r="D272" s="230" t="s">
        <v>896</v>
      </c>
      <c r="E272" s="1082" t="s">
        <v>1883</v>
      </c>
      <c r="F272" s="1082" t="str">
        <f>GL[[#This Row],[Line]]&amp;GL[[#This Row],[B/P]]</f>
        <v>42BS</v>
      </c>
      <c r="G272" s="1081" t="str">
        <f>GL[[#This Row],[Account]]&amp;GL[[#This Row],[Line]]</f>
        <v>47842</v>
      </c>
      <c r="H272" s="1087">
        <f>ROUND(SUMIF(TB_curr[[#Headers],[#Data],[Lookup_line]],GL[[#This Row],[Lookup line]],TB_curr[[#Headers],[#Data],[Final balance]]),0)</f>
        <v>0</v>
      </c>
      <c r="I272" s="1087">
        <f>ROUND(SUMIF(TB_prev[[#Headers],[#Data],[Lookup_line]],GL[[#This Row],[Lookup line]],TB_prev[[#Headers],[#Data],[Final balance]]),0)</f>
        <v>0</v>
      </c>
    </row>
    <row r="273" spans="1:9" s="196" customFormat="1" ht="12" customHeight="1" x14ac:dyDescent="0.2">
      <c r="A273" s="764"/>
      <c r="B273" s="1086" t="s">
        <v>1886</v>
      </c>
      <c r="C273" s="1085" t="str">
        <f t="shared" si="4"/>
        <v>479</v>
      </c>
      <c r="D273" s="230"/>
      <c r="E273" s="1082" t="s">
        <v>1883</v>
      </c>
      <c r="F273" s="1082" t="str">
        <f>GL[[#This Row],[Line]]&amp;GL[[#This Row],[B/P]]</f>
        <v>BS</v>
      </c>
      <c r="G273" s="1084" t="str">
        <f>GL[[#This Row],[Account]]&amp;GL[[#This Row],[Line]]</f>
        <v>subtotal</v>
      </c>
      <c r="H273" s="1083">
        <f>ROUND(SUMIF(TB_curr[[#Headers],[#Data],[Lookup_line]],GL[[#This Row],[Lookup line]],TB_curr[[#Headers],[#Data],[Final balance]]),0)</f>
        <v>0</v>
      </c>
      <c r="I273" s="1083">
        <f>ROUND(SUMIF(TB_prev[[#Headers],[#Data],[Lookup_line]],GL[[#This Row],[Lookup line]],TB_prev[[#Headers],[#Data],[Final balance]]),0)</f>
        <v>0</v>
      </c>
    </row>
    <row r="274" spans="1:9" s="174" customFormat="1" ht="12" customHeight="1" x14ac:dyDescent="0.25">
      <c r="A274" s="764" t="s">
        <v>2101</v>
      </c>
      <c r="B274" s="1088" t="s">
        <v>1850</v>
      </c>
      <c r="C274" s="1082" t="str">
        <f t="shared" si="4"/>
        <v/>
      </c>
      <c r="D274" s="230" t="s">
        <v>875</v>
      </c>
      <c r="E274" s="1082" t="s">
        <v>1883</v>
      </c>
      <c r="F274" s="1082" t="str">
        <f>GL[[#This Row],[Line]]&amp;GL[[#This Row],[B/P]]</f>
        <v>35BS</v>
      </c>
      <c r="G274" s="1081" t="str">
        <f>GL[[#This Row],[Account]]&amp;GL[[#This Row],[Line]]</f>
        <v>47935</v>
      </c>
      <c r="H274" s="1087">
        <f>ROUND(SUMIF(TB_curr[[#Headers],[#Data],[Lookup_line]],GL[[#This Row],[Lookup line]],TB_curr[[#Headers],[#Data],[Final balance]]),0)</f>
        <v>0</v>
      </c>
      <c r="I274" s="1087">
        <f>ROUND(SUMIF(TB_prev[[#Headers],[#Data],[Lookup_line]],GL[[#This Row],[Lookup line]],TB_prev[[#Headers],[#Data],[Final balance]]),0)</f>
        <v>0</v>
      </c>
    </row>
    <row r="275" spans="1:9" s="174" customFormat="1" ht="12" customHeight="1" x14ac:dyDescent="0.25">
      <c r="A275" s="764" t="s">
        <v>2104</v>
      </c>
      <c r="B275" s="1088" t="s">
        <v>1850</v>
      </c>
      <c r="C275" s="1082" t="str">
        <f t="shared" si="4"/>
        <v/>
      </c>
      <c r="D275" s="230" t="s">
        <v>887</v>
      </c>
      <c r="E275" s="1082" t="s">
        <v>1883</v>
      </c>
      <c r="F275" s="1082" t="str">
        <f>GL[[#This Row],[Line]]&amp;GL[[#This Row],[B/P]]</f>
        <v>39BS</v>
      </c>
      <c r="G275" s="1081" t="str">
        <f>GL[[#This Row],[Account]]&amp;GL[[#This Row],[Line]]</f>
        <v>47939</v>
      </c>
      <c r="H275" s="1087">
        <f>ROUND(SUMIF(TB_curr[[#Headers],[#Data],[Lookup_line]],GL[[#This Row],[Lookup line]],TB_curr[[#Headers],[#Data],[Final balance]]),0)</f>
        <v>0</v>
      </c>
      <c r="I275" s="1087">
        <f>ROUND(SUMIF(TB_prev[[#Headers],[#Data],[Lookup_line]],GL[[#This Row],[Lookup line]],TB_prev[[#Headers],[#Data],[Final balance]]),0)</f>
        <v>0</v>
      </c>
    </row>
    <row r="276" spans="1:9" s="174" customFormat="1" ht="12" customHeight="1" x14ac:dyDescent="0.2">
      <c r="A276" s="764" t="s">
        <v>2105</v>
      </c>
      <c r="B276" s="1088" t="s">
        <v>1850</v>
      </c>
      <c r="C276" s="1082" t="str">
        <f t="shared" si="4"/>
        <v/>
      </c>
      <c r="D276" s="230" t="s">
        <v>890</v>
      </c>
      <c r="E276" s="1082" t="s">
        <v>1883</v>
      </c>
      <c r="F276" s="1082" t="str">
        <f>GL[[#This Row],[Line]]&amp;GL[[#This Row],[B/P]]</f>
        <v>40BS</v>
      </c>
      <c r="G276" s="1084" t="str">
        <f>GL[[#This Row],[Account]]&amp;GL[[#This Row],[Line]]</f>
        <v>47940</v>
      </c>
      <c r="H276" s="1083">
        <f>ROUND(SUMIF(TB_curr[[#Headers],[#Data],[Lookup_line]],GL[[#This Row],[Lookup line]],TB_curr[[#Headers],[#Data],[Final balance]]),0)</f>
        <v>0</v>
      </c>
      <c r="I276" s="1083">
        <f>ROUND(SUMIF(TB_prev[[#Headers],[#Data],[Lookup_line]],GL[[#This Row],[Lookup line]],TB_prev[[#Headers],[#Data],[Final balance]]),0)</f>
        <v>0</v>
      </c>
    </row>
    <row r="277" spans="1:9" s="174" customFormat="1" ht="12" customHeight="1" x14ac:dyDescent="0.25">
      <c r="A277" s="764" t="s">
        <v>2107</v>
      </c>
      <c r="B277" s="1088" t="s">
        <v>1850</v>
      </c>
      <c r="C277" s="1082" t="str">
        <f t="shared" si="4"/>
        <v/>
      </c>
      <c r="D277" s="230" t="s">
        <v>896</v>
      </c>
      <c r="E277" s="1082" t="s">
        <v>1883</v>
      </c>
      <c r="F277" s="1082" t="str">
        <f>GL[[#This Row],[Line]]&amp;GL[[#This Row],[B/P]]</f>
        <v>42BS</v>
      </c>
      <c r="G277" s="1081" t="str">
        <f>GL[[#This Row],[Account]]&amp;GL[[#This Row],[Line]]</f>
        <v>47942</v>
      </c>
      <c r="H277" s="1087">
        <f>ROUND(SUMIF(TB_curr[[#Headers],[#Data],[Lookup_line]],GL[[#This Row],[Lookup line]],TB_curr[[#Headers],[#Data],[Final balance]]),0)</f>
        <v>0</v>
      </c>
      <c r="I277" s="1087">
        <f>ROUND(SUMIF(TB_prev[[#Headers],[#Data],[Lookup_line]],GL[[#This Row],[Lookup line]],TB_prev[[#Headers],[#Data],[Final balance]]),0)</f>
        <v>0</v>
      </c>
    </row>
    <row r="278" spans="1:9" s="174" customFormat="1" ht="12" customHeight="1" x14ac:dyDescent="0.25">
      <c r="A278" s="764" t="s">
        <v>2094</v>
      </c>
      <c r="B278" s="1088" t="s">
        <v>1936</v>
      </c>
      <c r="C278" s="1082" t="str">
        <f t="shared" si="4"/>
        <v/>
      </c>
      <c r="D278" s="230" t="s">
        <v>851</v>
      </c>
      <c r="E278" s="1082" t="s">
        <v>1883</v>
      </c>
      <c r="F278" s="1082" t="str">
        <f>GL[[#This Row],[Line]]&amp;GL[[#This Row],[B/P]]</f>
        <v>27BS</v>
      </c>
      <c r="G278" s="1081" t="str">
        <f>GL[[#This Row],[Account]]&amp;GL[[#This Row],[Line]]</f>
        <v>49127</v>
      </c>
      <c r="H278" s="1087">
        <f>ROUND(SUMIF(TB_curr[[#Headers],[#Data],[Lookup_line]],GL[[#This Row],[Lookup line]],TB_curr[[#Headers],[#Data],[Final balance]]),0)</f>
        <v>0</v>
      </c>
      <c r="I278" s="1087">
        <f>ROUND(SUMIF(TB_prev[[#Headers],[#Data],[Lookup_line]],GL[[#This Row],[Lookup line]],TB_prev[[#Headers],[#Data],[Final balance]]),0)</f>
        <v>0</v>
      </c>
    </row>
    <row r="279" spans="1:9" s="174" customFormat="1" ht="12" customHeight="1" x14ac:dyDescent="0.2">
      <c r="A279" s="764" t="s">
        <v>2034</v>
      </c>
      <c r="B279" s="1088" t="s">
        <v>1851</v>
      </c>
      <c r="C279" s="1082" t="str">
        <f t="shared" si="4"/>
        <v/>
      </c>
      <c r="D279" s="230" t="s">
        <v>2012</v>
      </c>
      <c r="E279" s="1082" t="s">
        <v>1882</v>
      </c>
      <c r="F279" s="1082" t="str">
        <f>GL[[#This Row],[Line]]&amp;GL[[#This Row],[B/P]]</f>
        <v>210PL</v>
      </c>
      <c r="G279" s="1084" t="str">
        <f>GL[[#This Row],[Account]]&amp;GL[[#This Row],[Line]]</f>
        <v>501210</v>
      </c>
      <c r="H279" s="1083">
        <f>ROUND(SUMIF(TB_curr[[#Headers],[#Data],[Lookup_line]],GL[[#This Row],[Lookup line]],TB_curr[[#Headers],[#Data],[Final balance]]),0)</f>
        <v>0</v>
      </c>
      <c r="I279" s="1083">
        <f>ROUND(SUMIF(TB_prev[[#Headers],[#Data],[Lookup_line]],GL[[#This Row],[Lookup line]],TB_prev[[#Headers],[#Data],[Final balance]]),0)</f>
        <v>0</v>
      </c>
    </row>
    <row r="280" spans="1:9" s="174" customFormat="1" ht="12" customHeight="1" x14ac:dyDescent="0.25">
      <c r="A280" s="764" t="s">
        <v>2034</v>
      </c>
      <c r="B280" s="1088" t="s">
        <v>1852</v>
      </c>
      <c r="C280" s="1082" t="str">
        <f t="shared" si="4"/>
        <v/>
      </c>
      <c r="D280" s="230" t="s">
        <v>2012</v>
      </c>
      <c r="E280" s="1082" t="s">
        <v>1882</v>
      </c>
      <c r="F280" s="1082" t="str">
        <f>GL[[#This Row],[Line]]&amp;GL[[#This Row],[B/P]]</f>
        <v>210PL</v>
      </c>
      <c r="G280" s="1081" t="str">
        <f>GL[[#This Row],[Account]]&amp;GL[[#This Row],[Line]]</f>
        <v>502210</v>
      </c>
      <c r="H280" s="1087">
        <f>ROUND(SUMIF(TB_curr[[#Headers],[#Data],[Lookup_line]],GL[[#This Row],[Lookup line]],TB_curr[[#Headers],[#Data],[Final balance]]),0)</f>
        <v>0</v>
      </c>
      <c r="I280" s="1087">
        <f>ROUND(SUMIF(TB_prev[[#Headers],[#Data],[Lookup_line]],GL[[#This Row],[Lookup line]],TB_prev[[#Headers],[#Data],[Final balance]]),0)</f>
        <v>0</v>
      </c>
    </row>
    <row r="281" spans="1:9" s="174" customFormat="1" ht="12" customHeight="1" x14ac:dyDescent="0.25">
      <c r="A281" s="764" t="s">
        <v>2034</v>
      </c>
      <c r="B281" s="1088" t="s">
        <v>1935</v>
      </c>
      <c r="C281" s="1082" t="str">
        <f t="shared" si="4"/>
        <v/>
      </c>
      <c r="D281" s="230" t="s">
        <v>2012</v>
      </c>
      <c r="E281" s="1082" t="s">
        <v>1882</v>
      </c>
      <c r="F281" s="1082" t="str">
        <f>GL[[#This Row],[Line]]&amp;GL[[#This Row],[B/P]]</f>
        <v>210PL</v>
      </c>
      <c r="G281" s="1081" t="str">
        <f>GL[[#This Row],[Account]]&amp;GL[[#This Row],[Line]]</f>
        <v>503210</v>
      </c>
      <c r="H281" s="1087">
        <f>ROUND(SUMIF(TB_curr[[#Headers],[#Data],[Lookup_line]],GL[[#This Row],[Lookup line]],TB_curr[[#Headers],[#Data],[Final balance]]),0)</f>
        <v>0</v>
      </c>
      <c r="I281" s="1087">
        <f>ROUND(SUMIF(TB_prev[[#Headers],[#Data],[Lookup_line]],GL[[#This Row],[Lookup line]],TB_prev[[#Headers],[#Data],[Final balance]]),0)</f>
        <v>0</v>
      </c>
    </row>
    <row r="282" spans="1:9" s="174" customFormat="1" ht="12" customHeight="1" x14ac:dyDescent="0.2">
      <c r="A282" s="764" t="s">
        <v>2033</v>
      </c>
      <c r="B282" s="1088" t="s">
        <v>1934</v>
      </c>
      <c r="C282" s="1082" t="str">
        <f t="shared" si="4"/>
        <v/>
      </c>
      <c r="D282" s="230" t="s">
        <v>2013</v>
      </c>
      <c r="E282" s="1082" t="s">
        <v>1882</v>
      </c>
      <c r="F282" s="1082" t="str">
        <f>GL[[#This Row],[Line]]&amp;GL[[#This Row],[B/P]]</f>
        <v>209PL</v>
      </c>
      <c r="G282" s="1084" t="str">
        <f>GL[[#This Row],[Account]]&amp;GL[[#This Row],[Line]]</f>
        <v>504209</v>
      </c>
      <c r="H282" s="1083">
        <f>ROUND(SUMIF(TB_curr[[#Headers],[#Data],[Lookup_line]],GL[[#This Row],[Lookup line]],TB_curr[[#Headers],[#Data],[Final balance]]),0)</f>
        <v>0</v>
      </c>
      <c r="I282" s="1083">
        <f>ROUND(SUMIF(TB_prev[[#Headers],[#Data],[Lookup_line]],GL[[#This Row],[Lookup line]],TB_prev[[#Headers],[#Data],[Final balance]]),0)</f>
        <v>0</v>
      </c>
    </row>
    <row r="283" spans="1:9" s="174" customFormat="1" ht="12" customHeight="1" x14ac:dyDescent="0.25">
      <c r="A283" s="764"/>
      <c r="B283" s="1086" t="s">
        <v>1886</v>
      </c>
      <c r="C283" s="1085" t="str">
        <f t="shared" si="4"/>
        <v>505</v>
      </c>
      <c r="D283" s="230"/>
      <c r="E283" s="1082" t="s">
        <v>1882</v>
      </c>
      <c r="F283" s="1082" t="str">
        <f>GL[[#This Row],[Line]]&amp;GL[[#This Row],[B/P]]</f>
        <v>PL</v>
      </c>
      <c r="G283" s="1081" t="str">
        <f>GL[[#This Row],[Account]]&amp;GL[[#This Row],[Line]]</f>
        <v>subtotal</v>
      </c>
      <c r="H283" s="1087">
        <f>ROUND(SUMIF(TB_curr[[#Headers],[#Data],[Lookup_line]],GL[[#This Row],[Lookup line]],TB_curr[[#Headers],[#Data],[Final balance]]),0)</f>
        <v>0</v>
      </c>
      <c r="I283" s="1087">
        <f>ROUND(SUMIF(TB_prev[[#Headers],[#Data],[Lookup_line]],GL[[#This Row],[Lookup line]],TB_prev[[#Headers],[#Data],[Final balance]]),0)</f>
        <v>0</v>
      </c>
    </row>
    <row r="284" spans="1:9" s="174" customFormat="1" ht="12" customHeight="1" x14ac:dyDescent="0.25">
      <c r="A284" s="764" t="s">
        <v>2033</v>
      </c>
      <c r="B284" s="1088" t="s">
        <v>1933</v>
      </c>
      <c r="C284" s="1082" t="str">
        <f t="shared" si="4"/>
        <v/>
      </c>
      <c r="D284" s="230" t="s">
        <v>2013</v>
      </c>
      <c r="E284" s="1082" t="s">
        <v>1882</v>
      </c>
      <c r="F284" s="1082" t="str">
        <f>GL[[#This Row],[Line]]&amp;GL[[#This Row],[B/P]]</f>
        <v>209PL</v>
      </c>
      <c r="G284" s="1081" t="str">
        <f>GL[[#This Row],[Account]]&amp;GL[[#This Row],[Line]]</f>
        <v>505209</v>
      </c>
      <c r="H284" s="1087">
        <f>ROUND(SUMIF(TB_curr[[#Headers],[#Data],[Lookup_line]],GL[[#This Row],[Lookup line]],TB_curr[[#Headers],[#Data],[Final balance]]),0)</f>
        <v>0</v>
      </c>
      <c r="I284" s="1087">
        <f>ROUND(SUMIF(TB_prev[[#Headers],[#Data],[Lookup_line]],GL[[#This Row],[Lookup line]],TB_prev[[#Headers],[#Data],[Final balance]]),0)</f>
        <v>0</v>
      </c>
    </row>
    <row r="285" spans="1:9" s="174" customFormat="1" ht="12" customHeight="1" x14ac:dyDescent="0.2">
      <c r="A285" s="764" t="s">
        <v>2034</v>
      </c>
      <c r="B285" s="1088" t="s">
        <v>1933</v>
      </c>
      <c r="C285" s="1082" t="str">
        <f t="shared" si="4"/>
        <v/>
      </c>
      <c r="D285" s="230" t="s">
        <v>2012</v>
      </c>
      <c r="E285" s="1082" t="s">
        <v>1882</v>
      </c>
      <c r="F285" s="1082" t="str">
        <f>GL[[#This Row],[Line]]&amp;GL[[#This Row],[B/P]]</f>
        <v>210PL</v>
      </c>
      <c r="G285" s="1084" t="str">
        <f>GL[[#This Row],[Account]]&amp;GL[[#This Row],[Line]]</f>
        <v>505210</v>
      </c>
      <c r="H285" s="1083">
        <f>ROUND(SUMIF(TB_curr[[#Headers],[#Data],[Lookup_line]],GL[[#This Row],[Lookup line]],TB_curr[[#Headers],[#Data],[Final balance]]),0)</f>
        <v>0</v>
      </c>
      <c r="I285" s="1083">
        <f>ROUND(SUMIF(TB_prev[[#Headers],[#Data],[Lookup_line]],GL[[#This Row],[Lookup line]],TB_prev[[#Headers],[#Data],[Final balance]]),0)</f>
        <v>0</v>
      </c>
    </row>
    <row r="286" spans="1:9" s="174" customFormat="1" ht="12" customHeight="1" x14ac:dyDescent="0.25">
      <c r="A286" s="764" t="s">
        <v>2033</v>
      </c>
      <c r="B286" s="1088" t="s">
        <v>1932</v>
      </c>
      <c r="C286" s="1082" t="str">
        <f t="shared" si="4"/>
        <v/>
      </c>
      <c r="D286" s="230" t="s">
        <v>2013</v>
      </c>
      <c r="E286" s="1082" t="s">
        <v>1882</v>
      </c>
      <c r="F286" s="1082" t="str">
        <f>GL[[#This Row],[Line]]&amp;GL[[#This Row],[B/P]]</f>
        <v>209PL</v>
      </c>
      <c r="G286" s="1081" t="str">
        <f>GL[[#This Row],[Account]]&amp;GL[[#This Row],[Line]]</f>
        <v>507209</v>
      </c>
      <c r="H286" s="1087">
        <f>ROUND(SUMIF(TB_curr[[#Headers],[#Data],[Lookup_line]],GL[[#This Row],[Lookup line]],TB_curr[[#Headers],[#Data],[Final balance]]),0)</f>
        <v>0</v>
      </c>
      <c r="I286" s="1087">
        <f>ROUND(SUMIF(TB_prev[[#Headers],[#Data],[Lookup_line]],GL[[#This Row],[Lookup line]],TB_prev[[#Headers],[#Data],[Final balance]]),0)</f>
        <v>0</v>
      </c>
    </row>
    <row r="287" spans="1:9" s="174" customFormat="1" ht="12" customHeight="1" x14ac:dyDescent="0.25">
      <c r="A287" s="764" t="s">
        <v>1178</v>
      </c>
      <c r="B287" s="1088" t="s">
        <v>1853</v>
      </c>
      <c r="C287" s="1082" t="str">
        <f t="shared" si="4"/>
        <v/>
      </c>
      <c r="D287" s="230" t="s">
        <v>1825</v>
      </c>
      <c r="E287" s="1082" t="s">
        <v>1882</v>
      </c>
      <c r="F287" s="1082" t="str">
        <f>GL[[#This Row],[Line]]&amp;GL[[#This Row],[B/P]]</f>
        <v>211PL</v>
      </c>
      <c r="G287" s="1081" t="str">
        <f>GL[[#This Row],[Account]]&amp;GL[[#This Row],[Line]]</f>
        <v>511211</v>
      </c>
      <c r="H287" s="1087">
        <f>ROUND(SUMIF(TB_curr[[#Headers],[#Data],[Lookup_line]],GL[[#This Row],[Lookup line]],TB_curr[[#Headers],[#Data],[Final balance]]),0)</f>
        <v>0</v>
      </c>
      <c r="I287" s="1087">
        <f>ROUND(SUMIF(TB_prev[[#Headers],[#Data],[Lookup_line]],GL[[#This Row],[Lookup line]],TB_prev[[#Headers],[#Data],[Final balance]]),0)</f>
        <v>0</v>
      </c>
    </row>
    <row r="288" spans="1:9" s="174" customFormat="1" ht="12" customHeight="1" x14ac:dyDescent="0.2">
      <c r="A288" s="764" t="s">
        <v>1178</v>
      </c>
      <c r="B288" s="1088" t="s">
        <v>1931</v>
      </c>
      <c r="C288" s="1082" t="str">
        <f t="shared" si="4"/>
        <v/>
      </c>
      <c r="D288" s="230" t="s">
        <v>1825</v>
      </c>
      <c r="E288" s="1082" t="s">
        <v>1882</v>
      </c>
      <c r="F288" s="1082" t="str">
        <f>GL[[#This Row],[Line]]&amp;GL[[#This Row],[B/P]]</f>
        <v>211PL</v>
      </c>
      <c r="G288" s="1084" t="str">
        <f>GL[[#This Row],[Account]]&amp;GL[[#This Row],[Line]]</f>
        <v>512211</v>
      </c>
      <c r="H288" s="1083">
        <f>ROUND(SUMIF(TB_curr[[#Headers],[#Data],[Lookup_line]],GL[[#This Row],[Lookup line]],TB_curr[[#Headers],[#Data],[Final balance]]),0)</f>
        <v>0</v>
      </c>
      <c r="I288" s="1083">
        <f>ROUND(SUMIF(TB_prev[[#Headers],[#Data],[Lookup_line]],GL[[#This Row],[Lookup line]],TB_prev[[#Headers],[#Data],[Final balance]]),0)</f>
        <v>0</v>
      </c>
    </row>
    <row r="289" spans="1:9" s="174" customFormat="1" ht="12" customHeight="1" x14ac:dyDescent="0.25">
      <c r="A289" s="764" t="s">
        <v>1178</v>
      </c>
      <c r="B289" s="1088" t="s">
        <v>1870</v>
      </c>
      <c r="C289" s="1082" t="str">
        <f t="shared" si="4"/>
        <v/>
      </c>
      <c r="D289" s="230" t="s">
        <v>1825</v>
      </c>
      <c r="E289" s="1082" t="s">
        <v>1882</v>
      </c>
      <c r="F289" s="1082" t="str">
        <f>GL[[#This Row],[Line]]&amp;GL[[#This Row],[B/P]]</f>
        <v>211PL</v>
      </c>
      <c r="G289" s="1081" t="str">
        <f>GL[[#This Row],[Account]]&amp;GL[[#This Row],[Line]]</f>
        <v>513211</v>
      </c>
      <c r="H289" s="1087">
        <f>ROUND(SUMIF(TB_curr[[#Headers],[#Data],[Lookup_line]],GL[[#This Row],[Lookup line]],TB_curr[[#Headers],[#Data],[Final balance]]),0)</f>
        <v>0</v>
      </c>
      <c r="I289" s="1087">
        <f>ROUND(SUMIF(TB_prev[[#Headers],[#Data],[Lookup_line]],GL[[#This Row],[Lookup line]],TB_prev[[#Headers],[#Data],[Final balance]]),0)</f>
        <v>0</v>
      </c>
    </row>
    <row r="290" spans="1:9" s="174" customFormat="1" ht="12" customHeight="1" x14ac:dyDescent="0.25">
      <c r="A290" s="764" t="s">
        <v>1178</v>
      </c>
      <c r="B290" s="1088" t="s">
        <v>1854</v>
      </c>
      <c r="C290" s="1082" t="str">
        <f t="shared" si="4"/>
        <v/>
      </c>
      <c r="D290" s="230" t="s">
        <v>1825</v>
      </c>
      <c r="E290" s="1082" t="s">
        <v>1882</v>
      </c>
      <c r="F290" s="1082" t="str">
        <f>GL[[#This Row],[Line]]&amp;GL[[#This Row],[B/P]]</f>
        <v>211PL</v>
      </c>
      <c r="G290" s="1081" t="str">
        <f>GL[[#This Row],[Account]]&amp;GL[[#This Row],[Line]]</f>
        <v>518211</v>
      </c>
      <c r="H290" s="1087">
        <f>ROUND(SUMIF(TB_curr[[#Headers],[#Data],[Lookup_line]],GL[[#This Row],[Lookup line]],TB_curr[[#Headers],[#Data],[Final balance]]),0)</f>
        <v>0</v>
      </c>
      <c r="I290" s="1087">
        <f>ROUND(SUMIF(TB_prev[[#Headers],[#Data],[Lookup_line]],GL[[#This Row],[Lookup line]],TB_prev[[#Headers],[#Data],[Final balance]]),0)</f>
        <v>0</v>
      </c>
    </row>
    <row r="291" spans="1:9" s="174" customFormat="1" ht="12" customHeight="1" x14ac:dyDescent="0.25">
      <c r="A291" s="764" t="s">
        <v>2035</v>
      </c>
      <c r="B291" s="1088" t="s">
        <v>1930</v>
      </c>
      <c r="C291" s="1082" t="str">
        <f t="shared" si="4"/>
        <v/>
      </c>
      <c r="D291" s="230" t="s">
        <v>2036</v>
      </c>
      <c r="E291" s="1082" t="s">
        <v>1882</v>
      </c>
      <c r="F291" s="1082" t="str">
        <f>GL[[#This Row],[Line]]&amp;GL[[#This Row],[B/P]]</f>
        <v>212PL</v>
      </c>
      <c r="G291" s="1081" t="str">
        <f>GL[[#This Row],[Account]]&amp;GL[[#This Row],[Line]]</f>
        <v>521212</v>
      </c>
      <c r="H291" s="1087">
        <f>ROUND(SUMIF(TB_curr[[#Headers],[#Data],[Lookup_line]],GL[[#This Row],[Lookup line]],TB_curr[[#Headers],[#Data],[Final balance]]),0)</f>
        <v>0</v>
      </c>
      <c r="I291" s="1087">
        <f>ROUND(SUMIF(TB_prev[[#Headers],[#Data],[Lookup_line]],GL[[#This Row],[Lookup line]],TB_prev[[#Headers],[#Data],[Final balance]]),0)</f>
        <v>0</v>
      </c>
    </row>
    <row r="292" spans="1:9" s="174" customFormat="1" ht="12" customHeight="1" x14ac:dyDescent="0.25">
      <c r="A292" s="764" t="s">
        <v>2035</v>
      </c>
      <c r="B292" s="1088" t="s">
        <v>1929</v>
      </c>
      <c r="C292" s="1082" t="str">
        <f t="shared" si="4"/>
        <v/>
      </c>
      <c r="D292" s="230" t="s">
        <v>2036</v>
      </c>
      <c r="E292" s="1082" t="s">
        <v>1882</v>
      </c>
      <c r="F292" s="1082" t="str">
        <f>GL[[#This Row],[Line]]&amp;GL[[#This Row],[B/P]]</f>
        <v>212PL</v>
      </c>
      <c r="G292" s="1081" t="str">
        <f>GL[[#This Row],[Account]]&amp;GL[[#This Row],[Line]]</f>
        <v>522212</v>
      </c>
      <c r="H292" s="1087">
        <f>ROUND(SUMIF(TB_curr[[#Headers],[#Data],[Lookup_line]],GL[[#This Row],[Lookup line]],TB_curr[[#Headers],[#Data],[Final balance]]),0)</f>
        <v>0</v>
      </c>
      <c r="I292" s="1087">
        <f>ROUND(SUMIF(TB_prev[[#Headers],[#Data],[Lookup_line]],GL[[#This Row],[Lookup line]],TB_prev[[#Headers],[#Data],[Final balance]]),0)</f>
        <v>0</v>
      </c>
    </row>
    <row r="293" spans="1:9" s="174" customFormat="1" ht="12" customHeight="1" x14ac:dyDescent="0.25">
      <c r="A293" s="764" t="s">
        <v>2035</v>
      </c>
      <c r="B293" s="1088" t="s">
        <v>1928</v>
      </c>
      <c r="C293" s="1082" t="str">
        <f t="shared" si="4"/>
        <v/>
      </c>
      <c r="D293" s="230" t="s">
        <v>2036</v>
      </c>
      <c r="E293" s="1082" t="s">
        <v>1882</v>
      </c>
      <c r="F293" s="1082" t="str">
        <f>GL[[#This Row],[Line]]&amp;GL[[#This Row],[B/P]]</f>
        <v>212PL</v>
      </c>
      <c r="G293" s="1081" t="str">
        <f>GL[[#This Row],[Account]]&amp;GL[[#This Row],[Line]]</f>
        <v>523212</v>
      </c>
      <c r="H293" s="1087">
        <f>ROUND(SUMIF(TB_curr[[#Headers],[#Data],[Lookup_line]],GL[[#This Row],[Lookup line]],TB_curr[[#Headers],[#Data],[Final balance]]),0)</f>
        <v>0</v>
      </c>
      <c r="I293" s="1087">
        <f>ROUND(SUMIF(TB_prev[[#Headers],[#Data],[Lookup_line]],GL[[#This Row],[Lookup line]],TB_prev[[#Headers],[#Data],[Final balance]]),0)</f>
        <v>0</v>
      </c>
    </row>
    <row r="294" spans="1:9" s="174" customFormat="1" ht="12" customHeight="1" x14ac:dyDescent="0.25">
      <c r="A294" s="764" t="s">
        <v>2035</v>
      </c>
      <c r="B294" s="1088" t="s">
        <v>1927</v>
      </c>
      <c r="C294" s="1082" t="str">
        <f t="shared" si="4"/>
        <v/>
      </c>
      <c r="D294" s="230" t="s">
        <v>2036</v>
      </c>
      <c r="E294" s="1082" t="s">
        <v>1882</v>
      </c>
      <c r="F294" s="1082" t="str">
        <f>GL[[#This Row],[Line]]&amp;GL[[#This Row],[B/P]]</f>
        <v>212PL</v>
      </c>
      <c r="G294" s="1081" t="str">
        <f>GL[[#This Row],[Account]]&amp;GL[[#This Row],[Line]]</f>
        <v>524212</v>
      </c>
      <c r="H294" s="1087">
        <f>ROUND(SUMIF(TB_curr[[#Headers],[#Data],[Lookup_line]],GL[[#This Row],[Lookup line]],TB_curr[[#Headers],[#Data],[Final balance]]),0)</f>
        <v>0</v>
      </c>
      <c r="I294" s="1087">
        <f>ROUND(SUMIF(TB_prev[[#Headers],[#Data],[Lookup_line]],GL[[#This Row],[Lookup line]],TB_prev[[#Headers],[#Data],[Final balance]]),0)</f>
        <v>0</v>
      </c>
    </row>
    <row r="295" spans="1:9" s="174" customFormat="1" ht="12" customHeight="1" x14ac:dyDescent="0.25">
      <c r="A295" s="764" t="s">
        <v>2035</v>
      </c>
      <c r="B295" s="1088" t="s">
        <v>1926</v>
      </c>
      <c r="C295" s="1082" t="str">
        <f t="shared" si="4"/>
        <v/>
      </c>
      <c r="D295" s="230" t="s">
        <v>2036</v>
      </c>
      <c r="E295" s="1082" t="s">
        <v>1882</v>
      </c>
      <c r="F295" s="1082" t="str">
        <f>GL[[#This Row],[Line]]&amp;GL[[#This Row],[B/P]]</f>
        <v>212PL</v>
      </c>
      <c r="G295" s="1081" t="str">
        <f>GL[[#This Row],[Account]]&amp;GL[[#This Row],[Line]]</f>
        <v>525212</v>
      </c>
      <c r="H295" s="1087">
        <f>ROUND(SUMIF(TB_curr[[#Headers],[#Data],[Lookup_line]],GL[[#This Row],[Lookup line]],TB_curr[[#Headers],[#Data],[Final balance]]),0)</f>
        <v>0</v>
      </c>
      <c r="I295" s="1087">
        <f>ROUND(SUMIF(TB_prev[[#Headers],[#Data],[Lookup_line]],GL[[#This Row],[Lookup line]],TB_prev[[#Headers],[#Data],[Final balance]]),0)</f>
        <v>0</v>
      </c>
    </row>
    <row r="296" spans="1:9" s="196" customFormat="1" ht="12" customHeight="1" x14ac:dyDescent="0.25">
      <c r="A296" s="764" t="s">
        <v>2035</v>
      </c>
      <c r="B296" s="1088" t="s">
        <v>1925</v>
      </c>
      <c r="C296" s="1082" t="str">
        <f t="shared" si="4"/>
        <v/>
      </c>
      <c r="D296" s="230" t="s">
        <v>2036</v>
      </c>
      <c r="E296" s="1082" t="s">
        <v>1882</v>
      </c>
      <c r="F296" s="1082" t="str">
        <f>GL[[#This Row],[Line]]&amp;GL[[#This Row],[B/P]]</f>
        <v>212PL</v>
      </c>
      <c r="G296" s="1081" t="str">
        <f>GL[[#This Row],[Account]]&amp;GL[[#This Row],[Line]]</f>
        <v>526212</v>
      </c>
      <c r="H296" s="1087">
        <f>ROUND(SUMIF(TB_curr[[#Headers],[#Data],[Lookup_line]],GL[[#This Row],[Lookup line]],TB_curr[[#Headers],[#Data],[Final balance]]),0)</f>
        <v>0</v>
      </c>
      <c r="I296" s="1087">
        <f>ROUND(SUMIF(TB_prev[[#Headers],[#Data],[Lookup_line]],GL[[#This Row],[Lookup line]],TB_prev[[#Headers],[#Data],[Final balance]]),0)</f>
        <v>0</v>
      </c>
    </row>
    <row r="297" spans="1:9" s="196" customFormat="1" ht="12" customHeight="1" x14ac:dyDescent="0.2">
      <c r="A297" s="764" t="s">
        <v>2035</v>
      </c>
      <c r="B297" s="1088" t="s">
        <v>1924</v>
      </c>
      <c r="C297" s="1082" t="str">
        <f t="shared" si="4"/>
        <v/>
      </c>
      <c r="D297" s="230" t="s">
        <v>2036</v>
      </c>
      <c r="E297" s="1082" t="s">
        <v>1882</v>
      </c>
      <c r="F297" s="1082" t="str">
        <f>GL[[#This Row],[Line]]&amp;GL[[#This Row],[B/P]]</f>
        <v>212PL</v>
      </c>
      <c r="G297" s="1084" t="str">
        <f>GL[[#This Row],[Account]]&amp;GL[[#This Row],[Line]]</f>
        <v>527212</v>
      </c>
      <c r="H297" s="1083">
        <f>ROUND(SUMIF(TB_curr[[#Headers],[#Data],[Lookup_line]],GL[[#This Row],[Lookup line]],TB_curr[[#Headers],[#Data],[Final balance]]),0)</f>
        <v>0</v>
      </c>
      <c r="I297" s="1083">
        <f>ROUND(SUMIF(TB_prev[[#Headers],[#Data],[Lookup_line]],GL[[#This Row],[Lookup line]],TB_prev[[#Headers],[#Data],[Final balance]]),0)</f>
        <v>0</v>
      </c>
    </row>
    <row r="298" spans="1:9" s="196" customFormat="1" ht="12" customHeight="1" x14ac:dyDescent="0.25">
      <c r="A298" s="764" t="s">
        <v>2035</v>
      </c>
      <c r="B298" s="1088" t="s">
        <v>1923</v>
      </c>
      <c r="C298" s="1082" t="str">
        <f t="shared" si="4"/>
        <v/>
      </c>
      <c r="D298" s="230" t="s">
        <v>2036</v>
      </c>
      <c r="E298" s="1082" t="s">
        <v>1882</v>
      </c>
      <c r="F298" s="1082" t="str">
        <f>GL[[#This Row],[Line]]&amp;GL[[#This Row],[B/P]]</f>
        <v>212PL</v>
      </c>
      <c r="G298" s="1081" t="str">
        <f>GL[[#This Row],[Account]]&amp;GL[[#This Row],[Line]]</f>
        <v>528212</v>
      </c>
      <c r="H298" s="1087">
        <f>ROUND(SUMIF(TB_curr[[#Headers],[#Data],[Lookup_line]],GL[[#This Row],[Lookup line]],TB_curr[[#Headers],[#Data],[Final balance]]),0)</f>
        <v>0</v>
      </c>
      <c r="I298" s="1087">
        <f>ROUND(SUMIF(TB_prev[[#Headers],[#Data],[Lookup_line]],GL[[#This Row],[Lookup line]],TB_prev[[#Headers],[#Data],[Final balance]]),0)</f>
        <v>0</v>
      </c>
    </row>
    <row r="299" spans="1:9" s="196" customFormat="1" ht="12" customHeight="1" x14ac:dyDescent="0.25">
      <c r="A299" s="764" t="s">
        <v>1171</v>
      </c>
      <c r="B299" s="1088" t="s">
        <v>1922</v>
      </c>
      <c r="C299" s="1082" t="str">
        <f t="shared" si="4"/>
        <v/>
      </c>
      <c r="D299" s="230" t="s">
        <v>1993</v>
      </c>
      <c r="E299" s="1082" t="s">
        <v>1882</v>
      </c>
      <c r="F299" s="1082" t="str">
        <f>GL[[#This Row],[Line]]&amp;GL[[#This Row],[B/P]]</f>
        <v>213PL</v>
      </c>
      <c r="G299" s="1081" t="str">
        <f>GL[[#This Row],[Account]]&amp;GL[[#This Row],[Line]]</f>
        <v>531213</v>
      </c>
      <c r="H299" s="1087">
        <f>ROUND(SUMIF(TB_curr[[#Headers],[#Data],[Lookup_line]],GL[[#This Row],[Lookup line]],TB_curr[[#Headers],[#Data],[Final balance]]),0)</f>
        <v>0</v>
      </c>
      <c r="I299" s="1087">
        <f>ROUND(SUMIF(TB_prev[[#Headers],[#Data],[Lookup_line]],GL[[#This Row],[Lookup line]],TB_prev[[#Headers],[#Data],[Final balance]]),0)</f>
        <v>0</v>
      </c>
    </row>
    <row r="300" spans="1:9" s="196" customFormat="1" ht="12" customHeight="1" x14ac:dyDescent="0.25">
      <c r="A300" s="764" t="s">
        <v>1171</v>
      </c>
      <c r="B300" s="1088" t="s">
        <v>1855</v>
      </c>
      <c r="C300" s="1082" t="str">
        <f t="shared" si="4"/>
        <v/>
      </c>
      <c r="D300" s="230" t="s">
        <v>1993</v>
      </c>
      <c r="E300" s="1082" t="s">
        <v>1882</v>
      </c>
      <c r="F300" s="1082" t="str">
        <f>GL[[#This Row],[Line]]&amp;GL[[#This Row],[B/P]]</f>
        <v>213PL</v>
      </c>
      <c r="G300" s="1081" t="str">
        <f>GL[[#This Row],[Account]]&amp;GL[[#This Row],[Line]]</f>
        <v>532213</v>
      </c>
      <c r="H300" s="1087">
        <f>ROUND(SUMIF(TB_curr[[#Headers],[#Data],[Lookup_line]],GL[[#This Row],[Lookup line]],TB_curr[[#Headers],[#Data],[Final balance]]),0)</f>
        <v>0</v>
      </c>
      <c r="I300" s="1087">
        <f>ROUND(SUMIF(TB_prev[[#Headers],[#Data],[Lookup_line]],GL[[#This Row],[Lookup line]],TB_prev[[#Headers],[#Data],[Final balance]]),0)</f>
        <v>0</v>
      </c>
    </row>
    <row r="301" spans="1:9" s="196" customFormat="1" ht="12" customHeight="1" x14ac:dyDescent="0.25">
      <c r="A301" s="764" t="s">
        <v>1171</v>
      </c>
      <c r="B301" s="1088" t="s">
        <v>1856</v>
      </c>
      <c r="C301" s="1082" t="str">
        <f t="shared" si="4"/>
        <v/>
      </c>
      <c r="D301" s="230" t="s">
        <v>1993</v>
      </c>
      <c r="E301" s="1082" t="s">
        <v>1882</v>
      </c>
      <c r="F301" s="1082" t="str">
        <f>GL[[#This Row],[Line]]&amp;GL[[#This Row],[B/P]]</f>
        <v>213PL</v>
      </c>
      <c r="G301" s="1081" t="str">
        <f>GL[[#This Row],[Account]]&amp;GL[[#This Row],[Line]]</f>
        <v>538213</v>
      </c>
      <c r="H301" s="1087">
        <f>ROUND(SUMIF(TB_curr[[#Headers],[#Data],[Lookup_line]],GL[[#This Row],[Lookup line]],TB_curr[[#Headers],[#Data],[Final balance]]),0)</f>
        <v>0</v>
      </c>
      <c r="I301" s="1087">
        <f>ROUND(SUMIF(TB_prev[[#Headers],[#Data],[Lookup_line]],GL[[#This Row],[Lookup line]],TB_prev[[#Headers],[#Data],[Final balance]]),0)</f>
        <v>0</v>
      </c>
    </row>
    <row r="302" spans="1:9" s="196" customFormat="1" ht="12" customHeight="1" x14ac:dyDescent="0.25">
      <c r="A302" s="764" t="s">
        <v>2038</v>
      </c>
      <c r="B302" s="1088" t="s">
        <v>1921</v>
      </c>
      <c r="C302" s="1082" t="str">
        <f t="shared" si="4"/>
        <v/>
      </c>
      <c r="D302" s="230" t="s">
        <v>2039</v>
      </c>
      <c r="E302" s="1082" t="s">
        <v>1882</v>
      </c>
      <c r="F302" s="1082" t="str">
        <f>GL[[#This Row],[Line]]&amp;GL[[#This Row],[B/P]]</f>
        <v>215PL</v>
      </c>
      <c r="G302" s="1081" t="str">
        <f>GL[[#This Row],[Account]]&amp;GL[[#This Row],[Line]]</f>
        <v>541215</v>
      </c>
      <c r="H302" s="1087">
        <f>ROUND(SUMIF(TB_curr[[#Headers],[#Data],[Lookup_line]],GL[[#This Row],[Lookup line]],TB_curr[[#Headers],[#Data],[Final balance]]),0)</f>
        <v>0</v>
      </c>
      <c r="I302" s="1087">
        <f>ROUND(SUMIF(TB_prev[[#Headers],[#Data],[Lookup_line]],GL[[#This Row],[Lookup line]],TB_prev[[#Headers],[#Data],[Final balance]]),0)</f>
        <v>0</v>
      </c>
    </row>
    <row r="303" spans="1:9" s="196" customFormat="1" ht="12" customHeight="1" x14ac:dyDescent="0.25">
      <c r="A303" s="764" t="s">
        <v>2038</v>
      </c>
      <c r="B303" s="1088" t="s">
        <v>1920</v>
      </c>
      <c r="C303" s="1082" t="str">
        <f t="shared" si="4"/>
        <v/>
      </c>
      <c r="D303" s="230" t="s">
        <v>2039</v>
      </c>
      <c r="E303" s="1082" t="s">
        <v>1882</v>
      </c>
      <c r="F303" s="1082" t="str">
        <f>GL[[#This Row],[Line]]&amp;GL[[#This Row],[B/P]]</f>
        <v>215PL</v>
      </c>
      <c r="G303" s="1081" t="str">
        <f>GL[[#This Row],[Account]]&amp;GL[[#This Row],[Line]]</f>
        <v>542215</v>
      </c>
      <c r="H303" s="1087">
        <f>ROUND(SUMIF(TB_curr[[#Headers],[#Data],[Lookup_line]],GL[[#This Row],[Lookup line]],TB_curr[[#Headers],[#Data],[Final balance]]),0)</f>
        <v>0</v>
      </c>
      <c r="I303" s="1087">
        <f>ROUND(SUMIF(TB_prev[[#Headers],[#Data],[Lookup_line]],GL[[#This Row],[Lookup line]],TB_prev[[#Headers],[#Data],[Final balance]]),0)</f>
        <v>0</v>
      </c>
    </row>
    <row r="304" spans="1:9" s="196" customFormat="1" ht="12" customHeight="1" x14ac:dyDescent="0.2">
      <c r="A304" s="764" t="s">
        <v>2042</v>
      </c>
      <c r="B304" s="1088" t="s">
        <v>1919</v>
      </c>
      <c r="C304" s="1082" t="str">
        <f t="shared" si="4"/>
        <v/>
      </c>
      <c r="D304" s="230" t="s">
        <v>2014</v>
      </c>
      <c r="E304" s="1082" t="s">
        <v>1882</v>
      </c>
      <c r="F304" s="1082" t="str">
        <f>GL[[#This Row],[Line]]&amp;GL[[#This Row],[B/P]]</f>
        <v>217PL</v>
      </c>
      <c r="G304" s="1084" t="str">
        <f>GL[[#This Row],[Account]]&amp;GL[[#This Row],[Line]]</f>
        <v>543217</v>
      </c>
      <c r="H304" s="1083">
        <f>ROUND(SUMIF(TB_curr[[#Headers],[#Data],[Lookup_line]],GL[[#This Row],[Lookup line]],TB_curr[[#Headers],[#Data],[Final balance]]),0)</f>
        <v>0</v>
      </c>
      <c r="I304" s="1083">
        <f>ROUND(SUMIF(TB_prev[[#Headers],[#Data],[Lookup_line]],GL[[#This Row],[Lookup line]],TB_prev[[#Headers],[#Data],[Final balance]]),0)</f>
        <v>0</v>
      </c>
    </row>
    <row r="305" spans="1:9" s="196" customFormat="1" ht="12" customHeight="1" x14ac:dyDescent="0.25">
      <c r="A305" s="764" t="s">
        <v>2042</v>
      </c>
      <c r="B305" s="1088" t="s">
        <v>1869</v>
      </c>
      <c r="C305" s="1082" t="str">
        <f t="shared" si="4"/>
        <v/>
      </c>
      <c r="D305" s="230" t="s">
        <v>2014</v>
      </c>
      <c r="E305" s="1082" t="s">
        <v>1882</v>
      </c>
      <c r="F305" s="1082" t="str">
        <f>GL[[#This Row],[Line]]&amp;GL[[#This Row],[B/P]]</f>
        <v>217PL</v>
      </c>
      <c r="G305" s="1081" t="str">
        <f>GL[[#This Row],[Account]]&amp;GL[[#This Row],[Line]]</f>
        <v>544217</v>
      </c>
      <c r="H305" s="1087">
        <f>ROUND(SUMIF(TB_curr[[#Headers],[#Data],[Lookup_line]],GL[[#This Row],[Lookup line]],TB_curr[[#Headers],[#Data],[Final balance]]),0)</f>
        <v>0</v>
      </c>
      <c r="I305" s="1087">
        <f>ROUND(SUMIF(TB_prev[[#Headers],[#Data],[Lookup_line]],GL[[#This Row],[Lookup line]],TB_prev[[#Headers],[#Data],[Final balance]]),0)</f>
        <v>0</v>
      </c>
    </row>
    <row r="306" spans="1:9" s="196" customFormat="1" ht="12" customHeight="1" x14ac:dyDescent="0.25">
      <c r="A306" s="764" t="s">
        <v>2042</v>
      </c>
      <c r="B306" s="1088" t="s">
        <v>1918</v>
      </c>
      <c r="C306" s="1082" t="str">
        <f t="shared" si="4"/>
        <v/>
      </c>
      <c r="D306" s="230" t="s">
        <v>2014</v>
      </c>
      <c r="E306" s="1082" t="s">
        <v>1882</v>
      </c>
      <c r="F306" s="1082" t="str">
        <f>GL[[#This Row],[Line]]&amp;GL[[#This Row],[B/P]]</f>
        <v>217PL</v>
      </c>
      <c r="G306" s="1081" t="str">
        <f>GL[[#This Row],[Account]]&amp;GL[[#This Row],[Line]]</f>
        <v>545217</v>
      </c>
      <c r="H306" s="1087">
        <f>ROUND(SUMIF(TB_curr[[#Headers],[#Data],[Lookup_line]],GL[[#This Row],[Lookup line]],TB_curr[[#Headers],[#Data],[Final balance]]),0)</f>
        <v>0</v>
      </c>
      <c r="I306" s="1087">
        <f>ROUND(SUMIF(TB_prev[[#Headers],[#Data],[Lookup_line]],GL[[#This Row],[Lookup line]],TB_prev[[#Headers],[#Data],[Final balance]]),0)</f>
        <v>0</v>
      </c>
    </row>
    <row r="307" spans="1:9" s="196" customFormat="1" ht="12" customHeight="1" x14ac:dyDescent="0.25">
      <c r="A307" s="764" t="s">
        <v>2042</v>
      </c>
      <c r="B307" s="1088" t="s">
        <v>1917</v>
      </c>
      <c r="C307" s="1082" t="str">
        <f t="shared" si="4"/>
        <v/>
      </c>
      <c r="D307" s="230" t="s">
        <v>2014</v>
      </c>
      <c r="E307" s="1082" t="s">
        <v>1882</v>
      </c>
      <c r="F307" s="1082" t="str">
        <f>GL[[#This Row],[Line]]&amp;GL[[#This Row],[B/P]]</f>
        <v>217PL</v>
      </c>
      <c r="G307" s="1081" t="str">
        <f>GL[[#This Row],[Account]]&amp;GL[[#This Row],[Line]]</f>
        <v>546217</v>
      </c>
      <c r="H307" s="1087">
        <f>ROUND(SUMIF(TB_curr[[#Headers],[#Data],[Lookup_line]],GL[[#This Row],[Lookup line]],TB_curr[[#Headers],[#Data],[Final balance]]),0)</f>
        <v>0</v>
      </c>
      <c r="I307" s="1087">
        <f>ROUND(SUMIF(TB_prev[[#Headers],[#Data],[Lookup_line]],GL[[#This Row],[Lookup line]],TB_prev[[#Headers],[#Data],[Final balance]]),0)</f>
        <v>0</v>
      </c>
    </row>
    <row r="308" spans="1:9" s="196" customFormat="1" ht="12" customHeight="1" x14ac:dyDescent="0.2">
      <c r="A308" s="764" t="s">
        <v>2040</v>
      </c>
      <c r="B308" s="1088" t="s">
        <v>1857</v>
      </c>
      <c r="C308" s="1082" t="str">
        <f t="shared" si="4"/>
        <v/>
      </c>
      <c r="D308" s="230" t="s">
        <v>2041</v>
      </c>
      <c r="E308" s="1082" t="s">
        <v>1882</v>
      </c>
      <c r="F308" s="1082" t="str">
        <f>GL[[#This Row],[Line]]&amp;GL[[#This Row],[B/P]]</f>
        <v>216PL</v>
      </c>
      <c r="G308" s="1084" t="str">
        <f>GL[[#This Row],[Account]]&amp;GL[[#This Row],[Line]]</f>
        <v>547216</v>
      </c>
      <c r="H308" s="1083">
        <f>ROUND(SUMIF(TB_curr[[#Headers],[#Data],[Lookup_line]],GL[[#This Row],[Lookup line]],TB_curr[[#Headers],[#Data],[Final balance]]),0)</f>
        <v>0</v>
      </c>
      <c r="I308" s="1083">
        <f>ROUND(SUMIF(TB_prev[[#Headers],[#Data],[Lookup_line]],GL[[#This Row],[Lookup line]],TB_prev[[#Headers],[#Data],[Final balance]]),0)</f>
        <v>0</v>
      </c>
    </row>
    <row r="309" spans="1:9" s="196" customFormat="1" ht="12" customHeight="1" x14ac:dyDescent="0.2">
      <c r="A309" s="764" t="s">
        <v>2042</v>
      </c>
      <c r="B309" s="1088" t="s">
        <v>1858</v>
      </c>
      <c r="C309" s="1082" t="str">
        <f t="shared" si="4"/>
        <v/>
      </c>
      <c r="D309" s="230" t="s">
        <v>2014</v>
      </c>
      <c r="E309" s="1082" t="s">
        <v>1882</v>
      </c>
      <c r="F309" s="1082" t="str">
        <f>GL[[#This Row],[Line]]&amp;GL[[#This Row],[B/P]]</f>
        <v>217PL</v>
      </c>
      <c r="G309" s="1084" t="str">
        <f>GL[[#This Row],[Account]]&amp;GL[[#This Row],[Line]]</f>
        <v>548217</v>
      </c>
      <c r="H309" s="1083">
        <f>ROUND(SUMIF(TB_curr[[#Headers],[#Data],[Lookup_line]],GL[[#This Row],[Lookup line]],TB_curr[[#Headers],[#Data],[Final balance]]),0)</f>
        <v>0</v>
      </c>
      <c r="I309" s="1083">
        <f>ROUND(SUMIF(TB_prev[[#Headers],[#Data],[Lookup_line]],GL[[#This Row],[Lookup line]],TB_prev[[#Headers],[#Data],[Final balance]]),0)</f>
        <v>0</v>
      </c>
    </row>
    <row r="310" spans="1:9" s="196" customFormat="1" ht="12" customHeight="1" x14ac:dyDescent="0.25">
      <c r="A310" s="764" t="s">
        <v>2042</v>
      </c>
      <c r="B310" s="1088" t="s">
        <v>1916</v>
      </c>
      <c r="C310" s="1082" t="str">
        <f t="shared" si="4"/>
        <v/>
      </c>
      <c r="D310" s="230" t="s">
        <v>2014</v>
      </c>
      <c r="E310" s="1082" t="s">
        <v>1882</v>
      </c>
      <c r="F310" s="1082" t="str">
        <f>GL[[#This Row],[Line]]&amp;GL[[#This Row],[B/P]]</f>
        <v>217PL</v>
      </c>
      <c r="G310" s="1081" t="str">
        <f>GL[[#This Row],[Account]]&amp;GL[[#This Row],[Line]]</f>
        <v>549217</v>
      </c>
      <c r="H310" s="1087">
        <f>ROUND(SUMIF(TB_curr[[#Headers],[#Data],[Lookup_line]],GL[[#This Row],[Lookup line]],TB_curr[[#Headers],[#Data],[Final balance]]),0)</f>
        <v>0</v>
      </c>
      <c r="I310" s="1087">
        <f>ROUND(SUMIF(TB_prev[[#Headers],[#Data],[Lookup_line]],GL[[#This Row],[Lookup line]],TB_prev[[#Headers],[#Data],[Final balance]]),0)</f>
        <v>0</v>
      </c>
    </row>
    <row r="311" spans="1:9" s="196" customFormat="1" ht="12" customHeight="1" x14ac:dyDescent="0.25">
      <c r="A311" s="764" t="s">
        <v>2037</v>
      </c>
      <c r="B311" s="1088" t="s">
        <v>1859</v>
      </c>
      <c r="C311" s="1082" t="str">
        <f t="shared" si="4"/>
        <v/>
      </c>
      <c r="D311" s="230" t="s">
        <v>2015</v>
      </c>
      <c r="E311" s="1082" t="s">
        <v>1882</v>
      </c>
      <c r="F311" s="1082" t="str">
        <f>GL[[#This Row],[Line]]&amp;GL[[#This Row],[B/P]]</f>
        <v>214PL</v>
      </c>
      <c r="G311" s="1081" t="str">
        <f>GL[[#This Row],[Account]]&amp;GL[[#This Row],[Line]]</f>
        <v>551214</v>
      </c>
      <c r="H311" s="1087">
        <f>ROUND(SUMIF(TB_curr[[#Headers],[#Data],[Lookup_line]],GL[[#This Row],[Lookup line]],TB_curr[[#Headers],[#Data],[Final balance]]),0)</f>
        <v>0</v>
      </c>
      <c r="I311" s="1087">
        <f>ROUND(SUMIF(TB_prev[[#Headers],[#Data],[Lookup_line]],GL[[#This Row],[Lookup line]],TB_prev[[#Headers],[#Data],[Final balance]]),0)</f>
        <v>0</v>
      </c>
    </row>
    <row r="312" spans="1:9" s="196" customFormat="1" ht="12" customHeight="1" x14ac:dyDescent="0.25">
      <c r="A312" s="764" t="s">
        <v>2037</v>
      </c>
      <c r="B312" s="1088" t="s">
        <v>1860</v>
      </c>
      <c r="C312" s="1082" t="str">
        <f t="shared" si="4"/>
        <v/>
      </c>
      <c r="D312" s="230" t="s">
        <v>2015</v>
      </c>
      <c r="E312" s="1082" t="s">
        <v>1882</v>
      </c>
      <c r="F312" s="1082" t="str">
        <f>GL[[#This Row],[Line]]&amp;GL[[#This Row],[B/P]]</f>
        <v>214PL</v>
      </c>
      <c r="G312" s="1081" t="str">
        <f>GL[[#This Row],[Account]]&amp;GL[[#This Row],[Line]]</f>
        <v>553214</v>
      </c>
      <c r="H312" s="1087">
        <f>ROUND(SUMIF(TB_curr[[#Headers],[#Data],[Lookup_line]],GL[[#This Row],[Lookup line]],TB_curr[[#Headers],[#Data],[Final balance]]),0)</f>
        <v>0</v>
      </c>
      <c r="I312" s="1087">
        <f>ROUND(SUMIF(TB_prev[[#Headers],[#Data],[Lookup_line]],GL[[#This Row],[Lookup line]],TB_prev[[#Headers],[#Data],[Final balance]]),0)</f>
        <v>0</v>
      </c>
    </row>
    <row r="313" spans="1:9" s="196" customFormat="1" ht="12" customHeight="1" x14ac:dyDescent="0.2">
      <c r="A313" s="764" t="s">
        <v>2042</v>
      </c>
      <c r="B313" s="1088" t="s">
        <v>1915</v>
      </c>
      <c r="C313" s="1082" t="str">
        <f t="shared" si="4"/>
        <v/>
      </c>
      <c r="D313" s="230" t="s">
        <v>2014</v>
      </c>
      <c r="E313" s="1082" t="s">
        <v>1882</v>
      </c>
      <c r="F313" s="1082" t="str">
        <f>GL[[#This Row],[Line]]&amp;GL[[#This Row],[B/P]]</f>
        <v>217PL</v>
      </c>
      <c r="G313" s="1084" t="str">
        <f>GL[[#This Row],[Account]]&amp;GL[[#This Row],[Line]]</f>
        <v>555217</v>
      </c>
      <c r="H313" s="1083">
        <f>ROUND(SUMIF(TB_curr[[#Headers],[#Data],[Lookup_line]],GL[[#This Row],[Lookup line]],TB_curr[[#Headers],[#Data],[Final balance]]),0)</f>
        <v>0</v>
      </c>
      <c r="I313" s="1083">
        <f>ROUND(SUMIF(TB_prev[[#Headers],[#Data],[Lookup_line]],GL[[#This Row],[Lookup line]],TB_prev[[#Headers],[#Data],[Final balance]]),0)</f>
        <v>0</v>
      </c>
    </row>
    <row r="314" spans="1:9" s="196" customFormat="1" ht="12" customHeight="1" x14ac:dyDescent="0.25">
      <c r="A314" s="764" t="s">
        <v>2042</v>
      </c>
      <c r="B314" s="1088" t="s">
        <v>1914</v>
      </c>
      <c r="C314" s="1082" t="str">
        <f t="shared" si="4"/>
        <v/>
      </c>
      <c r="D314" s="230" t="s">
        <v>2014</v>
      </c>
      <c r="E314" s="1082" t="s">
        <v>1882</v>
      </c>
      <c r="F314" s="1082" t="str">
        <f>GL[[#This Row],[Line]]&amp;GL[[#This Row],[B/P]]</f>
        <v>217PL</v>
      </c>
      <c r="G314" s="1081" t="str">
        <f>GL[[#This Row],[Account]]&amp;GL[[#This Row],[Line]]</f>
        <v>557217</v>
      </c>
      <c r="H314" s="1087">
        <f>ROUND(SUMIF(TB_curr[[#Headers],[#Data],[Lookup_line]],GL[[#This Row],[Lookup line]],TB_curr[[#Headers],[#Data],[Final balance]]),0)</f>
        <v>0</v>
      </c>
      <c r="I314" s="1087">
        <f>ROUND(SUMIF(TB_prev[[#Headers],[#Data],[Lookup_line]],GL[[#This Row],[Lookup line]],TB_prev[[#Headers],[#Data],[Final balance]]),0)</f>
        <v>0</v>
      </c>
    </row>
    <row r="315" spans="1:9" s="196" customFormat="1" ht="12" customHeight="1" x14ac:dyDescent="0.25">
      <c r="A315" s="764" t="s">
        <v>1160</v>
      </c>
      <c r="B315" s="1088" t="s">
        <v>1913</v>
      </c>
      <c r="C315" s="1082" t="str">
        <f t="shared" si="4"/>
        <v/>
      </c>
      <c r="D315" s="230" t="s">
        <v>2020</v>
      </c>
      <c r="E315" s="1082" t="s">
        <v>1882</v>
      </c>
      <c r="F315" s="1082" t="str">
        <f>GL[[#This Row],[Line]]&amp;GL[[#This Row],[B/P]]</f>
        <v>228PL</v>
      </c>
      <c r="G315" s="1081" t="str">
        <f>GL[[#This Row],[Account]]&amp;GL[[#This Row],[Line]]</f>
        <v>561228</v>
      </c>
      <c r="H315" s="1087">
        <f>ROUND(SUMIF(TB_curr[[#Headers],[#Data],[Lookup_line]],GL[[#This Row],[Lookup line]],TB_curr[[#Headers],[#Data],[Final balance]]),0)</f>
        <v>0</v>
      </c>
      <c r="I315" s="1087">
        <f>ROUND(SUMIF(TB_prev[[#Headers],[#Data],[Lookup_line]],GL[[#This Row],[Lookup line]],TB_prev[[#Headers],[#Data],[Final balance]]),0)</f>
        <v>0</v>
      </c>
    </row>
    <row r="316" spans="1:9" s="196" customFormat="1" ht="12" customHeight="1" x14ac:dyDescent="0.25">
      <c r="A316" s="764" t="s">
        <v>1149</v>
      </c>
      <c r="B316" s="1088" t="s">
        <v>1861</v>
      </c>
      <c r="C316" s="1082" t="str">
        <f t="shared" si="4"/>
        <v/>
      </c>
      <c r="D316" s="230" t="s">
        <v>1992</v>
      </c>
      <c r="E316" s="1082" t="s">
        <v>1882</v>
      </c>
      <c r="F316" s="1082" t="str">
        <f>GL[[#This Row],[Line]]&amp;GL[[#This Row],[B/P]]</f>
        <v>231PL</v>
      </c>
      <c r="G316" s="1081" t="str">
        <f>GL[[#This Row],[Account]]&amp;GL[[#This Row],[Line]]</f>
        <v>562231</v>
      </c>
      <c r="H316" s="1087">
        <f>ROUND(SUMIF(TB_curr[[#Headers],[#Data],[Lookup_line]],GL[[#This Row],[Lookup line]],TB_curr[[#Headers],[#Data],[Final balance]]),0)</f>
        <v>0</v>
      </c>
      <c r="I316" s="1087">
        <f>ROUND(SUMIF(TB_prev[[#Headers],[#Data],[Lookup_line]],GL[[#This Row],[Lookup line]],TB_prev[[#Headers],[#Data],[Final balance]]),0)</f>
        <v>0</v>
      </c>
    </row>
    <row r="317" spans="1:9" s="196" customFormat="1" ht="12" customHeight="1" x14ac:dyDescent="0.25">
      <c r="A317" s="764" t="s">
        <v>1147</v>
      </c>
      <c r="B317" s="1088" t="s">
        <v>1862</v>
      </c>
      <c r="C317" s="1082" t="str">
        <f t="shared" si="4"/>
        <v/>
      </c>
      <c r="D317" s="230" t="s">
        <v>1991</v>
      </c>
      <c r="E317" s="1082" t="s">
        <v>1882</v>
      </c>
      <c r="F317" s="1082" t="str">
        <f>GL[[#This Row],[Line]]&amp;GL[[#This Row],[B/P]]</f>
        <v>232PL</v>
      </c>
      <c r="G317" s="1081" t="str">
        <f>GL[[#This Row],[Account]]&amp;GL[[#This Row],[Line]]</f>
        <v>563232</v>
      </c>
      <c r="H317" s="1087">
        <f>ROUND(SUMIF(TB_curr[[#Headers],[#Data],[Lookup_line]],GL[[#This Row],[Lookup line]],TB_curr[[#Headers],[#Data],[Final balance]]),0)</f>
        <v>0</v>
      </c>
      <c r="I317" s="1087">
        <f>ROUND(SUMIF(TB_prev[[#Headers],[#Data],[Lookup_line]],GL[[#This Row],[Lookup line]],TB_prev[[#Headers],[#Data],[Final balance]]),0)</f>
        <v>0</v>
      </c>
    </row>
    <row r="318" spans="1:9" s="196" customFormat="1" ht="12" customHeight="1" x14ac:dyDescent="0.2">
      <c r="A318" s="764" t="s">
        <v>2057</v>
      </c>
      <c r="B318" s="1088" t="s">
        <v>1912</v>
      </c>
      <c r="C318" s="1082" t="str">
        <f t="shared" si="4"/>
        <v/>
      </c>
      <c r="D318" s="230" t="s">
        <v>2058</v>
      </c>
      <c r="E318" s="1082" t="s">
        <v>1882</v>
      </c>
      <c r="F318" s="1082" t="str">
        <f>GL[[#This Row],[Line]]&amp;GL[[#This Row],[B/P]]</f>
        <v>230PL</v>
      </c>
      <c r="G318" s="1084" t="str">
        <f>GL[[#This Row],[Account]]&amp;GL[[#This Row],[Line]]</f>
        <v>565230</v>
      </c>
      <c r="H318" s="1083">
        <f>ROUND(SUMIF(TB_curr[[#Headers],[#Data],[Lookup_line]],GL[[#This Row],[Lookup line]],TB_curr[[#Headers],[#Data],[Final balance]]),0)</f>
        <v>0</v>
      </c>
      <c r="I318" s="1083">
        <f>ROUND(SUMIF(TB_prev[[#Headers],[#Data],[Lookup_line]],GL[[#This Row],[Lookup line]],TB_prev[[#Headers],[#Data],[Final balance]]),0)</f>
        <v>0</v>
      </c>
    </row>
    <row r="319" spans="1:9" s="196" customFormat="1" ht="12" customHeight="1" x14ac:dyDescent="0.25">
      <c r="A319" s="764" t="s">
        <v>1154</v>
      </c>
      <c r="B319" s="1088" t="s">
        <v>1911</v>
      </c>
      <c r="C319" s="1082" t="str">
        <f t="shared" si="4"/>
        <v/>
      </c>
      <c r="D319" s="230" t="s">
        <v>2056</v>
      </c>
      <c r="E319" s="1082" t="s">
        <v>1882</v>
      </c>
      <c r="F319" s="1082" t="str">
        <f>GL[[#This Row],[Line]]&amp;GL[[#This Row],[B/P]]</f>
        <v>229PL</v>
      </c>
      <c r="G319" s="1081" t="str">
        <f>GL[[#This Row],[Account]]&amp;GL[[#This Row],[Line]]</f>
        <v>566229</v>
      </c>
      <c r="H319" s="1087">
        <f>ROUND(SUMIF(TB_curr[[#Headers],[#Data],[Lookup_line]],GL[[#This Row],[Lookup line]],TB_curr[[#Headers],[#Data],[Final balance]]),0)</f>
        <v>0</v>
      </c>
      <c r="I319" s="1087">
        <f>ROUND(SUMIF(TB_prev[[#Headers],[#Data],[Lookup_line]],GL[[#This Row],[Lookup line]],TB_prev[[#Headers],[#Data],[Final balance]]),0)</f>
        <v>0</v>
      </c>
    </row>
    <row r="320" spans="1:9" s="196" customFormat="1" ht="12" customHeight="1" x14ac:dyDescent="0.25">
      <c r="A320" s="764" t="s">
        <v>1145</v>
      </c>
      <c r="B320" s="1088" t="s">
        <v>1863</v>
      </c>
      <c r="C320" s="1082" t="str">
        <f t="shared" si="4"/>
        <v/>
      </c>
      <c r="D320" s="230" t="s">
        <v>2016</v>
      </c>
      <c r="E320" s="1082" t="s">
        <v>1882</v>
      </c>
      <c r="F320" s="1082" t="str">
        <f>GL[[#This Row],[Line]]&amp;GL[[#This Row],[B/P]]</f>
        <v>233PL</v>
      </c>
      <c r="G320" s="1081" t="str">
        <f>GL[[#This Row],[Account]]&amp;GL[[#This Row],[Line]]</f>
        <v>568233</v>
      </c>
      <c r="H320" s="1087">
        <f>ROUND(SUMIF(TB_curr[[#Headers],[#Data],[Lookup_line]],GL[[#This Row],[Lookup line]],TB_curr[[#Headers],[#Data],[Final balance]]),0)</f>
        <v>0</v>
      </c>
      <c r="I320" s="1087">
        <f>ROUND(SUMIF(TB_prev[[#Headers],[#Data],[Lookup_line]],GL[[#This Row],[Lookup line]],TB_prev[[#Headers],[#Data],[Final balance]]),0)</f>
        <v>0</v>
      </c>
    </row>
    <row r="321" spans="1:9" s="196" customFormat="1" ht="12" customHeight="1" x14ac:dyDescent="0.25">
      <c r="A321" s="764" t="s">
        <v>1145</v>
      </c>
      <c r="B321" s="1088" t="s">
        <v>1910</v>
      </c>
      <c r="C321" s="1082" t="str">
        <f t="shared" si="4"/>
        <v/>
      </c>
      <c r="D321" s="230" t="s">
        <v>2016</v>
      </c>
      <c r="E321" s="1082" t="s">
        <v>1882</v>
      </c>
      <c r="F321" s="1082" t="str">
        <f>GL[[#This Row],[Line]]&amp;GL[[#This Row],[B/P]]</f>
        <v>233PL</v>
      </c>
      <c r="G321" s="1081" t="str">
        <f>GL[[#This Row],[Account]]&amp;GL[[#This Row],[Line]]</f>
        <v>569233</v>
      </c>
      <c r="H321" s="1087">
        <f>ROUND(SUMIF(TB_curr[[#Headers],[#Data],[Lookup_line]],GL[[#This Row],[Lookup line]],TB_curr[[#Headers],[#Data],[Final balance]]),0)</f>
        <v>0</v>
      </c>
      <c r="I321" s="1087">
        <f>ROUND(SUMIF(TB_prev[[#Headers],[#Data],[Lookup_line]],GL[[#This Row],[Lookup line]],TB_prev[[#Headers],[#Data],[Final balance]]),0)</f>
        <v>0</v>
      </c>
    </row>
    <row r="322" spans="1:9" s="196" customFormat="1" ht="12" customHeight="1" x14ac:dyDescent="0.25">
      <c r="A322" s="764" t="s">
        <v>2063</v>
      </c>
      <c r="B322" s="1088" t="s">
        <v>1864</v>
      </c>
      <c r="C322" s="1082" t="str">
        <f t="shared" si="4"/>
        <v/>
      </c>
      <c r="D322" s="230" t="s">
        <v>2064</v>
      </c>
      <c r="E322" s="1082" t="s">
        <v>1882</v>
      </c>
      <c r="F322" s="1082" t="str">
        <f>GL[[#This Row],[Line]]&amp;GL[[#This Row],[B/P]]</f>
        <v>236PL</v>
      </c>
      <c r="G322" s="1081" t="str">
        <f>GL[[#This Row],[Account]]&amp;GL[[#This Row],[Line]]</f>
        <v>591236</v>
      </c>
      <c r="H322" s="1087">
        <f>ROUND(SUMIF(TB_curr[[#Headers],[#Data],[Lookup_line]],GL[[#This Row],[Lookup line]],TB_curr[[#Headers],[#Data],[Final balance]]),0)</f>
        <v>0</v>
      </c>
      <c r="I322" s="1087">
        <f>ROUND(SUMIF(TB_prev[[#Headers],[#Data],[Lookup_line]],GL[[#This Row],[Lookup line]],TB_prev[[#Headers],[#Data],[Final balance]]),0)</f>
        <v>0</v>
      </c>
    </row>
    <row r="323" spans="1:9" s="196" customFormat="1" ht="12" customHeight="1" x14ac:dyDescent="0.25">
      <c r="A323" s="764" t="s">
        <v>2063</v>
      </c>
      <c r="B323" s="1088" t="s">
        <v>1909</v>
      </c>
      <c r="C323" s="1082" t="str">
        <f t="shared" si="4"/>
        <v/>
      </c>
      <c r="D323" s="230" t="s">
        <v>2064</v>
      </c>
      <c r="E323" s="1082" t="s">
        <v>1882</v>
      </c>
      <c r="F323" s="1082" t="str">
        <f>GL[[#This Row],[Line]]&amp;GL[[#This Row],[B/P]]</f>
        <v>236PL</v>
      </c>
      <c r="G323" s="1081" t="str">
        <f>GL[[#This Row],[Account]]&amp;GL[[#This Row],[Line]]</f>
        <v>595236</v>
      </c>
      <c r="H323" s="1087">
        <f>ROUND(SUMIF(TB_curr[[#Headers],[#Data],[Lookup_line]],GL[[#This Row],[Lookup line]],TB_curr[[#Headers],[#Data],[Final balance]]),0)</f>
        <v>0</v>
      </c>
      <c r="I323" s="1087">
        <f>ROUND(SUMIF(TB_prev[[#Headers],[#Data],[Lookup_line]],GL[[#This Row],[Lookup line]],TB_prev[[#Headers],[#Data],[Final balance]]),0)</f>
        <v>0</v>
      </c>
    </row>
    <row r="324" spans="1:9" s="196" customFormat="1" ht="12" customHeight="1" x14ac:dyDescent="0.25">
      <c r="A324" s="764" t="s">
        <v>2065</v>
      </c>
      <c r="B324" s="1088" t="s">
        <v>1908</v>
      </c>
      <c r="C324" s="1082" t="str">
        <f t="shared" si="4"/>
        <v/>
      </c>
      <c r="D324" s="230" t="s">
        <v>2066</v>
      </c>
      <c r="E324" s="1082" t="s">
        <v>1882</v>
      </c>
      <c r="F324" s="1082" t="str">
        <f>GL[[#This Row],[Line]]&amp;GL[[#This Row],[B/P]]</f>
        <v>237PL</v>
      </c>
      <c r="G324" s="1081" t="str">
        <f>GL[[#This Row],[Account]]&amp;GL[[#This Row],[Line]]</f>
        <v>596237</v>
      </c>
      <c r="H324" s="1087">
        <f>ROUND(SUMIF(TB_curr[[#Headers],[#Data],[Lookup_line]],GL[[#This Row],[Lookup line]],TB_curr[[#Headers],[#Data],[Final balance]]),0)</f>
        <v>0</v>
      </c>
      <c r="I324" s="1087">
        <f>ROUND(SUMIF(TB_prev[[#Headers],[#Data],[Lookup_line]],GL[[#This Row],[Lookup line]],TB_prev[[#Headers],[#Data],[Final balance]]),0)</f>
        <v>0</v>
      </c>
    </row>
    <row r="325" spans="1:9" s="196" customFormat="1" ht="12" customHeight="1" x14ac:dyDescent="0.25">
      <c r="A325" s="764" t="s">
        <v>2024</v>
      </c>
      <c r="B325" s="1088" t="s">
        <v>1907</v>
      </c>
      <c r="C325" s="1082" t="str">
        <f t="shared" ref="C325:C351" si="5">IF(B325="subtotal",B326,"")</f>
        <v/>
      </c>
      <c r="D325" s="230" t="s">
        <v>2017</v>
      </c>
      <c r="E325" s="1082" t="s">
        <v>1882</v>
      </c>
      <c r="F325" s="1082" t="str">
        <f>GL[[#This Row],[Line]]&amp;GL[[#This Row],[B/P]]</f>
        <v>203PL</v>
      </c>
      <c r="G325" s="1081" t="str">
        <f>GL[[#This Row],[Account]]&amp;GL[[#This Row],[Line]]</f>
        <v>601203</v>
      </c>
      <c r="H325" s="1087">
        <f>ROUND(SUMIF(TB_curr[[#Headers],[#Data],[Lookup_line]],GL[[#This Row],[Lookup line]],TB_curr[[#Headers],[#Data],[Final balance]]),0)</f>
        <v>0</v>
      </c>
      <c r="I325" s="1087">
        <f>ROUND(SUMIF(TB_prev[[#Headers],[#Data],[Lookup_line]],GL[[#This Row],[Lookup line]],TB_prev[[#Headers],[#Data],[Final balance]]),0)</f>
        <v>0</v>
      </c>
    </row>
    <row r="326" spans="1:9" s="196" customFormat="1" ht="12" customHeight="1" x14ac:dyDescent="0.2">
      <c r="A326" s="764" t="s">
        <v>2024</v>
      </c>
      <c r="B326" s="1088" t="s">
        <v>1865</v>
      </c>
      <c r="C326" s="1082" t="str">
        <f t="shared" si="5"/>
        <v/>
      </c>
      <c r="D326" s="230" t="s">
        <v>2017</v>
      </c>
      <c r="E326" s="1082" t="s">
        <v>1882</v>
      </c>
      <c r="F326" s="1082" t="str">
        <f>GL[[#This Row],[Line]]&amp;GL[[#This Row],[B/P]]</f>
        <v>203PL</v>
      </c>
      <c r="G326" s="1084" t="str">
        <f>GL[[#This Row],[Account]]&amp;GL[[#This Row],[Line]]</f>
        <v>602203</v>
      </c>
      <c r="H326" s="1083">
        <f>ROUND(SUMIF(TB_curr[[#Headers],[#Data],[Lookup_line]],GL[[#This Row],[Lookup line]],TB_curr[[#Headers],[#Data],[Final balance]]),0)</f>
        <v>0</v>
      </c>
      <c r="I326" s="1083">
        <f>ROUND(SUMIF(TB_prev[[#Headers],[#Data],[Lookup_line]],GL[[#This Row],[Lookup line]],TB_prev[[#Headers],[#Data],[Final balance]]),0)</f>
        <v>0</v>
      </c>
    </row>
    <row r="327" spans="1:9" s="174" customFormat="1" ht="12" customHeight="1" x14ac:dyDescent="0.25">
      <c r="A327" s="764" t="s">
        <v>1715</v>
      </c>
      <c r="B327" s="1088" t="s">
        <v>1906</v>
      </c>
      <c r="C327" s="1082" t="str">
        <f t="shared" si="5"/>
        <v/>
      </c>
      <c r="D327" s="230" t="s">
        <v>2018</v>
      </c>
      <c r="E327" s="1082" t="s">
        <v>1882</v>
      </c>
      <c r="F327" s="1082" t="str">
        <f>GL[[#This Row],[Line]]&amp;GL[[#This Row],[B/P]]</f>
        <v>202PL</v>
      </c>
      <c r="G327" s="1081" t="str">
        <f>GL[[#This Row],[Account]]&amp;GL[[#This Row],[Line]]</f>
        <v>604202</v>
      </c>
      <c r="H327" s="1087">
        <f>ROUND(SUMIF(TB_curr[[#Headers],[#Data],[Lookup_line]],GL[[#This Row],[Lookup line]],TB_curr[[#Headers],[#Data],[Final balance]]),0)</f>
        <v>0</v>
      </c>
      <c r="I327" s="1087">
        <f>ROUND(SUMIF(TB_prev[[#Headers],[#Data],[Lookup_line]],GL[[#This Row],[Lookup line]],TB_prev[[#Headers],[#Data],[Final balance]]),0)</f>
        <v>0</v>
      </c>
    </row>
    <row r="328" spans="1:9" s="174" customFormat="1" ht="12" customHeight="1" x14ac:dyDescent="0.25">
      <c r="A328" s="764" t="s">
        <v>2024</v>
      </c>
      <c r="B328" s="1088" t="s">
        <v>1905</v>
      </c>
      <c r="C328" s="1082" t="str">
        <f t="shared" si="5"/>
        <v/>
      </c>
      <c r="D328" s="230" t="s">
        <v>2017</v>
      </c>
      <c r="E328" s="1082" t="s">
        <v>1882</v>
      </c>
      <c r="F328" s="1082" t="str">
        <f>GL[[#This Row],[Line]]&amp;GL[[#This Row],[B/P]]</f>
        <v>203PL</v>
      </c>
      <c r="G328" s="1081" t="str">
        <f>GL[[#This Row],[Account]]&amp;GL[[#This Row],[Line]]</f>
        <v>606203</v>
      </c>
      <c r="H328" s="1087">
        <f>ROUND(SUMIF(TB_curr[[#Headers],[#Data],[Lookup_line]],GL[[#This Row],[Lookup line]],TB_curr[[#Headers],[#Data],[Final balance]]),0)</f>
        <v>0</v>
      </c>
      <c r="I328" s="1087">
        <f>ROUND(SUMIF(TB_prev[[#Headers],[#Data],[Lookup_line]],GL[[#This Row],[Lookup line]],TB_prev[[#Headers],[#Data],[Final balance]]),0)</f>
        <v>0</v>
      </c>
    </row>
    <row r="329" spans="1:9" s="174" customFormat="1" ht="12" customHeight="1" x14ac:dyDescent="0.2">
      <c r="A329" s="764" t="s">
        <v>1715</v>
      </c>
      <c r="B329" s="1088" t="s">
        <v>1904</v>
      </c>
      <c r="C329" s="1082" t="str">
        <f t="shared" si="5"/>
        <v/>
      </c>
      <c r="D329" s="230" t="s">
        <v>2018</v>
      </c>
      <c r="E329" s="1082" t="s">
        <v>1882</v>
      </c>
      <c r="F329" s="1082" t="str">
        <f>GL[[#This Row],[Line]]&amp;GL[[#This Row],[B/P]]</f>
        <v>202PL</v>
      </c>
      <c r="G329" s="1084" t="str">
        <f>GL[[#This Row],[Account]]&amp;GL[[#This Row],[Line]]</f>
        <v>607202</v>
      </c>
      <c r="H329" s="1083">
        <f>ROUND(SUMIF(TB_curr[[#Headers],[#Data],[Lookup_line]],GL[[#This Row],[Lookup line]],TB_curr[[#Headers],[#Data],[Final balance]]),0)</f>
        <v>0</v>
      </c>
      <c r="I329" s="1083">
        <f>ROUND(SUMIF(TB_prev[[#Headers],[#Data],[Lookup_line]],GL[[#This Row],[Lookup line]],TB_prev[[#Headers],[#Data],[Final balance]]),0)</f>
        <v>0</v>
      </c>
    </row>
    <row r="330" spans="1:9" s="174" customFormat="1" ht="12" customHeight="1" x14ac:dyDescent="0.25">
      <c r="A330" s="764" t="s">
        <v>2025</v>
      </c>
      <c r="B330" s="1088" t="s">
        <v>1903</v>
      </c>
      <c r="C330" s="1082" t="str">
        <f t="shared" si="5"/>
        <v/>
      </c>
      <c r="D330" s="230" t="s">
        <v>2026</v>
      </c>
      <c r="E330" s="1082" t="s">
        <v>1882</v>
      </c>
      <c r="F330" s="1082" t="str">
        <f>GL[[#This Row],[Line]]&amp;GL[[#This Row],[B/P]]</f>
        <v>204PL</v>
      </c>
      <c r="G330" s="1081" t="str">
        <f>GL[[#This Row],[Account]]&amp;GL[[#This Row],[Line]]</f>
        <v>611204</v>
      </c>
      <c r="H330" s="1087">
        <f>ROUND(SUMIF(TB_curr[[#Headers],[#Data],[Lookup_line]],GL[[#This Row],[Lookup line]],TB_curr[[#Headers],[#Data],[Final balance]]),0)</f>
        <v>0</v>
      </c>
      <c r="I330" s="1087">
        <f>ROUND(SUMIF(TB_prev[[#Headers],[#Data],[Lookup_line]],GL[[#This Row],[Lookup line]],TB_prev[[#Headers],[#Data],[Final balance]]),0)</f>
        <v>0</v>
      </c>
    </row>
    <row r="331" spans="1:9" s="174" customFormat="1" ht="12" customHeight="1" x14ac:dyDescent="0.25">
      <c r="A331" s="764" t="s">
        <v>2025</v>
      </c>
      <c r="B331" s="1088" t="s">
        <v>1902</v>
      </c>
      <c r="C331" s="1082" t="str">
        <f t="shared" si="5"/>
        <v/>
      </c>
      <c r="D331" s="230" t="s">
        <v>2026</v>
      </c>
      <c r="E331" s="1082" t="s">
        <v>1882</v>
      </c>
      <c r="F331" s="1082" t="str">
        <f>GL[[#This Row],[Line]]&amp;GL[[#This Row],[B/P]]</f>
        <v>204PL</v>
      </c>
      <c r="G331" s="1081" t="str">
        <f>GL[[#This Row],[Account]]&amp;GL[[#This Row],[Line]]</f>
        <v>612204</v>
      </c>
      <c r="H331" s="1087">
        <f>ROUND(SUMIF(TB_curr[[#Headers],[#Data],[Lookup_line]],GL[[#This Row],[Lookup line]],TB_curr[[#Headers],[#Data],[Final balance]]),0)</f>
        <v>0</v>
      </c>
      <c r="I331" s="1087">
        <f>ROUND(SUMIF(TB_prev[[#Headers],[#Data],[Lookup_line]],GL[[#This Row],[Lookup line]],TB_prev[[#Headers],[#Data],[Final balance]]),0)</f>
        <v>0</v>
      </c>
    </row>
    <row r="332" spans="1:9" s="174" customFormat="1" ht="12" customHeight="1" x14ac:dyDescent="0.2">
      <c r="A332" s="764" t="s">
        <v>2025</v>
      </c>
      <c r="B332" s="1088" t="s">
        <v>1901</v>
      </c>
      <c r="C332" s="1082" t="str">
        <f t="shared" si="5"/>
        <v/>
      </c>
      <c r="D332" s="230" t="s">
        <v>2026</v>
      </c>
      <c r="E332" s="1082" t="s">
        <v>1882</v>
      </c>
      <c r="F332" s="1082" t="str">
        <f>GL[[#This Row],[Line]]&amp;GL[[#This Row],[B/P]]</f>
        <v>204PL</v>
      </c>
      <c r="G332" s="1084" t="str">
        <f>GL[[#This Row],[Account]]&amp;GL[[#This Row],[Line]]</f>
        <v>613204</v>
      </c>
      <c r="H332" s="1083">
        <f>ROUND(SUMIF(TB_curr[[#Headers],[#Data],[Lookup_line]],GL[[#This Row],[Lookup line]],TB_curr[[#Headers],[#Data],[Final balance]]),0)</f>
        <v>0</v>
      </c>
      <c r="I332" s="1083">
        <f>ROUND(SUMIF(TB_prev[[#Headers],[#Data],[Lookup_line]],GL[[#This Row],[Lookup line]],TB_prev[[#Headers],[#Data],[Final balance]]),0)</f>
        <v>0</v>
      </c>
    </row>
    <row r="333" spans="1:9" s="174" customFormat="1" ht="12" customHeight="1" x14ac:dyDescent="0.2">
      <c r="A333" s="764" t="s">
        <v>2025</v>
      </c>
      <c r="B333" s="1088" t="s">
        <v>1900</v>
      </c>
      <c r="C333" s="1082" t="str">
        <f t="shared" si="5"/>
        <v/>
      </c>
      <c r="D333" s="230" t="s">
        <v>2026</v>
      </c>
      <c r="E333" s="1082" t="s">
        <v>1882</v>
      </c>
      <c r="F333" s="1082" t="str">
        <f>GL[[#This Row],[Line]]&amp;GL[[#This Row],[B/P]]</f>
        <v>204PL</v>
      </c>
      <c r="G333" s="1084" t="str">
        <f>GL[[#This Row],[Account]]&amp;GL[[#This Row],[Line]]</f>
        <v>614204</v>
      </c>
      <c r="H333" s="1083">
        <f>ROUND(SUMIF(TB_curr[[#Headers],[#Data],[Lookup_line]],GL[[#This Row],[Lookup line]],TB_curr[[#Headers],[#Data],[Final balance]]),0)</f>
        <v>0</v>
      </c>
      <c r="I333" s="1083">
        <f>ROUND(SUMIF(TB_prev[[#Headers],[#Data],[Lookup_line]],GL[[#This Row],[Lookup line]],TB_prev[[#Headers],[#Data],[Final balance]]),0)</f>
        <v>0</v>
      </c>
    </row>
    <row r="334" spans="1:9" s="174" customFormat="1" ht="12" customHeight="1" x14ac:dyDescent="0.2">
      <c r="A334" s="764" t="s">
        <v>1719</v>
      </c>
      <c r="B334" s="1088" t="s">
        <v>1899</v>
      </c>
      <c r="C334" s="1082" t="str">
        <f t="shared" si="5"/>
        <v/>
      </c>
      <c r="D334" s="230" t="s">
        <v>2027</v>
      </c>
      <c r="E334" s="1082" t="s">
        <v>1882</v>
      </c>
      <c r="F334" s="1082" t="str">
        <f>GL[[#This Row],[Line]]&amp;GL[[#This Row],[B/P]]</f>
        <v>205PL</v>
      </c>
      <c r="G334" s="1084" t="str">
        <f>GL[[#This Row],[Account]]&amp;GL[[#This Row],[Line]]</f>
        <v>621205</v>
      </c>
      <c r="H334" s="1083">
        <f>ROUND(SUMIF(TB_curr[[#Headers],[#Data],[Lookup_line]],GL[[#This Row],[Lookup line]],TB_curr[[#Headers],[#Data],[Final balance]]),0)</f>
        <v>0</v>
      </c>
      <c r="I334" s="1083">
        <f>ROUND(SUMIF(TB_prev[[#Headers],[#Data],[Lookup_line]],GL[[#This Row],[Lookup line]],TB_prev[[#Headers],[#Data],[Final balance]]),0)</f>
        <v>0</v>
      </c>
    </row>
    <row r="335" spans="1:9" s="174" customFormat="1" ht="12" customHeight="1" x14ac:dyDescent="0.2">
      <c r="A335" s="764" t="s">
        <v>1719</v>
      </c>
      <c r="B335" s="1088" t="s">
        <v>1898</v>
      </c>
      <c r="C335" s="1082" t="str">
        <f t="shared" si="5"/>
        <v/>
      </c>
      <c r="D335" s="230" t="s">
        <v>2027</v>
      </c>
      <c r="E335" s="1082" t="s">
        <v>1882</v>
      </c>
      <c r="F335" s="1082" t="str">
        <f>GL[[#This Row],[Line]]&amp;GL[[#This Row],[B/P]]</f>
        <v>205PL</v>
      </c>
      <c r="G335" s="1084" t="str">
        <f>GL[[#This Row],[Account]]&amp;GL[[#This Row],[Line]]</f>
        <v>622205</v>
      </c>
      <c r="H335" s="1083">
        <f>ROUND(SUMIF(TB_curr[[#Headers],[#Data],[Lookup_line]],GL[[#This Row],[Lookup line]],TB_curr[[#Headers],[#Data],[Final balance]]),0)</f>
        <v>0</v>
      </c>
      <c r="I335" s="1083">
        <f>ROUND(SUMIF(TB_prev[[#Headers],[#Data],[Lookup_line]],GL[[#This Row],[Lookup line]],TB_prev[[#Headers],[#Data],[Final balance]]),0)</f>
        <v>0</v>
      </c>
    </row>
    <row r="336" spans="1:9" s="174" customFormat="1" ht="12" customHeight="1" x14ac:dyDescent="0.25">
      <c r="A336" s="764" t="s">
        <v>1719</v>
      </c>
      <c r="B336" s="1088" t="s">
        <v>1897</v>
      </c>
      <c r="C336" s="1082" t="str">
        <f t="shared" si="5"/>
        <v/>
      </c>
      <c r="D336" s="230" t="s">
        <v>2027</v>
      </c>
      <c r="E336" s="1082" t="s">
        <v>1882</v>
      </c>
      <c r="F336" s="1082" t="str">
        <f>GL[[#This Row],[Line]]&amp;GL[[#This Row],[B/P]]</f>
        <v>205PL</v>
      </c>
      <c r="G336" s="1081" t="str">
        <f>GL[[#This Row],[Account]]&amp;GL[[#This Row],[Line]]</f>
        <v>623205</v>
      </c>
      <c r="H336" s="1087">
        <f>ROUND(SUMIF(TB_curr[[#Headers],[#Data],[Lookup_line]],GL[[#This Row],[Lookup line]],TB_curr[[#Headers],[#Data],[Final balance]]),0)</f>
        <v>0</v>
      </c>
      <c r="I336" s="1087">
        <f>ROUND(SUMIF(TB_prev[[#Headers],[#Data],[Lookup_line]],GL[[#This Row],[Lookup line]],TB_prev[[#Headers],[#Data],[Final balance]]),0)</f>
        <v>0</v>
      </c>
    </row>
    <row r="337" spans="1:10" s="174" customFormat="1" ht="12" customHeight="1" x14ac:dyDescent="0.25">
      <c r="A337" s="764" t="s">
        <v>1719</v>
      </c>
      <c r="B337" s="1088" t="s">
        <v>1896</v>
      </c>
      <c r="C337" s="1082" t="str">
        <f t="shared" si="5"/>
        <v/>
      </c>
      <c r="D337" s="230" t="s">
        <v>2027</v>
      </c>
      <c r="E337" s="1082" t="s">
        <v>1882</v>
      </c>
      <c r="F337" s="1082" t="str">
        <f>GL[[#This Row],[Line]]&amp;GL[[#This Row],[B/P]]</f>
        <v>205PL</v>
      </c>
      <c r="G337" s="1081" t="str">
        <f>GL[[#This Row],[Account]]&amp;GL[[#This Row],[Line]]</f>
        <v>624205</v>
      </c>
      <c r="H337" s="1087">
        <f>ROUND(SUMIF(TB_curr[[#Headers],[#Data],[Lookup_line]],GL[[#This Row],[Lookup line]],TB_curr[[#Headers],[#Data],[Final balance]]),0)</f>
        <v>0</v>
      </c>
      <c r="I337" s="1087">
        <f>ROUND(SUMIF(TB_prev[[#Headers],[#Data],[Lookup_line]],GL[[#This Row],[Lookup line]],TB_prev[[#Headers],[#Data],[Final balance]]),0)</f>
        <v>0</v>
      </c>
    </row>
    <row r="338" spans="1:10" s="174" customFormat="1" ht="12" customHeight="1" x14ac:dyDescent="0.25">
      <c r="A338" s="764" t="s">
        <v>2028</v>
      </c>
      <c r="B338" s="1088" t="s">
        <v>1895</v>
      </c>
      <c r="C338" s="1082" t="str">
        <f t="shared" si="5"/>
        <v/>
      </c>
      <c r="D338" s="230" t="s">
        <v>2029</v>
      </c>
      <c r="E338" s="1082" t="s">
        <v>1882</v>
      </c>
      <c r="F338" s="1082" t="str">
        <f>GL[[#This Row],[Line]]&amp;GL[[#This Row],[B/P]]</f>
        <v>206PL</v>
      </c>
      <c r="G338" s="1081" t="str">
        <f>GL[[#This Row],[Account]]&amp;GL[[#This Row],[Line]]</f>
        <v>641206</v>
      </c>
      <c r="H338" s="1087">
        <f>ROUND(SUMIF(TB_curr[[#Headers],[#Data],[Lookup_line]],GL[[#This Row],[Lookup line]],TB_curr[[#Headers],[#Data],[Final balance]]),0)</f>
        <v>0</v>
      </c>
      <c r="I338" s="1087">
        <f>ROUND(SUMIF(TB_prev[[#Headers],[#Data],[Lookup_line]],GL[[#This Row],[Lookup line]],TB_prev[[#Headers],[#Data],[Final balance]]),0)</f>
        <v>0</v>
      </c>
    </row>
    <row r="339" spans="1:10" s="174" customFormat="1" ht="12" customHeight="1" x14ac:dyDescent="0.25">
      <c r="A339" s="764" t="s">
        <v>2028</v>
      </c>
      <c r="B339" s="1088" t="s">
        <v>1894</v>
      </c>
      <c r="C339" s="1082" t="str">
        <f t="shared" si="5"/>
        <v/>
      </c>
      <c r="D339" s="230" t="s">
        <v>2029</v>
      </c>
      <c r="E339" s="1082" t="s">
        <v>1882</v>
      </c>
      <c r="F339" s="1082" t="str">
        <f>GL[[#This Row],[Line]]&amp;GL[[#This Row],[B/P]]</f>
        <v>206PL</v>
      </c>
      <c r="G339" s="1081" t="str">
        <f>GL[[#This Row],[Account]]&amp;GL[[#This Row],[Line]]</f>
        <v>642206</v>
      </c>
      <c r="H339" s="1087">
        <f>ROUND(SUMIF(TB_curr[[#Headers],[#Data],[Lookup_line]],GL[[#This Row],[Lookup line]],TB_curr[[#Headers],[#Data],[Final balance]]),0)</f>
        <v>0</v>
      </c>
      <c r="I339" s="1087">
        <f>ROUND(SUMIF(TB_prev[[#Headers],[#Data],[Lookup_line]],GL[[#This Row],[Lookup line]],TB_prev[[#Headers],[#Data],[Final balance]]),0)</f>
        <v>0</v>
      </c>
    </row>
    <row r="340" spans="1:10" s="174" customFormat="1" ht="12" customHeight="1" x14ac:dyDescent="0.2">
      <c r="A340" s="764" t="s">
        <v>2030</v>
      </c>
      <c r="B340" s="1088" t="s">
        <v>1893</v>
      </c>
      <c r="C340" s="1082" t="str">
        <f t="shared" si="5"/>
        <v/>
      </c>
      <c r="D340" s="230" t="s">
        <v>2021</v>
      </c>
      <c r="E340" s="1082" t="s">
        <v>1882</v>
      </c>
      <c r="F340" s="1082" t="str">
        <f>GL[[#This Row],[Line]]&amp;GL[[#This Row],[B/P]]</f>
        <v>207PL</v>
      </c>
      <c r="G340" s="1084" t="str">
        <f>GL[[#This Row],[Account]]&amp;GL[[#This Row],[Line]]</f>
        <v>644207</v>
      </c>
      <c r="H340" s="1083">
        <f>ROUND(SUMIF(TB_curr[[#Headers],[#Data],[Lookup_line]],GL[[#This Row],[Lookup line]],TB_curr[[#Headers],[#Data],[Final balance]]),0)</f>
        <v>0</v>
      </c>
      <c r="I340" s="1083">
        <f>ROUND(SUMIF(TB_prev[[#Headers],[#Data],[Lookup_line]],GL[[#This Row],[Lookup line]],TB_prev[[#Headers],[#Data],[Final balance]]),0)</f>
        <v>0</v>
      </c>
    </row>
    <row r="341" spans="1:10" s="174" customFormat="1" ht="12" customHeight="1" x14ac:dyDescent="0.25">
      <c r="A341" s="764" t="s">
        <v>2030</v>
      </c>
      <c r="B341" s="1088" t="s">
        <v>1892</v>
      </c>
      <c r="C341" s="1082" t="str">
        <f t="shared" si="5"/>
        <v/>
      </c>
      <c r="D341" s="230" t="s">
        <v>2021</v>
      </c>
      <c r="E341" s="1082" t="s">
        <v>1882</v>
      </c>
      <c r="F341" s="1082" t="str">
        <f>GL[[#This Row],[Line]]&amp;GL[[#This Row],[B/P]]</f>
        <v>207PL</v>
      </c>
      <c r="G341" s="1081" t="str">
        <f>GL[[#This Row],[Account]]&amp;GL[[#This Row],[Line]]</f>
        <v>645207</v>
      </c>
      <c r="H341" s="1087">
        <f>ROUND(SUMIF(TB_curr[[#Headers],[#Data],[Lookup_line]],GL[[#This Row],[Lookup line]],TB_curr[[#Headers],[#Data],[Final balance]]),0)</f>
        <v>0</v>
      </c>
      <c r="I341" s="1087">
        <f>ROUND(SUMIF(TB_prev[[#Headers],[#Data],[Lookup_line]],GL[[#This Row],[Lookup line]],TB_prev[[#Headers],[#Data],[Final balance]]),0)</f>
        <v>0</v>
      </c>
    </row>
    <row r="342" spans="1:10" s="174" customFormat="1" ht="12" customHeight="1" x14ac:dyDescent="0.2">
      <c r="A342" s="764" t="s">
        <v>2030</v>
      </c>
      <c r="B342" s="1088" t="s">
        <v>1891</v>
      </c>
      <c r="C342" s="1082" t="str">
        <f t="shared" si="5"/>
        <v/>
      </c>
      <c r="D342" s="230" t="s">
        <v>2021</v>
      </c>
      <c r="E342" s="1082" t="s">
        <v>1882</v>
      </c>
      <c r="F342" s="1082" t="str">
        <f>GL[[#This Row],[Line]]&amp;GL[[#This Row],[B/P]]</f>
        <v>207PL</v>
      </c>
      <c r="G342" s="1084" t="str">
        <f>GL[[#This Row],[Account]]&amp;GL[[#This Row],[Line]]</f>
        <v>646207</v>
      </c>
      <c r="H342" s="1083">
        <f>ROUND(SUMIF(TB_curr[[#Headers],[#Data],[Lookup_line]],GL[[#This Row],[Lookup line]],TB_curr[[#Headers],[#Data],[Final balance]]),0)</f>
        <v>0</v>
      </c>
      <c r="I342" s="1083">
        <f>ROUND(SUMIF(TB_prev[[#Headers],[#Data],[Lookup_line]],GL[[#This Row],[Lookup line]],TB_prev[[#Headers],[#Data],[Final balance]]),0)</f>
        <v>0</v>
      </c>
    </row>
    <row r="343" spans="1:10" s="174" customFormat="1" ht="12" customHeight="1" x14ac:dyDescent="0.2">
      <c r="A343" s="764" t="s">
        <v>2030</v>
      </c>
      <c r="B343" s="1088" t="s">
        <v>1866</v>
      </c>
      <c r="C343" s="1082" t="str">
        <f t="shared" si="5"/>
        <v/>
      </c>
      <c r="D343" s="230" t="s">
        <v>2021</v>
      </c>
      <c r="E343" s="1082" t="s">
        <v>1882</v>
      </c>
      <c r="F343" s="1082" t="str">
        <f>GL[[#This Row],[Line]]&amp;GL[[#This Row],[B/P]]</f>
        <v>207PL</v>
      </c>
      <c r="G343" s="1084" t="str">
        <f>GL[[#This Row],[Account]]&amp;GL[[#This Row],[Line]]</f>
        <v>648207</v>
      </c>
      <c r="H343" s="1083">
        <f>ROUND(SUMIF(TB_curr[[#Headers],[#Data],[Lookup_line]],GL[[#This Row],[Lookup line]],TB_curr[[#Headers],[#Data],[Final balance]]),0)</f>
        <v>0</v>
      </c>
      <c r="I343" s="1083">
        <f>ROUND(SUMIF(TB_prev[[#Headers],[#Data],[Lookup_line]],GL[[#This Row],[Lookup line]],TB_prev[[#Headers],[#Data],[Final balance]]),0)</f>
        <v>0</v>
      </c>
    </row>
    <row r="344" spans="1:10" s="174" customFormat="1" ht="12" customHeight="1" x14ac:dyDescent="0.25">
      <c r="A344" s="764" t="s">
        <v>2030</v>
      </c>
      <c r="B344" s="1088" t="s">
        <v>1890</v>
      </c>
      <c r="C344" s="1082" t="str">
        <f t="shared" si="5"/>
        <v/>
      </c>
      <c r="D344" s="230" t="s">
        <v>2021</v>
      </c>
      <c r="E344" s="1082" t="s">
        <v>1882</v>
      </c>
      <c r="F344" s="1082" t="str">
        <f>GL[[#This Row],[Line]]&amp;GL[[#This Row],[B/P]]</f>
        <v>207PL</v>
      </c>
      <c r="G344" s="1081" t="str">
        <f>GL[[#This Row],[Account]]&amp;GL[[#This Row],[Line]]</f>
        <v>655207</v>
      </c>
      <c r="H344" s="1087">
        <f>ROUND(SUMIF(TB_curr[[#Headers],[#Data],[Lookup_line]],GL[[#This Row],[Lookup line]],TB_curr[[#Headers],[#Data],[Final balance]]),0)</f>
        <v>0</v>
      </c>
      <c r="I344" s="1087">
        <f>ROUND(SUMIF(TB_prev[[#Headers],[#Data],[Lookup_line]],GL[[#This Row],[Lookup line]],TB_prev[[#Headers],[#Data],[Final balance]]),0)</f>
        <v>0</v>
      </c>
    </row>
    <row r="345" spans="1:10" s="174" customFormat="1" ht="12" customHeight="1" x14ac:dyDescent="0.25">
      <c r="A345" s="764" t="s">
        <v>2030</v>
      </c>
      <c r="B345" s="1088" t="s">
        <v>1889</v>
      </c>
      <c r="C345" s="1082" t="str">
        <f t="shared" si="5"/>
        <v/>
      </c>
      <c r="D345" s="230" t="s">
        <v>2021</v>
      </c>
      <c r="E345" s="1082" t="s">
        <v>1882</v>
      </c>
      <c r="F345" s="1082" t="str">
        <f>GL[[#This Row],[Line]]&amp;GL[[#This Row],[B/P]]</f>
        <v>207PL</v>
      </c>
      <c r="G345" s="1081" t="str">
        <f>GL[[#This Row],[Account]]&amp;GL[[#This Row],[Line]]</f>
        <v>657207</v>
      </c>
      <c r="H345" s="1087">
        <f>ROUND(SUMIF(TB_curr[[#Headers],[#Data],[Lookup_line]],GL[[#This Row],[Lookup line]],TB_curr[[#Headers],[#Data],[Final balance]]),0)</f>
        <v>0</v>
      </c>
      <c r="I345" s="1087">
        <f>ROUND(SUMIF(TB_prev[[#Headers],[#Data],[Lookup_line]],GL[[#This Row],[Lookup line]],TB_prev[[#Headers],[#Data],[Final balance]]),0)</f>
        <v>0</v>
      </c>
    </row>
    <row r="346" spans="1:10" s="174" customFormat="1" ht="12" customHeight="1" x14ac:dyDescent="0.25">
      <c r="A346" s="764" t="s">
        <v>1161</v>
      </c>
      <c r="B346" s="1088" t="s">
        <v>1888</v>
      </c>
      <c r="C346" s="1082" t="str">
        <f t="shared" si="5"/>
        <v/>
      </c>
      <c r="D346" s="230" t="s">
        <v>1826</v>
      </c>
      <c r="E346" s="1082" t="s">
        <v>1882</v>
      </c>
      <c r="F346" s="1082" t="str">
        <f>GL[[#This Row],[Line]]&amp;GL[[#This Row],[B/P]]</f>
        <v>221PL</v>
      </c>
      <c r="G346" s="1081" t="str">
        <f>GL[[#This Row],[Account]]&amp;GL[[#This Row],[Line]]</f>
        <v>661221</v>
      </c>
      <c r="H346" s="1087">
        <f>ROUND(SUMIF(TB_curr[[#Headers],[#Data],[Lookup_line]],GL[[#This Row],[Lookup line]],TB_curr[[#Headers],[#Data],[Final balance]]),0)</f>
        <v>0</v>
      </c>
      <c r="I346" s="1087">
        <f>ROUND(SUMIF(TB_prev[[#Headers],[#Data],[Lookup_line]],GL[[#This Row],[Lookup line]],TB_prev[[#Headers],[#Data],[Final balance]]),0)</f>
        <v>0</v>
      </c>
    </row>
    <row r="347" spans="1:10" s="174" customFormat="1" ht="12" customHeight="1" x14ac:dyDescent="0.2">
      <c r="A347" s="764" t="s">
        <v>1150</v>
      </c>
      <c r="B347" s="1088" t="s">
        <v>1867</v>
      </c>
      <c r="C347" s="1082" t="str">
        <f t="shared" si="5"/>
        <v/>
      </c>
      <c r="D347" s="230" t="s">
        <v>2019</v>
      </c>
      <c r="E347" s="1082" t="s">
        <v>1882</v>
      </c>
      <c r="F347" s="1082" t="str">
        <f>GL[[#This Row],[Line]]&amp;GL[[#This Row],[B/P]]</f>
        <v>224PL</v>
      </c>
      <c r="G347" s="1084" t="str">
        <f>GL[[#This Row],[Account]]&amp;GL[[#This Row],[Line]]</f>
        <v>662224</v>
      </c>
      <c r="H347" s="1083">
        <f>ROUND(SUMIF(TB_curr[[#Headers],[#Data],[Lookup_line]],GL[[#This Row],[Lookup line]],TB_curr[[#Headers],[#Data],[Final balance]]),0)</f>
        <v>0</v>
      </c>
      <c r="I347" s="1083">
        <f>ROUND(SUMIF(TB_prev[[#Headers],[#Data],[Lookup_line]],GL[[#This Row],[Lookup line]],TB_prev[[#Headers],[#Data],[Final balance]]),0)</f>
        <v>0</v>
      </c>
    </row>
    <row r="348" spans="1:10" s="174" customFormat="1" ht="12" customHeight="1" x14ac:dyDescent="0.25">
      <c r="A348" s="764" t="s">
        <v>1148</v>
      </c>
      <c r="B348" s="1088" t="s">
        <v>1868</v>
      </c>
      <c r="C348" s="1082" t="str">
        <f t="shared" si="5"/>
        <v/>
      </c>
      <c r="D348" s="230" t="s">
        <v>2052</v>
      </c>
      <c r="E348" s="1082" t="s">
        <v>1882</v>
      </c>
      <c r="F348" s="1082" t="str">
        <f>GL[[#This Row],[Line]]&amp;GL[[#This Row],[B/P]]</f>
        <v>225PL</v>
      </c>
      <c r="G348" s="1081" t="str">
        <f>GL[[#This Row],[Account]]&amp;GL[[#This Row],[Line]]</f>
        <v>663225</v>
      </c>
      <c r="H348" s="1089">
        <f>ROUND(SUMIF(TB_curr[[#Headers],[#Data],[Lookup_line]],GL[[#This Row],[Lookup line]],TB_curr[[#Headers],[#Data],[Final balance]]),0)</f>
        <v>0</v>
      </c>
      <c r="I348" s="1089">
        <f>ROUND(SUMIF(TB_prev[[#Headers],[#Data],[Lookup_line]],GL[[#This Row],[Lookup line]],TB_prev[[#Headers],[#Data],[Final balance]]),0)</f>
        <v>0</v>
      </c>
    </row>
    <row r="349" spans="1:10" s="174" customFormat="1" ht="12" customHeight="1" x14ac:dyDescent="0.25">
      <c r="A349" s="764" t="s">
        <v>2049</v>
      </c>
      <c r="B349" s="1088" t="s">
        <v>1887</v>
      </c>
      <c r="C349" s="1082" t="str">
        <f t="shared" si="5"/>
        <v/>
      </c>
      <c r="D349" s="230" t="s">
        <v>2050</v>
      </c>
      <c r="E349" s="1082" t="s">
        <v>1882</v>
      </c>
      <c r="F349" s="1082" t="str">
        <f>GL[[#This Row],[Line]]&amp;GL[[#This Row],[B/P]]</f>
        <v>222PL</v>
      </c>
      <c r="G349" s="1081" t="str">
        <f>GL[[#This Row],[Account]]&amp;GL[[#This Row],[Line]]</f>
        <v>665222</v>
      </c>
      <c r="H349" s="1089">
        <f>ROUND(SUMIF(TB_curr[[#Headers],[#Data],[Lookup_line]],GL[[#This Row],[Lookup line]],TB_curr[[#Headers],[#Data],[Final balance]]),0)</f>
        <v>0</v>
      </c>
      <c r="I349" s="1089">
        <f>ROUND(SUMIF(TB_prev[[#Headers],[#Data],[Lookup_line]],GL[[#This Row],[Lookup line]],TB_prev[[#Headers],[#Data],[Final balance]]),0)</f>
        <v>0</v>
      </c>
    </row>
    <row r="350" spans="1:10" s="174" customFormat="1" ht="12" customHeight="1" x14ac:dyDescent="0.25">
      <c r="A350" s="764" t="s">
        <v>1155</v>
      </c>
      <c r="B350" s="1088" t="s">
        <v>1885</v>
      </c>
      <c r="C350" s="1082" t="str">
        <f t="shared" si="5"/>
        <v/>
      </c>
      <c r="D350" s="230" t="s">
        <v>2051</v>
      </c>
      <c r="E350" s="1082" t="s">
        <v>1882</v>
      </c>
      <c r="F350" s="1082" t="str">
        <f>GL[[#This Row],[Line]]&amp;GL[[#This Row],[B/P]]</f>
        <v>223PL</v>
      </c>
      <c r="G350" s="1081" t="str">
        <f>GL[[#This Row],[Account]]&amp;GL[[#This Row],[Line]]</f>
        <v>666223</v>
      </c>
      <c r="H350" s="1089">
        <f>ROUND(SUMIF(TB_curr[[#Headers],[#Data],[Lookup_line]],GL[[#This Row],[Lookup line]],TB_curr[[#Headers],[#Data],[Final balance]]),0)</f>
        <v>0</v>
      </c>
      <c r="I350" s="1089">
        <f>ROUND(SUMIF(TB_prev[[#Headers],[#Data],[Lookup_line]],GL[[#This Row],[Lookup line]],TB_prev[[#Headers],[#Data],[Final balance]]),0)</f>
        <v>0</v>
      </c>
    </row>
    <row r="351" spans="1:10" s="174" customFormat="1" ht="12" customHeight="1" x14ac:dyDescent="0.25">
      <c r="A351" s="764" t="s">
        <v>1146</v>
      </c>
      <c r="B351" s="1088" t="s">
        <v>1884</v>
      </c>
      <c r="C351" s="1082" t="str">
        <f t="shared" si="5"/>
        <v/>
      </c>
      <c r="D351" s="230" t="s">
        <v>2053</v>
      </c>
      <c r="E351" s="1082" t="s">
        <v>1882</v>
      </c>
      <c r="F351" s="1082" t="str">
        <f>GL[[#This Row],[Line]]&amp;GL[[#This Row],[B/P]]</f>
        <v>226PL</v>
      </c>
      <c r="G351" s="1081" t="str">
        <f>GL[[#This Row],[Account]]&amp;GL[[#This Row],[Line]]</f>
        <v>668226</v>
      </c>
      <c r="H351" s="1087">
        <f>ROUND(SUMIF(TB_curr[[#Headers],[#Data],[Lookup_line]],GL[[#This Row],[Lookup line]],TB_curr[[#Headers],[#Data],[Final balance]]),0)</f>
        <v>0</v>
      </c>
      <c r="I351" s="1087">
        <f>ROUND(SUMIF(TB_prev[[#Headers],[#Data],[Lookup_line]],GL[[#This Row],[Lookup line]],TB_prev[[#Headers],[#Data],[Final balance]]),0)</f>
        <v>0</v>
      </c>
    </row>
    <row r="352" spans="1:10" ht="11.25" x14ac:dyDescent="0.2">
      <c r="A352" s="1080" t="s">
        <v>1539</v>
      </c>
      <c r="B352" s="1079"/>
      <c r="C352" s="1078"/>
      <c r="D352" s="1079"/>
      <c r="E352" s="1078"/>
      <c r="F352" s="1078"/>
      <c r="G352" s="1077"/>
      <c r="H352" s="1076">
        <f>SUBTOTAL(109,GL[Total current year])</f>
        <v>0</v>
      </c>
      <c r="I352" s="1076">
        <f>SUBTOTAL(109,GL[Total previous year])</f>
        <v>0</v>
      </c>
      <c r="J352" s="167"/>
    </row>
  </sheetData>
  <conditionalFormatting sqref="H5:I351">
    <cfRule type="cellIs" dxfId="79" priority="58" operator="equal">
      <formula>FALSE</formula>
    </cfRule>
  </conditionalFormatting>
  <conditionalFormatting sqref="B4 B351">
    <cfRule type="duplicateValues" dxfId="78" priority="59"/>
  </conditionalFormatting>
  <conditionalFormatting sqref="B5:B17 B19:B21 B23:B25 B27:B29 B31:B35 B37:B38 B40:B41 B43:B56 B58:B61 B63:B65 B67:B72 B74:B95 B97:B106 B108:B114 B116:B117 B119:B120 B122:B123 B125:B128 B130:B131 B133:B136 B138:B146 B148:B149 B151:B154 B156:B157 B159:B160 B162:B163 B165:B166 B168:B169 B171:B173 B175:B176 B178:B179 B181:B187 B189:B190 B192:B193 B195:B196 B198:B199 B201:B203 B205:B206 B208:B209 B211:B212 B214:B215 B217:B218 B220:B224 B226:B241 B243:B244 B246:B247 B249:B250 B252:B253 B255:B256 B258:B259 B261:B262 B264:B265 B267:B268 B270:B272 B274:B282 B284:B350">
    <cfRule type="duplicateValues" dxfId="77" priority="57"/>
  </conditionalFormatting>
  <conditionalFormatting sqref="B18">
    <cfRule type="duplicateValues" dxfId="76" priority="56"/>
  </conditionalFormatting>
  <conditionalFormatting sqref="B22">
    <cfRule type="duplicateValues" dxfId="75" priority="55"/>
  </conditionalFormatting>
  <conditionalFormatting sqref="B26">
    <cfRule type="duplicateValues" dxfId="74" priority="54"/>
  </conditionalFormatting>
  <conditionalFormatting sqref="B30">
    <cfRule type="duplicateValues" dxfId="73" priority="53"/>
  </conditionalFormatting>
  <conditionalFormatting sqref="B36">
    <cfRule type="duplicateValues" dxfId="72" priority="52"/>
  </conditionalFormatting>
  <conditionalFormatting sqref="B39">
    <cfRule type="duplicateValues" dxfId="71" priority="51"/>
  </conditionalFormatting>
  <conditionalFormatting sqref="B42">
    <cfRule type="duplicateValues" dxfId="70" priority="50"/>
  </conditionalFormatting>
  <conditionalFormatting sqref="B57">
    <cfRule type="duplicateValues" dxfId="69" priority="49"/>
  </conditionalFormatting>
  <conditionalFormatting sqref="B62">
    <cfRule type="duplicateValues" dxfId="68" priority="48"/>
  </conditionalFormatting>
  <conditionalFormatting sqref="B66">
    <cfRule type="duplicateValues" dxfId="67" priority="47"/>
  </conditionalFormatting>
  <conditionalFormatting sqref="B73">
    <cfRule type="duplicateValues" dxfId="66" priority="46"/>
  </conditionalFormatting>
  <conditionalFormatting sqref="B96">
    <cfRule type="duplicateValues" dxfId="65" priority="45"/>
  </conditionalFormatting>
  <conditionalFormatting sqref="B107">
    <cfRule type="duplicateValues" dxfId="64" priority="44"/>
  </conditionalFormatting>
  <conditionalFormatting sqref="B115">
    <cfRule type="duplicateValues" dxfId="63" priority="43"/>
  </conditionalFormatting>
  <conditionalFormatting sqref="B118">
    <cfRule type="duplicateValues" dxfId="62" priority="42"/>
  </conditionalFormatting>
  <conditionalFormatting sqref="B121">
    <cfRule type="duplicateValues" dxfId="61" priority="41"/>
  </conditionalFormatting>
  <conditionalFormatting sqref="B124">
    <cfRule type="duplicateValues" dxfId="60" priority="40"/>
  </conditionalFormatting>
  <conditionalFormatting sqref="B129">
    <cfRule type="duplicateValues" dxfId="59" priority="39"/>
  </conditionalFormatting>
  <conditionalFormatting sqref="B132">
    <cfRule type="duplicateValues" dxfId="58" priority="38"/>
  </conditionalFormatting>
  <conditionalFormatting sqref="B137">
    <cfRule type="duplicateValues" dxfId="57" priority="37"/>
  </conditionalFormatting>
  <conditionalFormatting sqref="B147">
    <cfRule type="duplicateValues" dxfId="56" priority="36"/>
  </conditionalFormatting>
  <conditionalFormatting sqref="B150">
    <cfRule type="duplicateValues" dxfId="55" priority="35"/>
  </conditionalFormatting>
  <conditionalFormatting sqref="B155">
    <cfRule type="duplicateValues" dxfId="54" priority="34"/>
  </conditionalFormatting>
  <conditionalFormatting sqref="B158">
    <cfRule type="duplicateValues" dxfId="53" priority="33"/>
  </conditionalFormatting>
  <conditionalFormatting sqref="B161">
    <cfRule type="duplicateValues" dxfId="52" priority="32"/>
  </conditionalFormatting>
  <conditionalFormatting sqref="B164">
    <cfRule type="duplicateValues" dxfId="51" priority="31"/>
  </conditionalFormatting>
  <conditionalFormatting sqref="B167">
    <cfRule type="duplicateValues" dxfId="50" priority="30"/>
  </conditionalFormatting>
  <conditionalFormatting sqref="B170">
    <cfRule type="duplicateValues" dxfId="49" priority="29"/>
  </conditionalFormatting>
  <conditionalFormatting sqref="B174">
    <cfRule type="duplicateValues" dxfId="48" priority="28"/>
  </conditionalFormatting>
  <conditionalFormatting sqref="B177">
    <cfRule type="duplicateValues" dxfId="47" priority="27"/>
  </conditionalFormatting>
  <conditionalFormatting sqref="B180">
    <cfRule type="duplicateValues" dxfId="46" priority="26"/>
  </conditionalFormatting>
  <conditionalFormatting sqref="B188">
    <cfRule type="duplicateValues" dxfId="45" priority="25"/>
  </conditionalFormatting>
  <conditionalFormatting sqref="B191">
    <cfRule type="duplicateValues" dxfId="44" priority="24"/>
  </conditionalFormatting>
  <conditionalFormatting sqref="B194">
    <cfRule type="duplicateValues" dxfId="43" priority="23"/>
  </conditionalFormatting>
  <conditionalFormatting sqref="B197">
    <cfRule type="duplicateValues" dxfId="42" priority="22"/>
  </conditionalFormatting>
  <conditionalFormatting sqref="B200">
    <cfRule type="duplicateValues" dxfId="41" priority="21"/>
  </conditionalFormatting>
  <conditionalFormatting sqref="B204">
    <cfRule type="duplicateValues" dxfId="40" priority="20"/>
  </conditionalFormatting>
  <conditionalFormatting sqref="B207">
    <cfRule type="duplicateValues" dxfId="39" priority="19"/>
  </conditionalFormatting>
  <conditionalFormatting sqref="B210">
    <cfRule type="duplicateValues" dxfId="38" priority="18"/>
  </conditionalFormatting>
  <conditionalFormatting sqref="B213">
    <cfRule type="duplicateValues" dxfId="37" priority="17"/>
  </conditionalFormatting>
  <conditionalFormatting sqref="B216">
    <cfRule type="duplicateValues" dxfId="36" priority="16"/>
  </conditionalFormatting>
  <conditionalFormatting sqref="B219">
    <cfRule type="duplicateValues" dxfId="35" priority="15"/>
  </conditionalFormatting>
  <conditionalFormatting sqref="B225">
    <cfRule type="duplicateValues" dxfId="34" priority="14"/>
  </conditionalFormatting>
  <conditionalFormatting sqref="B242">
    <cfRule type="duplicateValues" dxfId="33" priority="13"/>
  </conditionalFormatting>
  <conditionalFormatting sqref="B245">
    <cfRule type="duplicateValues" dxfId="32" priority="12"/>
  </conditionalFormatting>
  <conditionalFormatting sqref="B248">
    <cfRule type="duplicateValues" dxfId="31" priority="11"/>
  </conditionalFormatting>
  <conditionalFormatting sqref="B251">
    <cfRule type="duplicateValues" dxfId="30" priority="10"/>
  </conditionalFormatting>
  <conditionalFormatting sqref="B254">
    <cfRule type="duplicateValues" dxfId="29" priority="9"/>
  </conditionalFormatting>
  <conditionalFormatting sqref="B257">
    <cfRule type="duplicateValues" dxfId="28" priority="8"/>
  </conditionalFormatting>
  <conditionalFormatting sqref="B260">
    <cfRule type="duplicateValues" dxfId="27" priority="7"/>
  </conditionalFormatting>
  <conditionalFormatting sqref="B263">
    <cfRule type="duplicateValues" dxfId="26" priority="6"/>
  </conditionalFormatting>
  <conditionalFormatting sqref="B266">
    <cfRule type="duplicateValues" dxfId="25" priority="5"/>
  </conditionalFormatting>
  <conditionalFormatting sqref="B269">
    <cfRule type="duplicateValues" dxfId="24" priority="4"/>
  </conditionalFormatting>
  <conditionalFormatting sqref="B273">
    <cfRule type="duplicateValues" dxfId="23" priority="3"/>
  </conditionalFormatting>
  <conditionalFormatting sqref="B283">
    <cfRule type="duplicateValues" dxfId="22" priority="2"/>
  </conditionalFormatting>
  <conditionalFormatting sqref="B1:B1048576">
    <cfRule type="duplicateValues" dxfId="21" priority="1"/>
  </conditionalFormatting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tableParts count="1">
    <tablePart r:id="rId2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FFFF99"/>
  </sheetPr>
  <dimension ref="A1:Y71"/>
  <sheetViews>
    <sheetView showGridLines="0" showZeros="0" topLeftCell="A10" zoomScaleNormal="100" workbookViewId="0">
      <selection activeCell="D50" sqref="D50:E50"/>
    </sheetView>
  </sheetViews>
  <sheetFormatPr defaultColWidth="9.140625" defaultRowHeight="11.25" x14ac:dyDescent="0.2"/>
  <cols>
    <col min="1" max="1" width="6.85546875" style="167" customWidth="1"/>
    <col min="2" max="2" width="53.5703125" style="219" customWidth="1"/>
    <col min="3" max="3" width="5.85546875" style="167" customWidth="1"/>
    <col min="4" max="4" width="13.42578125" style="167" bestFit="1" customWidth="1"/>
    <col min="5" max="5" width="14.28515625" style="167" bestFit="1" customWidth="1"/>
    <col min="6" max="6" width="13.42578125" style="167" customWidth="1"/>
    <col min="7" max="7" width="15.140625" style="167" customWidth="1"/>
    <col min="8" max="8" width="9.140625" style="167"/>
    <col min="9" max="9" width="15.42578125" style="167" customWidth="1"/>
    <col min="10" max="10" width="1.7109375" style="167" customWidth="1"/>
    <col min="11" max="11" width="26.28515625" style="167" customWidth="1"/>
    <col min="12" max="12" width="9.5703125" style="167" bestFit="1" customWidth="1"/>
    <col min="13" max="13" width="10" style="167" bestFit="1" customWidth="1"/>
    <col min="14" max="15" width="9.140625" style="167"/>
    <col min="16" max="16" width="11" style="167" hidden="1" customWidth="1"/>
    <col min="17" max="17" width="15.140625" style="167" hidden="1" customWidth="1"/>
    <col min="18" max="18" width="5" style="167" hidden="1" customWidth="1"/>
    <col min="19" max="19" width="7.5703125" style="167" hidden="1" customWidth="1"/>
    <col min="20" max="20" width="12.140625" style="167" hidden="1" customWidth="1"/>
    <col min="21" max="21" width="12.5703125" style="167" hidden="1" customWidth="1"/>
    <col min="22" max="22" width="6" style="167" hidden="1" customWidth="1"/>
    <col min="23" max="23" width="6.28515625" style="167" hidden="1" customWidth="1"/>
    <col min="24" max="24" width="11.140625" style="167" hidden="1" customWidth="1"/>
    <col min="25" max="25" width="9.140625" style="167" hidden="1" customWidth="1"/>
    <col min="26" max="16384" width="9.140625" style="167"/>
  </cols>
  <sheetData>
    <row r="1" spans="1:25" ht="23.25" customHeight="1" x14ac:dyDescent="0.2">
      <c r="A1" s="807" t="s">
        <v>463</v>
      </c>
      <c r="B1" s="746">
        <v>0</v>
      </c>
      <c r="I1" s="843"/>
      <c r="J1" s="844"/>
      <c r="K1" s="845"/>
      <c r="L1" s="846"/>
      <c r="Q1" s="808" t="s">
        <v>462</v>
      </c>
      <c r="R1" s="808"/>
      <c r="S1" s="808"/>
      <c r="T1" s="808"/>
      <c r="Y1" s="809"/>
    </row>
    <row r="2" spans="1:25" s="174" customFormat="1" ht="12" customHeight="1" x14ac:dyDescent="0.2">
      <c r="A2" s="169" t="s">
        <v>466</v>
      </c>
      <c r="B2" s="746" t="s">
        <v>467</v>
      </c>
      <c r="C2" s="170"/>
      <c r="D2" s="171"/>
      <c r="E2" s="172"/>
      <c r="F2" s="172"/>
      <c r="G2" s="173"/>
      <c r="I2" s="842"/>
      <c r="J2" s="842"/>
      <c r="K2" s="847"/>
      <c r="L2" s="846"/>
      <c r="P2" s="808"/>
      <c r="Q2" s="808" t="s">
        <v>465</v>
      </c>
      <c r="R2" s="808"/>
      <c r="S2" s="808"/>
      <c r="T2" s="808"/>
      <c r="U2" s="808"/>
      <c r="V2" s="808"/>
      <c r="W2" s="808"/>
      <c r="X2" s="808"/>
      <c r="Y2" s="810"/>
    </row>
    <row r="3" spans="1:25" ht="12" customHeight="1" x14ac:dyDescent="0.2">
      <c r="C3" s="183" t="s">
        <v>473</v>
      </c>
      <c r="D3" s="184"/>
      <c r="E3" s="170"/>
      <c r="H3" s="817"/>
      <c r="I3" s="842"/>
      <c r="J3" s="842"/>
      <c r="K3" s="848"/>
      <c r="L3" s="846"/>
      <c r="P3" s="808"/>
      <c r="Q3" s="814"/>
      <c r="R3" s="814"/>
      <c r="S3" s="814"/>
      <c r="T3" s="814"/>
      <c r="U3" s="815"/>
      <c r="V3" s="815"/>
      <c r="W3" s="814"/>
      <c r="X3" s="815"/>
      <c r="Y3" s="816"/>
    </row>
    <row r="4" spans="1:25" s="174" customFormat="1" ht="12" customHeight="1" x14ac:dyDescent="0.25">
      <c r="A4" s="212" t="s">
        <v>474</v>
      </c>
      <c r="B4" s="758" t="s">
        <v>475</v>
      </c>
      <c r="C4" s="212" t="s">
        <v>476</v>
      </c>
      <c r="D4" s="213" t="s">
        <v>643</v>
      </c>
      <c r="E4" s="213" t="s">
        <v>644</v>
      </c>
      <c r="F4" s="214"/>
      <c r="G4" s="214"/>
    </row>
    <row r="5" spans="1:25" s="174" customFormat="1" ht="12" customHeight="1" x14ac:dyDescent="0.25">
      <c r="A5" s="215" t="s">
        <v>479</v>
      </c>
      <c r="B5" s="759"/>
      <c r="C5" s="215" t="s">
        <v>480</v>
      </c>
      <c r="D5" s="216" t="s">
        <v>645</v>
      </c>
      <c r="E5" s="216" t="s">
        <v>645</v>
      </c>
      <c r="F5" s="214"/>
      <c r="G5" s="214"/>
    </row>
    <row r="6" spans="1:25" s="188" customFormat="1" ht="12" customHeight="1" x14ac:dyDescent="0.2">
      <c r="A6" s="192" t="s">
        <v>484</v>
      </c>
      <c r="B6" s="749" t="s">
        <v>485</v>
      </c>
      <c r="C6" s="192" t="s">
        <v>486</v>
      </c>
      <c r="D6" s="192">
        <v>1</v>
      </c>
      <c r="E6" s="192">
        <v>2</v>
      </c>
      <c r="F6" s="818"/>
      <c r="N6" s="808"/>
      <c r="O6" s="814"/>
      <c r="P6" s="814"/>
      <c r="Q6" s="814"/>
      <c r="R6" s="814"/>
      <c r="S6" s="815"/>
      <c r="T6" s="815"/>
      <c r="U6" s="814"/>
      <c r="V6" s="815"/>
      <c r="W6" s="816"/>
    </row>
    <row r="7" spans="1:25" s="196" customFormat="1" ht="12" customHeight="1" x14ac:dyDescent="0.2">
      <c r="A7" s="193"/>
      <c r="B7" s="750" t="s">
        <v>2069</v>
      </c>
      <c r="C7" s="194" t="s">
        <v>780</v>
      </c>
      <c r="D7" s="819">
        <f>D8+D20</f>
        <v>0</v>
      </c>
      <c r="E7" s="819">
        <f>E8+E20</f>
        <v>0</v>
      </c>
      <c r="F7" s="195"/>
      <c r="G7" s="195"/>
      <c r="I7" s="195"/>
      <c r="J7" s="195"/>
      <c r="N7" s="808"/>
      <c r="O7" s="814"/>
      <c r="P7" s="814"/>
      <c r="Q7" s="814"/>
      <c r="R7" s="814"/>
      <c r="S7" s="815"/>
      <c r="T7" s="815"/>
      <c r="U7" s="812"/>
      <c r="V7" s="815"/>
      <c r="W7" s="816"/>
    </row>
    <row r="8" spans="1:25" s="196" customFormat="1" ht="12" customHeight="1" x14ac:dyDescent="0.2">
      <c r="A8" s="197" t="s">
        <v>489</v>
      </c>
      <c r="B8" s="751" t="s">
        <v>2070</v>
      </c>
      <c r="C8" s="194" t="s">
        <v>783</v>
      </c>
      <c r="D8" s="819">
        <f>D9+D10+D15</f>
        <v>0</v>
      </c>
      <c r="E8" s="819">
        <f>E9+E10+E15</f>
        <v>0</v>
      </c>
      <c r="S8" s="815"/>
      <c r="T8" s="815"/>
      <c r="V8" s="815"/>
      <c r="W8" s="816"/>
    </row>
    <row r="9" spans="1:25" s="196" customFormat="1" ht="12" customHeight="1" x14ac:dyDescent="0.2">
      <c r="A9" s="198" t="s">
        <v>492</v>
      </c>
      <c r="B9" s="752" t="s">
        <v>2071</v>
      </c>
      <c r="C9" s="194" t="s">
        <v>786</v>
      </c>
      <c r="D9" s="819">
        <f>SUMIF(GL[Line_statement],BS!$C9&amp;"BS",GL[Total current year])</f>
        <v>0</v>
      </c>
      <c r="E9" s="819">
        <f>SUMIF(GL[Line_statement],BS!$C9&amp;"BS",GL[Total previous year])</f>
        <v>0</v>
      </c>
      <c r="F9" s="831"/>
      <c r="G9" s="1221"/>
      <c r="H9" s="1221"/>
      <c r="I9" s="833"/>
      <c r="J9" s="174"/>
      <c r="S9" s="815"/>
      <c r="T9" s="815"/>
      <c r="V9" s="815"/>
      <c r="W9" s="816"/>
    </row>
    <row r="10" spans="1:25" s="196" customFormat="1" ht="12" customHeight="1" x14ac:dyDescent="0.2">
      <c r="A10" s="821" t="s">
        <v>516</v>
      </c>
      <c r="B10" s="752" t="s">
        <v>2072</v>
      </c>
      <c r="C10" s="194" t="s">
        <v>789</v>
      </c>
      <c r="D10" s="819">
        <f>SUM(D11:D14)</f>
        <v>0</v>
      </c>
      <c r="E10" s="819">
        <f>SUM(E11:E14)</f>
        <v>0</v>
      </c>
      <c r="F10" s="831"/>
      <c r="G10" s="1220"/>
      <c r="H10" s="1220"/>
      <c r="I10" s="1220"/>
      <c r="S10" s="815"/>
      <c r="T10" s="815"/>
      <c r="V10" s="815"/>
      <c r="W10" s="816"/>
    </row>
    <row r="11" spans="1:25" s="174" customFormat="1" ht="12" customHeight="1" x14ac:dyDescent="0.2">
      <c r="A11" s="822" t="s">
        <v>519</v>
      </c>
      <c r="B11" s="753" t="s">
        <v>2073</v>
      </c>
      <c r="C11" s="200" t="s">
        <v>792</v>
      </c>
      <c r="D11" s="820">
        <f>SUMIF(GL[Line_statement],BS!$C11&amp;"BS",GL[Total current year])</f>
        <v>0</v>
      </c>
      <c r="E11" s="820">
        <f>SUMIF(GL[Line_statement],BS!$C11&amp;"BS",GL[Total previous year])</f>
        <v>0</v>
      </c>
      <c r="F11" s="832"/>
      <c r="G11" s="850"/>
      <c r="H11" s="850"/>
      <c r="I11" s="832"/>
      <c r="O11" s="813"/>
      <c r="P11" s="196"/>
      <c r="Q11" s="196"/>
      <c r="R11" s="196"/>
      <c r="T11" s="196"/>
      <c r="U11" s="196"/>
      <c r="V11" s="196"/>
      <c r="W11" s="823"/>
    </row>
    <row r="12" spans="1:25" s="174" customFormat="1" ht="12" customHeight="1" x14ac:dyDescent="0.2">
      <c r="A12" s="199" t="s">
        <v>498</v>
      </c>
      <c r="B12" s="753" t="s">
        <v>2074</v>
      </c>
      <c r="C12" s="200" t="s">
        <v>794</v>
      </c>
      <c r="D12" s="820">
        <f>SUMIF(GL[Line_statement],BS!$C12&amp;"BS",GL[Total current year])</f>
        <v>0</v>
      </c>
      <c r="E12" s="820">
        <f>SUMIF(GL[Line_statement],BS!$C12&amp;"BS",GL[Total previous year])</f>
        <v>0</v>
      </c>
      <c r="F12" s="832"/>
      <c r="G12" s="850"/>
      <c r="H12" s="850"/>
      <c r="I12" s="832"/>
      <c r="O12" s="814"/>
      <c r="P12" s="814"/>
      <c r="Q12" s="824"/>
      <c r="R12" s="824"/>
      <c r="S12" s="815"/>
      <c r="T12" s="815"/>
      <c r="U12" s="824"/>
      <c r="V12" s="815"/>
      <c r="W12" s="816"/>
    </row>
    <row r="13" spans="1:25" s="174" customFormat="1" ht="12" customHeight="1" x14ac:dyDescent="0.2">
      <c r="A13" s="199" t="s">
        <v>501</v>
      </c>
      <c r="B13" s="753" t="s">
        <v>2075</v>
      </c>
      <c r="C13" s="200" t="s">
        <v>796</v>
      </c>
      <c r="D13" s="820">
        <f>SUMIF(GL[Line_statement],BS!$C13&amp;"BS",GL[Total current year])</f>
        <v>0</v>
      </c>
      <c r="E13" s="820">
        <f>SUMIF(GL[Line_statement],BS!$C13&amp;"BS",GL[Total previous year])</f>
        <v>0</v>
      </c>
      <c r="F13" s="832"/>
      <c r="G13" s="849"/>
      <c r="H13" s="832"/>
      <c r="I13" s="832"/>
      <c r="O13" s="814"/>
      <c r="P13" s="814"/>
      <c r="Q13" s="824"/>
      <c r="R13" s="824"/>
      <c r="S13" s="815"/>
      <c r="T13" s="815"/>
      <c r="U13" s="824"/>
      <c r="V13" s="815"/>
      <c r="W13" s="816"/>
    </row>
    <row r="14" spans="1:25" s="174" customFormat="1" ht="12" customHeight="1" x14ac:dyDescent="0.2">
      <c r="A14" s="199" t="s">
        <v>504</v>
      </c>
      <c r="B14" s="753" t="s">
        <v>2076</v>
      </c>
      <c r="C14" s="200" t="s">
        <v>798</v>
      </c>
      <c r="D14" s="820">
        <f>SUMIF(GL[Line_statement],BS!$C14&amp;"BS",GL[Total current year])</f>
        <v>0</v>
      </c>
      <c r="E14" s="820">
        <f>SUMIF(GL[Line_statement],BS!$C14&amp;"BS",GL[Total previous year])</f>
        <v>0</v>
      </c>
      <c r="F14" s="832"/>
      <c r="G14" s="849"/>
      <c r="H14" s="832"/>
      <c r="I14" s="832"/>
      <c r="O14" s="814"/>
      <c r="P14" s="814"/>
      <c r="Q14" s="824"/>
      <c r="R14" s="824"/>
      <c r="S14" s="815"/>
      <c r="T14" s="815"/>
      <c r="U14" s="824"/>
      <c r="V14" s="815"/>
      <c r="W14" s="816"/>
    </row>
    <row r="15" spans="1:25" s="196" customFormat="1" ht="12" customHeight="1" x14ac:dyDescent="0.25">
      <c r="A15" s="821" t="s">
        <v>540</v>
      </c>
      <c r="B15" s="752" t="s">
        <v>2077</v>
      </c>
      <c r="C15" s="194" t="s">
        <v>801</v>
      </c>
      <c r="D15" s="819">
        <f>SUM(D16:D19)</f>
        <v>0</v>
      </c>
      <c r="E15" s="819">
        <f>SUM(E16:E19)</f>
        <v>0</v>
      </c>
      <c r="F15" s="831"/>
      <c r="G15" s="1220"/>
      <c r="H15" s="1220"/>
      <c r="I15" s="833"/>
      <c r="O15" s="174"/>
      <c r="P15" s="174"/>
      <c r="Q15" s="174"/>
      <c r="W15" s="823"/>
    </row>
    <row r="16" spans="1:25" s="174" customFormat="1" ht="12" customHeight="1" x14ac:dyDescent="0.2">
      <c r="A16" s="822" t="s">
        <v>543</v>
      </c>
      <c r="B16" s="753" t="s">
        <v>2078</v>
      </c>
      <c r="C16" s="200" t="s">
        <v>804</v>
      </c>
      <c r="D16" s="820">
        <f>SUMIF(GL[Line_statement],BS!$C16&amp;"BS",GL[Total current year])</f>
        <v>0</v>
      </c>
      <c r="E16" s="820">
        <f>SUMIF(GL[Line_statement],BS!$C16&amp;"BS",GL[Total previous year])</f>
        <v>0</v>
      </c>
      <c r="F16" s="832"/>
      <c r="G16" s="850"/>
      <c r="H16" s="851"/>
      <c r="I16" s="852"/>
      <c r="J16" s="826"/>
      <c r="K16" s="826"/>
      <c r="L16" s="826"/>
      <c r="O16" s="811"/>
      <c r="W16" s="825"/>
    </row>
    <row r="17" spans="1:23" s="174" customFormat="1" ht="12" customHeight="1" x14ac:dyDescent="0.25">
      <c r="A17" s="199" t="s">
        <v>498</v>
      </c>
      <c r="B17" s="753" t="s">
        <v>2079</v>
      </c>
      <c r="C17" s="200" t="s">
        <v>806</v>
      </c>
      <c r="D17" s="820">
        <f>SUMIF(GL[Line_statement],BS!$C17&amp;"BS",GL[Total current year])</f>
        <v>0</v>
      </c>
      <c r="E17" s="820">
        <f>SUMIF(GL[Line_statement],BS!$C17&amp;"BS",GL[Total previous year])</f>
        <v>0</v>
      </c>
      <c r="F17" s="832"/>
      <c r="G17" s="850"/>
      <c r="H17" s="853"/>
      <c r="I17" s="852"/>
      <c r="J17" s="826"/>
      <c r="K17" s="826"/>
      <c r="L17" s="826"/>
      <c r="W17" s="825"/>
    </row>
    <row r="18" spans="1:23" s="174" customFormat="1" ht="12" customHeight="1" x14ac:dyDescent="0.25">
      <c r="A18" s="199" t="s">
        <v>501</v>
      </c>
      <c r="B18" s="753" t="s">
        <v>1647</v>
      </c>
      <c r="C18" s="200" t="s">
        <v>808</v>
      </c>
      <c r="D18" s="820">
        <f>SUMIF(GL[Line_statement],BS!$C18&amp;"BS",GL[Total current year])</f>
        <v>0</v>
      </c>
      <c r="E18" s="820">
        <f>SUMIF(GL[Line_statement],BS!$C18&amp;"BS",GL[Total previous year])</f>
        <v>0</v>
      </c>
      <c r="F18" s="832"/>
      <c r="G18" s="832"/>
      <c r="H18" s="854"/>
      <c r="I18" s="852"/>
      <c r="J18" s="827"/>
      <c r="K18" s="827"/>
      <c r="L18" s="826"/>
      <c r="W18" s="825"/>
    </row>
    <row r="19" spans="1:23" s="174" customFormat="1" ht="12" customHeight="1" x14ac:dyDescent="0.25">
      <c r="A19" s="199" t="s">
        <v>504</v>
      </c>
      <c r="B19" s="828" t="s">
        <v>2080</v>
      </c>
      <c r="C19" s="200" t="s">
        <v>810</v>
      </c>
      <c r="D19" s="820">
        <f>SUMIF(GL[Line_statement],BS!$C19&amp;"BS",GL[Total current year])</f>
        <v>0</v>
      </c>
      <c r="E19" s="820">
        <f>SUMIF(GL[Line_statement],BS!$C19&amp;"BS",GL[Total previous year])</f>
        <v>0</v>
      </c>
      <c r="F19" s="832"/>
      <c r="G19" s="832"/>
      <c r="H19" s="854"/>
      <c r="I19" s="852"/>
      <c r="J19" s="826"/>
      <c r="K19" s="826"/>
      <c r="L19" s="826"/>
    </row>
    <row r="20" spans="1:23" s="196" customFormat="1" ht="12" customHeight="1" x14ac:dyDescent="0.25">
      <c r="A20" s="821" t="s">
        <v>560</v>
      </c>
      <c r="B20" s="751" t="s">
        <v>2081</v>
      </c>
      <c r="C20" s="194" t="s">
        <v>812</v>
      </c>
      <c r="D20" s="819">
        <f>D21+D22+D23+D27</f>
        <v>0</v>
      </c>
      <c r="E20" s="819">
        <f>E21+E22+E23+E27</f>
        <v>0</v>
      </c>
      <c r="F20" s="833"/>
      <c r="G20" s="849"/>
      <c r="H20" s="833"/>
      <c r="I20" s="833"/>
    </row>
    <row r="21" spans="1:23" s="196" customFormat="1" ht="12" customHeight="1" x14ac:dyDescent="0.25">
      <c r="A21" s="198" t="s">
        <v>563</v>
      </c>
      <c r="B21" s="752" t="s">
        <v>2082</v>
      </c>
      <c r="C21" s="194" t="s">
        <v>815</v>
      </c>
      <c r="D21" s="819">
        <f>SUMIF(GL[Line_statement],BS!$C21&amp;"BS",GL[Total current year])</f>
        <v>0</v>
      </c>
      <c r="E21" s="819">
        <f>SUMIF(GL[Line_statement],BS!$C21&amp;"BS",GL[Total previous year])</f>
        <v>0</v>
      </c>
      <c r="F21" s="831"/>
      <c r="G21" s="1221"/>
      <c r="H21" s="1221"/>
      <c r="I21" s="833"/>
    </row>
    <row r="22" spans="1:23" s="196" customFormat="1" ht="12" customHeight="1" x14ac:dyDescent="0.25">
      <c r="A22" s="821" t="s">
        <v>579</v>
      </c>
      <c r="B22" s="752" t="s">
        <v>2083</v>
      </c>
      <c r="C22" s="194" t="s">
        <v>818</v>
      </c>
      <c r="D22" s="819">
        <f>SUMIF(GL[Line_statement],BS!$C22&amp;"BS",GL[Total current year])</f>
        <v>0</v>
      </c>
      <c r="E22" s="819">
        <f>SUMIF(GL[Line_statement],BS!$C22&amp;"BS",GL[Total previous year])</f>
        <v>0</v>
      </c>
      <c r="F22" s="831"/>
      <c r="G22" s="1222"/>
      <c r="H22" s="1222"/>
      <c r="I22" s="1222"/>
    </row>
    <row r="23" spans="1:23" s="196" customFormat="1" ht="12" customHeight="1" x14ac:dyDescent="0.25">
      <c r="A23" s="821" t="s">
        <v>597</v>
      </c>
      <c r="B23" s="752" t="s">
        <v>2084</v>
      </c>
      <c r="C23" s="194" t="s">
        <v>821</v>
      </c>
      <c r="D23" s="819">
        <f>SUM(D24,D25:D26)</f>
        <v>0</v>
      </c>
      <c r="E23" s="819">
        <f>SUM(E24,E25:E26)</f>
        <v>0</v>
      </c>
      <c r="F23" s="831"/>
      <c r="G23" s="1222"/>
      <c r="H23" s="1222"/>
      <c r="I23" s="1222"/>
    </row>
    <row r="24" spans="1:23" s="174" customFormat="1" ht="12" customHeight="1" x14ac:dyDescent="0.25">
      <c r="A24" s="822" t="s">
        <v>600</v>
      </c>
      <c r="B24" s="829" t="s">
        <v>2085</v>
      </c>
      <c r="C24" s="200" t="s">
        <v>824</v>
      </c>
      <c r="D24" s="820">
        <f>SUMIF(GL[Line_statement],BS!$C24&amp;"BS",GL[Total current year])</f>
        <v>0</v>
      </c>
      <c r="E24" s="820">
        <f>SUMIF(GL[Line_statement],BS!$C24&amp;"BS",GL[Total previous year])</f>
        <v>0</v>
      </c>
      <c r="F24" s="831"/>
      <c r="G24" s="832"/>
      <c r="H24" s="832"/>
      <c r="I24" s="832"/>
    </row>
    <row r="25" spans="1:23" s="174" customFormat="1" ht="12" customHeight="1" x14ac:dyDescent="0.25">
      <c r="A25" s="206" t="s">
        <v>498</v>
      </c>
      <c r="B25" s="755" t="s">
        <v>2086</v>
      </c>
      <c r="C25" s="207" t="s">
        <v>827</v>
      </c>
      <c r="D25" s="820">
        <f>SUMIF(GL[Line_statement],BS!$C25&amp;"BS",GL[Total current year])</f>
        <v>0</v>
      </c>
      <c r="E25" s="820">
        <f>SUMIF(GL[Line_statement],BS!$C25&amp;"BS",GL[Total previous year])</f>
        <v>0</v>
      </c>
      <c r="F25" s="831"/>
      <c r="G25" s="850"/>
      <c r="H25" s="850"/>
      <c r="I25" s="856"/>
      <c r="J25" s="1223"/>
      <c r="K25" s="1223"/>
      <c r="L25" s="1223"/>
      <c r="M25" s="1223"/>
    </row>
    <row r="26" spans="1:23" s="174" customFormat="1" ht="12" customHeight="1" x14ac:dyDescent="0.25">
      <c r="A26" s="199" t="s">
        <v>501</v>
      </c>
      <c r="B26" s="828" t="s">
        <v>2087</v>
      </c>
      <c r="C26" s="200" t="s">
        <v>830</v>
      </c>
      <c r="D26" s="820">
        <f>SUMIF(GL[Line_statement],BS!$C26&amp;"BS",GL[Total current year])</f>
        <v>0</v>
      </c>
      <c r="E26" s="820">
        <f>SUMIF(GL[Line_statement],BS!$C26&amp;"BS",GL[Total previous year])</f>
        <v>0</v>
      </c>
      <c r="F26" s="855"/>
      <c r="G26" s="1221"/>
      <c r="H26" s="1221"/>
      <c r="I26" s="857"/>
      <c r="J26" s="827"/>
      <c r="K26" s="827"/>
      <c r="L26" s="827"/>
      <c r="M26" s="827"/>
    </row>
    <row r="27" spans="1:23" s="196" customFormat="1" ht="12" customHeight="1" x14ac:dyDescent="0.25">
      <c r="A27" s="821" t="s">
        <v>615</v>
      </c>
      <c r="B27" s="752" t="s">
        <v>2088</v>
      </c>
      <c r="C27" s="194" t="s">
        <v>833</v>
      </c>
      <c r="D27" s="819">
        <f>SUM(D28:D29)</f>
        <v>0</v>
      </c>
      <c r="E27" s="819">
        <f>SUM(E28:E29)</f>
        <v>0</v>
      </c>
      <c r="F27" s="831"/>
      <c r="G27" s="1220"/>
      <c r="H27" s="1220"/>
      <c r="I27" s="853"/>
      <c r="J27" s="826"/>
      <c r="K27" s="826"/>
      <c r="L27" s="826"/>
    </row>
    <row r="28" spans="1:23" s="196" customFormat="1" ht="12" customHeight="1" x14ac:dyDescent="0.25">
      <c r="A28" s="822" t="s">
        <v>618</v>
      </c>
      <c r="B28" s="828" t="s">
        <v>2089</v>
      </c>
      <c r="C28" s="200" t="s">
        <v>836</v>
      </c>
      <c r="D28" s="820">
        <f>SUMIF(GL[Line_statement],BS!$C28&amp;"BS",GL[Total current year])</f>
        <v>0</v>
      </c>
      <c r="E28" s="820">
        <f>SUMIF(GL[Line_statement],BS!$C28&amp;"BS",GL[Total previous year])</f>
        <v>0</v>
      </c>
      <c r="F28" s="832"/>
      <c r="G28" s="850"/>
      <c r="H28" s="850"/>
      <c r="I28" s="854"/>
      <c r="J28" s="826"/>
      <c r="K28" s="827"/>
      <c r="L28" s="827"/>
    </row>
    <row r="29" spans="1:23" s="174" customFormat="1" ht="12" customHeight="1" x14ac:dyDescent="0.25">
      <c r="A29" s="199" t="s">
        <v>498</v>
      </c>
      <c r="B29" s="828" t="s">
        <v>2090</v>
      </c>
      <c r="C29" s="200" t="s">
        <v>839</v>
      </c>
      <c r="D29" s="820">
        <f>SUMIF(GL[Line_statement],BS!$C29&amp;"BS",GL[Total current year])</f>
        <v>0</v>
      </c>
      <c r="E29" s="820">
        <f>SUMIF(GL[Line_statement],BS!$C29&amp;"BS",GL[Total previous year])</f>
        <v>0</v>
      </c>
      <c r="F29" s="833"/>
      <c r="G29" s="850"/>
      <c r="H29" s="850"/>
      <c r="I29" s="854"/>
      <c r="J29" s="826"/>
      <c r="K29" s="826"/>
      <c r="L29" s="826"/>
    </row>
    <row r="30" spans="1:23" s="174" customFormat="1" ht="12" hidden="1" customHeight="1" x14ac:dyDescent="0.25">
      <c r="A30" s="208"/>
      <c r="B30" s="757" t="s">
        <v>1580</v>
      </c>
      <c r="C30" s="209">
        <v>888</v>
      </c>
      <c r="D30" s="834">
        <f>(SUM(D7:D29))</f>
        <v>0</v>
      </c>
      <c r="E30" s="834" t="e">
        <f>(SUM(#REF!))</f>
        <v>#REF!</v>
      </c>
      <c r="F30" s="834" t="e">
        <f>(SUM(#REF!))</f>
        <v>#REF!</v>
      </c>
      <c r="G30" s="834">
        <f>(SUM(E7:E29))</f>
        <v>0</v>
      </c>
      <c r="H30" s="832"/>
      <c r="I30" s="849"/>
      <c r="J30" s="832"/>
      <c r="K30" s="832"/>
    </row>
    <row r="31" spans="1:23" s="174" customFormat="1" ht="12" customHeight="1" x14ac:dyDescent="0.25">
      <c r="A31" s="210"/>
      <c r="B31" s="219"/>
      <c r="D31" s="211"/>
      <c r="E31" s="211"/>
      <c r="F31" s="211"/>
      <c r="G31" s="211"/>
    </row>
    <row r="32" spans="1:23" s="174" customFormat="1" ht="12" customHeight="1" x14ac:dyDescent="0.25">
      <c r="A32" s="210"/>
      <c r="B32" s="219"/>
      <c r="D32" s="211"/>
      <c r="E32" s="211"/>
      <c r="F32" s="211"/>
      <c r="G32" s="211"/>
    </row>
    <row r="33" spans="1:10" s="174" customFormat="1" ht="12" customHeight="1" x14ac:dyDescent="0.25">
      <c r="A33" s="212" t="s">
        <v>474</v>
      </c>
      <c r="B33" s="758" t="s">
        <v>642</v>
      </c>
      <c r="C33" s="212" t="s">
        <v>476</v>
      </c>
      <c r="D33" s="213" t="s">
        <v>643</v>
      </c>
      <c r="E33" s="213" t="s">
        <v>644</v>
      </c>
      <c r="F33" s="214"/>
      <c r="G33" s="214"/>
    </row>
    <row r="34" spans="1:10" s="174" customFormat="1" ht="12" customHeight="1" x14ac:dyDescent="0.25">
      <c r="A34" s="215" t="s">
        <v>479</v>
      </c>
      <c r="B34" s="759"/>
      <c r="C34" s="215" t="s">
        <v>480</v>
      </c>
      <c r="D34" s="216" t="s">
        <v>645</v>
      </c>
      <c r="E34" s="216" t="s">
        <v>645</v>
      </c>
      <c r="F34" s="214"/>
      <c r="G34" s="214"/>
    </row>
    <row r="35" spans="1:10" s="219" customFormat="1" ht="12" customHeight="1" x14ac:dyDescent="0.25">
      <c r="A35" s="217" t="s">
        <v>484</v>
      </c>
      <c r="B35" s="760" t="s">
        <v>485</v>
      </c>
      <c r="C35" s="217" t="s">
        <v>486</v>
      </c>
      <c r="D35" s="218">
        <v>4</v>
      </c>
      <c r="E35" s="218">
        <v>5</v>
      </c>
      <c r="F35" s="214"/>
      <c r="G35" s="214"/>
    </row>
    <row r="36" spans="1:10" s="196" customFormat="1" ht="12" customHeight="1" x14ac:dyDescent="0.25">
      <c r="A36" s="220"/>
      <c r="B36" s="761" t="s">
        <v>2091</v>
      </c>
      <c r="C36" s="221" t="s">
        <v>842</v>
      </c>
      <c r="D36" s="819">
        <f>D37+D46</f>
        <v>0</v>
      </c>
      <c r="E36" s="819">
        <f>E37+E46</f>
        <v>0</v>
      </c>
      <c r="F36" s="222"/>
      <c r="G36" s="222"/>
      <c r="H36" s="195"/>
    </row>
    <row r="37" spans="1:10" s="196" customFormat="1" ht="12" customHeight="1" x14ac:dyDescent="0.25">
      <c r="A37" s="220" t="s">
        <v>489</v>
      </c>
      <c r="B37" s="761" t="s">
        <v>2092</v>
      </c>
      <c r="C37" s="221" t="s">
        <v>845</v>
      </c>
      <c r="D37" s="819">
        <f>SUM(D38,D41,D42,D43,D44,D45)</f>
        <v>0</v>
      </c>
      <c r="E37" s="819">
        <f>SUM(E38,E41,E42,E43,E44,E45)</f>
        <v>0</v>
      </c>
      <c r="F37" s="831"/>
      <c r="G37" s="1221"/>
      <c r="H37" s="1221"/>
      <c r="I37" s="833"/>
      <c r="J37" s="833"/>
    </row>
    <row r="38" spans="1:10" s="196" customFormat="1" ht="12" customHeight="1" x14ac:dyDescent="0.25">
      <c r="A38" s="220" t="s">
        <v>492</v>
      </c>
      <c r="B38" s="761" t="s">
        <v>2093</v>
      </c>
      <c r="C38" s="221" t="s">
        <v>848</v>
      </c>
      <c r="D38" s="819">
        <f>D39+D40</f>
        <v>0</v>
      </c>
      <c r="E38" s="819">
        <f>E39+E40</f>
        <v>0</v>
      </c>
      <c r="F38" s="832"/>
      <c r="G38" s="850"/>
      <c r="H38" s="850"/>
      <c r="I38" s="833"/>
      <c r="J38" s="833"/>
    </row>
    <row r="39" spans="1:10" s="174" customFormat="1" ht="12" customHeight="1" x14ac:dyDescent="0.25">
      <c r="A39" s="223" t="s">
        <v>495</v>
      </c>
      <c r="B39" s="762" t="s">
        <v>2094</v>
      </c>
      <c r="C39" s="224" t="s">
        <v>851</v>
      </c>
      <c r="D39" s="820">
        <f>-SUMIF(GL[Line_statement],BS!$C39&amp;"BS",GL[Total current year])</f>
        <v>0</v>
      </c>
      <c r="E39" s="820">
        <f>-SUMIF(GL[Line_statement],BS!$C39&amp;"BS",GL[Total previous year])</f>
        <v>0</v>
      </c>
      <c r="F39" s="832"/>
      <c r="G39" s="850"/>
      <c r="H39" s="850"/>
      <c r="I39" s="832"/>
      <c r="J39" s="832"/>
    </row>
    <row r="40" spans="1:10" s="174" customFormat="1" ht="12" customHeight="1" x14ac:dyDescent="0.25">
      <c r="A40" s="223" t="s">
        <v>498</v>
      </c>
      <c r="B40" s="762" t="s">
        <v>1052</v>
      </c>
      <c r="C40" s="224" t="s">
        <v>854</v>
      </c>
      <c r="D40" s="820">
        <f>-SUMIF(GL[Line_statement],BS!$C40&amp;"BS",GL[Total current year])</f>
        <v>0</v>
      </c>
      <c r="E40" s="820">
        <f>-SUMIF(GL[Line_statement],BS!$C40&amp;"BS",GL[Total previous year])</f>
        <v>0</v>
      </c>
      <c r="F40" s="835"/>
      <c r="G40" s="835"/>
      <c r="H40" s="849"/>
      <c r="I40" s="832"/>
      <c r="J40" s="832"/>
    </row>
    <row r="41" spans="1:10" s="196" customFormat="1" ht="12" customHeight="1" x14ac:dyDescent="0.25">
      <c r="A41" s="220" t="s">
        <v>516</v>
      </c>
      <c r="B41" s="836" t="s">
        <v>2095</v>
      </c>
      <c r="C41" s="221" t="s">
        <v>857</v>
      </c>
      <c r="D41" s="819">
        <f>-SUMIF(GL[Line_statement],BS!$C41&amp;"BS",GL[Total current year])</f>
        <v>0</v>
      </c>
      <c r="E41" s="819">
        <f>-SUMIF(GL[Line_statement],BS!$C41&amp;"BS",GL[Total previous year])</f>
        <v>0</v>
      </c>
      <c r="F41" s="837"/>
      <c r="G41" s="837"/>
      <c r="H41" s="849"/>
      <c r="I41" s="833"/>
      <c r="J41" s="833"/>
    </row>
    <row r="42" spans="1:10" s="174" customFormat="1" ht="12" customHeight="1" x14ac:dyDescent="0.25">
      <c r="A42" s="220" t="s">
        <v>540</v>
      </c>
      <c r="B42" s="836" t="s">
        <v>2096</v>
      </c>
      <c r="C42" s="221" t="s">
        <v>860</v>
      </c>
      <c r="D42" s="819">
        <f>-SUMIF(GL[Line_statement],BS!$C42&amp;"BS",GL[Total current year])</f>
        <v>0</v>
      </c>
      <c r="E42" s="819">
        <f>-SUMIF(GL[Line_statement],BS!$C42&amp;"BS",GL[Total previous year])</f>
        <v>0</v>
      </c>
      <c r="F42" s="835"/>
      <c r="G42" s="835"/>
      <c r="H42" s="849"/>
      <c r="I42" s="832"/>
      <c r="J42" s="832"/>
    </row>
    <row r="43" spans="1:10" s="174" customFormat="1" ht="12" customHeight="1" x14ac:dyDescent="0.25">
      <c r="A43" s="220" t="s">
        <v>682</v>
      </c>
      <c r="B43" s="836" t="s">
        <v>2097</v>
      </c>
      <c r="C43" s="221" t="s">
        <v>863</v>
      </c>
      <c r="D43" s="819">
        <f>-SUMIF(GL[Line_statement],BS!$C43&amp;"BS",GL[Total current year])</f>
        <v>0</v>
      </c>
      <c r="E43" s="819">
        <f>-SUMIF(GL[Line_statement],BS!$C43&amp;"BS",GL[Total previous year])</f>
        <v>0</v>
      </c>
      <c r="F43" s="835"/>
      <c r="G43" s="835"/>
      <c r="H43" s="849"/>
      <c r="I43" s="832"/>
      <c r="J43" s="832"/>
    </row>
    <row r="44" spans="1:10" s="196" customFormat="1" ht="12" customHeight="1" x14ac:dyDescent="0.25">
      <c r="A44" s="220" t="s">
        <v>690</v>
      </c>
      <c r="B44" s="761" t="s">
        <v>2098</v>
      </c>
      <c r="C44" s="221" t="s">
        <v>866</v>
      </c>
      <c r="D44" s="819">
        <f>-SUMIF(GL[Line_statement],BS!$C44&amp;"BS",GL[Total current year])</f>
        <v>0</v>
      </c>
      <c r="E44" s="819">
        <f>-SUMIF(GL[Line_statement],BS!$C44&amp;"BS",GL[Total previous year])</f>
        <v>0</v>
      </c>
      <c r="F44" s="837"/>
      <c r="G44" s="837"/>
      <c r="H44" s="849"/>
      <c r="I44" s="833"/>
      <c r="J44" s="833"/>
    </row>
    <row r="45" spans="1:10" s="227" customFormat="1" x14ac:dyDescent="0.25">
      <c r="A45" s="225" t="s">
        <v>1582</v>
      </c>
      <c r="B45" s="763" t="s">
        <v>2099</v>
      </c>
      <c r="C45" s="226" t="s">
        <v>869</v>
      </c>
      <c r="D45" s="839">
        <f>D7-(D38+D41+D42+D43+D44+D46)</f>
        <v>0</v>
      </c>
      <c r="E45" s="839">
        <f>E7-(E38+E41+E42+E43+E44+E46)</f>
        <v>0</v>
      </c>
      <c r="F45" s="849"/>
      <c r="G45" s="837"/>
      <c r="H45" s="833"/>
      <c r="I45" s="859"/>
      <c r="J45" s="833"/>
    </row>
    <row r="46" spans="1:10" s="196" customFormat="1" ht="12" customHeight="1" x14ac:dyDescent="0.25">
      <c r="A46" s="220" t="s">
        <v>560</v>
      </c>
      <c r="B46" s="761" t="s">
        <v>2100</v>
      </c>
      <c r="C46" s="221" t="s">
        <v>872</v>
      </c>
      <c r="D46" s="819">
        <f>SUM(D47,D48,D49,D50,D55,D56,D57)</f>
        <v>0</v>
      </c>
      <c r="E46" s="819">
        <f>SUM(E47,E48,E49,E50,E55,E56,E57)</f>
        <v>0</v>
      </c>
      <c r="F46" s="837"/>
      <c r="G46" s="860"/>
      <c r="H46" s="849"/>
      <c r="I46" s="833"/>
      <c r="J46" s="833"/>
    </row>
    <row r="47" spans="1:10" s="196" customFormat="1" ht="12" customHeight="1" x14ac:dyDescent="0.25">
      <c r="A47" s="220" t="s">
        <v>563</v>
      </c>
      <c r="B47" s="761" t="s">
        <v>2101</v>
      </c>
      <c r="C47" s="221" t="s">
        <v>875</v>
      </c>
      <c r="D47" s="819">
        <f>-SUMIF(GL[Line_statement],BS!$C47&amp;"BS",GL[Total current year])</f>
        <v>0</v>
      </c>
      <c r="E47" s="819">
        <f>-SUMIF(GL[Line_statement],BS!$C47&amp;"BS",GL[Total previous year])</f>
        <v>0</v>
      </c>
      <c r="F47" s="831"/>
      <c r="G47" s="1220"/>
      <c r="H47" s="1220"/>
      <c r="I47" s="1220"/>
      <c r="J47" s="833"/>
    </row>
    <row r="48" spans="1:10" s="196" customFormat="1" ht="12" customHeight="1" x14ac:dyDescent="0.25">
      <c r="A48" s="220" t="s">
        <v>579</v>
      </c>
      <c r="B48" s="761" t="s">
        <v>2102</v>
      </c>
      <c r="C48" s="221" t="s">
        <v>878</v>
      </c>
      <c r="D48" s="819">
        <f>-SUMIF(GL[Line_statement],BS!$C48&amp;"BS",GL[Total current year])</f>
        <v>0</v>
      </c>
      <c r="E48" s="819">
        <f>-SUMIF(GL[Line_statement],BS!$C48&amp;"BS",GL[Total previous year])</f>
        <v>0</v>
      </c>
      <c r="F48" s="831"/>
      <c r="G48" s="1220"/>
      <c r="H48" s="1220"/>
      <c r="I48" s="833"/>
      <c r="J48" s="833"/>
    </row>
    <row r="49" spans="1:11" s="174" customFormat="1" ht="12" customHeight="1" x14ac:dyDescent="0.25">
      <c r="A49" s="220" t="s">
        <v>597</v>
      </c>
      <c r="B49" s="761" t="s">
        <v>1694</v>
      </c>
      <c r="C49" s="221" t="s">
        <v>881</v>
      </c>
      <c r="D49" s="819">
        <f>-SUMIF(GL[Line_statement],BS!$C49&amp;"BS",GL[Total current year])</f>
        <v>0</v>
      </c>
      <c r="E49" s="819">
        <f>-SUMIF(GL[Line_statement],BS!$C49&amp;"BS",GL[Total previous year])</f>
        <v>0</v>
      </c>
      <c r="F49" s="831"/>
      <c r="G49" s="1220"/>
      <c r="H49" s="1220"/>
      <c r="I49" s="1220"/>
      <c r="J49" s="1220"/>
    </row>
    <row r="50" spans="1:11" s="196" customFormat="1" ht="12" customHeight="1" x14ac:dyDescent="0.25">
      <c r="A50" s="220" t="s">
        <v>615</v>
      </c>
      <c r="B50" s="761" t="s">
        <v>2103</v>
      </c>
      <c r="C50" s="221" t="s">
        <v>884</v>
      </c>
      <c r="D50" s="819">
        <f>SUM(D51,D52:D54)</f>
        <v>0</v>
      </c>
      <c r="E50" s="819">
        <f>SUM(E51,E52:E54)</f>
        <v>0</v>
      </c>
      <c r="F50" s="831"/>
      <c r="G50" s="1220"/>
      <c r="H50" s="1220"/>
      <c r="I50" s="1220"/>
      <c r="J50" s="833"/>
    </row>
    <row r="51" spans="1:11" s="196" customFormat="1" ht="12" customHeight="1" x14ac:dyDescent="0.25">
      <c r="A51" s="229" t="s">
        <v>618</v>
      </c>
      <c r="B51" s="828" t="s">
        <v>2104</v>
      </c>
      <c r="C51" s="230" t="s">
        <v>887</v>
      </c>
      <c r="D51" s="830">
        <f>-SUMIF(GL[Line_statement],BS!$C51&amp;"BS",GL[Total current year])</f>
        <v>0</v>
      </c>
      <c r="E51" s="830">
        <f>-SUMIF(GL[Line_statement],BS!$C51&amp;"BS",GL[Total previous year])</f>
        <v>0</v>
      </c>
      <c r="F51" s="831"/>
      <c r="G51" s="861"/>
      <c r="H51" s="861"/>
      <c r="I51" s="861"/>
      <c r="J51" s="833"/>
    </row>
    <row r="52" spans="1:11" s="174" customFormat="1" ht="12" customHeight="1" x14ac:dyDescent="0.25">
      <c r="A52" s="229" t="s">
        <v>498</v>
      </c>
      <c r="B52" s="764" t="s">
        <v>2105</v>
      </c>
      <c r="C52" s="230" t="s">
        <v>890</v>
      </c>
      <c r="D52" s="820">
        <f>-SUMIF(GL[Line_statement],BS!$C52&amp;"BS",GL[Total current year])</f>
        <v>0</v>
      </c>
      <c r="E52" s="820">
        <f>-SUMIF(GL[Line_statement],BS!$C52&amp;"BS",GL[Total previous year])</f>
        <v>0</v>
      </c>
      <c r="F52" s="831"/>
      <c r="G52" s="850"/>
      <c r="H52" s="850"/>
      <c r="I52" s="832"/>
      <c r="J52" s="832"/>
    </row>
    <row r="53" spans="1:11" s="174" customFormat="1" ht="12" customHeight="1" x14ac:dyDescent="0.25">
      <c r="A53" s="223" t="s">
        <v>501</v>
      </c>
      <c r="B53" s="838" t="s">
        <v>2106</v>
      </c>
      <c r="C53" s="224" t="s">
        <v>893</v>
      </c>
      <c r="D53" s="820">
        <f>-SUMIF(GL[Line_statement],BS!$C53&amp;"BS",GL[Total current year])</f>
        <v>0</v>
      </c>
      <c r="E53" s="820">
        <f>-SUMIF(GL[Line_statement],BS!$C53&amp;"BS",GL[Total previous year])</f>
        <v>0</v>
      </c>
      <c r="F53" s="832"/>
      <c r="G53" s="850"/>
      <c r="H53" s="850"/>
      <c r="I53" s="832"/>
      <c r="J53" s="832"/>
    </row>
    <row r="54" spans="1:11" s="174" customFormat="1" ht="12" customHeight="1" x14ac:dyDescent="0.25">
      <c r="A54" s="223" t="s">
        <v>504</v>
      </c>
      <c r="B54" s="838" t="s">
        <v>2107</v>
      </c>
      <c r="C54" s="224" t="s">
        <v>896</v>
      </c>
      <c r="D54" s="820">
        <f>-SUMIF(GL[Line_statement],BS!$C54&amp;"BS",GL[Total current year])</f>
        <v>0</v>
      </c>
      <c r="E54" s="820">
        <f>-SUMIF(GL[Line_statement],BS!$C54&amp;"BS",GL[Total previous year])</f>
        <v>0</v>
      </c>
      <c r="F54" s="832"/>
      <c r="G54" s="850"/>
      <c r="H54" s="850"/>
      <c r="I54" s="832"/>
      <c r="J54" s="832"/>
    </row>
    <row r="55" spans="1:11" s="174" customFormat="1" ht="12" customHeight="1" x14ac:dyDescent="0.25">
      <c r="A55" s="220" t="s">
        <v>753</v>
      </c>
      <c r="B55" s="761" t="s">
        <v>2108</v>
      </c>
      <c r="C55" s="221" t="s">
        <v>899</v>
      </c>
      <c r="D55" s="819">
        <f>-SUMIF(GL[Line_statement],BS!$C55&amp;"BS",GL[Total current year])</f>
        <v>0</v>
      </c>
      <c r="E55" s="819">
        <f>-SUMIF(GL[Line_statement],BS!$C55&amp;"BS",GL[Total previous year])</f>
        <v>0</v>
      </c>
      <c r="F55" s="831"/>
      <c r="G55" s="1220"/>
      <c r="H55" s="1220"/>
      <c r="I55" s="832"/>
      <c r="J55" s="832"/>
    </row>
    <row r="56" spans="1:11" s="174" customFormat="1" ht="12" customHeight="1" x14ac:dyDescent="0.25">
      <c r="A56" s="231" t="s">
        <v>1601</v>
      </c>
      <c r="B56" s="767" t="s">
        <v>1709</v>
      </c>
      <c r="C56" s="232" t="s">
        <v>902</v>
      </c>
      <c r="D56" s="840">
        <f>-SUMIF(GL[Line_statement],BS!$C56&amp;"BS",GL[Total current year])</f>
        <v>0</v>
      </c>
      <c r="E56" s="840">
        <f>-SUMIF(GL[Line_statement],BS!$C56&amp;"BS",GL[Total previous year])</f>
        <v>0</v>
      </c>
      <c r="F56" s="831"/>
      <c r="G56" s="1220"/>
      <c r="H56" s="1220"/>
      <c r="I56" s="1220"/>
      <c r="J56" s="1220"/>
      <c r="K56" s="770"/>
    </row>
    <row r="57" spans="1:11" s="196" customFormat="1" ht="12" customHeight="1" x14ac:dyDescent="0.25">
      <c r="A57" s="220" t="s">
        <v>1603</v>
      </c>
      <c r="B57" s="761" t="s">
        <v>1003</v>
      </c>
      <c r="C57" s="221" t="s">
        <v>905</v>
      </c>
      <c r="D57" s="819">
        <f>-SUMIF(GL[Line_statement],BS!$C57&amp;"BS",GL[Total current year])</f>
        <v>0</v>
      </c>
      <c r="E57" s="819">
        <f>-SUMIF(GL[Line_statement],BS!$C57&amp;"BS",GL[Total previous year])</f>
        <v>0</v>
      </c>
      <c r="F57" s="831"/>
      <c r="G57" s="1220"/>
      <c r="H57" s="1220"/>
      <c r="I57" s="1220"/>
      <c r="J57" s="1220"/>
    </row>
    <row r="58" spans="1:11" ht="12" hidden="1" customHeight="1" x14ac:dyDescent="0.2">
      <c r="A58" s="233"/>
      <c r="B58" s="768" t="s">
        <v>1610</v>
      </c>
      <c r="C58" s="234" t="s">
        <v>772</v>
      </c>
      <c r="D58" s="834">
        <f>SUM(D36:D57)</f>
        <v>0</v>
      </c>
      <c r="E58" s="834">
        <f>SUM(E36:E57)</f>
        <v>0</v>
      </c>
      <c r="F58" s="835"/>
      <c r="G58" s="835"/>
      <c r="H58" s="849"/>
      <c r="I58" s="841"/>
      <c r="J58" s="841"/>
    </row>
    <row r="59" spans="1:11" ht="15" customHeight="1" x14ac:dyDescent="0.2">
      <c r="A59" s="235"/>
      <c r="B59" s="769"/>
      <c r="C59" s="236"/>
      <c r="D59" s="237"/>
      <c r="E59" s="237"/>
      <c r="F59" s="841"/>
      <c r="G59" s="841"/>
      <c r="H59" s="841"/>
      <c r="I59" s="841"/>
      <c r="J59" s="841"/>
    </row>
    <row r="60" spans="1:11" ht="15" customHeight="1" x14ac:dyDescent="0.2">
      <c r="A60" s="235"/>
      <c r="B60" s="769"/>
      <c r="C60" s="236"/>
      <c r="D60" s="237"/>
      <c r="E60" s="237"/>
      <c r="F60" s="841"/>
      <c r="G60" s="841"/>
      <c r="H60" s="841"/>
      <c r="I60" s="841"/>
      <c r="J60" s="841"/>
    </row>
    <row r="61" spans="1:11" x14ac:dyDescent="0.2">
      <c r="F61" s="841"/>
      <c r="G61" s="841"/>
      <c r="H61" s="841"/>
      <c r="I61" s="841"/>
      <c r="J61" s="841"/>
    </row>
    <row r="62" spans="1:11" x14ac:dyDescent="0.2">
      <c r="B62" s="1092" t="s">
        <v>2007</v>
      </c>
      <c r="C62" s="1093" t="str">
        <f>IF(AND(F63="OK",G63="OK",F64="OK",G64="OK"),"OK","ERROR")</f>
        <v>OK</v>
      </c>
      <c r="D62" s="1094"/>
      <c r="E62" s="1094"/>
      <c r="F62" s="1095"/>
      <c r="G62" s="1095"/>
      <c r="H62" s="841"/>
      <c r="I62" s="841"/>
      <c r="J62" s="841"/>
    </row>
    <row r="63" spans="1:11" x14ac:dyDescent="0.2">
      <c r="B63" s="1096" t="s">
        <v>2008</v>
      </c>
      <c r="C63" s="1097"/>
      <c r="D63" s="1098">
        <f>D7-D36</f>
        <v>0</v>
      </c>
      <c r="E63" s="1098">
        <f>E7-E36</f>
        <v>0</v>
      </c>
      <c r="F63" s="1097" t="str">
        <f>IF(AND(D63&lt;0.1,D63&gt;-0.1),"OK","E")</f>
        <v>OK</v>
      </c>
      <c r="G63" s="1097" t="str">
        <f>IF(AND(E63&lt;0.1,E63&gt;-0.1),"OK","E")</f>
        <v>OK</v>
      </c>
      <c r="H63" s="841"/>
      <c r="I63" s="841"/>
      <c r="J63" s="841"/>
    </row>
    <row r="64" spans="1:11" x14ac:dyDescent="0.2">
      <c r="B64" s="1096" t="s">
        <v>2009</v>
      </c>
      <c r="C64" s="1097"/>
      <c r="D64" s="1098">
        <f>SUM(GL!H279:H351)+D45</f>
        <v>0</v>
      </c>
      <c r="E64" s="1098">
        <f>SUM(GL!I279:I351)+E45</f>
        <v>0</v>
      </c>
      <c r="F64" s="1097" t="str">
        <f>IF(AND(D64&lt;0.1,D64&gt;-0.1),"OK","E")</f>
        <v>OK</v>
      </c>
      <c r="G64" s="1097" t="str">
        <f>IF(AND(E64&lt;0.1,E64&gt;-0.1),"OK","E")</f>
        <v>OK</v>
      </c>
      <c r="H64" s="841"/>
      <c r="I64" s="841"/>
      <c r="J64" s="841"/>
    </row>
    <row r="65" spans="6:10" x14ac:dyDescent="0.2">
      <c r="F65" s="841"/>
      <c r="G65" s="841"/>
      <c r="H65" s="841"/>
      <c r="I65" s="841"/>
      <c r="J65" s="841"/>
    </row>
    <row r="66" spans="6:10" x14ac:dyDescent="0.2">
      <c r="F66" s="841"/>
      <c r="G66" s="841"/>
      <c r="H66" s="841"/>
      <c r="I66" s="841"/>
      <c r="J66" s="841"/>
    </row>
    <row r="67" spans="6:10" x14ac:dyDescent="0.2">
      <c r="F67" s="841"/>
      <c r="G67" s="841"/>
      <c r="H67" s="841"/>
      <c r="I67" s="841"/>
      <c r="J67" s="841"/>
    </row>
    <row r="68" spans="6:10" x14ac:dyDescent="0.2">
      <c r="F68" s="841"/>
      <c r="G68" s="841"/>
      <c r="H68" s="841"/>
      <c r="I68" s="841"/>
      <c r="J68" s="841"/>
    </row>
    <row r="69" spans="6:10" x14ac:dyDescent="0.2">
      <c r="F69" s="841"/>
      <c r="G69" s="841"/>
      <c r="H69" s="841"/>
      <c r="I69" s="841"/>
      <c r="J69" s="841"/>
    </row>
    <row r="70" spans="6:10" x14ac:dyDescent="0.2">
      <c r="F70" s="841"/>
      <c r="G70" s="841"/>
      <c r="H70" s="841"/>
      <c r="I70" s="841"/>
      <c r="J70" s="841"/>
    </row>
    <row r="71" spans="6:10" x14ac:dyDescent="0.2">
      <c r="F71" s="841"/>
      <c r="G71" s="841"/>
      <c r="H71" s="841"/>
      <c r="I71" s="841"/>
      <c r="J71" s="841"/>
    </row>
  </sheetData>
  <mergeCells count="18">
    <mergeCell ref="L25:M25"/>
    <mergeCell ref="G26:H26"/>
    <mergeCell ref="G9:H9"/>
    <mergeCell ref="G10:I10"/>
    <mergeCell ref="G15:H15"/>
    <mergeCell ref="G21:H21"/>
    <mergeCell ref="G22:I22"/>
    <mergeCell ref="G27:H27"/>
    <mergeCell ref="G37:H37"/>
    <mergeCell ref="G47:I47"/>
    <mergeCell ref="G23:I23"/>
    <mergeCell ref="J25:K25"/>
    <mergeCell ref="G56:J56"/>
    <mergeCell ref="G57:J57"/>
    <mergeCell ref="G48:H48"/>
    <mergeCell ref="G49:J49"/>
    <mergeCell ref="G50:I50"/>
    <mergeCell ref="G55:H55"/>
  </mergeCells>
  <conditionalFormatting sqref="K1:K2">
    <cfRule type="containsText" dxfId="0" priority="1" operator="containsText" text="Select">
      <formula>NOT(ISERROR(SEARCH("Select",K1)))</formula>
    </cfRule>
  </conditionalFormatting>
  <dataValidations disablePrompts="1" count="2">
    <dataValidation type="list" allowBlank="1" showInputMessage="1" showErrorMessage="1" sqref="K1">
      <formula1>$O$16:$O$18</formula1>
    </dataValidation>
    <dataValidation type="list" allowBlank="1" showInputMessage="1" showErrorMessage="1" sqref="K2">
      <formula1>#REF!</formula1>
    </dataValidation>
  </dataValidations>
  <hyperlinks>
    <hyperlink ref="G56:K56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31" max="7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FFFF99"/>
    <pageSetUpPr fitToPage="1"/>
  </sheetPr>
  <dimension ref="A1:N65"/>
  <sheetViews>
    <sheetView showGridLines="0" showZeros="0" zoomScaleNormal="100" workbookViewId="0">
      <selection activeCell="D27" sqref="D27"/>
    </sheetView>
  </sheetViews>
  <sheetFormatPr defaultColWidth="9.140625" defaultRowHeight="11.25" x14ac:dyDescent="0.2"/>
  <cols>
    <col min="1" max="1" width="5.7109375" style="167" customWidth="1"/>
    <col min="2" max="2" width="65" style="219" customWidth="1"/>
    <col min="3" max="3" width="9.28515625" style="188" customWidth="1"/>
    <col min="4" max="4" width="15.5703125" style="279" customWidth="1"/>
    <col min="5" max="5" width="14.5703125" style="167" customWidth="1"/>
    <col min="6" max="6" width="9.140625" style="167"/>
    <col min="7" max="7" width="3.28515625" style="167" customWidth="1"/>
    <col min="8" max="16384" width="9.140625" style="167"/>
  </cols>
  <sheetData>
    <row r="1" spans="1:14" ht="12" customHeight="1" x14ac:dyDescent="0.2">
      <c r="A1" s="169" t="s">
        <v>463</v>
      </c>
      <c r="B1" s="862">
        <v>0</v>
      </c>
      <c r="C1" s="239"/>
      <c r="D1" s="240"/>
      <c r="E1" s="241"/>
      <c r="I1" s="846"/>
      <c r="J1" s="890"/>
      <c r="K1" s="891"/>
    </row>
    <row r="2" spans="1:14" s="174" customFormat="1" ht="12" customHeight="1" x14ac:dyDescent="0.2">
      <c r="A2" s="169" t="s">
        <v>466</v>
      </c>
      <c r="B2" s="863" t="s">
        <v>773</v>
      </c>
      <c r="C2" s="239"/>
      <c r="D2" s="240"/>
      <c r="E2" s="241"/>
      <c r="I2" s="846"/>
      <c r="J2" s="892"/>
      <c r="K2" s="891"/>
    </row>
    <row r="3" spans="1:14" ht="11.25" customHeight="1" x14ac:dyDescent="0.2">
      <c r="C3" s="167"/>
      <c r="D3" s="167"/>
      <c r="I3" s="846"/>
      <c r="J3" s="893"/>
      <c r="K3" s="891"/>
    </row>
    <row r="4" spans="1:14" ht="11.25" customHeight="1" x14ac:dyDescent="0.2">
      <c r="A4" s="1110" t="s">
        <v>1633</v>
      </c>
      <c r="B4" s="747"/>
      <c r="C4" s="178"/>
      <c r="D4" s="243"/>
      <c r="E4" s="244"/>
      <c r="F4" s="817"/>
      <c r="I4" s="817"/>
      <c r="J4" s="864"/>
    </row>
    <row r="5" spans="1:14" ht="12" customHeight="1" x14ac:dyDescent="0.2">
      <c r="B5" s="865" t="s">
        <v>774</v>
      </c>
      <c r="C5" s="184"/>
      <c r="D5" s="246"/>
      <c r="E5" s="247"/>
      <c r="F5" s="817"/>
    </row>
    <row r="6" spans="1:14" s="188" customFormat="1" ht="12" customHeight="1" x14ac:dyDescent="0.2">
      <c r="A6" s="248" t="s">
        <v>474</v>
      </c>
      <c r="B6" s="866" t="s">
        <v>775</v>
      </c>
      <c r="C6" s="248" t="s">
        <v>476</v>
      </c>
      <c r="D6" s="250" t="s">
        <v>776</v>
      </c>
      <c r="E6" s="251"/>
    </row>
    <row r="7" spans="1:14" s="191" customFormat="1" ht="12" customHeight="1" x14ac:dyDescent="0.25">
      <c r="A7" s="252" t="s">
        <v>479</v>
      </c>
      <c r="B7" s="253"/>
      <c r="C7" s="252" t="s">
        <v>480</v>
      </c>
      <c r="D7" s="254" t="s">
        <v>777</v>
      </c>
      <c r="E7" s="255" t="s">
        <v>778</v>
      </c>
    </row>
    <row r="8" spans="1:14" s="188" customFormat="1" ht="12" customHeight="1" x14ac:dyDescent="0.2">
      <c r="A8" s="256" t="s">
        <v>484</v>
      </c>
      <c r="B8" s="867" t="s">
        <v>485</v>
      </c>
      <c r="C8" s="256" t="s">
        <v>486</v>
      </c>
      <c r="D8" s="258">
        <v>1</v>
      </c>
      <c r="E8" s="256">
        <v>2</v>
      </c>
    </row>
    <row r="9" spans="1:14" s="188" customFormat="1" ht="12" customHeight="1" x14ac:dyDescent="0.2">
      <c r="A9" s="262" t="s">
        <v>846</v>
      </c>
      <c r="B9" s="869" t="s">
        <v>2022</v>
      </c>
      <c r="C9" s="266" t="s">
        <v>2023</v>
      </c>
      <c r="D9" s="870">
        <f>SUM(D10:D15)</f>
        <v>0</v>
      </c>
      <c r="E9" s="870">
        <f>SUM(E10:E15)</f>
        <v>0</v>
      </c>
      <c r="F9" s="894"/>
      <c r="G9" s="1224"/>
      <c r="H9" s="1224"/>
      <c r="I9" s="1224"/>
      <c r="J9" s="1224"/>
      <c r="K9" s="1224"/>
      <c r="L9" s="1224"/>
      <c r="M9" s="1224"/>
      <c r="N9" s="1224"/>
    </row>
    <row r="10" spans="1:14" s="174" customFormat="1" ht="12" customHeight="1" x14ac:dyDescent="0.25">
      <c r="A10" s="871" t="s">
        <v>843</v>
      </c>
      <c r="B10" s="872" t="s">
        <v>1715</v>
      </c>
      <c r="C10" s="873" t="s">
        <v>2018</v>
      </c>
      <c r="D10" s="874">
        <f>-SUMIF(GL[Line_statement],C10&amp;"PL",GL[Total current year])</f>
        <v>0</v>
      </c>
      <c r="E10" s="875">
        <f>-SUMIF(GL[Line_statement],C10&amp;"PL",GL[Total previous year])</f>
        <v>0</v>
      </c>
      <c r="F10" s="832"/>
      <c r="G10" s="832"/>
      <c r="H10" s="832"/>
      <c r="I10" s="832"/>
      <c r="J10" s="832"/>
      <c r="K10" s="832"/>
      <c r="L10" s="832"/>
      <c r="M10" s="832"/>
      <c r="N10" s="832"/>
    </row>
    <row r="11" spans="1:14" s="174" customFormat="1" ht="12" customHeight="1" x14ac:dyDescent="0.25">
      <c r="A11" s="876" t="s">
        <v>1611</v>
      </c>
      <c r="B11" s="872" t="s">
        <v>2024</v>
      </c>
      <c r="C11" s="873" t="s">
        <v>2017</v>
      </c>
      <c r="D11" s="874">
        <f>-SUMIF(GL[Line_statement],C11&amp;"PL",GL[Total current year])</f>
        <v>0</v>
      </c>
      <c r="E11" s="875">
        <f>-SUMIF(GL[Line_statement],C11&amp;"PL",GL[Total previous year])</f>
        <v>0</v>
      </c>
      <c r="F11" s="832"/>
      <c r="G11" s="895"/>
      <c r="H11" s="832"/>
      <c r="I11" s="832"/>
      <c r="J11" s="832"/>
      <c r="K11" s="832"/>
      <c r="L11" s="832"/>
      <c r="M11" s="832"/>
      <c r="N11" s="832"/>
    </row>
    <row r="12" spans="1:14" s="174" customFormat="1" ht="12" customHeight="1" x14ac:dyDescent="0.25">
      <c r="A12" s="876" t="s">
        <v>1612</v>
      </c>
      <c r="B12" s="872" t="s">
        <v>2025</v>
      </c>
      <c r="C12" s="873" t="s">
        <v>2026</v>
      </c>
      <c r="D12" s="877">
        <f>-SUMIF(GL[Line_statement],C12&amp;"PL",GL[Total current year])</f>
        <v>0</v>
      </c>
      <c r="E12" s="875">
        <f>-SUMIF(GL[Line_statement],C12&amp;"PL",GL[Total previous year])</f>
        <v>0</v>
      </c>
      <c r="F12" s="832"/>
      <c r="G12" s="895"/>
      <c r="H12" s="832"/>
      <c r="I12" s="832"/>
      <c r="J12" s="832"/>
      <c r="K12" s="832"/>
      <c r="L12" s="832"/>
      <c r="M12" s="832"/>
      <c r="N12" s="832"/>
    </row>
    <row r="13" spans="1:14" s="174" customFormat="1" ht="12" customHeight="1" x14ac:dyDescent="0.25">
      <c r="A13" s="876" t="s">
        <v>1613</v>
      </c>
      <c r="B13" s="872" t="s">
        <v>1719</v>
      </c>
      <c r="C13" s="873" t="s">
        <v>2027</v>
      </c>
      <c r="D13" s="874">
        <f>-SUMIF(GL[Line_statement],C13&amp;"PL",GL[Total current year])</f>
        <v>0</v>
      </c>
      <c r="E13" s="875">
        <f>-SUMIF(GL[Line_statement],C13&amp;"PL",GL[Total previous year])</f>
        <v>0</v>
      </c>
      <c r="F13" s="832"/>
      <c r="G13" s="895"/>
      <c r="H13" s="832"/>
      <c r="I13" s="832"/>
      <c r="J13" s="832"/>
      <c r="K13" s="832"/>
      <c r="L13" s="832"/>
      <c r="M13" s="832"/>
      <c r="N13" s="832"/>
    </row>
    <row r="14" spans="1:14" s="174" customFormat="1" ht="12" customHeight="1" x14ac:dyDescent="0.25">
      <c r="A14" s="876" t="s">
        <v>942</v>
      </c>
      <c r="B14" s="872" t="s">
        <v>2028</v>
      </c>
      <c r="C14" s="873" t="s">
        <v>2029</v>
      </c>
      <c r="D14" s="874">
        <f>-SUMIF(GL[Line_statement],C14&amp;"PL",GL[Total current year])</f>
        <v>0</v>
      </c>
      <c r="E14" s="875">
        <f>-SUMIF(GL[Line_statement],C14&amp;"PL",GL[Total previous year])</f>
        <v>0</v>
      </c>
      <c r="F14" s="832"/>
      <c r="G14" s="895"/>
      <c r="H14" s="832"/>
      <c r="I14" s="832"/>
      <c r="J14" s="832"/>
      <c r="K14" s="832"/>
      <c r="L14" s="832"/>
      <c r="M14" s="832"/>
      <c r="N14" s="832"/>
    </row>
    <row r="15" spans="1:14" s="174" customFormat="1" ht="12" customHeight="1" x14ac:dyDescent="0.25">
      <c r="A15" s="876" t="s">
        <v>1614</v>
      </c>
      <c r="B15" s="872" t="s">
        <v>2030</v>
      </c>
      <c r="C15" s="873" t="s">
        <v>2021</v>
      </c>
      <c r="D15" s="874">
        <f>-SUMIF(GL[Line_statement],C15&amp;"PL",GL[Total current year])</f>
        <v>0</v>
      </c>
      <c r="E15" s="875">
        <f>-SUMIF(GL[Line_statement],C15&amp;"PL",GL[Total previous year])</f>
        <v>0</v>
      </c>
      <c r="F15" s="832"/>
      <c r="G15" s="895"/>
      <c r="H15" s="832"/>
      <c r="I15" s="832"/>
      <c r="J15" s="832"/>
      <c r="K15" s="832"/>
      <c r="L15" s="832"/>
      <c r="M15" s="832"/>
      <c r="N15" s="832"/>
    </row>
    <row r="16" spans="1:14" s="174" customFormat="1" ht="12" customHeight="1" x14ac:dyDescent="0.25">
      <c r="A16" s="262" t="s">
        <v>846</v>
      </c>
      <c r="B16" s="869" t="s">
        <v>2031</v>
      </c>
      <c r="C16" s="266" t="s">
        <v>2032</v>
      </c>
      <c r="D16" s="870">
        <f>SUM(D17,D18,D19,D20,D21,D22,D23,D24,D25)</f>
        <v>0</v>
      </c>
      <c r="E16" s="870">
        <f>SUM(E17,E18,E19,E20,E21,E22,E23,E24,E25)</f>
        <v>0</v>
      </c>
      <c r="F16" s="832"/>
      <c r="G16" s="1224"/>
      <c r="H16" s="1224"/>
      <c r="I16" s="1224"/>
      <c r="J16" s="1224"/>
      <c r="K16" s="1224"/>
      <c r="L16" s="1224"/>
      <c r="M16" s="1224"/>
      <c r="N16" s="1224"/>
    </row>
    <row r="17" spans="1:14" s="174" customFormat="1" ht="12" customHeight="1" x14ac:dyDescent="0.2">
      <c r="A17" s="876" t="s">
        <v>489</v>
      </c>
      <c r="B17" s="872" t="s">
        <v>2033</v>
      </c>
      <c r="C17" s="873" t="s">
        <v>2013</v>
      </c>
      <c r="D17" s="831">
        <f>SUMIF(GL[Line_statement],C17&amp;"PL",GL[Total current year])</f>
        <v>0</v>
      </c>
      <c r="E17" s="879">
        <f>SUMIF(GL[Line_statement],C17&amp;"PL",GL[Total previous year])</f>
        <v>0</v>
      </c>
      <c r="F17" s="832"/>
      <c r="G17" s="895"/>
      <c r="H17" s="832"/>
      <c r="I17" s="832"/>
      <c r="J17" s="832"/>
      <c r="K17" s="832"/>
      <c r="L17" s="832"/>
      <c r="M17" s="832"/>
      <c r="N17" s="832"/>
    </row>
    <row r="18" spans="1:14" s="174" customFormat="1" ht="12" customHeight="1" x14ac:dyDescent="0.25">
      <c r="A18" s="876" t="s">
        <v>560</v>
      </c>
      <c r="B18" s="872" t="s">
        <v>2034</v>
      </c>
      <c r="C18" s="873" t="s">
        <v>2012</v>
      </c>
      <c r="D18" s="874">
        <f>SUMIF(GL[Line_statement],C18&amp;"PL",GL[Total current year])</f>
        <v>0</v>
      </c>
      <c r="E18" s="875">
        <f>SUMIF(GL[Line_statement],C18&amp;"PL",GL[Total previous year])</f>
        <v>0</v>
      </c>
      <c r="F18" s="832"/>
      <c r="G18" s="895"/>
      <c r="H18" s="832"/>
      <c r="I18" s="832"/>
      <c r="J18" s="832"/>
      <c r="K18" s="832"/>
      <c r="L18" s="832"/>
      <c r="M18" s="832"/>
      <c r="N18" s="832"/>
    </row>
    <row r="19" spans="1:14" s="174" customFormat="1" ht="12" customHeight="1" x14ac:dyDescent="0.25">
      <c r="A19" s="876" t="s">
        <v>629</v>
      </c>
      <c r="B19" s="872" t="s">
        <v>1178</v>
      </c>
      <c r="C19" s="873" t="s">
        <v>1825</v>
      </c>
      <c r="D19" s="874">
        <f>SUMIF(GL[Line_statement],C19&amp;"PL",GL[Total current year])</f>
        <v>0</v>
      </c>
      <c r="E19" s="875">
        <f>SUMIF(GL[Line_statement],C19&amp;"PL",GL[Total previous year])</f>
        <v>0</v>
      </c>
      <c r="F19" s="832"/>
      <c r="G19" s="895"/>
      <c r="H19" s="832"/>
      <c r="I19" s="832"/>
      <c r="J19" s="832"/>
      <c r="K19" s="832"/>
      <c r="L19" s="832"/>
      <c r="M19" s="832"/>
      <c r="N19" s="832"/>
    </row>
    <row r="20" spans="1:14" s="174" customFormat="1" ht="12" customHeight="1" x14ac:dyDescent="0.25">
      <c r="A20" s="876" t="s">
        <v>819</v>
      </c>
      <c r="B20" s="872" t="s">
        <v>2035</v>
      </c>
      <c r="C20" s="873" t="s">
        <v>2036</v>
      </c>
      <c r="D20" s="831">
        <f>SUMIF(GL[Line_statement],C20&amp;"PL",GL[Total current year])</f>
        <v>0</v>
      </c>
      <c r="E20" s="875">
        <f>SUMIF(GL[Line_statement],C20&amp;"PL",GL[Total previous year])</f>
        <v>0</v>
      </c>
      <c r="F20" s="832"/>
      <c r="G20" s="895"/>
      <c r="H20" s="832"/>
      <c r="I20" s="832"/>
      <c r="J20" s="832"/>
      <c r="K20" s="832"/>
      <c r="L20" s="832"/>
      <c r="M20" s="832"/>
      <c r="N20" s="832"/>
    </row>
    <row r="21" spans="1:14" s="196" customFormat="1" ht="12" customHeight="1" x14ac:dyDescent="0.25">
      <c r="A21" s="880" t="s">
        <v>822</v>
      </c>
      <c r="B21" s="881" t="s">
        <v>1171</v>
      </c>
      <c r="C21" s="882" t="s">
        <v>1993</v>
      </c>
      <c r="D21" s="883">
        <f>SUMIF(GL[Line_statement],C21&amp;"PL",GL[Total current year])</f>
        <v>0</v>
      </c>
      <c r="E21" s="883">
        <f>SUMIF(GL[Line_statement],C21&amp;"PL",GL[Total previous year])</f>
        <v>0</v>
      </c>
      <c r="F21" s="849"/>
      <c r="G21" s="1224"/>
      <c r="H21" s="1224"/>
      <c r="I21" s="1224"/>
      <c r="J21" s="1224"/>
      <c r="K21" s="833"/>
      <c r="L21" s="833"/>
      <c r="M21" s="833"/>
      <c r="N21" s="833"/>
    </row>
    <row r="22" spans="1:14" s="174" customFormat="1" ht="12" customHeight="1" x14ac:dyDescent="0.25">
      <c r="A22" s="876" t="s">
        <v>828</v>
      </c>
      <c r="B22" s="872" t="s">
        <v>2037</v>
      </c>
      <c r="C22" s="873" t="s">
        <v>2015</v>
      </c>
      <c r="D22" s="874">
        <f>SUMIF(GL[Line_statement],C22&amp;"PL",GL[Total current year])</f>
        <v>0</v>
      </c>
      <c r="E22" s="875">
        <f>SUMIF(GL[Line_statement],C22&amp;"PL",GL[Total previous year])</f>
        <v>0</v>
      </c>
      <c r="F22" s="832"/>
      <c r="G22" s="895"/>
      <c r="H22" s="832"/>
      <c r="I22" s="832"/>
      <c r="J22" s="832"/>
      <c r="K22" s="832"/>
      <c r="L22" s="832"/>
      <c r="M22" s="832"/>
      <c r="N22" s="832"/>
    </row>
    <row r="23" spans="1:14" s="174" customFormat="1" ht="12" customHeight="1" x14ac:dyDescent="0.25">
      <c r="A23" s="880" t="s">
        <v>831</v>
      </c>
      <c r="B23" s="881" t="s">
        <v>2038</v>
      </c>
      <c r="C23" s="882" t="s">
        <v>2039</v>
      </c>
      <c r="D23" s="883">
        <f>SUMIF(GL[Line_statement],C23&amp;"PL",GL[Total current year])</f>
        <v>0</v>
      </c>
      <c r="E23" s="883">
        <f>SUMIF(GL[Line_statement],C23&amp;"PL",GL[Total previous year])</f>
        <v>0</v>
      </c>
      <c r="F23" s="832"/>
      <c r="G23" s="895"/>
      <c r="H23" s="832"/>
      <c r="I23" s="832"/>
      <c r="J23" s="832"/>
      <c r="K23" s="832"/>
      <c r="L23" s="832"/>
      <c r="M23" s="832"/>
      <c r="N23" s="832"/>
    </row>
    <row r="24" spans="1:14" s="174" customFormat="1" ht="12" customHeight="1" x14ac:dyDescent="0.25">
      <c r="A24" s="876" t="s">
        <v>837</v>
      </c>
      <c r="B24" s="872" t="s">
        <v>2040</v>
      </c>
      <c r="C24" s="873" t="s">
        <v>2041</v>
      </c>
      <c r="D24" s="874">
        <f>SUMIF(GL[Line_statement],C24&amp;"PL",GL[Total current year])</f>
        <v>0</v>
      </c>
      <c r="E24" s="875">
        <f>SUMIF(GL[Line_statement],C24&amp;"PL",GL[Total previous year])</f>
        <v>0</v>
      </c>
      <c r="F24" s="832"/>
      <c r="G24" s="895"/>
      <c r="H24" s="832"/>
      <c r="I24" s="832"/>
      <c r="J24" s="832"/>
      <c r="K24" s="832"/>
      <c r="L24" s="832"/>
      <c r="M24" s="832"/>
      <c r="N24" s="832"/>
    </row>
    <row r="25" spans="1:14" s="174" customFormat="1" ht="12" customHeight="1" x14ac:dyDescent="0.25">
      <c r="A25" s="876" t="s">
        <v>843</v>
      </c>
      <c r="B25" s="878" t="s">
        <v>2042</v>
      </c>
      <c r="C25" s="873" t="s">
        <v>2014</v>
      </c>
      <c r="D25" s="874">
        <f>SUMIF(GL[Line_statement],C25&amp;"PL",GL[Total current year])</f>
        <v>0</v>
      </c>
      <c r="E25" s="875">
        <f>SUMIF(GL[Line_statement],C25&amp;"PL",GL[Total previous year])</f>
        <v>0</v>
      </c>
      <c r="F25" s="832"/>
      <c r="G25" s="895"/>
      <c r="H25" s="832"/>
      <c r="I25" s="832"/>
      <c r="J25" s="832"/>
      <c r="K25" s="832"/>
      <c r="L25" s="832"/>
      <c r="M25" s="832"/>
      <c r="N25" s="832"/>
    </row>
    <row r="26" spans="1:14" s="264" customFormat="1" x14ac:dyDescent="0.25">
      <c r="A26" s="262" t="s">
        <v>908</v>
      </c>
      <c r="B26" s="884" t="s">
        <v>2043</v>
      </c>
      <c r="C26" s="272" t="s">
        <v>2044</v>
      </c>
      <c r="D26" s="868">
        <f>D9-D16</f>
        <v>0</v>
      </c>
      <c r="E26" s="868">
        <f>E9-E16</f>
        <v>0</v>
      </c>
      <c r="F26" s="896"/>
      <c r="G26" s="1224"/>
      <c r="H26" s="1224"/>
      <c r="I26" s="1224"/>
      <c r="J26" s="1224"/>
      <c r="K26" s="1224"/>
      <c r="L26" s="1224"/>
      <c r="M26" s="1224"/>
      <c r="N26" s="1224"/>
    </row>
    <row r="27" spans="1:14" s="264" customFormat="1" ht="12" customHeight="1" x14ac:dyDescent="0.25">
      <c r="A27" s="262" t="s">
        <v>846</v>
      </c>
      <c r="B27" s="884" t="s">
        <v>2045</v>
      </c>
      <c r="C27" s="263" t="s">
        <v>2046</v>
      </c>
      <c r="D27" s="868">
        <f>SUM(D10:D13)-SUM(D17:D19)</f>
        <v>0</v>
      </c>
      <c r="E27" s="868">
        <f>SUM(E10:E13)-SUM(E17:E19)</f>
        <v>0</v>
      </c>
      <c r="F27" s="896"/>
      <c r="G27" s="1224"/>
      <c r="H27" s="1224"/>
      <c r="I27" s="1224"/>
      <c r="J27" s="1224"/>
      <c r="K27" s="897"/>
      <c r="L27" s="897"/>
      <c r="M27" s="897"/>
      <c r="N27" s="897"/>
    </row>
    <row r="28" spans="1:14" s="264" customFormat="1" ht="12" customHeight="1" x14ac:dyDescent="0.25">
      <c r="A28" s="262" t="s">
        <v>846</v>
      </c>
      <c r="B28" s="884" t="s">
        <v>2047</v>
      </c>
      <c r="C28" s="263" t="s">
        <v>2048</v>
      </c>
      <c r="D28" s="868">
        <f>SUM(D29,D30,D31,D32,D33,D34)</f>
        <v>0</v>
      </c>
      <c r="E28" s="868">
        <f>SUM(E29,E30,E31,E32,E33,E34)</f>
        <v>0</v>
      </c>
      <c r="F28" s="896"/>
      <c r="G28" s="1224"/>
      <c r="H28" s="1224"/>
      <c r="I28" s="1224"/>
      <c r="J28" s="1224"/>
      <c r="K28" s="897"/>
      <c r="L28" s="897"/>
      <c r="M28" s="897"/>
      <c r="N28" s="897"/>
    </row>
    <row r="29" spans="1:14" s="174" customFormat="1" ht="12" customHeight="1" x14ac:dyDescent="0.25">
      <c r="A29" s="876" t="s">
        <v>1615</v>
      </c>
      <c r="B29" s="878" t="s">
        <v>1161</v>
      </c>
      <c r="C29" s="873" t="s">
        <v>1826</v>
      </c>
      <c r="D29" s="874">
        <f>-SUMIF(GL[Line_statement],C29&amp;"PL",GL[Total current year])</f>
        <v>0</v>
      </c>
      <c r="E29" s="875">
        <f>-SUMIF(GL[Line_statement],C29&amp;"PL",GL[Total previous year])</f>
        <v>0</v>
      </c>
      <c r="F29" s="832"/>
      <c r="G29" s="895"/>
      <c r="H29" s="853"/>
      <c r="I29" s="852"/>
      <c r="J29" s="852"/>
      <c r="K29" s="852"/>
      <c r="L29" s="832"/>
      <c r="M29" s="832"/>
      <c r="N29" s="832"/>
    </row>
    <row r="30" spans="1:14" s="174" customFormat="1" ht="12" customHeight="1" x14ac:dyDescent="0.25">
      <c r="A30" s="876" t="s">
        <v>1618</v>
      </c>
      <c r="B30" s="878" t="s">
        <v>2049</v>
      </c>
      <c r="C30" s="873" t="s">
        <v>2050</v>
      </c>
      <c r="D30" s="874">
        <f>-SUMIF(GL[Line_statement],C30&amp;"PL",GL[Total current year])</f>
        <v>0</v>
      </c>
      <c r="E30" s="874">
        <f>-SUMIF(GL[Line_statement],C30&amp;"PL",GL[Total previous year])</f>
        <v>0</v>
      </c>
      <c r="F30" s="832"/>
      <c r="G30" s="895"/>
      <c r="H30" s="854"/>
      <c r="I30" s="852"/>
      <c r="J30" s="857"/>
      <c r="K30" s="857"/>
      <c r="L30" s="832"/>
      <c r="M30" s="832"/>
      <c r="N30" s="832"/>
    </row>
    <row r="31" spans="1:14" s="174" customFormat="1" ht="12" customHeight="1" x14ac:dyDescent="0.25">
      <c r="A31" s="876" t="s">
        <v>1619</v>
      </c>
      <c r="B31" s="878" t="s">
        <v>1155</v>
      </c>
      <c r="C31" s="873" t="s">
        <v>2051</v>
      </c>
      <c r="D31" s="874">
        <f>-SUMIF(GL[Line_statement],C31&amp;"PL",GL[Total current year])</f>
        <v>0</v>
      </c>
      <c r="E31" s="874">
        <f>-SUMIF(GL[Line_statement],C31&amp;"PL",GL[Total previous year])</f>
        <v>0</v>
      </c>
      <c r="F31" s="832"/>
      <c r="G31" s="895"/>
      <c r="H31" s="858"/>
      <c r="I31" s="858"/>
      <c r="J31" s="898"/>
      <c r="K31" s="898"/>
      <c r="L31" s="832"/>
      <c r="M31" s="832"/>
      <c r="N31" s="832"/>
    </row>
    <row r="32" spans="1:14" s="174" customFormat="1" ht="12" customHeight="1" x14ac:dyDescent="0.25">
      <c r="A32" s="876" t="s">
        <v>1621</v>
      </c>
      <c r="B32" s="878" t="s">
        <v>1150</v>
      </c>
      <c r="C32" s="873" t="s">
        <v>2019</v>
      </c>
      <c r="D32" s="874">
        <f>-SUMIF(GL[Line_statement],C32&amp;"PL",GL[Total current year])</f>
        <v>0</v>
      </c>
      <c r="E32" s="874">
        <f>-SUMIF(GL[Line_statement],C32&amp;"PL",GL[Total previous year])</f>
        <v>0</v>
      </c>
      <c r="F32" s="832"/>
      <c r="G32" s="895"/>
      <c r="H32" s="854"/>
      <c r="I32" s="852"/>
      <c r="J32" s="852"/>
      <c r="K32" s="852"/>
      <c r="L32" s="832"/>
      <c r="M32" s="832"/>
      <c r="N32" s="832"/>
    </row>
    <row r="33" spans="1:14" s="174" customFormat="1" ht="12" customHeight="1" x14ac:dyDescent="0.25">
      <c r="A33" s="876" t="s">
        <v>1623</v>
      </c>
      <c r="B33" s="878" t="s">
        <v>1148</v>
      </c>
      <c r="C33" s="873" t="s">
        <v>2052</v>
      </c>
      <c r="D33" s="874">
        <f>-SUMIF(GL[Line_statement],C33&amp;"PL",GL[Total current year])</f>
        <v>0</v>
      </c>
      <c r="E33" s="875">
        <f>-SUMIF(GL[Line_statement],C33&amp;"PL",GL[Total previous year])</f>
        <v>0</v>
      </c>
      <c r="F33" s="832"/>
      <c r="G33" s="895"/>
      <c r="H33" s="858"/>
      <c r="I33" s="858"/>
      <c r="J33" s="898"/>
      <c r="K33" s="898"/>
      <c r="L33" s="832"/>
      <c r="M33" s="832"/>
      <c r="N33" s="832"/>
    </row>
    <row r="34" spans="1:14" s="174" customFormat="1" ht="12" customHeight="1" x14ac:dyDescent="0.25">
      <c r="A34" s="876" t="s">
        <v>1625</v>
      </c>
      <c r="B34" s="878" t="s">
        <v>1146</v>
      </c>
      <c r="C34" s="873" t="s">
        <v>2053</v>
      </c>
      <c r="D34" s="874">
        <f>-SUMIF(GL[Line_statement],C34&amp;"PL",GL[Total current year])</f>
        <v>0</v>
      </c>
      <c r="E34" s="875">
        <f>-SUMIF(GL[Line_statement],C34&amp;"PL",GL[Total previous year])</f>
        <v>0</v>
      </c>
      <c r="F34" s="832"/>
      <c r="G34" s="895"/>
      <c r="H34" s="832"/>
      <c r="I34" s="832"/>
      <c r="J34" s="832"/>
      <c r="K34" s="832"/>
      <c r="L34" s="832"/>
      <c r="M34" s="832"/>
      <c r="N34" s="832"/>
    </row>
    <row r="35" spans="1:14" s="196" customFormat="1" ht="12" customHeight="1" x14ac:dyDescent="0.25">
      <c r="A35" s="265" t="s">
        <v>908</v>
      </c>
      <c r="B35" s="869" t="s">
        <v>2054</v>
      </c>
      <c r="C35" s="266" t="s">
        <v>2055</v>
      </c>
      <c r="D35" s="870">
        <f>SUM(D36:D39,D40:D41)</f>
        <v>0</v>
      </c>
      <c r="E35" s="870">
        <f>SUM(E36:E39,E40:E41)</f>
        <v>0</v>
      </c>
      <c r="F35" s="896"/>
      <c r="G35" s="1224"/>
      <c r="H35" s="1224"/>
      <c r="I35" s="1224"/>
      <c r="J35" s="1224"/>
      <c r="K35" s="833"/>
      <c r="L35" s="833"/>
      <c r="M35" s="833"/>
      <c r="N35" s="833"/>
    </row>
    <row r="36" spans="1:14" s="174" customFormat="1" ht="12" customHeight="1" x14ac:dyDescent="0.25">
      <c r="A36" s="876" t="s">
        <v>852</v>
      </c>
      <c r="B36" s="878" t="s">
        <v>1160</v>
      </c>
      <c r="C36" s="873" t="s">
        <v>2020</v>
      </c>
      <c r="D36" s="874">
        <f>SUMIF(GL[Line_statement],C36&amp;"PL",GL[Total current year])</f>
        <v>0</v>
      </c>
      <c r="E36" s="875">
        <f>SUMIF(GL[Line_statement],C36&amp;"PL",GL[Total previous year])</f>
        <v>0</v>
      </c>
      <c r="F36" s="832"/>
      <c r="G36" s="895"/>
      <c r="H36" s="832"/>
      <c r="I36" s="832"/>
      <c r="J36" s="832"/>
      <c r="K36" s="832"/>
      <c r="L36" s="832"/>
      <c r="M36" s="832"/>
      <c r="N36" s="832"/>
    </row>
    <row r="37" spans="1:14" s="174" customFormat="1" ht="12" customHeight="1" x14ac:dyDescent="0.25">
      <c r="A37" s="876" t="s">
        <v>870</v>
      </c>
      <c r="B37" s="878" t="s">
        <v>1154</v>
      </c>
      <c r="C37" s="873" t="s">
        <v>2056</v>
      </c>
      <c r="D37" s="874">
        <f>SUMIF(GL[Line_statement],C37&amp;"PL",GL[Total current year])</f>
        <v>0</v>
      </c>
      <c r="E37" s="875">
        <f>SUMIF(GL[Line_statement],C37&amp;"PL",GL[Total previous year])</f>
        <v>0</v>
      </c>
      <c r="F37" s="832"/>
      <c r="G37" s="895"/>
      <c r="H37" s="856"/>
      <c r="I37" s="1225"/>
      <c r="J37" s="1225"/>
      <c r="K37" s="1225"/>
      <c r="L37" s="1225"/>
      <c r="M37" s="832"/>
      <c r="N37" s="832"/>
    </row>
    <row r="38" spans="1:14" s="174" customFormat="1" ht="12" customHeight="1" x14ac:dyDescent="0.25">
      <c r="A38" s="876" t="s">
        <v>876</v>
      </c>
      <c r="B38" s="878" t="s">
        <v>2057</v>
      </c>
      <c r="C38" s="873" t="s">
        <v>2058</v>
      </c>
      <c r="D38" s="874">
        <f>SUMIF(GL[Line_statement],C38&amp;"PL",GL[Total current year])</f>
        <v>0</v>
      </c>
      <c r="E38" s="875">
        <f>SUMIF(GL[Line_statement],C38&amp;"PL",GL[Total previous year])</f>
        <v>0</v>
      </c>
      <c r="F38" s="832"/>
      <c r="G38" s="895"/>
      <c r="H38" s="857"/>
      <c r="I38" s="857"/>
      <c r="J38" s="857"/>
      <c r="K38" s="857"/>
      <c r="L38" s="857"/>
      <c r="M38" s="832"/>
      <c r="N38" s="832"/>
    </row>
    <row r="39" spans="1:14" s="174" customFormat="1" ht="12" customHeight="1" x14ac:dyDescent="0.25">
      <c r="A39" s="876" t="s">
        <v>879</v>
      </c>
      <c r="B39" s="878" t="s">
        <v>1149</v>
      </c>
      <c r="C39" s="873" t="s">
        <v>1992</v>
      </c>
      <c r="D39" s="874">
        <f>SUMIF(GL[Line_statement],C39&amp;"PL",GL[Total current year])</f>
        <v>0</v>
      </c>
      <c r="E39" s="874">
        <f>SUMIF(GL[Line_statement],C39&amp;"PL",GL[Total previous year])</f>
        <v>0</v>
      </c>
      <c r="F39" s="832"/>
      <c r="G39" s="895"/>
      <c r="H39" s="857"/>
      <c r="I39" s="852"/>
      <c r="J39" s="852"/>
      <c r="K39" s="852"/>
      <c r="L39" s="852"/>
      <c r="M39" s="832"/>
      <c r="N39" s="832"/>
    </row>
    <row r="40" spans="1:14" s="174" customFormat="1" ht="12" customHeight="1" x14ac:dyDescent="0.25">
      <c r="A40" s="876" t="s">
        <v>885</v>
      </c>
      <c r="B40" s="878" t="s">
        <v>1147</v>
      </c>
      <c r="C40" s="873" t="s">
        <v>1991</v>
      </c>
      <c r="D40" s="874">
        <f>SUMIF(GL[Line_statement],C40&amp;"PL",GL[Total current year])</f>
        <v>0</v>
      </c>
      <c r="E40" s="875">
        <f>SUMIF(GL[Line_statement],C40&amp;"PL",GL[Total previous year])</f>
        <v>0</v>
      </c>
      <c r="F40" s="832"/>
      <c r="G40" s="895"/>
      <c r="H40" s="832"/>
      <c r="I40" s="832"/>
      <c r="J40" s="832"/>
      <c r="K40" s="832"/>
      <c r="L40" s="832"/>
      <c r="M40" s="832"/>
      <c r="N40" s="832"/>
    </row>
    <row r="41" spans="1:14" s="174" customFormat="1" ht="12" customHeight="1" x14ac:dyDescent="0.25">
      <c r="A41" s="876" t="s">
        <v>891</v>
      </c>
      <c r="B41" s="878" t="s">
        <v>1145</v>
      </c>
      <c r="C41" s="873" t="s">
        <v>2016</v>
      </c>
      <c r="D41" s="874">
        <f>SUMIF(GL[Line_statement],C41&amp;"PL",GL[Total current year])</f>
        <v>0</v>
      </c>
      <c r="E41" s="875">
        <f>SUMIF(GL[Line_statement],C41&amp;"PL",GL[Total previous year])</f>
        <v>0</v>
      </c>
      <c r="F41" s="832"/>
      <c r="G41" s="895"/>
      <c r="H41" s="832"/>
      <c r="I41" s="832"/>
      <c r="J41" s="832"/>
      <c r="K41" s="832"/>
      <c r="L41" s="832"/>
      <c r="M41" s="832"/>
      <c r="N41" s="832"/>
    </row>
    <row r="42" spans="1:14" s="264" customFormat="1" x14ac:dyDescent="0.25">
      <c r="A42" s="265" t="s">
        <v>908</v>
      </c>
      <c r="B42" s="884" t="s">
        <v>2059</v>
      </c>
      <c r="C42" s="272" t="s">
        <v>2060</v>
      </c>
      <c r="D42" s="868">
        <f>D28-D35</f>
        <v>0</v>
      </c>
      <c r="E42" s="868">
        <f>E28-E35</f>
        <v>0</v>
      </c>
      <c r="F42" s="896"/>
      <c r="G42" s="1224"/>
      <c r="H42" s="1224"/>
      <c r="I42" s="1224"/>
      <c r="J42" s="1224"/>
      <c r="K42" s="897"/>
      <c r="L42" s="897"/>
      <c r="M42" s="897"/>
      <c r="N42" s="897"/>
    </row>
    <row r="43" spans="1:14" s="174" customFormat="1" ht="12" customHeight="1" x14ac:dyDescent="0.25">
      <c r="A43" s="267" t="s">
        <v>908</v>
      </c>
      <c r="B43" s="884" t="s">
        <v>2061</v>
      </c>
      <c r="C43" s="269" t="s">
        <v>2062</v>
      </c>
      <c r="D43" s="885">
        <f>SUM(D26,D42)</f>
        <v>0</v>
      </c>
      <c r="E43" s="885">
        <f>SUM(E26,E42)</f>
        <v>0</v>
      </c>
      <c r="F43" s="899"/>
      <c r="G43" s="1224"/>
      <c r="H43" s="1224"/>
      <c r="I43" s="1224"/>
      <c r="J43" s="1224"/>
      <c r="K43" s="832"/>
      <c r="L43" s="832"/>
      <c r="M43" s="832"/>
      <c r="N43" s="832"/>
    </row>
    <row r="44" spans="1:14" s="174" customFormat="1" ht="12" customHeight="1" x14ac:dyDescent="0.25">
      <c r="A44" s="876" t="s">
        <v>897</v>
      </c>
      <c r="B44" s="878" t="s">
        <v>2063</v>
      </c>
      <c r="C44" s="873" t="s">
        <v>2064</v>
      </c>
      <c r="D44" s="874">
        <f>SUMIF(GL[Line_statement],C44&amp;"PL",GL[Total current year])</f>
        <v>0</v>
      </c>
      <c r="E44" s="875">
        <f>SUMIF(GL[Line_statement],C44&amp;"PL",GL[Total previous year])</f>
        <v>0</v>
      </c>
      <c r="F44" s="831"/>
      <c r="G44" s="1224"/>
      <c r="H44" s="1224"/>
      <c r="I44" s="1224"/>
      <c r="J44" s="1224"/>
      <c r="K44" s="832"/>
      <c r="L44" s="832"/>
      <c r="M44" s="832"/>
      <c r="N44" s="832"/>
    </row>
    <row r="45" spans="1:14" ht="12" customHeight="1" x14ac:dyDescent="0.2">
      <c r="A45" s="876" t="s">
        <v>1629</v>
      </c>
      <c r="B45" s="872" t="s">
        <v>2065</v>
      </c>
      <c r="C45" s="873" t="s">
        <v>2066</v>
      </c>
      <c r="D45" s="886">
        <f>SUMIF(GL[Line_statement],C45&amp;"PL",GL[Total current year])</f>
        <v>0</v>
      </c>
      <c r="E45" s="875">
        <f>SUMIF(GL[Line_statement],C45&amp;"PL",GL[Total previous year])</f>
        <v>0</v>
      </c>
      <c r="F45" s="841"/>
      <c r="G45" s="900"/>
      <c r="H45" s="841"/>
      <c r="I45" s="841"/>
      <c r="J45" s="841"/>
      <c r="K45" s="841"/>
      <c r="L45" s="841"/>
      <c r="M45" s="841"/>
      <c r="N45" s="841"/>
    </row>
    <row r="46" spans="1:14" ht="12" customHeight="1" x14ac:dyDescent="0.2">
      <c r="A46" s="276" t="s">
        <v>939</v>
      </c>
      <c r="B46" s="887" t="s">
        <v>2067</v>
      </c>
      <c r="C46" s="278" t="s">
        <v>2068</v>
      </c>
      <c r="D46" s="888">
        <f>D43-D44-D45</f>
        <v>0</v>
      </c>
      <c r="E46" s="888">
        <f>E43-E44-E45</f>
        <v>0</v>
      </c>
      <c r="F46" s="841"/>
      <c r="G46" s="901"/>
      <c r="H46" s="841"/>
      <c r="I46" s="841"/>
      <c r="J46" s="841"/>
      <c r="K46" s="841"/>
      <c r="L46" s="841"/>
      <c r="M46" s="841"/>
      <c r="N46" s="841"/>
    </row>
    <row r="47" spans="1:14" ht="12" customHeight="1" x14ac:dyDescent="0.2">
      <c r="F47" s="841"/>
      <c r="G47" s="901"/>
      <c r="H47" s="841"/>
      <c r="I47" s="841"/>
      <c r="J47" s="841"/>
      <c r="K47" s="841"/>
      <c r="L47" s="841"/>
      <c r="M47" s="841"/>
      <c r="N47" s="841"/>
    </row>
    <row r="48" spans="1:14" ht="12" customHeight="1" x14ac:dyDescent="0.2">
      <c r="F48" s="841"/>
      <c r="G48" s="901"/>
      <c r="H48" s="841"/>
      <c r="I48" s="841"/>
      <c r="J48" s="841"/>
      <c r="K48" s="841"/>
      <c r="L48" s="841"/>
      <c r="M48" s="841"/>
      <c r="N48" s="841"/>
    </row>
    <row r="49" spans="5:7" ht="12" customHeight="1" x14ac:dyDescent="0.2">
      <c r="G49" s="889"/>
    </row>
    <row r="50" spans="5:7" ht="12" customHeight="1" x14ac:dyDescent="0.2">
      <c r="E50" s="279"/>
      <c r="G50" s="889"/>
    </row>
    <row r="51" spans="5:7" ht="12" customHeight="1" x14ac:dyDescent="0.2">
      <c r="G51" s="889"/>
    </row>
    <row r="52" spans="5:7" ht="12" customHeight="1" x14ac:dyDescent="0.2"/>
    <row r="53" spans="5:7" ht="12" customHeight="1" x14ac:dyDescent="0.2"/>
    <row r="54" spans="5:7" ht="12" customHeight="1" x14ac:dyDescent="0.2"/>
    <row r="55" spans="5:7" ht="12" customHeight="1" x14ac:dyDescent="0.2"/>
    <row r="56" spans="5:7" ht="12" customHeight="1" x14ac:dyDescent="0.2"/>
    <row r="57" spans="5:7" ht="12" customHeight="1" x14ac:dyDescent="0.2"/>
    <row r="58" spans="5:7" ht="12" customHeight="1" x14ac:dyDescent="0.2"/>
    <row r="59" spans="5:7" ht="12" customHeight="1" x14ac:dyDescent="0.2"/>
    <row r="60" spans="5:7" ht="12" customHeight="1" x14ac:dyDescent="0.2"/>
    <row r="61" spans="5:7" ht="12" customHeight="1" x14ac:dyDescent="0.2"/>
    <row r="62" spans="5:7" ht="12" customHeight="1" x14ac:dyDescent="0.2"/>
    <row r="63" spans="5:7" ht="12" customHeight="1" x14ac:dyDescent="0.2"/>
    <row r="64" spans="5:7" ht="12" customHeight="1" x14ac:dyDescent="0.2"/>
    <row r="65" ht="12" customHeight="1" x14ac:dyDescent="0.2"/>
  </sheetData>
  <mergeCells count="15">
    <mergeCell ref="K37:L37"/>
    <mergeCell ref="G42:J42"/>
    <mergeCell ref="G9:J9"/>
    <mergeCell ref="K9:N9"/>
    <mergeCell ref="G16:J16"/>
    <mergeCell ref="K16:N16"/>
    <mergeCell ref="G21:J21"/>
    <mergeCell ref="G26:J26"/>
    <mergeCell ref="K26:N26"/>
    <mergeCell ref="G43:J43"/>
    <mergeCell ref="G44:J44"/>
    <mergeCell ref="G27:J27"/>
    <mergeCell ref="G28:J28"/>
    <mergeCell ref="G35:J35"/>
    <mergeCell ref="I37:J37"/>
  </mergeCells>
  <pageMargins left="0.64" right="0.19685039370078741" top="0.28000000000000003" bottom="0.59055118110236227" header="0.21" footer="0.31496062992125984"/>
  <pageSetup paperSize="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46"/>
  <sheetViews>
    <sheetView tabSelected="1" zoomScale="130" zoomScaleNormal="130" workbookViewId="0">
      <selection activeCell="Y136" sqref="Y136"/>
    </sheetView>
  </sheetViews>
  <sheetFormatPr defaultRowHeight="15" x14ac:dyDescent="0.25"/>
  <cols>
    <col min="1" max="1" width="4.85546875" customWidth="1"/>
    <col min="4" max="4" width="9.140625" customWidth="1"/>
    <col min="5" max="12" width="2.7109375" customWidth="1"/>
    <col min="13" max="13" width="9.140625" customWidth="1"/>
    <col min="14" max="23" width="2.7109375" customWidth="1"/>
    <col min="270" max="270" width="4.85546875" customWidth="1"/>
    <col min="274" max="274" width="9.140625" customWidth="1"/>
    <col min="276" max="276" width="9.140625" customWidth="1"/>
    <col min="278" max="278" width="9.140625" customWidth="1"/>
    <col min="279" max="279" width="10.140625" customWidth="1"/>
    <col min="526" max="526" width="4.85546875" customWidth="1"/>
    <col min="530" max="530" width="9.140625" customWidth="1"/>
    <col min="532" max="532" width="9.140625" customWidth="1"/>
    <col min="534" max="534" width="9.140625" customWidth="1"/>
    <col min="535" max="535" width="10.140625" customWidth="1"/>
    <col min="782" max="782" width="4.85546875" customWidth="1"/>
    <col min="786" max="786" width="9.140625" customWidth="1"/>
    <col min="788" max="788" width="9.140625" customWidth="1"/>
    <col min="790" max="790" width="9.140625" customWidth="1"/>
    <col min="791" max="791" width="10.140625" customWidth="1"/>
    <col min="1038" max="1038" width="4.85546875" customWidth="1"/>
    <col min="1042" max="1042" width="9.140625" customWidth="1"/>
    <col min="1044" max="1044" width="9.140625" customWidth="1"/>
    <col min="1046" max="1046" width="9.140625" customWidth="1"/>
    <col min="1047" max="1047" width="10.140625" customWidth="1"/>
    <col min="1294" max="1294" width="4.85546875" customWidth="1"/>
    <col min="1298" max="1298" width="9.140625" customWidth="1"/>
    <col min="1300" max="1300" width="9.140625" customWidth="1"/>
    <col min="1302" max="1302" width="9.140625" customWidth="1"/>
    <col min="1303" max="1303" width="10.140625" customWidth="1"/>
    <col min="1550" max="1550" width="4.85546875" customWidth="1"/>
    <col min="1554" max="1554" width="9.140625" customWidth="1"/>
    <col min="1556" max="1556" width="9.140625" customWidth="1"/>
    <col min="1558" max="1558" width="9.140625" customWidth="1"/>
    <col min="1559" max="1559" width="10.140625" customWidth="1"/>
    <col min="1806" max="1806" width="4.85546875" customWidth="1"/>
    <col min="1810" max="1810" width="9.140625" customWidth="1"/>
    <col min="1812" max="1812" width="9.140625" customWidth="1"/>
    <col min="1814" max="1814" width="9.140625" customWidth="1"/>
    <col min="1815" max="1815" width="10.140625" customWidth="1"/>
    <col min="2062" max="2062" width="4.85546875" customWidth="1"/>
    <col min="2066" max="2066" width="9.140625" customWidth="1"/>
    <col min="2068" max="2068" width="9.140625" customWidth="1"/>
    <col min="2070" max="2070" width="9.140625" customWidth="1"/>
    <col min="2071" max="2071" width="10.140625" customWidth="1"/>
    <col min="2318" max="2318" width="4.85546875" customWidth="1"/>
    <col min="2322" max="2322" width="9.140625" customWidth="1"/>
    <col min="2324" max="2324" width="9.140625" customWidth="1"/>
    <col min="2326" max="2326" width="9.140625" customWidth="1"/>
    <col min="2327" max="2327" width="10.140625" customWidth="1"/>
    <col min="2574" max="2574" width="4.85546875" customWidth="1"/>
    <col min="2578" max="2578" width="9.140625" customWidth="1"/>
    <col min="2580" max="2580" width="9.140625" customWidth="1"/>
    <col min="2582" max="2582" width="9.140625" customWidth="1"/>
    <col min="2583" max="2583" width="10.140625" customWidth="1"/>
    <col min="2830" max="2830" width="4.85546875" customWidth="1"/>
    <col min="2834" max="2834" width="9.140625" customWidth="1"/>
    <col min="2836" max="2836" width="9.140625" customWidth="1"/>
    <col min="2838" max="2838" width="9.140625" customWidth="1"/>
    <col min="2839" max="2839" width="10.140625" customWidth="1"/>
    <col min="3086" max="3086" width="4.85546875" customWidth="1"/>
    <col min="3090" max="3090" width="9.140625" customWidth="1"/>
    <col min="3092" max="3092" width="9.140625" customWidth="1"/>
    <col min="3094" max="3094" width="9.140625" customWidth="1"/>
    <col min="3095" max="3095" width="10.140625" customWidth="1"/>
    <col min="3342" max="3342" width="4.85546875" customWidth="1"/>
    <col min="3346" max="3346" width="9.140625" customWidth="1"/>
    <col min="3348" max="3348" width="9.140625" customWidth="1"/>
    <col min="3350" max="3350" width="9.140625" customWidth="1"/>
    <col min="3351" max="3351" width="10.140625" customWidth="1"/>
    <col min="3598" max="3598" width="4.85546875" customWidth="1"/>
    <col min="3602" max="3602" width="9.140625" customWidth="1"/>
    <col min="3604" max="3604" width="9.140625" customWidth="1"/>
    <col min="3606" max="3606" width="9.140625" customWidth="1"/>
    <col min="3607" max="3607" width="10.140625" customWidth="1"/>
    <col min="3854" max="3854" width="4.85546875" customWidth="1"/>
    <col min="3858" max="3858" width="9.140625" customWidth="1"/>
    <col min="3860" max="3860" width="9.140625" customWidth="1"/>
    <col min="3862" max="3862" width="9.140625" customWidth="1"/>
    <col min="3863" max="3863" width="10.140625" customWidth="1"/>
    <col min="4110" max="4110" width="4.85546875" customWidth="1"/>
    <col min="4114" max="4114" width="9.140625" customWidth="1"/>
    <col min="4116" max="4116" width="9.140625" customWidth="1"/>
    <col min="4118" max="4118" width="9.140625" customWidth="1"/>
    <col min="4119" max="4119" width="10.140625" customWidth="1"/>
    <col min="4366" max="4366" width="4.85546875" customWidth="1"/>
    <col min="4370" max="4370" width="9.140625" customWidth="1"/>
    <col min="4372" max="4372" width="9.140625" customWidth="1"/>
    <col min="4374" max="4374" width="9.140625" customWidth="1"/>
    <col min="4375" max="4375" width="10.140625" customWidth="1"/>
    <col min="4622" max="4622" width="4.85546875" customWidth="1"/>
    <col min="4626" max="4626" width="9.140625" customWidth="1"/>
    <col min="4628" max="4628" width="9.140625" customWidth="1"/>
    <col min="4630" max="4630" width="9.140625" customWidth="1"/>
    <col min="4631" max="4631" width="10.140625" customWidth="1"/>
    <col min="4878" max="4878" width="4.85546875" customWidth="1"/>
    <col min="4882" max="4882" width="9.140625" customWidth="1"/>
    <col min="4884" max="4884" width="9.140625" customWidth="1"/>
    <col min="4886" max="4886" width="9.140625" customWidth="1"/>
    <col min="4887" max="4887" width="10.140625" customWidth="1"/>
    <col min="5134" max="5134" width="4.85546875" customWidth="1"/>
    <col min="5138" max="5138" width="9.140625" customWidth="1"/>
    <col min="5140" max="5140" width="9.140625" customWidth="1"/>
    <col min="5142" max="5142" width="9.140625" customWidth="1"/>
    <col min="5143" max="5143" width="10.140625" customWidth="1"/>
    <col min="5390" max="5390" width="4.85546875" customWidth="1"/>
    <col min="5394" max="5394" width="9.140625" customWidth="1"/>
    <col min="5396" max="5396" width="9.140625" customWidth="1"/>
    <col min="5398" max="5398" width="9.140625" customWidth="1"/>
    <col min="5399" max="5399" width="10.140625" customWidth="1"/>
    <col min="5646" max="5646" width="4.85546875" customWidth="1"/>
    <col min="5650" max="5650" width="9.140625" customWidth="1"/>
    <col min="5652" max="5652" width="9.140625" customWidth="1"/>
    <col min="5654" max="5654" width="9.140625" customWidth="1"/>
    <col min="5655" max="5655" width="10.140625" customWidth="1"/>
    <col min="5902" max="5902" width="4.85546875" customWidth="1"/>
    <col min="5906" max="5906" width="9.140625" customWidth="1"/>
    <col min="5908" max="5908" width="9.140625" customWidth="1"/>
    <col min="5910" max="5910" width="9.140625" customWidth="1"/>
    <col min="5911" max="5911" width="10.140625" customWidth="1"/>
    <col min="6158" max="6158" width="4.85546875" customWidth="1"/>
    <col min="6162" max="6162" width="9.140625" customWidth="1"/>
    <col min="6164" max="6164" width="9.140625" customWidth="1"/>
    <col min="6166" max="6166" width="9.140625" customWidth="1"/>
    <col min="6167" max="6167" width="10.140625" customWidth="1"/>
    <col min="6414" max="6414" width="4.85546875" customWidth="1"/>
    <col min="6418" max="6418" width="9.140625" customWidth="1"/>
    <col min="6420" max="6420" width="9.140625" customWidth="1"/>
    <col min="6422" max="6422" width="9.140625" customWidth="1"/>
    <col min="6423" max="6423" width="10.140625" customWidth="1"/>
    <col min="6670" max="6670" width="4.85546875" customWidth="1"/>
    <col min="6674" max="6674" width="9.140625" customWidth="1"/>
    <col min="6676" max="6676" width="9.140625" customWidth="1"/>
    <col min="6678" max="6678" width="9.140625" customWidth="1"/>
    <col min="6679" max="6679" width="10.140625" customWidth="1"/>
    <col min="6926" max="6926" width="4.85546875" customWidth="1"/>
    <col min="6930" max="6930" width="9.140625" customWidth="1"/>
    <col min="6932" max="6932" width="9.140625" customWidth="1"/>
    <col min="6934" max="6934" width="9.140625" customWidth="1"/>
    <col min="6935" max="6935" width="10.140625" customWidth="1"/>
    <col min="7182" max="7182" width="4.85546875" customWidth="1"/>
    <col min="7186" max="7186" width="9.140625" customWidth="1"/>
    <col min="7188" max="7188" width="9.140625" customWidth="1"/>
    <col min="7190" max="7190" width="9.140625" customWidth="1"/>
    <col min="7191" max="7191" width="10.140625" customWidth="1"/>
    <col min="7438" max="7438" width="4.85546875" customWidth="1"/>
    <col min="7442" max="7442" width="9.140625" customWidth="1"/>
    <col min="7444" max="7444" width="9.140625" customWidth="1"/>
    <col min="7446" max="7446" width="9.140625" customWidth="1"/>
    <col min="7447" max="7447" width="10.140625" customWidth="1"/>
    <col min="7694" max="7694" width="4.85546875" customWidth="1"/>
    <col min="7698" max="7698" width="9.140625" customWidth="1"/>
    <col min="7700" max="7700" width="9.140625" customWidth="1"/>
    <col min="7702" max="7702" width="9.140625" customWidth="1"/>
    <col min="7703" max="7703" width="10.140625" customWidth="1"/>
    <col min="7950" max="7950" width="4.85546875" customWidth="1"/>
    <col min="7954" max="7954" width="9.140625" customWidth="1"/>
    <col min="7956" max="7956" width="9.140625" customWidth="1"/>
    <col min="7958" max="7958" width="9.140625" customWidth="1"/>
    <col min="7959" max="7959" width="10.140625" customWidth="1"/>
    <col min="8206" max="8206" width="4.85546875" customWidth="1"/>
    <col min="8210" max="8210" width="9.140625" customWidth="1"/>
    <col min="8212" max="8212" width="9.140625" customWidth="1"/>
    <col min="8214" max="8214" width="9.140625" customWidth="1"/>
    <col min="8215" max="8215" width="10.140625" customWidth="1"/>
    <col min="8462" max="8462" width="4.85546875" customWidth="1"/>
    <col min="8466" max="8466" width="9.140625" customWidth="1"/>
    <col min="8468" max="8468" width="9.140625" customWidth="1"/>
    <col min="8470" max="8470" width="9.140625" customWidth="1"/>
    <col min="8471" max="8471" width="10.140625" customWidth="1"/>
    <col min="8718" max="8718" width="4.85546875" customWidth="1"/>
    <col min="8722" max="8722" width="9.140625" customWidth="1"/>
    <col min="8724" max="8724" width="9.140625" customWidth="1"/>
    <col min="8726" max="8726" width="9.140625" customWidth="1"/>
    <col min="8727" max="8727" width="10.140625" customWidth="1"/>
    <col min="8974" max="8974" width="4.85546875" customWidth="1"/>
    <col min="8978" max="8978" width="9.140625" customWidth="1"/>
    <col min="8980" max="8980" width="9.140625" customWidth="1"/>
    <col min="8982" max="8982" width="9.140625" customWidth="1"/>
    <col min="8983" max="8983" width="10.140625" customWidth="1"/>
    <col min="9230" max="9230" width="4.85546875" customWidth="1"/>
    <col min="9234" max="9234" width="9.140625" customWidth="1"/>
    <col min="9236" max="9236" width="9.140625" customWidth="1"/>
    <col min="9238" max="9238" width="9.140625" customWidth="1"/>
    <col min="9239" max="9239" width="10.140625" customWidth="1"/>
    <col min="9486" max="9486" width="4.85546875" customWidth="1"/>
    <col min="9490" max="9490" width="9.140625" customWidth="1"/>
    <col min="9492" max="9492" width="9.140625" customWidth="1"/>
    <col min="9494" max="9494" width="9.140625" customWidth="1"/>
    <col min="9495" max="9495" width="10.140625" customWidth="1"/>
    <col min="9742" max="9742" width="4.85546875" customWidth="1"/>
    <col min="9746" max="9746" width="9.140625" customWidth="1"/>
    <col min="9748" max="9748" width="9.140625" customWidth="1"/>
    <col min="9750" max="9750" width="9.140625" customWidth="1"/>
    <col min="9751" max="9751" width="10.140625" customWidth="1"/>
    <col min="9998" max="9998" width="4.85546875" customWidth="1"/>
    <col min="10002" max="10002" width="9.140625" customWidth="1"/>
    <col min="10004" max="10004" width="9.140625" customWidth="1"/>
    <col min="10006" max="10006" width="9.140625" customWidth="1"/>
    <col min="10007" max="10007" width="10.140625" customWidth="1"/>
    <col min="10254" max="10254" width="4.85546875" customWidth="1"/>
    <col min="10258" max="10258" width="9.140625" customWidth="1"/>
    <col min="10260" max="10260" width="9.140625" customWidth="1"/>
    <col min="10262" max="10262" width="9.140625" customWidth="1"/>
    <col min="10263" max="10263" width="10.140625" customWidth="1"/>
    <col min="10510" max="10510" width="4.85546875" customWidth="1"/>
    <col min="10514" max="10514" width="9.140625" customWidth="1"/>
    <col min="10516" max="10516" width="9.140625" customWidth="1"/>
    <col min="10518" max="10518" width="9.140625" customWidth="1"/>
    <col min="10519" max="10519" width="10.140625" customWidth="1"/>
    <col min="10766" max="10766" width="4.85546875" customWidth="1"/>
    <col min="10770" max="10770" width="9.140625" customWidth="1"/>
    <col min="10772" max="10772" width="9.140625" customWidth="1"/>
    <col min="10774" max="10774" width="9.140625" customWidth="1"/>
    <col min="10775" max="10775" width="10.140625" customWidth="1"/>
    <col min="11022" max="11022" width="4.85546875" customWidth="1"/>
    <col min="11026" max="11026" width="9.140625" customWidth="1"/>
    <col min="11028" max="11028" width="9.140625" customWidth="1"/>
    <col min="11030" max="11030" width="9.140625" customWidth="1"/>
    <col min="11031" max="11031" width="10.140625" customWidth="1"/>
    <col min="11278" max="11278" width="4.85546875" customWidth="1"/>
    <col min="11282" max="11282" width="9.140625" customWidth="1"/>
    <col min="11284" max="11284" width="9.140625" customWidth="1"/>
    <col min="11286" max="11286" width="9.140625" customWidth="1"/>
    <col min="11287" max="11287" width="10.140625" customWidth="1"/>
    <col min="11534" max="11534" width="4.85546875" customWidth="1"/>
    <col min="11538" max="11538" width="9.140625" customWidth="1"/>
    <col min="11540" max="11540" width="9.140625" customWidth="1"/>
    <col min="11542" max="11542" width="9.140625" customWidth="1"/>
    <col min="11543" max="11543" width="10.140625" customWidth="1"/>
    <col min="11790" max="11790" width="4.85546875" customWidth="1"/>
    <col min="11794" max="11794" width="9.140625" customWidth="1"/>
    <col min="11796" max="11796" width="9.140625" customWidth="1"/>
    <col min="11798" max="11798" width="9.140625" customWidth="1"/>
    <col min="11799" max="11799" width="10.140625" customWidth="1"/>
    <col min="12046" max="12046" width="4.85546875" customWidth="1"/>
    <col min="12050" max="12050" width="9.140625" customWidth="1"/>
    <col min="12052" max="12052" width="9.140625" customWidth="1"/>
    <col min="12054" max="12054" width="9.140625" customWidth="1"/>
    <col min="12055" max="12055" width="10.140625" customWidth="1"/>
    <col min="12302" max="12302" width="4.85546875" customWidth="1"/>
    <col min="12306" max="12306" width="9.140625" customWidth="1"/>
    <col min="12308" max="12308" width="9.140625" customWidth="1"/>
    <col min="12310" max="12310" width="9.140625" customWidth="1"/>
    <col min="12311" max="12311" width="10.140625" customWidth="1"/>
    <col min="12558" max="12558" width="4.85546875" customWidth="1"/>
    <col min="12562" max="12562" width="9.140625" customWidth="1"/>
    <col min="12564" max="12564" width="9.140625" customWidth="1"/>
    <col min="12566" max="12566" width="9.140625" customWidth="1"/>
    <col min="12567" max="12567" width="10.140625" customWidth="1"/>
    <col min="12814" max="12814" width="4.85546875" customWidth="1"/>
    <col min="12818" max="12818" width="9.140625" customWidth="1"/>
    <col min="12820" max="12820" width="9.140625" customWidth="1"/>
    <col min="12822" max="12822" width="9.140625" customWidth="1"/>
    <col min="12823" max="12823" width="10.140625" customWidth="1"/>
    <col min="13070" max="13070" width="4.85546875" customWidth="1"/>
    <col min="13074" max="13074" width="9.140625" customWidth="1"/>
    <col min="13076" max="13076" width="9.140625" customWidth="1"/>
    <col min="13078" max="13078" width="9.140625" customWidth="1"/>
    <col min="13079" max="13079" width="10.140625" customWidth="1"/>
    <col min="13326" max="13326" width="4.85546875" customWidth="1"/>
    <col min="13330" max="13330" width="9.140625" customWidth="1"/>
    <col min="13332" max="13332" width="9.140625" customWidth="1"/>
    <col min="13334" max="13334" width="9.140625" customWidth="1"/>
    <col min="13335" max="13335" width="10.140625" customWidth="1"/>
    <col min="13582" max="13582" width="4.85546875" customWidth="1"/>
    <col min="13586" max="13586" width="9.140625" customWidth="1"/>
    <col min="13588" max="13588" width="9.140625" customWidth="1"/>
    <col min="13590" max="13590" width="9.140625" customWidth="1"/>
    <col min="13591" max="13591" width="10.140625" customWidth="1"/>
    <col min="13838" max="13838" width="4.85546875" customWidth="1"/>
    <col min="13842" max="13842" width="9.140625" customWidth="1"/>
    <col min="13844" max="13844" width="9.140625" customWidth="1"/>
    <col min="13846" max="13846" width="9.140625" customWidth="1"/>
    <col min="13847" max="13847" width="10.140625" customWidth="1"/>
    <col min="14094" max="14094" width="4.85546875" customWidth="1"/>
    <col min="14098" max="14098" width="9.140625" customWidth="1"/>
    <col min="14100" max="14100" width="9.140625" customWidth="1"/>
    <col min="14102" max="14102" width="9.140625" customWidth="1"/>
    <col min="14103" max="14103" width="10.140625" customWidth="1"/>
    <col min="14350" max="14350" width="4.85546875" customWidth="1"/>
    <col min="14354" max="14354" width="9.140625" customWidth="1"/>
    <col min="14356" max="14356" width="9.140625" customWidth="1"/>
    <col min="14358" max="14358" width="9.140625" customWidth="1"/>
    <col min="14359" max="14359" width="10.140625" customWidth="1"/>
    <col min="14606" max="14606" width="4.85546875" customWidth="1"/>
    <col min="14610" max="14610" width="9.140625" customWidth="1"/>
    <col min="14612" max="14612" width="9.140625" customWidth="1"/>
    <col min="14614" max="14614" width="9.140625" customWidth="1"/>
    <col min="14615" max="14615" width="10.140625" customWidth="1"/>
    <col min="14862" max="14862" width="4.85546875" customWidth="1"/>
    <col min="14866" max="14866" width="9.140625" customWidth="1"/>
    <col min="14868" max="14868" width="9.140625" customWidth="1"/>
    <col min="14870" max="14870" width="9.140625" customWidth="1"/>
    <col min="14871" max="14871" width="10.140625" customWidth="1"/>
    <col min="15118" max="15118" width="4.85546875" customWidth="1"/>
    <col min="15122" max="15122" width="9.140625" customWidth="1"/>
    <col min="15124" max="15124" width="9.140625" customWidth="1"/>
    <col min="15126" max="15126" width="9.140625" customWidth="1"/>
    <col min="15127" max="15127" width="10.140625" customWidth="1"/>
    <col min="15374" max="15374" width="4.85546875" customWidth="1"/>
    <col min="15378" max="15378" width="9.140625" customWidth="1"/>
    <col min="15380" max="15380" width="9.140625" customWidth="1"/>
    <col min="15382" max="15382" width="9.140625" customWidth="1"/>
    <col min="15383" max="15383" width="10.140625" customWidth="1"/>
    <col min="15630" max="15630" width="4.85546875" customWidth="1"/>
    <col min="15634" max="15634" width="9.140625" customWidth="1"/>
    <col min="15636" max="15636" width="9.140625" customWidth="1"/>
    <col min="15638" max="15638" width="9.140625" customWidth="1"/>
    <col min="15639" max="15639" width="10.140625" customWidth="1"/>
    <col min="15886" max="15886" width="4.85546875" customWidth="1"/>
    <col min="15890" max="15890" width="9.140625" customWidth="1"/>
    <col min="15892" max="15892" width="9.140625" customWidth="1"/>
    <col min="15894" max="15894" width="9.140625" customWidth="1"/>
    <col min="15895" max="15895" width="10.140625" customWidth="1"/>
    <col min="16142" max="16142" width="4.85546875" customWidth="1"/>
    <col min="16146" max="16146" width="9.140625" customWidth="1"/>
    <col min="16148" max="16148" width="9.140625" customWidth="1"/>
    <col min="16150" max="16150" width="9.140625" customWidth="1"/>
    <col min="16151" max="16151" width="10.140625" customWidth="1"/>
  </cols>
  <sheetData>
    <row r="1" spans="1:23" ht="18.75" customHeight="1" x14ac:dyDescent="0.25">
      <c r="A1" s="1408" t="s">
        <v>2109</v>
      </c>
      <c r="B1" s="1409"/>
      <c r="C1" s="1410"/>
      <c r="D1" s="1111" t="s">
        <v>966</v>
      </c>
      <c r="E1" s="1144" t="str">
        <f>'Input data'!I26</f>
        <v>3</v>
      </c>
      <c r="F1" s="1144" t="str">
        <f>'Input data'!J26</f>
        <v>5</v>
      </c>
      <c r="G1" s="1144" t="str">
        <f>'Input data'!K26</f>
        <v>8</v>
      </c>
      <c r="H1" s="1144" t="str">
        <f>'Input data'!L26</f>
        <v>8</v>
      </c>
      <c r="I1" s="1144" t="str">
        <f>'Input data'!M26</f>
        <v>2</v>
      </c>
      <c r="J1" s="1144" t="str">
        <f>'Input data'!N26</f>
        <v>7</v>
      </c>
      <c r="K1" s="1144" t="str">
        <f>'Input data'!O26</f>
        <v>0</v>
      </c>
      <c r="L1" s="1144" t="str">
        <f>'Input data'!P26</f>
        <v>1</v>
      </c>
      <c r="M1" s="1111" t="s">
        <v>1123</v>
      </c>
      <c r="N1" s="1144" t="str">
        <f>'Input data'!I24</f>
        <v>2</v>
      </c>
      <c r="O1" s="1144" t="str">
        <f>'Input data'!J24</f>
        <v>0</v>
      </c>
      <c r="P1" s="1144" t="str">
        <f>'Input data'!K24</f>
        <v>2</v>
      </c>
      <c r="Q1" s="1144" t="str">
        <f>'Input data'!L24</f>
        <v>1</v>
      </c>
      <c r="R1" s="1144" t="str">
        <f>'Input data'!M24</f>
        <v>8</v>
      </c>
      <c r="S1" s="1144" t="str">
        <f>'Input data'!N24</f>
        <v>3</v>
      </c>
      <c r="T1" s="1144" t="str">
        <f>'Input data'!O24</f>
        <v>3</v>
      </c>
      <c r="U1" s="1144" t="str">
        <f>'Input data'!P24</f>
        <v>4</v>
      </c>
      <c r="V1" s="1144" t="str">
        <f>'Input data'!Q24</f>
        <v>1</v>
      </c>
      <c r="W1" s="1144" t="str">
        <f>'Input data'!R24</f>
        <v>8</v>
      </c>
    </row>
    <row r="2" spans="1:23" ht="10.5" customHeight="1" x14ac:dyDescent="0.25">
      <c r="A2" s="1145"/>
      <c r="B2" s="1145"/>
      <c r="C2" s="1145"/>
      <c r="D2" s="1111"/>
      <c r="E2" s="1149"/>
      <c r="F2" s="1149"/>
      <c r="G2" s="1149"/>
      <c r="H2" s="1149"/>
      <c r="I2" s="1149"/>
      <c r="J2" s="1149"/>
      <c r="K2" s="1149"/>
      <c r="L2" s="1149"/>
      <c r="M2" s="1111"/>
      <c r="N2" s="1149"/>
      <c r="O2" s="1149"/>
      <c r="P2" s="1149"/>
      <c r="Q2" s="1149"/>
      <c r="R2" s="1149"/>
      <c r="S2" s="1149"/>
      <c r="T2" s="1149"/>
      <c r="U2" s="1149"/>
      <c r="V2" s="1149"/>
      <c r="W2" s="1149"/>
    </row>
    <row r="3" spans="1:23" ht="30.75" customHeight="1" x14ac:dyDescent="0.25">
      <c r="A3" s="1487" t="s">
        <v>2110</v>
      </c>
      <c r="B3" s="1487"/>
      <c r="C3" s="1487"/>
      <c r="D3" s="1487"/>
      <c r="E3" s="1487"/>
      <c r="F3" s="1487"/>
      <c r="G3" s="1487"/>
      <c r="H3" s="1487"/>
      <c r="I3" s="1487"/>
      <c r="J3" s="1487"/>
      <c r="K3" s="1487"/>
      <c r="L3" s="1487"/>
      <c r="M3" s="1487"/>
      <c r="N3" s="1487"/>
      <c r="O3" s="1487"/>
      <c r="P3" s="1487"/>
      <c r="Q3" s="1487"/>
      <c r="R3" s="1487"/>
      <c r="S3" s="1487"/>
      <c r="T3" s="1487"/>
      <c r="U3" s="1487"/>
      <c r="V3" s="1487"/>
      <c r="W3" s="1487"/>
    </row>
    <row r="4" spans="1:23" x14ac:dyDescent="0.25">
      <c r="A4" s="1487" t="s">
        <v>2111</v>
      </c>
      <c r="B4" s="1487"/>
      <c r="C4" s="1487"/>
      <c r="D4" s="1487"/>
      <c r="E4" s="1487"/>
      <c r="F4" s="1487"/>
      <c r="G4" s="1487"/>
      <c r="H4" s="1487"/>
      <c r="I4" s="1487"/>
      <c r="J4" s="1487"/>
      <c r="K4" s="1487"/>
      <c r="L4" s="1487"/>
      <c r="M4" s="1487"/>
      <c r="N4" s="1487"/>
      <c r="O4" s="1487"/>
      <c r="P4" s="1487"/>
      <c r="Q4" s="1487"/>
      <c r="R4" s="1487"/>
      <c r="S4" s="1487"/>
      <c r="T4" s="1487"/>
      <c r="U4" s="1487"/>
      <c r="V4" s="1487"/>
      <c r="W4" s="1487"/>
    </row>
    <row r="5" spans="1:23" x14ac:dyDescent="0.25">
      <c r="A5" s="1112"/>
      <c r="B5" s="1112"/>
      <c r="C5" s="1112"/>
      <c r="D5" s="1112"/>
      <c r="E5" s="1112"/>
      <c r="F5" s="1112"/>
      <c r="G5" s="1112"/>
      <c r="H5" s="1112"/>
      <c r="I5" s="1112"/>
      <c r="J5" s="1112"/>
      <c r="K5" s="1112"/>
      <c r="L5" s="1112"/>
      <c r="M5" s="1112"/>
      <c r="N5" s="1112"/>
      <c r="O5" s="1112"/>
      <c r="P5" s="1112"/>
      <c r="Q5" s="1112"/>
      <c r="R5" s="1112"/>
      <c r="S5" s="1112"/>
      <c r="T5" s="1112"/>
      <c r="U5" s="1112"/>
      <c r="V5" s="1112"/>
      <c r="W5" s="1113"/>
    </row>
    <row r="6" spans="1:23" x14ac:dyDescent="0.25">
      <c r="A6" s="1114" t="s">
        <v>2112</v>
      </c>
      <c r="B6" s="1417" t="s">
        <v>2113</v>
      </c>
      <c r="C6" s="1417"/>
      <c r="D6" s="1417"/>
      <c r="E6" s="1622" t="str">
        <f>'Input data'!$F$3</f>
        <v>Medical Trade,spol. s r.o.</v>
      </c>
      <c r="F6" s="1622"/>
      <c r="G6" s="1622"/>
      <c r="H6" s="1622"/>
      <c r="I6" s="1622"/>
      <c r="J6" s="1622"/>
      <c r="K6" s="1622"/>
      <c r="L6" s="1622"/>
      <c r="M6" s="1622"/>
      <c r="N6" s="1622"/>
      <c r="O6" s="1622"/>
      <c r="P6" s="1622"/>
      <c r="Q6" s="1622"/>
      <c r="R6" s="1622"/>
      <c r="S6" s="1622"/>
      <c r="T6" s="1622"/>
      <c r="U6" s="1622"/>
      <c r="V6" s="1622"/>
      <c r="W6" s="1622"/>
    </row>
    <row r="7" spans="1:23" x14ac:dyDescent="0.25">
      <c r="A7" s="1114" t="s">
        <v>2114</v>
      </c>
      <c r="B7" s="1417" t="s">
        <v>2115</v>
      </c>
      <c r="C7" s="1417"/>
      <c r="D7" s="1417"/>
      <c r="E7" s="1620" t="str">
        <f>'Input data'!$C$28&amp;" "&amp;'Input data'!$C$30&amp;", "&amp;'Input data'!$C$32&amp;" "&amp;'Input data'!$C$34</f>
        <v>Bullova 1, 841 01 Bratislava</v>
      </c>
      <c r="F7" s="1620"/>
      <c r="G7" s="1620"/>
      <c r="H7" s="1620"/>
      <c r="I7" s="1620"/>
      <c r="J7" s="1620"/>
      <c r="K7" s="1620"/>
      <c r="L7" s="1620"/>
      <c r="M7" s="1620"/>
      <c r="N7" s="1620"/>
      <c r="O7" s="1620"/>
      <c r="P7" s="1620"/>
      <c r="Q7" s="1620"/>
      <c r="R7" s="1620"/>
      <c r="S7" s="1620"/>
      <c r="T7" s="1620"/>
      <c r="U7" s="1620"/>
      <c r="V7" s="1620"/>
      <c r="W7" s="1620"/>
    </row>
    <row r="8" spans="1:23" x14ac:dyDescent="0.25">
      <c r="A8" s="1115"/>
      <c r="B8" s="1115"/>
      <c r="C8" s="1115"/>
      <c r="D8" s="1115"/>
      <c r="E8" s="1115"/>
      <c r="F8" s="1115"/>
      <c r="G8" s="1115"/>
      <c r="H8" s="1115"/>
      <c r="I8" s="1115"/>
      <c r="J8" s="1115"/>
      <c r="K8" s="1115"/>
      <c r="L8" s="1115"/>
      <c r="M8" s="1115"/>
      <c r="N8" s="1115"/>
      <c r="O8" s="1115"/>
      <c r="P8" s="1115"/>
      <c r="Q8" s="1115"/>
      <c r="R8" s="1115"/>
      <c r="S8" s="1115"/>
      <c r="T8" s="1115"/>
      <c r="U8" s="1115"/>
      <c r="V8" s="1115"/>
      <c r="W8" s="1113"/>
    </row>
    <row r="9" spans="1:23" x14ac:dyDescent="0.25">
      <c r="A9" s="1114" t="s">
        <v>2116</v>
      </c>
      <c r="B9" s="1116" t="s">
        <v>2117</v>
      </c>
      <c r="C9" s="1116"/>
      <c r="D9" s="1116"/>
      <c r="E9" s="1116"/>
      <c r="F9" s="1116"/>
      <c r="G9" s="1116"/>
      <c r="H9" s="1116"/>
      <c r="I9" s="1116"/>
      <c r="J9" s="1116"/>
      <c r="K9" s="1116"/>
      <c r="L9" s="1116"/>
      <c r="M9" s="1116"/>
      <c r="N9" s="1116"/>
      <c r="O9" s="1116"/>
      <c r="P9" s="1116"/>
      <c r="Q9" s="1116"/>
      <c r="R9" s="1116"/>
      <c r="S9" s="1116"/>
      <c r="T9" s="1116"/>
      <c r="U9" s="1116"/>
      <c r="V9" s="1116"/>
      <c r="W9" s="1117"/>
    </row>
    <row r="10" spans="1:23" x14ac:dyDescent="0.25">
      <c r="A10" s="1593"/>
      <c r="B10" s="1593"/>
      <c r="C10" s="1593"/>
      <c r="D10" s="1593"/>
      <c r="E10" s="1593"/>
      <c r="F10" s="1593"/>
      <c r="G10" s="1593"/>
      <c r="H10" s="1593"/>
      <c r="I10" s="1593"/>
      <c r="J10" s="1593"/>
      <c r="K10" s="1593"/>
      <c r="L10" s="1593"/>
      <c r="M10" s="1593"/>
      <c r="N10" s="1593"/>
      <c r="O10" s="1593"/>
      <c r="P10" s="1593"/>
      <c r="Q10" s="1593"/>
      <c r="R10" s="1593"/>
      <c r="S10" s="1593"/>
      <c r="T10" s="1593"/>
      <c r="U10" s="1593"/>
      <c r="V10" s="1593"/>
      <c r="W10" s="1113"/>
    </row>
    <row r="11" spans="1:23" ht="61.5" customHeight="1" x14ac:dyDescent="0.25">
      <c r="A11" s="1118" t="s">
        <v>2118</v>
      </c>
      <c r="B11" s="1547" t="s">
        <v>2119</v>
      </c>
      <c r="C11" s="1547"/>
      <c r="D11" s="1547"/>
      <c r="E11" s="1547"/>
      <c r="F11" s="1547"/>
      <c r="G11" s="1547"/>
      <c r="H11" s="1547"/>
      <c r="I11" s="1547"/>
      <c r="J11" s="1547"/>
      <c r="K11" s="1547"/>
      <c r="L11" s="1547"/>
      <c r="M11" s="1547"/>
      <c r="N11" s="1547"/>
      <c r="O11" s="1547"/>
      <c r="P11" s="1547"/>
      <c r="Q11" s="1547"/>
      <c r="R11" s="1547"/>
      <c r="S11" s="1547"/>
      <c r="T11" s="1547"/>
      <c r="U11" s="1547"/>
      <c r="V11" s="1547"/>
      <c r="W11" s="1547"/>
    </row>
    <row r="12" spans="1:23" ht="18" customHeight="1" x14ac:dyDescent="0.25">
      <c r="A12" s="1118"/>
      <c r="B12" s="1621" t="s">
        <v>2220</v>
      </c>
      <c r="C12" s="1621"/>
      <c r="D12" s="1621"/>
      <c r="E12" s="1621"/>
      <c r="F12" s="1621"/>
      <c r="G12" s="1621"/>
      <c r="H12" s="1621"/>
      <c r="I12" s="1621"/>
      <c r="J12" s="1621"/>
      <c r="K12" s="1621"/>
      <c r="L12" s="1621"/>
      <c r="M12" s="1621"/>
      <c r="N12" s="1621"/>
      <c r="O12" s="1621"/>
      <c r="P12" s="1621"/>
      <c r="Q12" s="1621"/>
      <c r="R12" s="1621"/>
      <c r="S12" s="1621"/>
      <c r="T12" s="1621"/>
      <c r="U12" s="1621"/>
      <c r="V12" s="1621"/>
      <c r="W12" s="1621"/>
    </row>
    <row r="13" spans="1:23" x14ac:dyDescent="0.25">
      <c r="A13" s="1593"/>
      <c r="B13" s="1593"/>
      <c r="C13" s="1593"/>
      <c r="D13" s="1593"/>
      <c r="E13" s="1593"/>
      <c r="F13" s="1593"/>
      <c r="G13" s="1593"/>
      <c r="H13" s="1593"/>
      <c r="I13" s="1593"/>
      <c r="J13" s="1593"/>
      <c r="K13" s="1593"/>
      <c r="L13" s="1593"/>
      <c r="M13" s="1593"/>
      <c r="N13" s="1593"/>
      <c r="O13" s="1593"/>
      <c r="P13" s="1593"/>
      <c r="Q13" s="1593"/>
      <c r="R13" s="1593"/>
      <c r="S13" s="1593"/>
      <c r="T13" s="1593"/>
      <c r="U13" s="1593"/>
      <c r="V13" s="1593"/>
      <c r="W13" s="1113"/>
    </row>
    <row r="14" spans="1:23" ht="30.75" customHeight="1" x14ac:dyDescent="0.25">
      <c r="A14" s="1118" t="s">
        <v>2120</v>
      </c>
      <c r="B14" s="1547" t="s">
        <v>2121</v>
      </c>
      <c r="C14" s="1547"/>
      <c r="D14" s="1547"/>
      <c r="E14" s="1547"/>
      <c r="F14" s="1547"/>
      <c r="G14" s="1547"/>
      <c r="H14" s="1547"/>
      <c r="I14" s="1547"/>
      <c r="J14" s="1547"/>
      <c r="K14" s="1547"/>
      <c r="L14" s="1547"/>
      <c r="M14" s="1547"/>
      <c r="N14" s="1547"/>
      <c r="O14" s="1547"/>
      <c r="P14" s="1547"/>
      <c r="Q14" s="1547"/>
      <c r="R14" s="1547"/>
      <c r="S14" s="1547"/>
      <c r="T14" s="1547"/>
      <c r="U14" s="1547"/>
      <c r="V14" s="1547"/>
      <c r="W14" s="1547"/>
    </row>
    <row r="15" spans="1:23" x14ac:dyDescent="0.25">
      <c r="A15" s="1593"/>
      <c r="B15" s="1593"/>
      <c r="C15" s="1593"/>
      <c r="D15" s="1593"/>
      <c r="E15" s="1593"/>
      <c r="F15" s="1593"/>
      <c r="G15" s="1593"/>
      <c r="H15" s="1593"/>
      <c r="I15" s="1593"/>
      <c r="J15" s="1593"/>
      <c r="K15" s="1593"/>
      <c r="L15" s="1593"/>
      <c r="M15" s="1593"/>
      <c r="N15" s="1593"/>
      <c r="O15" s="1593"/>
      <c r="P15" s="1593"/>
      <c r="Q15" s="1593"/>
      <c r="R15" s="1593"/>
      <c r="S15" s="1593"/>
      <c r="T15" s="1593"/>
      <c r="U15" s="1593"/>
      <c r="V15" s="1593"/>
      <c r="W15" s="1113"/>
    </row>
    <row r="16" spans="1:23" ht="74.25" customHeight="1" x14ac:dyDescent="0.25">
      <c r="A16" s="1119"/>
      <c r="B16" s="1547" t="s">
        <v>2122</v>
      </c>
      <c r="C16" s="1547"/>
      <c r="D16" s="1547"/>
      <c r="E16" s="1547"/>
      <c r="F16" s="1547"/>
      <c r="G16" s="1547"/>
      <c r="H16" s="1547"/>
      <c r="I16" s="1547"/>
      <c r="J16" s="1547"/>
      <c r="K16" s="1547"/>
      <c r="L16" s="1547"/>
      <c r="M16" s="1547"/>
      <c r="N16" s="1547"/>
      <c r="O16" s="1547"/>
      <c r="P16" s="1547"/>
      <c r="Q16" s="1547"/>
      <c r="R16" s="1547"/>
      <c r="S16" s="1547"/>
      <c r="T16" s="1547"/>
      <c r="U16" s="1547"/>
      <c r="V16" s="1547"/>
      <c r="W16" s="1547"/>
    </row>
    <row r="17" spans="1:23" ht="18" customHeight="1" x14ac:dyDescent="0.25">
      <c r="A17" s="1119"/>
      <c r="B17" s="1619"/>
      <c r="C17" s="1619"/>
      <c r="D17" s="1619"/>
      <c r="E17" s="1619"/>
      <c r="F17" s="1619"/>
      <c r="G17" s="1619"/>
      <c r="H17" s="1619"/>
      <c r="I17" s="1619"/>
      <c r="J17" s="1619"/>
      <c r="K17" s="1619"/>
      <c r="L17" s="1619"/>
      <c r="M17" s="1619"/>
      <c r="N17" s="1619"/>
      <c r="O17" s="1619"/>
      <c r="P17" s="1619"/>
      <c r="Q17" s="1619"/>
      <c r="R17" s="1619"/>
      <c r="S17" s="1619"/>
      <c r="T17" s="1619"/>
      <c r="U17" s="1619"/>
      <c r="V17" s="1619"/>
      <c r="W17" s="1619"/>
    </row>
    <row r="18" spans="1:23" x14ac:dyDescent="0.25">
      <c r="A18" s="1593"/>
      <c r="B18" s="1593"/>
      <c r="C18" s="1593"/>
      <c r="D18" s="1593"/>
      <c r="E18" s="1593"/>
      <c r="F18" s="1593"/>
      <c r="G18" s="1593"/>
      <c r="H18" s="1593"/>
      <c r="I18" s="1593"/>
      <c r="J18" s="1593"/>
      <c r="K18" s="1593"/>
      <c r="L18" s="1593"/>
      <c r="M18" s="1593"/>
      <c r="N18" s="1593"/>
      <c r="O18" s="1593"/>
      <c r="P18" s="1593"/>
      <c r="Q18" s="1593"/>
      <c r="R18" s="1593"/>
      <c r="S18" s="1593"/>
      <c r="T18" s="1593"/>
      <c r="U18" s="1593"/>
      <c r="V18" s="1593"/>
      <c r="W18" s="1113"/>
    </row>
    <row r="19" spans="1:23" ht="15" customHeight="1" x14ac:dyDescent="0.25">
      <c r="A19" s="1120"/>
      <c r="B19" s="1547" t="s">
        <v>2123</v>
      </c>
      <c r="C19" s="1547"/>
      <c r="D19" s="1547"/>
      <c r="E19" s="1547"/>
      <c r="F19" s="1547"/>
      <c r="G19" s="1547"/>
      <c r="H19" s="1547"/>
      <c r="I19" s="1547"/>
      <c r="J19" s="1547"/>
      <c r="K19" s="1547"/>
      <c r="L19" s="1547"/>
      <c r="M19" s="1547"/>
      <c r="N19" s="1547"/>
      <c r="O19" s="1547"/>
      <c r="P19" s="1547"/>
      <c r="Q19" s="1547"/>
      <c r="R19" s="1547"/>
      <c r="S19" s="1547"/>
      <c r="T19" s="1547"/>
      <c r="U19" s="1547"/>
      <c r="V19" s="1547"/>
      <c r="W19" s="1547"/>
    </row>
    <row r="20" spans="1:23" ht="15.75" thickBot="1" x14ac:dyDescent="0.3">
      <c r="A20" s="1117"/>
      <c r="B20" s="1117"/>
      <c r="C20" s="1117"/>
      <c r="D20" s="1117"/>
      <c r="E20" s="1117"/>
      <c r="F20" s="1117"/>
      <c r="G20" s="1117"/>
      <c r="H20" s="1117"/>
      <c r="I20" s="1117"/>
      <c r="J20" s="1117"/>
      <c r="K20" s="1117"/>
      <c r="L20" s="1117"/>
      <c r="M20" s="1117"/>
      <c r="N20" s="1117"/>
      <c r="O20" s="1117"/>
      <c r="P20" s="1117"/>
      <c r="Q20" s="1117"/>
      <c r="R20" s="1117"/>
      <c r="S20" s="1117"/>
      <c r="T20" s="1117"/>
      <c r="U20" s="1117"/>
      <c r="V20" s="1117"/>
      <c r="W20" s="1117"/>
    </row>
    <row r="21" spans="1:23" ht="30" customHeight="1" thickBot="1" x14ac:dyDescent="0.3">
      <c r="A21" s="1121"/>
      <c r="B21" s="1468" t="s">
        <v>2124</v>
      </c>
      <c r="C21" s="1469"/>
      <c r="D21" s="1469"/>
      <c r="E21" s="1469"/>
      <c r="F21" s="1469"/>
      <c r="G21" s="1469"/>
      <c r="H21" s="1469"/>
      <c r="I21" s="1469"/>
      <c r="J21" s="1469"/>
      <c r="K21" s="1469"/>
      <c r="L21" s="1469"/>
      <c r="M21" s="1469" t="s">
        <v>2125</v>
      </c>
      <c r="N21" s="1469"/>
      <c r="O21" s="1469"/>
      <c r="P21" s="1469"/>
      <c r="Q21" s="1469"/>
      <c r="R21" s="1469"/>
      <c r="S21" s="1469"/>
      <c r="T21" s="1469"/>
      <c r="U21" s="1469"/>
      <c r="V21" s="1469"/>
      <c r="W21" s="1470"/>
    </row>
    <row r="22" spans="1:23" ht="22.5" customHeight="1" x14ac:dyDescent="0.25">
      <c r="A22" s="1122"/>
      <c r="B22" s="1615"/>
      <c r="C22" s="1616"/>
      <c r="D22" s="1616"/>
      <c r="E22" s="1616"/>
      <c r="F22" s="1616"/>
      <c r="G22" s="1616"/>
      <c r="H22" s="1616"/>
      <c r="I22" s="1616"/>
      <c r="J22" s="1616"/>
      <c r="K22" s="1616"/>
      <c r="L22" s="1616"/>
      <c r="M22" s="1617"/>
      <c r="N22" s="1617"/>
      <c r="O22" s="1617"/>
      <c r="P22" s="1617"/>
      <c r="Q22" s="1617"/>
      <c r="R22" s="1617"/>
      <c r="S22" s="1617"/>
      <c r="T22" s="1617"/>
      <c r="U22" s="1617"/>
      <c r="V22" s="1617"/>
      <c r="W22" s="1618"/>
    </row>
    <row r="23" spans="1:23" ht="22.5" customHeight="1" x14ac:dyDescent="0.25">
      <c r="A23" s="1122"/>
      <c r="B23" s="1605"/>
      <c r="C23" s="1606"/>
      <c r="D23" s="1606"/>
      <c r="E23" s="1606"/>
      <c r="F23" s="1606"/>
      <c r="G23" s="1606"/>
      <c r="H23" s="1606"/>
      <c r="I23" s="1606"/>
      <c r="J23" s="1606"/>
      <c r="K23" s="1606"/>
      <c r="L23" s="1606"/>
      <c r="M23" s="1607"/>
      <c r="N23" s="1607"/>
      <c r="O23" s="1607"/>
      <c r="P23" s="1607"/>
      <c r="Q23" s="1607"/>
      <c r="R23" s="1607"/>
      <c r="S23" s="1607"/>
      <c r="T23" s="1607"/>
      <c r="U23" s="1607"/>
      <c r="V23" s="1607"/>
      <c r="W23" s="1608"/>
    </row>
    <row r="24" spans="1:23" ht="22.5" customHeight="1" x14ac:dyDescent="0.25">
      <c r="A24" s="1122"/>
      <c r="B24" s="1605"/>
      <c r="C24" s="1606"/>
      <c r="D24" s="1606"/>
      <c r="E24" s="1606"/>
      <c r="F24" s="1606"/>
      <c r="G24" s="1606"/>
      <c r="H24" s="1606"/>
      <c r="I24" s="1606"/>
      <c r="J24" s="1606"/>
      <c r="K24" s="1606"/>
      <c r="L24" s="1606"/>
      <c r="M24" s="1607"/>
      <c r="N24" s="1607"/>
      <c r="O24" s="1607"/>
      <c r="P24" s="1607"/>
      <c r="Q24" s="1607"/>
      <c r="R24" s="1607"/>
      <c r="S24" s="1607"/>
      <c r="T24" s="1607"/>
      <c r="U24" s="1607"/>
      <c r="V24" s="1607"/>
      <c r="W24" s="1608"/>
    </row>
    <row r="25" spans="1:23" ht="22.5" customHeight="1" thickBot="1" x14ac:dyDescent="0.3">
      <c r="A25" s="1122"/>
      <c r="B25" s="1609"/>
      <c r="C25" s="1610"/>
      <c r="D25" s="1610"/>
      <c r="E25" s="1610"/>
      <c r="F25" s="1610"/>
      <c r="G25" s="1610"/>
      <c r="H25" s="1610"/>
      <c r="I25" s="1610"/>
      <c r="J25" s="1610"/>
      <c r="K25" s="1610"/>
      <c r="L25" s="1610"/>
      <c r="M25" s="1611"/>
      <c r="N25" s="1611"/>
      <c r="O25" s="1611"/>
      <c r="P25" s="1611"/>
      <c r="Q25" s="1611"/>
      <c r="R25" s="1611"/>
      <c r="S25" s="1611"/>
      <c r="T25" s="1611"/>
      <c r="U25" s="1611"/>
      <c r="V25" s="1611"/>
      <c r="W25" s="1612"/>
    </row>
    <row r="26" spans="1:23" x14ac:dyDescent="0.25">
      <c r="A26" s="1113"/>
      <c r="B26" s="1123"/>
      <c r="C26" s="1123"/>
      <c r="D26" s="1123"/>
      <c r="E26" s="1123"/>
      <c r="F26" s="1123"/>
      <c r="G26" s="1123"/>
      <c r="H26" s="1123"/>
      <c r="I26" s="1123"/>
      <c r="J26" s="1123"/>
      <c r="K26" s="1123"/>
      <c r="L26" s="1123"/>
      <c r="M26" s="1123"/>
      <c r="N26" s="1123"/>
      <c r="O26" s="1123"/>
      <c r="P26" s="1123"/>
      <c r="Q26" s="1123"/>
      <c r="R26" s="1123"/>
      <c r="S26" s="1123"/>
      <c r="T26" s="1123"/>
      <c r="U26" s="1123"/>
      <c r="V26" s="1123"/>
      <c r="W26" s="1113"/>
    </row>
    <row r="27" spans="1:23" x14ac:dyDescent="0.25">
      <c r="A27" s="1113"/>
      <c r="B27" s="1123"/>
      <c r="C27" s="1123"/>
      <c r="D27" s="1123"/>
      <c r="E27" s="1123"/>
      <c r="F27" s="1123"/>
      <c r="G27" s="1123"/>
      <c r="H27" s="1123"/>
      <c r="I27" s="1123"/>
      <c r="J27" s="1123"/>
      <c r="K27" s="1123"/>
      <c r="L27" s="1123"/>
      <c r="M27" s="1123"/>
      <c r="N27" s="1123"/>
      <c r="O27" s="1123"/>
      <c r="P27" s="1123"/>
      <c r="Q27" s="1123"/>
      <c r="R27" s="1123"/>
      <c r="S27" s="1123"/>
      <c r="T27" s="1123"/>
      <c r="U27" s="1123"/>
      <c r="V27" s="1123"/>
      <c r="W27" s="1113"/>
    </row>
    <row r="28" spans="1:23" x14ac:dyDescent="0.25">
      <c r="A28" s="1118" t="s">
        <v>501</v>
      </c>
      <c r="B28" s="1548" t="s">
        <v>2126</v>
      </c>
      <c r="C28" s="1548"/>
      <c r="D28" s="1548"/>
      <c r="E28" s="1548"/>
      <c r="F28" s="1548"/>
      <c r="G28" s="1548"/>
      <c r="H28" s="1548"/>
      <c r="I28" s="1548"/>
      <c r="J28" s="1548"/>
      <c r="K28" s="1548"/>
      <c r="L28" s="1548"/>
      <c r="M28" s="1548"/>
      <c r="N28" s="1113"/>
      <c r="O28" s="1113"/>
      <c r="P28" s="1113"/>
      <c r="Q28" s="1113"/>
      <c r="R28" s="1113"/>
      <c r="S28" s="1113"/>
      <c r="T28" s="1113"/>
      <c r="U28" s="1113"/>
      <c r="V28" s="1113"/>
      <c r="W28" s="1113"/>
    </row>
    <row r="29" spans="1:23" ht="15.75" thickBot="1" x14ac:dyDescent="0.3">
      <c r="A29" s="1113"/>
      <c r="B29" s="1113"/>
      <c r="C29" s="1113"/>
      <c r="D29" s="1113"/>
      <c r="E29" s="1113"/>
      <c r="F29" s="1113"/>
      <c r="G29" s="1113"/>
      <c r="H29" s="1113"/>
      <c r="I29" s="1113"/>
      <c r="J29" s="1113"/>
      <c r="K29" s="1113"/>
      <c r="L29" s="1113"/>
      <c r="M29" s="1113"/>
      <c r="N29" s="1113"/>
      <c r="O29" s="1113"/>
      <c r="P29" s="1113"/>
      <c r="Q29" s="1113"/>
      <c r="R29" s="1113"/>
      <c r="S29" s="1113"/>
      <c r="T29" s="1113"/>
      <c r="U29" s="1113"/>
      <c r="V29" s="1113"/>
      <c r="W29" s="1113"/>
    </row>
    <row r="30" spans="1:23" ht="51.75" customHeight="1" thickBot="1" x14ac:dyDescent="0.3">
      <c r="A30" s="1123"/>
      <c r="B30" s="1613" t="s">
        <v>0</v>
      </c>
      <c r="C30" s="1308"/>
      <c r="D30" s="1614"/>
      <c r="E30" s="1613" t="s">
        <v>1</v>
      </c>
      <c r="F30" s="1308"/>
      <c r="G30" s="1308"/>
      <c r="H30" s="1308"/>
      <c r="I30" s="1308"/>
      <c r="J30" s="1308"/>
      <c r="K30" s="1308"/>
      <c r="L30" s="1308"/>
      <c r="M30" s="1614"/>
      <c r="N30" s="1308" t="s">
        <v>2</v>
      </c>
      <c r="O30" s="1308"/>
      <c r="P30" s="1308"/>
      <c r="Q30" s="1308"/>
      <c r="R30" s="1308"/>
      <c r="S30" s="1308"/>
      <c r="T30" s="1308"/>
      <c r="U30" s="1308"/>
      <c r="V30" s="1308"/>
      <c r="W30" s="1614"/>
    </row>
    <row r="31" spans="1:23" ht="29.25" customHeight="1" thickBot="1" x14ac:dyDescent="0.3">
      <c r="A31" s="1123"/>
      <c r="B31" s="1596" t="s">
        <v>2127</v>
      </c>
      <c r="C31" s="1597"/>
      <c r="D31" s="1598"/>
      <c r="E31" s="1599">
        <v>0</v>
      </c>
      <c r="F31" s="1600"/>
      <c r="G31" s="1600"/>
      <c r="H31" s="1600"/>
      <c r="I31" s="1600"/>
      <c r="J31" s="1600"/>
      <c r="K31" s="1600"/>
      <c r="L31" s="1600"/>
      <c r="M31" s="1601"/>
      <c r="N31" s="1600">
        <v>0</v>
      </c>
      <c r="O31" s="1600"/>
      <c r="P31" s="1600"/>
      <c r="Q31" s="1600"/>
      <c r="R31" s="1600"/>
      <c r="S31" s="1600"/>
      <c r="T31" s="1600"/>
      <c r="U31" s="1600"/>
      <c r="V31" s="1600"/>
      <c r="W31" s="1601"/>
    </row>
    <row r="32" spans="1:23" ht="22.5" customHeight="1" x14ac:dyDescent="0.25">
      <c r="A32" s="1602"/>
      <c r="B32" s="1603"/>
      <c r="C32" s="1603"/>
      <c r="D32" s="1603"/>
      <c r="E32" s="1604"/>
      <c r="F32" s="1604"/>
      <c r="G32" s="1604"/>
      <c r="H32" s="1604"/>
      <c r="I32" s="1604"/>
      <c r="J32" s="1604"/>
      <c r="K32" s="1604"/>
      <c r="L32" s="1604"/>
      <c r="M32" s="1604"/>
      <c r="N32" s="1604"/>
      <c r="O32" s="1604"/>
      <c r="P32" s="1604"/>
      <c r="Q32" s="1604"/>
      <c r="R32" s="1604"/>
      <c r="S32" s="1604"/>
      <c r="T32" s="1604"/>
      <c r="U32" s="1604"/>
      <c r="V32" s="1604"/>
      <c r="W32" s="1604"/>
    </row>
    <row r="33" spans="1:23" ht="26.25" customHeight="1" x14ac:dyDescent="0.25">
      <c r="A33" s="1594"/>
      <c r="B33" s="1594"/>
      <c r="C33" s="1594"/>
      <c r="D33" s="1594"/>
      <c r="E33" s="1595"/>
      <c r="F33" s="1595"/>
      <c r="G33" s="1595"/>
      <c r="H33" s="1595"/>
      <c r="I33" s="1595"/>
      <c r="J33" s="1595"/>
      <c r="K33" s="1595"/>
      <c r="L33" s="1595"/>
      <c r="M33" s="1595"/>
      <c r="N33" s="1595"/>
      <c r="O33" s="1595"/>
      <c r="P33" s="1595"/>
      <c r="Q33" s="1595"/>
      <c r="R33" s="1595"/>
      <c r="S33" s="1595"/>
      <c r="T33" s="1595"/>
      <c r="U33" s="1595"/>
      <c r="V33" s="1595"/>
      <c r="W33" s="1595"/>
    </row>
    <row r="34" spans="1:23" ht="26.25" customHeight="1" x14ac:dyDescent="0.25">
      <c r="A34" s="1124"/>
      <c r="B34" s="1124"/>
      <c r="C34" s="1124"/>
      <c r="D34" s="1124"/>
      <c r="E34" s="1125"/>
      <c r="F34" s="1125"/>
      <c r="G34" s="1125"/>
      <c r="H34" s="1125"/>
      <c r="I34" s="1125"/>
      <c r="J34" s="1125"/>
      <c r="K34" s="1125"/>
      <c r="L34" s="1125"/>
      <c r="M34" s="1125"/>
      <c r="N34" s="1125"/>
      <c r="O34" s="1125"/>
      <c r="P34" s="1125"/>
      <c r="Q34" s="1125"/>
      <c r="R34" s="1125"/>
      <c r="S34" s="1125"/>
      <c r="T34" s="1125"/>
      <c r="U34" s="1125"/>
      <c r="V34" s="1125"/>
      <c r="W34" s="1125"/>
    </row>
    <row r="35" spans="1:23" ht="26.25" customHeight="1" x14ac:dyDescent="0.25">
      <c r="A35" s="1124"/>
      <c r="B35" s="1124"/>
      <c r="C35" s="1124"/>
      <c r="D35" s="1124"/>
      <c r="E35" s="1125"/>
      <c r="F35" s="1125"/>
      <c r="G35" s="1125"/>
      <c r="H35" s="1125"/>
      <c r="I35" s="1125"/>
      <c r="J35" s="1125"/>
      <c r="K35" s="1125"/>
      <c r="L35" s="1125"/>
      <c r="M35" s="1125"/>
      <c r="N35" s="1125"/>
      <c r="O35" s="1125"/>
      <c r="P35" s="1125"/>
      <c r="Q35" s="1125"/>
      <c r="R35" s="1125"/>
      <c r="S35" s="1125"/>
      <c r="T35" s="1125"/>
      <c r="U35" s="1125"/>
      <c r="V35" s="1125"/>
      <c r="W35" s="1125"/>
    </row>
    <row r="36" spans="1:23" ht="18.75" customHeight="1" x14ac:dyDescent="0.25">
      <c r="A36" s="1124"/>
      <c r="B36" s="1124"/>
      <c r="C36" s="1124"/>
      <c r="D36" s="1124"/>
      <c r="E36" s="1125"/>
      <c r="F36" s="1125"/>
      <c r="G36" s="1125"/>
      <c r="H36" s="1125"/>
      <c r="I36" s="1125"/>
      <c r="J36" s="1125"/>
      <c r="K36" s="1125"/>
      <c r="L36" s="1125"/>
      <c r="M36" s="1125"/>
      <c r="N36" s="1125"/>
      <c r="O36" s="1125"/>
      <c r="P36" s="1125"/>
      <c r="Q36" s="1125"/>
      <c r="R36" s="1125"/>
      <c r="S36" s="1125"/>
      <c r="T36" s="1125"/>
      <c r="U36" s="1125"/>
      <c r="V36" s="1125"/>
      <c r="W36" s="1125"/>
    </row>
    <row r="37" spans="1:23" ht="24.75" customHeight="1" x14ac:dyDescent="0.25">
      <c r="A37" s="1487" t="s">
        <v>2128</v>
      </c>
      <c r="B37" s="1487"/>
      <c r="C37" s="1487"/>
      <c r="D37" s="1487"/>
      <c r="E37" s="1487"/>
      <c r="F37" s="1487"/>
      <c r="G37" s="1487"/>
      <c r="H37" s="1487"/>
      <c r="I37" s="1487"/>
      <c r="J37" s="1487"/>
      <c r="K37" s="1487"/>
      <c r="L37" s="1487"/>
      <c r="M37" s="1487"/>
      <c r="N37" s="1487"/>
      <c r="O37" s="1487"/>
      <c r="P37" s="1487"/>
      <c r="Q37" s="1487"/>
      <c r="R37" s="1487"/>
      <c r="S37" s="1487"/>
      <c r="T37" s="1487"/>
      <c r="U37" s="1487"/>
      <c r="V37" s="1487"/>
      <c r="W37" s="1487"/>
    </row>
    <row r="38" spans="1:23" x14ac:dyDescent="0.25">
      <c r="A38" s="1487" t="s">
        <v>2129</v>
      </c>
      <c r="B38" s="1487"/>
      <c r="C38" s="1487"/>
      <c r="D38" s="1487"/>
      <c r="E38" s="1487"/>
      <c r="F38" s="1487"/>
      <c r="G38" s="1487"/>
      <c r="H38" s="1487"/>
      <c r="I38" s="1487"/>
      <c r="J38" s="1487"/>
      <c r="K38" s="1487"/>
      <c r="L38" s="1487"/>
      <c r="M38" s="1487"/>
      <c r="N38" s="1487"/>
      <c r="O38" s="1487"/>
      <c r="P38" s="1487"/>
      <c r="Q38" s="1487"/>
      <c r="R38" s="1487"/>
      <c r="S38" s="1487"/>
      <c r="T38" s="1487"/>
      <c r="U38" s="1487"/>
      <c r="V38" s="1487"/>
      <c r="W38" s="1487"/>
    </row>
    <row r="39" spans="1:23" x14ac:dyDescent="0.25">
      <c r="A39" s="1112"/>
      <c r="B39" s="1112"/>
      <c r="C39" s="1112"/>
      <c r="D39" s="1112"/>
      <c r="E39" s="1112"/>
      <c r="F39" s="1112"/>
      <c r="G39" s="1112"/>
      <c r="H39" s="1112"/>
      <c r="I39" s="1112"/>
      <c r="J39" s="1112"/>
      <c r="K39" s="1112"/>
      <c r="L39" s="1112"/>
      <c r="M39" s="1112"/>
      <c r="N39" s="1112"/>
      <c r="O39" s="1112"/>
      <c r="P39" s="1112"/>
      <c r="Q39" s="1112"/>
      <c r="R39" s="1112"/>
      <c r="S39" s="1112"/>
      <c r="T39" s="1112"/>
      <c r="U39" s="1112"/>
      <c r="V39" s="1112"/>
      <c r="W39" s="1112"/>
    </row>
    <row r="40" spans="1:23" x14ac:dyDescent="0.25">
      <c r="A40" s="1113"/>
      <c r="B40" s="1123"/>
      <c r="C40" s="1123"/>
      <c r="D40" s="1123"/>
      <c r="E40" s="1123"/>
      <c r="F40" s="1123"/>
      <c r="G40" s="1123"/>
      <c r="H40" s="1123"/>
      <c r="I40" s="1123"/>
      <c r="J40" s="1123"/>
      <c r="K40" s="1123"/>
      <c r="L40" s="1123"/>
      <c r="M40" s="1123"/>
      <c r="N40" s="1123"/>
      <c r="O40" s="1123"/>
      <c r="P40" s="1123"/>
      <c r="Q40" s="1123"/>
      <c r="R40" s="1123"/>
      <c r="S40" s="1123"/>
      <c r="T40" s="1123"/>
      <c r="U40" s="1123"/>
      <c r="V40" s="1123"/>
      <c r="W40" s="1123"/>
    </row>
    <row r="41" spans="1:23" x14ac:dyDescent="0.25">
      <c r="A41" s="1126" t="s">
        <v>2130</v>
      </c>
      <c r="B41" s="1319" t="s">
        <v>2131</v>
      </c>
      <c r="C41" s="1319"/>
      <c r="D41" s="1319"/>
      <c r="E41" s="1319"/>
      <c r="F41" s="1319"/>
      <c r="G41" s="1319"/>
      <c r="H41" s="1319"/>
      <c r="I41" s="1319"/>
      <c r="J41" s="1319"/>
      <c r="K41" s="1319"/>
      <c r="L41" s="1319"/>
      <c r="M41" s="1319"/>
      <c r="N41" s="1319"/>
      <c r="O41" s="1319"/>
      <c r="P41" s="1319"/>
      <c r="Q41" s="1319"/>
      <c r="R41" s="1319"/>
      <c r="S41" s="1319"/>
      <c r="T41" s="1319"/>
      <c r="U41" s="1319"/>
      <c r="V41" s="1319"/>
      <c r="W41" s="1319"/>
    </row>
    <row r="42" spans="1:23" x14ac:dyDescent="0.25">
      <c r="A42" s="1113"/>
      <c r="B42" s="1113"/>
      <c r="C42" s="1113"/>
      <c r="D42" s="1113"/>
      <c r="E42" s="1113"/>
      <c r="F42" s="1113"/>
      <c r="G42" s="1113"/>
      <c r="H42" s="1113"/>
      <c r="I42" s="1113"/>
      <c r="J42" s="1113"/>
      <c r="K42" s="1113"/>
      <c r="L42" s="1113"/>
      <c r="M42" s="1113"/>
      <c r="N42" s="1113"/>
      <c r="O42" s="1113"/>
      <c r="P42" s="1113"/>
      <c r="Q42" s="1113"/>
      <c r="R42" s="1113"/>
      <c r="S42" s="1113"/>
      <c r="T42" s="1113"/>
      <c r="U42" s="1113"/>
      <c r="V42" s="1113"/>
      <c r="W42" s="1113"/>
    </row>
    <row r="43" spans="1:23" x14ac:dyDescent="0.25">
      <c r="A43" s="1113"/>
      <c r="B43" s="1592" t="s">
        <v>2132</v>
      </c>
      <c r="C43" s="1592"/>
      <c r="D43" s="1592" t="s">
        <v>2133</v>
      </c>
      <c r="E43" s="1593"/>
      <c r="F43" s="1117"/>
      <c r="G43" s="1117"/>
      <c r="H43" s="1117"/>
      <c r="I43" s="1117"/>
      <c r="J43" s="1117"/>
      <c r="K43" s="1117"/>
      <c r="L43" s="1113"/>
      <c r="M43" s="1113"/>
      <c r="N43" s="1113"/>
      <c r="O43" s="1113"/>
      <c r="P43" s="1113"/>
      <c r="Q43" s="1113"/>
      <c r="R43" s="1113"/>
      <c r="S43" s="1113"/>
      <c r="T43" s="1113"/>
      <c r="U43" s="1113"/>
      <c r="V43" s="1113"/>
      <c r="W43" s="1113"/>
    </row>
    <row r="44" spans="1:23" x14ac:dyDescent="0.25">
      <c r="A44" s="1113"/>
      <c r="B44" s="1113"/>
      <c r="C44" s="1113"/>
      <c r="D44" s="1113"/>
      <c r="E44" s="1113"/>
      <c r="F44" s="1113"/>
      <c r="G44" s="1113"/>
      <c r="H44" s="1113"/>
      <c r="I44" s="1113"/>
      <c r="J44" s="1113"/>
      <c r="K44" s="1113"/>
      <c r="L44" s="1113"/>
      <c r="M44" s="1113"/>
      <c r="N44" s="1113"/>
      <c r="O44" s="1113"/>
      <c r="P44" s="1113"/>
      <c r="Q44" s="1113"/>
      <c r="R44" s="1113"/>
      <c r="S44" s="1113"/>
      <c r="T44" s="1113"/>
      <c r="U44" s="1113"/>
      <c r="V44" s="1113"/>
      <c r="W44" s="1113"/>
    </row>
    <row r="45" spans="1:23" x14ac:dyDescent="0.25">
      <c r="A45" s="1113"/>
      <c r="B45" s="1113"/>
      <c r="C45" s="1113"/>
      <c r="D45" s="1113"/>
      <c r="E45" s="1113"/>
      <c r="F45" s="1113"/>
      <c r="G45" s="1113"/>
      <c r="H45" s="1113"/>
      <c r="I45" s="1113"/>
      <c r="J45" s="1113"/>
      <c r="K45" s="1113"/>
      <c r="L45" s="1113"/>
      <c r="M45" s="1113"/>
      <c r="N45" s="1113"/>
      <c r="O45" s="1113"/>
      <c r="P45" s="1113"/>
      <c r="Q45" s="1113"/>
      <c r="R45" s="1113"/>
      <c r="S45" s="1113"/>
      <c r="T45" s="1113"/>
      <c r="U45" s="1113"/>
      <c r="V45" s="1113"/>
      <c r="W45" s="1113"/>
    </row>
    <row r="46" spans="1:23" x14ac:dyDescent="0.25">
      <c r="A46" s="1126" t="s">
        <v>498</v>
      </c>
      <c r="B46" s="1319" t="s">
        <v>2134</v>
      </c>
      <c r="C46" s="1319"/>
      <c r="D46" s="1319"/>
      <c r="E46" s="1319"/>
      <c r="F46" s="1319"/>
      <c r="G46" s="1319"/>
      <c r="H46" s="1319"/>
      <c r="I46" s="1319"/>
      <c r="J46" s="1319"/>
      <c r="K46" s="1319"/>
      <c r="L46" s="1319"/>
      <c r="M46" s="1319"/>
      <c r="N46" s="1319"/>
      <c r="O46" s="1319"/>
      <c r="P46" s="1319"/>
      <c r="Q46" s="1319"/>
      <c r="R46" s="1319"/>
      <c r="S46" s="1319"/>
      <c r="T46" s="1319"/>
      <c r="U46" s="1319"/>
      <c r="V46" s="1319"/>
      <c r="W46" s="1319"/>
    </row>
    <row r="47" spans="1:23" ht="15.75" thickBot="1" x14ac:dyDescent="0.3">
      <c r="A47" s="1113"/>
      <c r="B47" s="1113"/>
      <c r="C47" s="1113"/>
      <c r="D47" s="1113"/>
      <c r="E47" s="1113"/>
      <c r="F47" s="1113"/>
      <c r="G47" s="1113"/>
      <c r="H47" s="1113"/>
      <c r="I47" s="1113"/>
      <c r="J47" s="1113"/>
      <c r="K47" s="1113"/>
      <c r="L47" s="1113"/>
      <c r="M47" s="1113"/>
      <c r="N47" s="1113"/>
      <c r="O47" s="1113"/>
      <c r="P47" s="1113"/>
      <c r="Q47" s="1113"/>
      <c r="R47" s="1113"/>
      <c r="S47" s="1113"/>
      <c r="T47" s="1113"/>
      <c r="U47" s="1113"/>
      <c r="V47" s="1113"/>
      <c r="W47" s="1113"/>
    </row>
    <row r="48" spans="1:23" ht="35.25" customHeight="1" thickBot="1" x14ac:dyDescent="0.3">
      <c r="A48" s="1468" t="s">
        <v>2135</v>
      </c>
      <c r="B48" s="1469"/>
      <c r="C48" s="1469"/>
      <c r="D48" s="1469"/>
      <c r="E48" s="1469" t="s">
        <v>2136</v>
      </c>
      <c r="F48" s="1469"/>
      <c r="G48" s="1469"/>
      <c r="H48" s="1469"/>
      <c r="I48" s="1469"/>
      <c r="J48" s="1469"/>
      <c r="K48" s="1469"/>
      <c r="L48" s="1469"/>
      <c r="M48" s="1469"/>
      <c r="N48" s="1469" t="s">
        <v>2137</v>
      </c>
      <c r="O48" s="1469"/>
      <c r="P48" s="1469"/>
      <c r="Q48" s="1469"/>
      <c r="R48" s="1469"/>
      <c r="S48" s="1469"/>
      <c r="T48" s="1469"/>
      <c r="U48" s="1469"/>
      <c r="V48" s="1469"/>
      <c r="W48" s="1470"/>
    </row>
    <row r="49" spans="1:23" x14ac:dyDescent="0.25">
      <c r="A49" s="1336" t="s">
        <v>2138</v>
      </c>
      <c r="B49" s="1337"/>
      <c r="C49" s="1337"/>
      <c r="D49" s="1338"/>
      <c r="E49" s="1585" t="s">
        <v>2221</v>
      </c>
      <c r="F49" s="1586"/>
      <c r="G49" s="1586"/>
      <c r="H49" s="1586"/>
      <c r="I49" s="1586"/>
      <c r="J49" s="1586"/>
      <c r="K49" s="1586"/>
      <c r="L49" s="1586"/>
      <c r="M49" s="1588"/>
      <c r="N49" s="1589" t="s">
        <v>2223</v>
      </c>
      <c r="O49" s="1590"/>
      <c r="P49" s="1590"/>
      <c r="Q49" s="1590"/>
      <c r="R49" s="1590"/>
      <c r="S49" s="1590"/>
      <c r="T49" s="1590"/>
      <c r="U49" s="1590"/>
      <c r="V49" s="1590"/>
      <c r="W49" s="1591"/>
    </row>
    <row r="50" spans="1:23" x14ac:dyDescent="0.25">
      <c r="A50" s="1320" t="s">
        <v>2139</v>
      </c>
      <c r="B50" s="1321"/>
      <c r="C50" s="1321"/>
      <c r="D50" s="1322"/>
      <c r="E50" s="1581" t="s">
        <v>2221</v>
      </c>
      <c r="F50" s="1582"/>
      <c r="G50" s="1582"/>
      <c r="H50" s="1582"/>
      <c r="I50" s="1582"/>
      <c r="J50" s="1582"/>
      <c r="K50" s="1582"/>
      <c r="L50" s="1582"/>
      <c r="M50" s="1583"/>
      <c r="N50" s="1585" t="s">
        <v>2223</v>
      </c>
      <c r="O50" s="1586"/>
      <c r="P50" s="1586"/>
      <c r="Q50" s="1586"/>
      <c r="R50" s="1586"/>
      <c r="S50" s="1586"/>
      <c r="T50" s="1586"/>
      <c r="U50" s="1586"/>
      <c r="V50" s="1586"/>
      <c r="W50" s="1587"/>
    </row>
    <row r="51" spans="1:23" x14ac:dyDescent="0.25">
      <c r="A51" s="1320" t="s">
        <v>27</v>
      </c>
      <c r="B51" s="1321"/>
      <c r="C51" s="1321"/>
      <c r="D51" s="1322"/>
      <c r="E51" s="1581" t="s">
        <v>2221</v>
      </c>
      <c r="F51" s="1582"/>
      <c r="G51" s="1582"/>
      <c r="H51" s="1582"/>
      <c r="I51" s="1582"/>
      <c r="J51" s="1582"/>
      <c r="K51" s="1582"/>
      <c r="L51" s="1582"/>
      <c r="M51" s="1583"/>
      <c r="N51" s="1585" t="s">
        <v>2223</v>
      </c>
      <c r="O51" s="1586"/>
      <c r="P51" s="1586"/>
      <c r="Q51" s="1586"/>
      <c r="R51" s="1586"/>
      <c r="S51" s="1586"/>
      <c r="T51" s="1586"/>
      <c r="U51" s="1586"/>
      <c r="V51" s="1586"/>
      <c r="W51" s="1587"/>
    </row>
    <row r="52" spans="1:23" x14ac:dyDescent="0.25">
      <c r="A52" s="1320" t="s">
        <v>2140</v>
      </c>
      <c r="B52" s="1321"/>
      <c r="C52" s="1321"/>
      <c r="D52" s="1322"/>
      <c r="E52" s="1581" t="s">
        <v>2221</v>
      </c>
      <c r="F52" s="1582"/>
      <c r="G52" s="1582"/>
      <c r="H52" s="1582"/>
      <c r="I52" s="1582"/>
      <c r="J52" s="1582"/>
      <c r="K52" s="1582"/>
      <c r="L52" s="1582"/>
      <c r="M52" s="1583"/>
      <c r="N52" s="1581" t="s">
        <v>2223</v>
      </c>
      <c r="O52" s="1582"/>
      <c r="P52" s="1582"/>
      <c r="Q52" s="1582"/>
      <c r="R52" s="1582"/>
      <c r="S52" s="1582"/>
      <c r="T52" s="1582"/>
      <c r="U52" s="1582"/>
      <c r="V52" s="1582"/>
      <c r="W52" s="1584"/>
    </row>
    <row r="53" spans="1:23" x14ac:dyDescent="0.25">
      <c r="A53" s="1320" t="s">
        <v>2141</v>
      </c>
      <c r="B53" s="1321"/>
      <c r="C53" s="1321"/>
      <c r="D53" s="1322"/>
      <c r="E53" s="1581" t="s">
        <v>2221</v>
      </c>
      <c r="F53" s="1582"/>
      <c r="G53" s="1582"/>
      <c r="H53" s="1582"/>
      <c r="I53" s="1582"/>
      <c r="J53" s="1582"/>
      <c r="K53" s="1582"/>
      <c r="L53" s="1582"/>
      <c r="M53" s="1583"/>
      <c r="N53" s="1581" t="s">
        <v>2223</v>
      </c>
      <c r="O53" s="1582"/>
      <c r="P53" s="1582"/>
      <c r="Q53" s="1582"/>
      <c r="R53" s="1582"/>
      <c r="S53" s="1582"/>
      <c r="T53" s="1582"/>
      <c r="U53" s="1582"/>
      <c r="V53" s="1582"/>
      <c r="W53" s="1584"/>
    </row>
    <row r="54" spans="1:23" x14ac:dyDescent="0.25">
      <c r="A54" s="1320" t="s">
        <v>94</v>
      </c>
      <c r="B54" s="1321"/>
      <c r="C54" s="1321"/>
      <c r="D54" s="1322"/>
      <c r="E54" s="1581" t="s">
        <v>2222</v>
      </c>
      <c r="F54" s="1582"/>
      <c r="G54" s="1582"/>
      <c r="H54" s="1582"/>
      <c r="I54" s="1582"/>
      <c r="J54" s="1582"/>
      <c r="K54" s="1582"/>
      <c r="L54" s="1582"/>
      <c r="M54" s="1583"/>
      <c r="N54" s="1581" t="s">
        <v>2223</v>
      </c>
      <c r="O54" s="1582"/>
      <c r="P54" s="1582"/>
      <c r="Q54" s="1582"/>
      <c r="R54" s="1582"/>
      <c r="S54" s="1582"/>
      <c r="T54" s="1582"/>
      <c r="U54" s="1582"/>
      <c r="V54" s="1582"/>
      <c r="W54" s="1584"/>
    </row>
    <row r="55" spans="1:23" x14ac:dyDescent="0.25">
      <c r="A55" s="1320" t="s">
        <v>140</v>
      </c>
      <c r="B55" s="1321"/>
      <c r="C55" s="1321"/>
      <c r="D55" s="1322"/>
      <c r="E55" s="1581" t="s">
        <v>2222</v>
      </c>
      <c r="F55" s="1582"/>
      <c r="G55" s="1582"/>
      <c r="H55" s="1582"/>
      <c r="I55" s="1582"/>
      <c r="J55" s="1582"/>
      <c r="K55" s="1582"/>
      <c r="L55" s="1582"/>
      <c r="M55" s="1583"/>
      <c r="N55" s="1581" t="s">
        <v>2223</v>
      </c>
      <c r="O55" s="1582"/>
      <c r="P55" s="1582"/>
      <c r="Q55" s="1582"/>
      <c r="R55" s="1582"/>
      <c r="S55" s="1582"/>
      <c r="T55" s="1582"/>
      <c r="U55" s="1582"/>
      <c r="V55" s="1582"/>
      <c r="W55" s="1584"/>
    </row>
    <row r="56" spans="1:23" x14ac:dyDescent="0.25">
      <c r="A56" s="1320" t="s">
        <v>2142</v>
      </c>
      <c r="B56" s="1321"/>
      <c r="C56" s="1321"/>
      <c r="D56" s="1322"/>
      <c r="E56" s="1581" t="s">
        <v>2222</v>
      </c>
      <c r="F56" s="1582"/>
      <c r="G56" s="1582"/>
      <c r="H56" s="1582"/>
      <c r="I56" s="1582"/>
      <c r="J56" s="1582"/>
      <c r="K56" s="1582"/>
      <c r="L56" s="1582"/>
      <c r="M56" s="1583"/>
      <c r="N56" s="1581" t="s">
        <v>2223</v>
      </c>
      <c r="O56" s="1582"/>
      <c r="P56" s="1582"/>
      <c r="Q56" s="1582"/>
      <c r="R56" s="1582"/>
      <c r="S56" s="1582"/>
      <c r="T56" s="1582"/>
      <c r="U56" s="1582"/>
      <c r="V56" s="1582"/>
      <c r="W56" s="1584"/>
    </row>
    <row r="57" spans="1:23" ht="15.75" thickBot="1" x14ac:dyDescent="0.3">
      <c r="A57" s="1571" t="s">
        <v>2143</v>
      </c>
      <c r="B57" s="1572"/>
      <c r="C57" s="1572"/>
      <c r="D57" s="1573"/>
      <c r="E57" s="1574" t="s">
        <v>2221</v>
      </c>
      <c r="F57" s="1575"/>
      <c r="G57" s="1575"/>
      <c r="H57" s="1575"/>
      <c r="I57" s="1575"/>
      <c r="J57" s="1575"/>
      <c r="K57" s="1575"/>
      <c r="L57" s="1575"/>
      <c r="M57" s="1576"/>
      <c r="N57" s="1577" t="s">
        <v>2223</v>
      </c>
      <c r="O57" s="1578"/>
      <c r="P57" s="1578"/>
      <c r="Q57" s="1578"/>
      <c r="R57" s="1578"/>
      <c r="S57" s="1578"/>
      <c r="T57" s="1578"/>
      <c r="U57" s="1578"/>
      <c r="V57" s="1578"/>
      <c r="W57" s="1579"/>
    </row>
    <row r="58" spans="1:23" x14ac:dyDescent="0.25">
      <c r="A58" s="1580"/>
      <c r="B58" s="1580"/>
      <c r="C58" s="1580"/>
      <c r="D58" s="1580"/>
      <c r="E58" s="1474"/>
      <c r="F58" s="1474"/>
      <c r="G58" s="1474"/>
      <c r="H58" s="1474"/>
      <c r="I58" s="1474"/>
      <c r="J58" s="1474"/>
      <c r="K58" s="1474"/>
      <c r="L58" s="1474"/>
      <c r="M58" s="1474"/>
      <c r="N58" s="1127"/>
      <c r="O58" s="1127"/>
      <c r="P58" s="1127"/>
      <c r="Q58" s="1127"/>
      <c r="R58" s="1127"/>
      <c r="S58" s="1127"/>
      <c r="T58" s="1127"/>
      <c r="U58" s="1127"/>
      <c r="V58" s="1127"/>
      <c r="W58" s="1127"/>
    </row>
    <row r="59" spans="1:23" x14ac:dyDescent="0.25">
      <c r="A59" s="1515"/>
      <c r="B59" s="1515"/>
      <c r="C59" s="1515"/>
      <c r="D59" s="1515"/>
      <c r="E59" s="1515"/>
      <c r="F59" s="1515"/>
      <c r="G59" s="1515"/>
      <c r="H59" s="1515"/>
      <c r="I59" s="1515"/>
      <c r="J59" s="1515"/>
      <c r="K59" s="1515"/>
      <c r="L59" s="1515"/>
      <c r="M59" s="1515"/>
      <c r="N59" s="1123"/>
      <c r="O59" s="1123"/>
      <c r="P59" s="1123"/>
      <c r="Q59" s="1123"/>
      <c r="R59" s="1123"/>
      <c r="S59" s="1123"/>
      <c r="T59" s="1123"/>
      <c r="U59" s="1123"/>
      <c r="V59" s="1123"/>
      <c r="W59" s="1123"/>
    </row>
    <row r="60" spans="1:23" x14ac:dyDescent="0.25">
      <c r="A60" s="1126" t="s">
        <v>501</v>
      </c>
      <c r="B60" s="1319" t="s">
        <v>2144</v>
      </c>
      <c r="C60" s="1319"/>
      <c r="D60" s="1319"/>
      <c r="E60" s="1319"/>
      <c r="F60" s="1319"/>
      <c r="G60" s="1319"/>
      <c r="H60" s="1319"/>
      <c r="I60" s="1319"/>
      <c r="J60" s="1319"/>
      <c r="K60" s="1319"/>
      <c r="L60" s="1319"/>
      <c r="M60" s="1319"/>
      <c r="N60" s="1319"/>
      <c r="O60" s="1319"/>
      <c r="P60" s="1319"/>
      <c r="Q60" s="1319"/>
      <c r="R60" s="1319"/>
      <c r="S60" s="1319"/>
      <c r="T60" s="1319"/>
      <c r="U60" s="1319"/>
      <c r="V60" s="1319"/>
      <c r="W60" s="1319"/>
    </row>
    <row r="61" spans="1:23" x14ac:dyDescent="0.25">
      <c r="A61" s="1123"/>
      <c r="B61" s="1123"/>
      <c r="C61" s="1123"/>
      <c r="D61" s="1123"/>
      <c r="E61" s="1123"/>
      <c r="F61" s="1123"/>
      <c r="G61" s="1123"/>
      <c r="H61" s="1123"/>
      <c r="I61" s="1123"/>
      <c r="J61" s="1123"/>
      <c r="K61" s="1123"/>
      <c r="L61" s="1123"/>
      <c r="M61" s="1123"/>
      <c r="N61" s="1123"/>
      <c r="O61" s="1123"/>
      <c r="P61" s="1123"/>
      <c r="Q61" s="1123"/>
      <c r="R61" s="1123"/>
      <c r="S61" s="1123"/>
      <c r="T61" s="1123"/>
      <c r="U61" s="1123"/>
      <c r="V61" s="1123"/>
      <c r="W61" s="1123"/>
    </row>
    <row r="62" spans="1:23" ht="15" customHeight="1" x14ac:dyDescent="0.25">
      <c r="A62" s="1123"/>
      <c r="B62" s="1570" t="s">
        <v>2145</v>
      </c>
      <c r="C62" s="1570"/>
      <c r="D62" s="1570"/>
      <c r="E62" s="1570"/>
      <c r="F62" s="1570"/>
      <c r="G62" s="1570"/>
      <c r="H62" s="1570"/>
      <c r="I62" s="1570"/>
      <c r="J62" s="1570"/>
      <c r="K62" s="1570"/>
      <c r="L62" s="1570"/>
      <c r="M62" s="1570"/>
      <c r="N62" s="1570"/>
      <c r="O62" s="1570"/>
      <c r="P62" s="1570"/>
      <c r="Q62" s="1570"/>
      <c r="R62" s="1570"/>
      <c r="S62" s="1570"/>
      <c r="T62" s="1570"/>
      <c r="U62" s="1570"/>
      <c r="V62" s="1570"/>
      <c r="W62" s="1570"/>
    </row>
    <row r="63" spans="1:23" x14ac:dyDescent="0.25">
      <c r="A63" s="1123"/>
      <c r="B63" s="1570"/>
      <c r="C63" s="1570"/>
      <c r="D63" s="1570"/>
      <c r="E63" s="1570"/>
      <c r="F63" s="1570"/>
      <c r="G63" s="1570"/>
      <c r="H63" s="1570"/>
      <c r="I63" s="1570"/>
      <c r="J63" s="1570"/>
      <c r="K63" s="1570"/>
      <c r="L63" s="1570"/>
      <c r="M63" s="1570"/>
      <c r="N63" s="1570"/>
      <c r="O63" s="1570"/>
      <c r="P63" s="1570"/>
      <c r="Q63" s="1570"/>
      <c r="R63" s="1570"/>
      <c r="S63" s="1570"/>
      <c r="T63" s="1570"/>
      <c r="U63" s="1570"/>
      <c r="V63" s="1570"/>
      <c r="W63" s="1570"/>
    </row>
    <row r="64" spans="1:23" x14ac:dyDescent="0.25">
      <c r="A64" s="1123"/>
      <c r="B64" s="1570"/>
      <c r="C64" s="1570"/>
      <c r="D64" s="1570"/>
      <c r="E64" s="1570"/>
      <c r="F64" s="1570"/>
      <c r="G64" s="1570"/>
      <c r="H64" s="1570"/>
      <c r="I64" s="1570"/>
      <c r="J64" s="1570"/>
      <c r="K64" s="1570"/>
      <c r="L64" s="1570"/>
      <c r="M64" s="1570"/>
      <c r="N64" s="1570"/>
      <c r="O64" s="1570"/>
      <c r="P64" s="1570"/>
      <c r="Q64" s="1570"/>
      <c r="R64" s="1570"/>
      <c r="S64" s="1570"/>
      <c r="T64" s="1570"/>
      <c r="U64" s="1570"/>
      <c r="V64" s="1570"/>
      <c r="W64" s="1570"/>
    </row>
    <row r="65" spans="1:23" ht="15.75" thickBot="1" x14ac:dyDescent="0.3">
      <c r="A65" s="1123"/>
      <c r="B65" s="1129"/>
      <c r="C65" s="1129"/>
      <c r="D65" s="1129"/>
      <c r="E65" s="1129"/>
      <c r="F65" s="1129"/>
      <c r="G65" s="1129"/>
      <c r="H65" s="1129"/>
      <c r="I65" s="1129"/>
      <c r="J65" s="1129"/>
      <c r="K65" s="1129"/>
      <c r="L65" s="1129"/>
      <c r="M65" s="1129"/>
      <c r="N65" s="1129"/>
      <c r="O65" s="1129"/>
      <c r="P65" s="1129"/>
      <c r="Q65" s="1129"/>
      <c r="R65" s="1129"/>
      <c r="S65" s="1129"/>
      <c r="T65" s="1129"/>
      <c r="U65" s="1129"/>
      <c r="V65" s="1129"/>
      <c r="W65" s="1129"/>
    </row>
    <row r="66" spans="1:23" ht="30.75" customHeight="1" thickBot="1" x14ac:dyDescent="0.3">
      <c r="A66" s="1468" t="s">
        <v>2146</v>
      </c>
      <c r="B66" s="1469"/>
      <c r="C66" s="1469"/>
      <c r="D66" s="1298" t="s">
        <v>2147</v>
      </c>
      <c r="E66" s="1299"/>
      <c r="F66" s="1299"/>
      <c r="G66" s="1299"/>
      <c r="H66" s="1299"/>
      <c r="I66" s="1299"/>
      <c r="J66" s="1300"/>
      <c r="K66" s="1307" t="s">
        <v>2148</v>
      </c>
      <c r="L66" s="1308"/>
      <c r="M66" s="1309"/>
      <c r="N66" s="1469" t="s">
        <v>2149</v>
      </c>
      <c r="O66" s="1469"/>
      <c r="P66" s="1469"/>
      <c r="Q66" s="1469"/>
      <c r="R66" s="1469"/>
      <c r="S66" s="1469"/>
      <c r="T66" s="1469"/>
      <c r="U66" s="1469"/>
      <c r="V66" s="1469"/>
      <c r="W66" s="1470"/>
    </row>
    <row r="67" spans="1:23" x14ac:dyDescent="0.25">
      <c r="A67" s="1564"/>
      <c r="B67" s="1565"/>
      <c r="C67" s="1566"/>
      <c r="D67" s="1301"/>
      <c r="E67" s="1302"/>
      <c r="F67" s="1302"/>
      <c r="G67" s="1302"/>
      <c r="H67" s="1302"/>
      <c r="I67" s="1302"/>
      <c r="J67" s="1302"/>
      <c r="K67" s="1310"/>
      <c r="L67" s="1311"/>
      <c r="M67" s="1312"/>
      <c r="N67" s="1567"/>
      <c r="O67" s="1568"/>
      <c r="P67" s="1568"/>
      <c r="Q67" s="1568"/>
      <c r="R67" s="1568"/>
      <c r="S67" s="1568"/>
      <c r="T67" s="1568"/>
      <c r="U67" s="1568"/>
      <c r="V67" s="1568"/>
      <c r="W67" s="1569"/>
    </row>
    <row r="68" spans="1:23" x14ac:dyDescent="0.25">
      <c r="A68" s="1560"/>
      <c r="B68" s="1561"/>
      <c r="C68" s="1562"/>
      <c r="D68" s="1303"/>
      <c r="E68" s="1304"/>
      <c r="F68" s="1304"/>
      <c r="G68" s="1304"/>
      <c r="H68" s="1304"/>
      <c r="I68" s="1304"/>
      <c r="J68" s="1304"/>
      <c r="K68" s="1313"/>
      <c r="L68" s="1314"/>
      <c r="M68" s="1315"/>
      <c r="N68" s="1303"/>
      <c r="O68" s="1304"/>
      <c r="P68" s="1304"/>
      <c r="Q68" s="1304"/>
      <c r="R68" s="1304"/>
      <c r="S68" s="1304"/>
      <c r="T68" s="1304"/>
      <c r="U68" s="1304"/>
      <c r="V68" s="1304"/>
      <c r="W68" s="1563"/>
    </row>
    <row r="69" spans="1:23" x14ac:dyDescent="0.25">
      <c r="A69" s="1560"/>
      <c r="B69" s="1561"/>
      <c r="C69" s="1562"/>
      <c r="D69" s="1303"/>
      <c r="E69" s="1304"/>
      <c r="F69" s="1304"/>
      <c r="G69" s="1304"/>
      <c r="H69" s="1304"/>
      <c r="I69" s="1304"/>
      <c r="J69" s="1304"/>
      <c r="K69" s="1313"/>
      <c r="L69" s="1314"/>
      <c r="M69" s="1315"/>
      <c r="N69" s="1303"/>
      <c r="O69" s="1304"/>
      <c r="P69" s="1304"/>
      <c r="Q69" s="1304"/>
      <c r="R69" s="1304"/>
      <c r="S69" s="1304"/>
      <c r="T69" s="1304"/>
      <c r="U69" s="1304"/>
      <c r="V69" s="1304"/>
      <c r="W69" s="1563"/>
    </row>
    <row r="70" spans="1:23" x14ac:dyDescent="0.25">
      <c r="A70" s="1560"/>
      <c r="B70" s="1561"/>
      <c r="C70" s="1562"/>
      <c r="D70" s="1303"/>
      <c r="E70" s="1304"/>
      <c r="F70" s="1304"/>
      <c r="G70" s="1304"/>
      <c r="H70" s="1304"/>
      <c r="I70" s="1304"/>
      <c r="J70" s="1304"/>
      <c r="K70" s="1313"/>
      <c r="L70" s="1314"/>
      <c r="M70" s="1315"/>
      <c r="N70" s="1303"/>
      <c r="O70" s="1304"/>
      <c r="P70" s="1304"/>
      <c r="Q70" s="1304"/>
      <c r="R70" s="1304"/>
      <c r="S70" s="1304"/>
      <c r="T70" s="1304"/>
      <c r="U70" s="1304"/>
      <c r="V70" s="1304"/>
      <c r="W70" s="1563"/>
    </row>
    <row r="71" spans="1:23" ht="15.75" thickBot="1" x14ac:dyDescent="0.3">
      <c r="A71" s="1551"/>
      <c r="B71" s="1552"/>
      <c r="C71" s="1553"/>
      <c r="D71" s="1305"/>
      <c r="E71" s="1306"/>
      <c r="F71" s="1306"/>
      <c r="G71" s="1306"/>
      <c r="H71" s="1306"/>
      <c r="I71" s="1306"/>
      <c r="J71" s="1306"/>
      <c r="K71" s="1557"/>
      <c r="L71" s="1558"/>
      <c r="M71" s="1559"/>
      <c r="N71" s="1554"/>
      <c r="O71" s="1555"/>
      <c r="P71" s="1555"/>
      <c r="Q71" s="1555"/>
      <c r="R71" s="1555"/>
      <c r="S71" s="1555"/>
      <c r="T71" s="1555"/>
      <c r="U71" s="1555"/>
      <c r="V71" s="1555"/>
      <c r="W71" s="1556"/>
    </row>
    <row r="72" spans="1:23" x14ac:dyDescent="0.25">
      <c r="A72" s="1474"/>
      <c r="B72" s="1474"/>
      <c r="C72" s="1474"/>
      <c r="D72" s="1474"/>
      <c r="E72" s="1474"/>
      <c r="F72" s="1143"/>
      <c r="G72" s="1143"/>
      <c r="H72" s="1143"/>
      <c r="I72" s="1143"/>
      <c r="J72" s="1143"/>
      <c r="K72" s="1143"/>
      <c r="L72" s="1474"/>
      <c r="M72" s="1474"/>
      <c r="N72" s="1474"/>
      <c r="O72" s="1474"/>
      <c r="P72" s="1474"/>
      <c r="Q72" s="1474"/>
      <c r="R72" s="1474"/>
      <c r="S72" s="1474"/>
      <c r="T72" s="1474"/>
      <c r="U72" s="1474"/>
      <c r="V72" s="1474"/>
      <c r="W72" s="1474"/>
    </row>
    <row r="73" spans="1:23" ht="60.75" customHeight="1" x14ac:dyDescent="0.25">
      <c r="A73" s="1113"/>
      <c r="B73" s="1547" t="s">
        <v>2150</v>
      </c>
      <c r="C73" s="1547"/>
      <c r="D73" s="1547"/>
      <c r="E73" s="1547"/>
      <c r="F73" s="1547"/>
      <c r="G73" s="1547"/>
      <c r="H73" s="1547"/>
      <c r="I73" s="1547"/>
      <c r="J73" s="1547"/>
      <c r="K73" s="1547"/>
      <c r="L73" s="1547"/>
      <c r="M73" s="1547"/>
      <c r="N73" s="1547"/>
      <c r="O73" s="1547"/>
      <c r="P73" s="1547"/>
      <c r="Q73" s="1547"/>
      <c r="R73" s="1547"/>
      <c r="S73" s="1547"/>
      <c r="T73" s="1547"/>
      <c r="U73" s="1547"/>
      <c r="V73" s="1547"/>
      <c r="W73" s="1547"/>
    </row>
    <row r="74" spans="1:23" ht="15" customHeight="1" x14ac:dyDescent="0.25">
      <c r="A74" s="1113"/>
      <c r="B74" s="1548" t="s">
        <v>2151</v>
      </c>
      <c r="C74" s="1548"/>
      <c r="D74" s="1548"/>
      <c r="E74" s="1548"/>
      <c r="F74" s="1548"/>
      <c r="G74" s="1548"/>
      <c r="H74" s="1548"/>
      <c r="I74" s="1548"/>
      <c r="J74" s="1548"/>
      <c r="K74" s="1548"/>
      <c r="L74" s="1548"/>
      <c r="M74" s="1548"/>
      <c r="N74" s="1548"/>
      <c r="O74" s="1548"/>
      <c r="P74" s="1548"/>
      <c r="Q74" s="1548"/>
      <c r="R74" s="1548"/>
      <c r="S74" s="1548"/>
      <c r="T74" s="1548"/>
      <c r="U74" s="1548"/>
      <c r="V74" s="1548"/>
      <c r="W74" s="1548"/>
    </row>
    <row r="75" spans="1:23" x14ac:dyDescent="0.25">
      <c r="A75" s="1113"/>
      <c r="B75" s="1549"/>
      <c r="C75" s="1549"/>
      <c r="D75" s="1549"/>
      <c r="E75" s="1549"/>
      <c r="F75" s="1549"/>
      <c r="G75" s="1549"/>
      <c r="H75" s="1549"/>
      <c r="I75" s="1549"/>
      <c r="J75" s="1549"/>
      <c r="K75" s="1549"/>
      <c r="L75" s="1549"/>
      <c r="M75" s="1549"/>
      <c r="N75" s="1549"/>
      <c r="O75" s="1549"/>
      <c r="P75" s="1549"/>
      <c r="Q75" s="1549"/>
      <c r="R75" s="1549"/>
      <c r="S75" s="1549"/>
      <c r="T75" s="1549"/>
      <c r="U75" s="1549"/>
      <c r="V75" s="1549"/>
      <c r="W75" s="1549"/>
    </row>
    <row r="76" spans="1:23" x14ac:dyDescent="0.25">
      <c r="A76" s="1113"/>
      <c r="B76" s="1549"/>
      <c r="C76" s="1549"/>
      <c r="D76" s="1549"/>
      <c r="E76" s="1549"/>
      <c r="F76" s="1549"/>
      <c r="G76" s="1549"/>
      <c r="H76" s="1549"/>
      <c r="I76" s="1549"/>
      <c r="J76" s="1549"/>
      <c r="K76" s="1549"/>
      <c r="L76" s="1549"/>
      <c r="M76" s="1549"/>
      <c r="N76" s="1549"/>
      <c r="O76" s="1549"/>
      <c r="P76" s="1549"/>
      <c r="Q76" s="1549"/>
      <c r="R76" s="1549"/>
      <c r="S76" s="1549"/>
      <c r="T76" s="1549"/>
      <c r="U76" s="1549"/>
      <c r="V76" s="1549"/>
      <c r="W76" s="1549"/>
    </row>
    <row r="77" spans="1:23" ht="15" customHeight="1" x14ac:dyDescent="0.25">
      <c r="A77" s="1113"/>
      <c r="B77" s="1550"/>
      <c r="C77" s="1550"/>
      <c r="D77" s="1550"/>
      <c r="E77" s="1550"/>
      <c r="F77" s="1550"/>
      <c r="G77" s="1550"/>
      <c r="H77" s="1550"/>
      <c r="I77" s="1550"/>
      <c r="J77" s="1550"/>
      <c r="K77" s="1550"/>
      <c r="L77" s="1550"/>
      <c r="M77" s="1550"/>
      <c r="N77" s="1550"/>
      <c r="O77" s="1550"/>
      <c r="P77" s="1550"/>
      <c r="Q77" s="1550"/>
      <c r="R77" s="1550"/>
      <c r="S77" s="1550"/>
      <c r="T77" s="1550"/>
      <c r="U77" s="1550"/>
      <c r="V77" s="1550"/>
      <c r="W77" s="1550"/>
    </row>
    <row r="78" spans="1:23" ht="15" customHeight="1" x14ac:dyDescent="0.25">
      <c r="A78" s="1113"/>
      <c r="B78" s="1550"/>
      <c r="C78" s="1550"/>
      <c r="D78" s="1550"/>
      <c r="E78" s="1550"/>
      <c r="F78" s="1550"/>
      <c r="G78" s="1550"/>
      <c r="H78" s="1550"/>
      <c r="I78" s="1550"/>
      <c r="J78" s="1550"/>
      <c r="K78" s="1550"/>
      <c r="L78" s="1550"/>
      <c r="M78" s="1550"/>
      <c r="N78" s="1550"/>
      <c r="O78" s="1550"/>
      <c r="P78" s="1550"/>
      <c r="Q78" s="1550"/>
      <c r="R78" s="1550"/>
      <c r="S78" s="1550"/>
      <c r="T78" s="1550"/>
      <c r="U78" s="1550"/>
      <c r="V78" s="1550"/>
      <c r="W78" s="1550"/>
    </row>
    <row r="79" spans="1:23" ht="29.25" customHeight="1" x14ac:dyDescent="0.25">
      <c r="A79" s="1113"/>
      <c r="B79" s="1113"/>
      <c r="C79" s="1113"/>
      <c r="D79" s="1113"/>
      <c r="E79" s="1113"/>
      <c r="F79" s="1113"/>
      <c r="G79" s="1113"/>
      <c r="H79" s="1113"/>
      <c r="I79" s="1113"/>
      <c r="J79" s="1113"/>
      <c r="K79" s="1113"/>
      <c r="L79" s="1113"/>
      <c r="M79" s="1113"/>
      <c r="N79" s="1113"/>
      <c r="O79" s="1113"/>
      <c r="P79" s="1113"/>
      <c r="Q79" s="1113"/>
      <c r="R79" s="1113"/>
      <c r="S79" s="1113"/>
      <c r="T79" s="1113"/>
      <c r="U79" s="1113"/>
      <c r="V79" s="1113"/>
      <c r="W79" s="1113"/>
    </row>
    <row r="80" spans="1:23" ht="62.25" customHeight="1" x14ac:dyDescent="0.25">
      <c r="A80" s="1113"/>
      <c r="B80" s="1547" t="s">
        <v>2152</v>
      </c>
      <c r="C80" s="1547"/>
      <c r="D80" s="1547"/>
      <c r="E80" s="1547"/>
      <c r="F80" s="1547"/>
      <c r="G80" s="1547"/>
      <c r="H80" s="1547"/>
      <c r="I80" s="1547"/>
      <c r="J80" s="1547"/>
      <c r="K80" s="1547"/>
      <c r="L80" s="1547"/>
      <c r="M80" s="1547"/>
      <c r="N80" s="1547"/>
      <c r="O80" s="1547"/>
      <c r="P80" s="1547"/>
      <c r="Q80" s="1547"/>
      <c r="R80" s="1547"/>
      <c r="S80" s="1547"/>
      <c r="T80" s="1547"/>
      <c r="U80" s="1547"/>
      <c r="V80" s="1547"/>
      <c r="W80" s="1547"/>
    </row>
    <row r="81" spans="1:23" ht="8.25" customHeight="1" x14ac:dyDescent="0.25">
      <c r="A81" s="1113"/>
      <c r="B81" s="1548"/>
      <c r="C81" s="1548"/>
      <c r="D81" s="1548"/>
      <c r="E81" s="1548"/>
      <c r="F81" s="1548"/>
      <c r="G81" s="1548"/>
      <c r="H81" s="1548"/>
      <c r="I81" s="1548"/>
      <c r="J81" s="1548"/>
      <c r="K81" s="1548"/>
      <c r="L81" s="1548"/>
      <c r="M81" s="1548"/>
      <c r="N81" s="1548"/>
      <c r="O81" s="1548"/>
      <c r="P81" s="1548"/>
      <c r="Q81" s="1548"/>
      <c r="R81" s="1548"/>
      <c r="S81" s="1548"/>
      <c r="T81" s="1548"/>
      <c r="U81" s="1548"/>
      <c r="V81" s="1548"/>
      <c r="W81" s="1548"/>
    </row>
    <row r="82" spans="1:23" ht="60.75" customHeight="1" x14ac:dyDescent="0.25">
      <c r="A82" s="1113"/>
      <c r="B82" s="1547" t="s">
        <v>2153</v>
      </c>
      <c r="C82" s="1547"/>
      <c r="D82" s="1547"/>
      <c r="E82" s="1547"/>
      <c r="F82" s="1547"/>
      <c r="G82" s="1547"/>
      <c r="H82" s="1547"/>
      <c r="I82" s="1547"/>
      <c r="J82" s="1547"/>
      <c r="K82" s="1547"/>
      <c r="L82" s="1547"/>
      <c r="M82" s="1547"/>
      <c r="N82" s="1547"/>
      <c r="O82" s="1547"/>
      <c r="P82" s="1547"/>
      <c r="Q82" s="1547"/>
      <c r="R82" s="1547"/>
      <c r="S82" s="1547"/>
      <c r="T82" s="1547"/>
      <c r="U82" s="1547"/>
      <c r="V82" s="1547"/>
      <c r="W82" s="1547"/>
    </row>
    <row r="83" spans="1:23" x14ac:dyDescent="0.25">
      <c r="A83" s="1113"/>
      <c r="B83" s="1548"/>
      <c r="C83" s="1548"/>
      <c r="D83" s="1548"/>
      <c r="E83" s="1548"/>
      <c r="F83" s="1548"/>
      <c r="G83" s="1548"/>
      <c r="H83" s="1548"/>
      <c r="I83" s="1548"/>
      <c r="J83" s="1548"/>
      <c r="K83" s="1548"/>
      <c r="L83" s="1548"/>
      <c r="M83" s="1548"/>
      <c r="N83" s="1548"/>
      <c r="O83" s="1548"/>
      <c r="P83" s="1548"/>
      <c r="Q83" s="1548"/>
      <c r="R83" s="1548"/>
      <c r="S83" s="1548"/>
      <c r="T83" s="1548"/>
      <c r="U83" s="1548"/>
      <c r="V83" s="1548"/>
      <c r="W83" s="1548"/>
    </row>
    <row r="84" spans="1:23" x14ac:dyDescent="0.25">
      <c r="A84" s="1126" t="s">
        <v>504</v>
      </c>
      <c r="B84" s="1319" t="s">
        <v>2154</v>
      </c>
      <c r="C84" s="1319"/>
      <c r="D84" s="1319"/>
      <c r="E84" s="1319"/>
      <c r="F84" s="1319"/>
      <c r="G84" s="1319"/>
      <c r="H84" s="1319"/>
      <c r="I84" s="1319"/>
      <c r="J84" s="1319"/>
      <c r="K84" s="1319"/>
      <c r="L84" s="1319"/>
      <c r="M84" s="1319"/>
      <c r="N84" s="1319"/>
      <c r="O84" s="1319"/>
      <c r="P84" s="1319"/>
      <c r="Q84" s="1319"/>
      <c r="R84" s="1319"/>
      <c r="S84" s="1319"/>
      <c r="T84" s="1319"/>
      <c r="U84" s="1319"/>
      <c r="V84" s="1319"/>
      <c r="W84" s="1319"/>
    </row>
    <row r="85" spans="1:23" x14ac:dyDescent="0.25">
      <c r="A85" s="1113"/>
      <c r="B85" s="1113"/>
      <c r="C85" s="1113"/>
      <c r="D85" s="1113"/>
      <c r="E85" s="1113"/>
      <c r="F85" s="1113"/>
      <c r="G85" s="1113"/>
      <c r="H85" s="1113"/>
      <c r="I85" s="1113"/>
      <c r="J85" s="1113"/>
      <c r="K85" s="1113"/>
      <c r="L85" s="1113"/>
      <c r="M85" s="1113"/>
      <c r="N85" s="1113"/>
      <c r="O85" s="1113"/>
      <c r="P85" s="1113"/>
      <c r="Q85" s="1113"/>
      <c r="R85" s="1113"/>
      <c r="S85" s="1113"/>
      <c r="T85" s="1113"/>
      <c r="U85" s="1113"/>
      <c r="V85" s="1113"/>
      <c r="W85" s="1113"/>
    </row>
    <row r="86" spans="1:23" ht="29.25" customHeight="1" x14ac:dyDescent="0.25">
      <c r="A86" s="1113"/>
      <c r="B86" s="1547" t="s">
        <v>2155</v>
      </c>
      <c r="C86" s="1547"/>
      <c r="D86" s="1547"/>
      <c r="E86" s="1547"/>
      <c r="F86" s="1547"/>
      <c r="G86" s="1547"/>
      <c r="H86" s="1547"/>
      <c r="I86" s="1547"/>
      <c r="J86" s="1547"/>
      <c r="K86" s="1547"/>
      <c r="L86" s="1547"/>
      <c r="M86" s="1547"/>
      <c r="N86" s="1547"/>
      <c r="O86" s="1547"/>
      <c r="P86" s="1547"/>
      <c r="Q86" s="1547"/>
      <c r="R86" s="1547"/>
      <c r="S86" s="1547"/>
      <c r="T86" s="1547"/>
      <c r="U86" s="1547"/>
      <c r="V86" s="1547"/>
      <c r="W86" s="1547"/>
    </row>
    <row r="87" spans="1:23" ht="15.75" thickBot="1" x14ac:dyDescent="0.3">
      <c r="A87" s="1113"/>
      <c r="B87" s="1113"/>
      <c r="C87" s="1113"/>
      <c r="D87" s="1113"/>
      <c r="E87" s="1113"/>
      <c r="F87" s="1113"/>
      <c r="G87" s="1113"/>
      <c r="H87" s="1113"/>
      <c r="I87" s="1113"/>
      <c r="J87" s="1113"/>
      <c r="K87" s="1113"/>
      <c r="L87" s="1113"/>
      <c r="M87" s="1113"/>
      <c r="N87" s="1113"/>
      <c r="O87" s="1113"/>
      <c r="P87" s="1113"/>
      <c r="Q87" s="1113"/>
      <c r="R87" s="1113"/>
      <c r="S87" s="1113"/>
      <c r="T87" s="1113"/>
      <c r="U87" s="1113"/>
      <c r="V87" s="1113"/>
      <c r="W87" s="1113"/>
    </row>
    <row r="88" spans="1:23" ht="75.75" customHeight="1" thickBot="1" x14ac:dyDescent="0.3">
      <c r="A88" s="1468" t="s">
        <v>2156</v>
      </c>
      <c r="B88" s="1469"/>
      <c r="C88" s="1469"/>
      <c r="D88" s="1469"/>
      <c r="E88" s="1469" t="s">
        <v>2157</v>
      </c>
      <c r="F88" s="1469"/>
      <c r="G88" s="1469"/>
      <c r="H88" s="1469"/>
      <c r="I88" s="1469"/>
      <c r="J88" s="1469"/>
      <c r="K88" s="1469"/>
      <c r="L88" s="1469"/>
      <c r="M88" s="1469"/>
      <c r="N88" s="1469" t="s">
        <v>2158</v>
      </c>
      <c r="O88" s="1469"/>
      <c r="P88" s="1469"/>
      <c r="Q88" s="1469"/>
      <c r="R88" s="1469"/>
      <c r="S88" s="1469"/>
      <c r="T88" s="1469"/>
      <c r="U88" s="1469"/>
      <c r="V88" s="1469"/>
      <c r="W88" s="1470"/>
    </row>
    <row r="89" spans="1:23" ht="28.5" customHeight="1" x14ac:dyDescent="0.25">
      <c r="A89" s="1539" t="s">
        <v>2224</v>
      </c>
      <c r="B89" s="1540"/>
      <c r="C89" s="1540"/>
      <c r="D89" s="1540"/>
      <c r="E89" s="1541" t="s">
        <v>2226</v>
      </c>
      <c r="F89" s="1542"/>
      <c r="G89" s="1542"/>
      <c r="H89" s="1542"/>
      <c r="I89" s="1542"/>
      <c r="J89" s="1542"/>
      <c r="K89" s="1542"/>
      <c r="L89" s="1542"/>
      <c r="M89" s="1543"/>
      <c r="N89" s="1544" t="s">
        <v>2228</v>
      </c>
      <c r="O89" s="1545"/>
      <c r="P89" s="1545"/>
      <c r="Q89" s="1545"/>
      <c r="R89" s="1545"/>
      <c r="S89" s="1545"/>
      <c r="T89" s="1545"/>
      <c r="U89" s="1545"/>
      <c r="V89" s="1545"/>
      <c r="W89" s="1546"/>
    </row>
    <row r="90" spans="1:23" ht="28.5" customHeight="1" x14ac:dyDescent="0.25">
      <c r="A90" s="1531" t="s">
        <v>2225</v>
      </c>
      <c r="B90" s="1532"/>
      <c r="C90" s="1532"/>
      <c r="D90" s="1532"/>
      <c r="E90" s="1533" t="s">
        <v>2227</v>
      </c>
      <c r="F90" s="1534"/>
      <c r="G90" s="1534"/>
      <c r="H90" s="1534"/>
      <c r="I90" s="1534"/>
      <c r="J90" s="1534"/>
      <c r="K90" s="1534"/>
      <c r="L90" s="1534"/>
      <c r="M90" s="1535"/>
      <c r="N90" s="1536"/>
      <c r="O90" s="1537"/>
      <c r="P90" s="1537"/>
      <c r="Q90" s="1537"/>
      <c r="R90" s="1537"/>
      <c r="S90" s="1537"/>
      <c r="T90" s="1537"/>
      <c r="U90" s="1537"/>
      <c r="V90" s="1537"/>
      <c r="W90" s="1538"/>
    </row>
    <row r="91" spans="1:23" x14ac:dyDescent="0.25">
      <c r="A91" s="1516"/>
      <c r="B91" s="1517"/>
      <c r="C91" s="1517"/>
      <c r="D91" s="1518"/>
      <c r="E91" s="1519"/>
      <c r="F91" s="1520"/>
      <c r="G91" s="1520"/>
      <c r="H91" s="1520"/>
      <c r="I91" s="1520"/>
      <c r="J91" s="1520"/>
      <c r="K91" s="1520"/>
      <c r="L91" s="1520"/>
      <c r="M91" s="1521"/>
      <c r="N91" s="1512"/>
      <c r="O91" s="1513"/>
      <c r="P91" s="1513"/>
      <c r="Q91" s="1513"/>
      <c r="R91" s="1513"/>
      <c r="S91" s="1513"/>
      <c r="T91" s="1513"/>
      <c r="U91" s="1513"/>
      <c r="V91" s="1513"/>
      <c r="W91" s="1514"/>
    </row>
    <row r="92" spans="1:23" x14ac:dyDescent="0.25">
      <c r="A92" s="1516"/>
      <c r="B92" s="1517"/>
      <c r="C92" s="1517"/>
      <c r="D92" s="1518"/>
      <c r="E92" s="1519"/>
      <c r="F92" s="1520"/>
      <c r="G92" s="1520"/>
      <c r="H92" s="1520"/>
      <c r="I92" s="1520"/>
      <c r="J92" s="1520"/>
      <c r="K92" s="1520"/>
      <c r="L92" s="1520"/>
      <c r="M92" s="1521"/>
      <c r="N92" s="1512"/>
      <c r="O92" s="1513"/>
      <c r="P92" s="1513"/>
      <c r="Q92" s="1513"/>
      <c r="R92" s="1513"/>
      <c r="S92" s="1513"/>
      <c r="T92" s="1513"/>
      <c r="U92" s="1513"/>
      <c r="V92" s="1513"/>
      <c r="W92" s="1514"/>
    </row>
    <row r="93" spans="1:23" ht="15.75" thickBot="1" x14ac:dyDescent="0.3">
      <c r="A93" s="1522"/>
      <c r="B93" s="1523"/>
      <c r="C93" s="1523"/>
      <c r="D93" s="1524"/>
      <c r="E93" s="1525"/>
      <c r="F93" s="1526"/>
      <c r="G93" s="1526"/>
      <c r="H93" s="1526"/>
      <c r="I93" s="1526"/>
      <c r="J93" s="1526"/>
      <c r="K93" s="1526"/>
      <c r="L93" s="1526"/>
      <c r="M93" s="1527"/>
      <c r="N93" s="1528"/>
      <c r="O93" s="1529"/>
      <c r="P93" s="1529"/>
      <c r="Q93" s="1529"/>
      <c r="R93" s="1529"/>
      <c r="S93" s="1529"/>
      <c r="T93" s="1529"/>
      <c r="U93" s="1529"/>
      <c r="V93" s="1529"/>
      <c r="W93" s="1530"/>
    </row>
    <row r="94" spans="1:23" x14ac:dyDescent="0.25">
      <c r="A94" s="1474"/>
      <c r="B94" s="1474"/>
      <c r="C94" s="1474"/>
      <c r="D94" s="1474"/>
      <c r="E94" s="1474"/>
      <c r="F94" s="1474"/>
      <c r="G94" s="1474"/>
      <c r="H94" s="1474"/>
      <c r="I94" s="1474"/>
      <c r="J94" s="1474"/>
      <c r="K94" s="1474"/>
      <c r="L94" s="1474"/>
      <c r="M94" s="1474"/>
      <c r="N94" s="1474"/>
      <c r="O94" s="1474"/>
      <c r="P94" s="1474"/>
      <c r="Q94" s="1474"/>
      <c r="R94" s="1474"/>
      <c r="S94" s="1474"/>
      <c r="T94" s="1474"/>
      <c r="U94" s="1474"/>
      <c r="V94" s="1474"/>
      <c r="W94" s="1474"/>
    </row>
    <row r="95" spans="1:23" x14ac:dyDescent="0.25">
      <c r="A95" s="1515"/>
      <c r="B95" s="1515"/>
      <c r="C95" s="1515"/>
      <c r="D95" s="1515"/>
      <c r="E95" s="1515"/>
      <c r="F95" s="1515"/>
      <c r="G95" s="1515"/>
      <c r="H95" s="1515"/>
      <c r="I95" s="1515"/>
      <c r="J95" s="1515"/>
      <c r="K95" s="1515"/>
      <c r="L95" s="1515"/>
      <c r="M95" s="1515"/>
      <c r="N95" s="1515"/>
      <c r="O95" s="1515"/>
      <c r="P95" s="1515"/>
      <c r="Q95" s="1515"/>
      <c r="R95" s="1515"/>
      <c r="S95" s="1515"/>
      <c r="T95" s="1515"/>
      <c r="U95" s="1515"/>
      <c r="V95" s="1515"/>
      <c r="W95" s="1515"/>
    </row>
    <row r="96" spans="1:23" x14ac:dyDescent="0.25">
      <c r="A96" s="1126" t="s">
        <v>507</v>
      </c>
      <c r="B96" s="1319" t="s">
        <v>2159</v>
      </c>
      <c r="C96" s="1319"/>
      <c r="D96" s="1319"/>
      <c r="E96" s="1319"/>
      <c r="F96" s="1319"/>
      <c r="G96" s="1319"/>
      <c r="H96" s="1319"/>
      <c r="I96" s="1319"/>
      <c r="J96" s="1319"/>
      <c r="K96" s="1319"/>
      <c r="L96" s="1319"/>
      <c r="M96" s="1319"/>
      <c r="N96" s="1319"/>
      <c r="O96" s="1319"/>
      <c r="P96" s="1319"/>
      <c r="Q96" s="1319"/>
      <c r="R96" s="1319"/>
      <c r="S96" s="1319"/>
      <c r="T96" s="1319"/>
      <c r="U96" s="1319"/>
      <c r="V96" s="1319"/>
      <c r="W96" s="1319"/>
    </row>
    <row r="97" spans="1:23" x14ac:dyDescent="0.25">
      <c r="A97" s="1515"/>
      <c r="B97" s="1515"/>
      <c r="C97" s="1515"/>
      <c r="D97" s="1515"/>
      <c r="E97" s="1515"/>
      <c r="F97" s="1515"/>
      <c r="G97" s="1515"/>
      <c r="H97" s="1515"/>
      <c r="I97" s="1515"/>
      <c r="J97" s="1515"/>
      <c r="K97" s="1515"/>
      <c r="L97" s="1515"/>
      <c r="M97" s="1515"/>
      <c r="N97" s="1515"/>
      <c r="O97" s="1515"/>
      <c r="P97" s="1515"/>
      <c r="Q97" s="1515"/>
      <c r="R97" s="1515"/>
      <c r="S97" s="1515"/>
      <c r="T97" s="1515"/>
      <c r="U97" s="1515"/>
      <c r="V97" s="1515"/>
      <c r="W97" s="1515"/>
    </row>
    <row r="98" spans="1:23" x14ac:dyDescent="0.25">
      <c r="A98" s="1146" t="s">
        <v>2220</v>
      </c>
      <c r="B98" s="1128"/>
      <c r="C98" s="1128"/>
      <c r="D98" s="1128"/>
      <c r="E98" s="1128"/>
      <c r="F98" s="1128"/>
      <c r="G98" s="1128"/>
      <c r="H98" s="1128"/>
      <c r="I98" s="1128"/>
      <c r="J98" s="1128"/>
      <c r="K98" s="1128"/>
      <c r="L98" s="1128"/>
      <c r="M98" s="1128"/>
      <c r="N98" s="1128"/>
      <c r="O98" s="1128"/>
      <c r="P98" s="1128"/>
      <c r="Q98" s="1128"/>
      <c r="R98" s="1128"/>
      <c r="S98" s="1128"/>
      <c r="T98" s="1128"/>
      <c r="U98" s="1128"/>
      <c r="V98" s="1128"/>
      <c r="W98" s="1128"/>
    </row>
    <row r="99" spans="1:23" ht="15.75" thickBot="1" x14ac:dyDescent="0.3">
      <c r="A99" s="1128"/>
      <c r="B99" s="1128"/>
      <c r="C99" s="1128"/>
      <c r="D99" s="1128"/>
      <c r="E99" s="1128"/>
      <c r="F99" s="1128"/>
      <c r="G99" s="1128"/>
      <c r="H99" s="1128"/>
      <c r="I99" s="1128"/>
      <c r="J99" s="1128"/>
      <c r="K99" s="1128"/>
      <c r="L99" s="1128"/>
      <c r="M99" s="1128"/>
      <c r="N99" s="1128"/>
      <c r="O99" s="1128"/>
      <c r="P99" s="1128"/>
      <c r="Q99" s="1128"/>
      <c r="R99" s="1128"/>
      <c r="S99" s="1128"/>
      <c r="T99" s="1128"/>
      <c r="U99" s="1128"/>
      <c r="V99" s="1128"/>
      <c r="W99" s="1128"/>
    </row>
    <row r="100" spans="1:23" ht="15.75" thickBot="1" x14ac:dyDescent="0.3">
      <c r="A100" s="1468" t="s">
        <v>2160</v>
      </c>
      <c r="B100" s="1469"/>
      <c r="C100" s="1469"/>
      <c r="D100" s="1469"/>
      <c r="E100" s="1469" t="s">
        <v>2161</v>
      </c>
      <c r="F100" s="1469"/>
      <c r="G100" s="1469"/>
      <c r="H100" s="1469"/>
      <c r="I100" s="1469"/>
      <c r="J100" s="1469"/>
      <c r="K100" s="1469"/>
      <c r="L100" s="1469"/>
      <c r="M100" s="1469"/>
      <c r="N100" s="1469" t="s">
        <v>2162</v>
      </c>
      <c r="O100" s="1469"/>
      <c r="P100" s="1469"/>
      <c r="Q100" s="1469"/>
      <c r="R100" s="1469"/>
      <c r="S100" s="1469"/>
      <c r="T100" s="1469"/>
      <c r="U100" s="1469"/>
      <c r="V100" s="1469"/>
      <c r="W100" s="1469"/>
    </row>
    <row r="101" spans="1:23" x14ac:dyDescent="0.25">
      <c r="A101" s="1433"/>
      <c r="B101" s="1434"/>
      <c r="C101" s="1434"/>
      <c r="D101" s="1435"/>
      <c r="E101" s="1507"/>
      <c r="F101" s="1507"/>
      <c r="G101" s="1507"/>
      <c r="H101" s="1507"/>
      <c r="I101" s="1507"/>
      <c r="J101" s="1507"/>
      <c r="K101" s="1507"/>
      <c r="L101" s="1507"/>
      <c r="M101" s="1507"/>
      <c r="N101" s="1508"/>
      <c r="O101" s="1509"/>
      <c r="P101" s="1509"/>
      <c r="Q101" s="1509"/>
      <c r="R101" s="1509"/>
      <c r="S101" s="1509"/>
      <c r="T101" s="1509"/>
      <c r="U101" s="1509"/>
      <c r="V101" s="1509"/>
      <c r="W101" s="1510"/>
    </row>
    <row r="102" spans="1:23" x14ac:dyDescent="0.25">
      <c r="A102" s="1430"/>
      <c r="B102" s="1431"/>
      <c r="C102" s="1431"/>
      <c r="D102" s="1432"/>
      <c r="E102" s="1511"/>
      <c r="F102" s="1511"/>
      <c r="G102" s="1511"/>
      <c r="H102" s="1511"/>
      <c r="I102" s="1511"/>
      <c r="J102" s="1511"/>
      <c r="K102" s="1511"/>
      <c r="L102" s="1511"/>
      <c r="M102" s="1511"/>
      <c r="N102" s="1512"/>
      <c r="O102" s="1513"/>
      <c r="P102" s="1513"/>
      <c r="Q102" s="1513"/>
      <c r="R102" s="1513"/>
      <c r="S102" s="1513"/>
      <c r="T102" s="1513"/>
      <c r="U102" s="1513"/>
      <c r="V102" s="1513"/>
      <c r="W102" s="1514"/>
    </row>
    <row r="103" spans="1:23" ht="15.75" thickBot="1" x14ac:dyDescent="0.3">
      <c r="A103" s="1414"/>
      <c r="B103" s="1415"/>
      <c r="C103" s="1415"/>
      <c r="D103" s="1416"/>
      <c r="E103" s="1503"/>
      <c r="F103" s="1503"/>
      <c r="G103" s="1503"/>
      <c r="H103" s="1503"/>
      <c r="I103" s="1503"/>
      <c r="J103" s="1503"/>
      <c r="K103" s="1503"/>
      <c r="L103" s="1503"/>
      <c r="M103" s="1503"/>
      <c r="N103" s="1504"/>
      <c r="O103" s="1505"/>
      <c r="P103" s="1505"/>
      <c r="Q103" s="1505"/>
      <c r="R103" s="1505"/>
      <c r="S103" s="1505"/>
      <c r="T103" s="1505"/>
      <c r="U103" s="1505"/>
      <c r="V103" s="1505"/>
      <c r="W103" s="1506"/>
    </row>
    <row r="104" spans="1:23" x14ac:dyDescent="0.25">
      <c r="A104" s="1119"/>
      <c r="B104" s="1119"/>
      <c r="C104" s="1119"/>
      <c r="D104" s="1119"/>
      <c r="E104" s="1119"/>
      <c r="F104" s="1119"/>
      <c r="G104" s="1119"/>
      <c r="H104" s="1119"/>
      <c r="I104" s="1119"/>
      <c r="J104" s="1119"/>
      <c r="K104" s="1119"/>
      <c r="L104" s="1119"/>
      <c r="M104" s="1119"/>
      <c r="N104" s="1119"/>
      <c r="O104" s="1119"/>
      <c r="P104" s="1119"/>
      <c r="Q104" s="1119"/>
      <c r="R104" s="1119"/>
      <c r="S104" s="1119"/>
      <c r="T104" s="1119"/>
      <c r="U104" s="1119"/>
      <c r="V104" s="1119"/>
      <c r="W104" s="1119"/>
    </row>
    <row r="105" spans="1:23" x14ac:dyDescent="0.25">
      <c r="A105" s="1113"/>
      <c r="B105" s="1113"/>
      <c r="C105" s="1113"/>
      <c r="D105" s="1113"/>
      <c r="E105" s="1113"/>
      <c r="F105" s="1113"/>
      <c r="G105" s="1113"/>
      <c r="H105" s="1113"/>
      <c r="I105" s="1113"/>
      <c r="J105" s="1113"/>
      <c r="K105" s="1113"/>
      <c r="L105" s="1113"/>
      <c r="M105" s="1113"/>
      <c r="N105" s="1113"/>
      <c r="O105" s="1113"/>
      <c r="P105" s="1113"/>
      <c r="Q105" s="1113"/>
      <c r="R105" s="1113"/>
      <c r="S105" s="1113"/>
      <c r="T105" s="1113"/>
      <c r="U105" s="1113"/>
      <c r="V105" s="1113"/>
      <c r="W105" s="1113"/>
    </row>
    <row r="106" spans="1:23" ht="30" customHeight="1" x14ac:dyDescent="0.25">
      <c r="A106" s="1130" t="s">
        <v>510</v>
      </c>
      <c r="B106" s="1317" t="s">
        <v>2163</v>
      </c>
      <c r="C106" s="1317"/>
      <c r="D106" s="1317"/>
      <c r="E106" s="1317"/>
      <c r="F106" s="1317"/>
      <c r="G106" s="1317"/>
      <c r="H106" s="1317"/>
      <c r="I106" s="1317"/>
      <c r="J106" s="1317"/>
      <c r="K106" s="1317"/>
      <c r="L106" s="1317"/>
      <c r="M106" s="1317"/>
      <c r="N106" s="1317"/>
      <c r="O106" s="1317"/>
      <c r="P106" s="1317"/>
      <c r="Q106" s="1317"/>
      <c r="R106" s="1317"/>
      <c r="S106" s="1317"/>
      <c r="T106" s="1317"/>
      <c r="U106" s="1317"/>
      <c r="V106" s="1317"/>
      <c r="W106" s="1317"/>
    </row>
    <row r="107" spans="1:23" x14ac:dyDescent="0.25">
      <c r="A107" s="1113"/>
      <c r="B107" s="1113"/>
      <c r="C107" s="1113"/>
      <c r="D107" s="1113"/>
      <c r="E107" s="1113"/>
      <c r="F107" s="1113"/>
      <c r="G107" s="1113"/>
      <c r="H107" s="1113"/>
      <c r="I107" s="1113"/>
      <c r="J107" s="1113"/>
      <c r="K107" s="1113"/>
      <c r="L107" s="1113"/>
      <c r="M107" s="1113"/>
      <c r="N107" s="1113"/>
      <c r="O107" s="1113"/>
      <c r="P107" s="1113"/>
      <c r="Q107" s="1113"/>
      <c r="R107" s="1113"/>
      <c r="S107" s="1113"/>
      <c r="T107" s="1113"/>
      <c r="U107" s="1113"/>
      <c r="V107" s="1113"/>
      <c r="W107" s="1113"/>
    </row>
    <row r="108" spans="1:23" x14ac:dyDescent="0.25">
      <c r="A108" s="1146" t="s">
        <v>2220</v>
      </c>
      <c r="B108" s="1128"/>
      <c r="C108" s="1128"/>
      <c r="D108" s="1128"/>
      <c r="E108" s="1128"/>
      <c r="F108" s="1128"/>
      <c r="G108" s="1128"/>
      <c r="H108" s="1128"/>
      <c r="I108" s="1128"/>
      <c r="J108" s="1128"/>
      <c r="K108" s="1128"/>
      <c r="L108" s="1128"/>
      <c r="M108" s="1128"/>
      <c r="N108" s="1128"/>
      <c r="O108" s="1128"/>
      <c r="P108" s="1128"/>
      <c r="Q108" s="1128"/>
      <c r="R108" s="1128"/>
      <c r="S108" s="1128"/>
      <c r="T108" s="1128"/>
      <c r="U108" s="1128"/>
      <c r="V108" s="1128"/>
      <c r="W108" s="1128"/>
    </row>
    <row r="109" spans="1:23" ht="15.75" thickBot="1" x14ac:dyDescent="0.3">
      <c r="A109" s="1146"/>
      <c r="B109" s="1128"/>
      <c r="C109" s="1128"/>
      <c r="D109" s="1128"/>
      <c r="E109" s="1128"/>
      <c r="F109" s="1128"/>
      <c r="G109" s="1128"/>
      <c r="H109" s="1128"/>
      <c r="I109" s="1128"/>
      <c r="J109" s="1128"/>
      <c r="K109" s="1128"/>
      <c r="L109" s="1128"/>
      <c r="M109" s="1128"/>
      <c r="N109" s="1128"/>
      <c r="O109" s="1128"/>
      <c r="P109" s="1128"/>
      <c r="Q109" s="1128"/>
      <c r="R109" s="1128"/>
      <c r="S109" s="1128"/>
      <c r="T109" s="1128"/>
      <c r="U109" s="1128"/>
      <c r="V109" s="1128"/>
      <c r="W109" s="1128"/>
    </row>
    <row r="110" spans="1:23" ht="15.75" thickBot="1" x14ac:dyDescent="0.3">
      <c r="A110" s="1468" t="s">
        <v>2164</v>
      </c>
      <c r="B110" s="1469"/>
      <c r="C110" s="1469"/>
      <c r="D110" s="1469"/>
      <c r="E110" s="1469" t="s">
        <v>2165</v>
      </c>
      <c r="F110" s="1307"/>
      <c r="G110" s="1307"/>
      <c r="H110" s="1307"/>
      <c r="I110" s="1307"/>
      <c r="J110" s="1307"/>
      <c r="K110" s="1307"/>
      <c r="L110" s="1307"/>
      <c r="M110" s="1469" t="s">
        <v>2166</v>
      </c>
      <c r="N110" s="1469"/>
      <c r="O110" s="1469"/>
      <c r="P110" s="1469"/>
      <c r="Q110" s="1469"/>
      <c r="R110" s="1469"/>
      <c r="S110" s="1469"/>
      <c r="T110" s="1469"/>
      <c r="U110" s="1469"/>
      <c r="V110" s="1469"/>
      <c r="W110" s="1470"/>
    </row>
    <row r="111" spans="1:23" ht="30.75" customHeight="1" x14ac:dyDescent="0.25">
      <c r="A111" s="1493" t="s">
        <v>2167</v>
      </c>
      <c r="B111" s="1494"/>
      <c r="C111" s="1494"/>
      <c r="D111" s="1494"/>
      <c r="E111" s="1495"/>
      <c r="F111" s="1495"/>
      <c r="G111" s="1495"/>
      <c r="H111" s="1495"/>
      <c r="I111" s="1495"/>
      <c r="J111" s="1495"/>
      <c r="K111" s="1495"/>
      <c r="L111" s="1495"/>
      <c r="M111" s="1496"/>
      <c r="N111" s="1496"/>
      <c r="O111" s="1496"/>
      <c r="P111" s="1496"/>
      <c r="Q111" s="1496"/>
      <c r="R111" s="1496"/>
      <c r="S111" s="1496"/>
      <c r="T111" s="1496"/>
      <c r="U111" s="1496"/>
      <c r="V111" s="1496"/>
      <c r="W111" s="1497"/>
    </row>
    <row r="112" spans="1:23" ht="30" customHeight="1" thickBot="1" x14ac:dyDescent="0.3">
      <c r="A112" s="1498" t="s">
        <v>2168</v>
      </c>
      <c r="B112" s="1499"/>
      <c r="C112" s="1499"/>
      <c r="D112" s="1499"/>
      <c r="E112" s="1500"/>
      <c r="F112" s="1500"/>
      <c r="G112" s="1500"/>
      <c r="H112" s="1500"/>
      <c r="I112" s="1500"/>
      <c r="J112" s="1500"/>
      <c r="K112" s="1500"/>
      <c r="L112" s="1500"/>
      <c r="M112" s="1501"/>
      <c r="N112" s="1501"/>
      <c r="O112" s="1501"/>
      <c r="P112" s="1501"/>
      <c r="Q112" s="1501"/>
      <c r="R112" s="1501"/>
      <c r="S112" s="1501"/>
      <c r="T112" s="1501"/>
      <c r="U112" s="1501"/>
      <c r="V112" s="1501"/>
      <c r="W112" s="1502"/>
    </row>
    <row r="113" spans="1:23" ht="30" customHeight="1" x14ac:dyDescent="0.25">
      <c r="A113" s="1131"/>
      <c r="B113" s="1131"/>
      <c r="C113" s="1131"/>
      <c r="D113" s="1131"/>
      <c r="E113" s="1132"/>
      <c r="F113" s="1132"/>
      <c r="G113" s="1132"/>
      <c r="H113" s="1132"/>
      <c r="I113" s="1132"/>
      <c r="J113" s="1132"/>
      <c r="K113" s="1132"/>
      <c r="L113" s="1132"/>
      <c r="M113" s="1119"/>
      <c r="N113" s="1119"/>
      <c r="O113" s="1119"/>
      <c r="P113" s="1119"/>
      <c r="Q113" s="1119"/>
      <c r="R113" s="1119"/>
      <c r="S113" s="1119"/>
      <c r="T113" s="1119"/>
      <c r="U113" s="1119"/>
      <c r="V113" s="1119"/>
      <c r="W113" s="1119"/>
    </row>
    <row r="114" spans="1:23" ht="30" customHeight="1" x14ac:dyDescent="0.25">
      <c r="A114" s="1131"/>
      <c r="B114" s="1131"/>
      <c r="C114" s="1131"/>
      <c r="D114" s="1131"/>
      <c r="E114" s="1132"/>
      <c r="F114" s="1132"/>
      <c r="G114" s="1132"/>
      <c r="H114" s="1132"/>
      <c r="I114" s="1132"/>
      <c r="J114" s="1132"/>
      <c r="K114" s="1132"/>
      <c r="L114" s="1132"/>
      <c r="M114" s="1119"/>
      <c r="N114" s="1119"/>
      <c r="O114" s="1119"/>
      <c r="P114" s="1119"/>
      <c r="Q114" s="1119"/>
      <c r="R114" s="1119"/>
      <c r="S114" s="1119"/>
      <c r="T114" s="1119"/>
      <c r="U114" s="1119"/>
      <c r="V114" s="1119"/>
      <c r="W114" s="1119"/>
    </row>
    <row r="115" spans="1:23" ht="18.75" customHeight="1" x14ac:dyDescent="0.25">
      <c r="A115" s="1131"/>
      <c r="B115" s="1131"/>
      <c r="C115" s="1131"/>
      <c r="D115" s="1131"/>
      <c r="E115" s="1132"/>
      <c r="F115" s="1132"/>
      <c r="G115" s="1132"/>
      <c r="H115" s="1132"/>
      <c r="I115" s="1132"/>
      <c r="J115" s="1132"/>
      <c r="K115" s="1132"/>
      <c r="L115" s="1132"/>
      <c r="M115" s="1119"/>
      <c r="N115" s="1119"/>
      <c r="O115" s="1119"/>
      <c r="P115" s="1119"/>
      <c r="Q115" s="1119"/>
      <c r="R115" s="1119"/>
      <c r="S115" s="1119"/>
      <c r="T115" s="1119"/>
      <c r="U115" s="1119"/>
      <c r="V115" s="1119"/>
      <c r="W115" s="1119"/>
    </row>
    <row r="116" spans="1:23" x14ac:dyDescent="0.25">
      <c r="A116" s="1487" t="s">
        <v>2169</v>
      </c>
      <c r="B116" s="1487"/>
      <c r="C116" s="1487"/>
      <c r="D116" s="1487"/>
      <c r="E116" s="1487"/>
      <c r="F116" s="1487"/>
      <c r="G116" s="1487"/>
      <c r="H116" s="1487"/>
      <c r="I116" s="1487"/>
      <c r="J116" s="1487"/>
      <c r="K116" s="1487"/>
      <c r="L116" s="1487"/>
      <c r="M116" s="1487"/>
      <c r="N116" s="1487"/>
      <c r="O116" s="1487"/>
      <c r="P116" s="1487"/>
      <c r="Q116" s="1487"/>
      <c r="R116" s="1487"/>
      <c r="S116" s="1487"/>
      <c r="T116" s="1487"/>
      <c r="U116" s="1487"/>
      <c r="V116" s="1487"/>
      <c r="W116" s="1487"/>
    </row>
    <row r="117" spans="1:23" x14ac:dyDescent="0.25">
      <c r="A117" s="1487" t="s">
        <v>2170</v>
      </c>
      <c r="B117" s="1487"/>
      <c r="C117" s="1487"/>
      <c r="D117" s="1487"/>
      <c r="E117" s="1487"/>
      <c r="F117" s="1487"/>
      <c r="G117" s="1487"/>
      <c r="H117" s="1487"/>
      <c r="I117" s="1487"/>
      <c r="J117" s="1487"/>
      <c r="K117" s="1487"/>
      <c r="L117" s="1487"/>
      <c r="M117" s="1487"/>
      <c r="N117" s="1487"/>
      <c r="O117" s="1487"/>
      <c r="P117" s="1487"/>
      <c r="Q117" s="1487"/>
      <c r="R117" s="1487"/>
      <c r="S117" s="1487"/>
      <c r="T117" s="1487"/>
      <c r="U117" s="1487"/>
      <c r="V117" s="1487"/>
      <c r="W117" s="1487"/>
    </row>
    <row r="118" spans="1:23" x14ac:dyDescent="0.25">
      <c r="A118" s="1113"/>
      <c r="B118" s="1113"/>
      <c r="C118" s="1113"/>
      <c r="D118" s="1113"/>
      <c r="E118" s="1113"/>
      <c r="F118" s="1113"/>
      <c r="G118" s="1113"/>
      <c r="H118" s="1113"/>
      <c r="I118" s="1113"/>
      <c r="J118" s="1113"/>
      <c r="K118" s="1113"/>
      <c r="L118" s="1113"/>
      <c r="M118" s="1113"/>
      <c r="N118" s="1113"/>
      <c r="O118" s="1113"/>
      <c r="P118" s="1113"/>
      <c r="Q118" s="1113"/>
      <c r="R118" s="1113"/>
      <c r="S118" s="1113"/>
      <c r="T118" s="1113"/>
      <c r="U118" s="1113"/>
      <c r="V118" s="1113"/>
      <c r="W118" s="1113"/>
    </row>
    <row r="119" spans="1:23" ht="31.5" customHeight="1" x14ac:dyDescent="0.25">
      <c r="A119" s="1130" t="s">
        <v>2171</v>
      </c>
      <c r="B119" s="1317" t="s">
        <v>2172</v>
      </c>
      <c r="C119" s="1317"/>
      <c r="D119" s="1317"/>
      <c r="E119" s="1317"/>
      <c r="F119" s="1317"/>
      <c r="G119" s="1317"/>
      <c r="H119" s="1317"/>
      <c r="I119" s="1317"/>
      <c r="J119" s="1317"/>
      <c r="K119" s="1317"/>
      <c r="L119" s="1317"/>
      <c r="M119" s="1317"/>
      <c r="N119" s="1317"/>
      <c r="O119" s="1317"/>
      <c r="P119" s="1317"/>
      <c r="Q119" s="1317"/>
      <c r="R119" s="1317"/>
      <c r="S119" s="1317"/>
      <c r="T119" s="1317"/>
      <c r="U119" s="1317"/>
      <c r="V119" s="1317"/>
      <c r="W119" s="1317"/>
    </row>
    <row r="120" spans="1:23" x14ac:dyDescent="0.25">
      <c r="A120" s="1113"/>
      <c r="B120" s="1113"/>
      <c r="C120" s="1113"/>
      <c r="D120" s="1113"/>
      <c r="E120" s="1113"/>
      <c r="F120" s="1113"/>
      <c r="G120" s="1113"/>
      <c r="H120" s="1113"/>
      <c r="I120" s="1113"/>
      <c r="J120" s="1113"/>
      <c r="K120" s="1113"/>
      <c r="L120" s="1113"/>
      <c r="M120" s="1113"/>
      <c r="N120" s="1113"/>
      <c r="O120" s="1113"/>
      <c r="P120" s="1113"/>
      <c r="Q120" s="1113"/>
      <c r="R120" s="1113"/>
      <c r="S120" s="1113"/>
      <c r="T120" s="1113"/>
      <c r="U120" s="1113"/>
      <c r="V120" s="1113"/>
      <c r="W120" s="1113"/>
    </row>
    <row r="121" spans="1:23" x14ac:dyDescent="0.25">
      <c r="A121" s="1146" t="s">
        <v>2220</v>
      </c>
      <c r="B121" s="1128"/>
      <c r="C121" s="1128"/>
      <c r="D121" s="1128"/>
      <c r="E121" s="1128"/>
      <c r="F121" s="1128"/>
      <c r="G121" s="1128"/>
      <c r="H121" s="1128"/>
      <c r="I121" s="1128"/>
      <c r="J121" s="1128"/>
      <c r="K121" s="1128"/>
      <c r="L121" s="1128"/>
      <c r="M121" s="1128"/>
      <c r="N121" s="1128"/>
      <c r="O121" s="1128"/>
      <c r="P121" s="1128"/>
      <c r="Q121" s="1128"/>
      <c r="R121" s="1128"/>
      <c r="S121" s="1128"/>
      <c r="T121" s="1128"/>
      <c r="U121" s="1128"/>
      <c r="V121" s="1128"/>
      <c r="W121" s="1128"/>
    </row>
    <row r="122" spans="1:23" ht="15.75" thickBot="1" x14ac:dyDescent="0.3">
      <c r="A122" s="1146"/>
      <c r="B122" s="1128"/>
      <c r="C122" s="1128"/>
      <c r="D122" s="1128"/>
      <c r="E122" s="1128"/>
      <c r="F122" s="1128"/>
      <c r="G122" s="1128"/>
      <c r="H122" s="1128"/>
      <c r="I122" s="1128"/>
      <c r="J122" s="1128"/>
      <c r="K122" s="1128"/>
      <c r="L122" s="1128"/>
      <c r="M122" s="1128"/>
      <c r="N122" s="1128"/>
      <c r="O122" s="1128"/>
      <c r="P122" s="1128"/>
      <c r="Q122" s="1128"/>
      <c r="R122" s="1128"/>
      <c r="S122" s="1128"/>
      <c r="T122" s="1128"/>
      <c r="U122" s="1128"/>
      <c r="V122" s="1128"/>
      <c r="W122" s="1128"/>
    </row>
    <row r="123" spans="1:23" ht="20.25" customHeight="1" x14ac:dyDescent="0.25">
      <c r="A123" s="1343" t="s">
        <v>2173</v>
      </c>
      <c r="B123" s="1344"/>
      <c r="C123" s="1344"/>
      <c r="D123" s="1344"/>
      <c r="E123" s="1344"/>
      <c r="F123" s="1344"/>
      <c r="G123" s="1344"/>
      <c r="H123" s="1344"/>
      <c r="I123" s="1344"/>
      <c r="J123" s="1488" t="s">
        <v>2174</v>
      </c>
      <c r="K123" s="1344"/>
      <c r="L123" s="1344"/>
      <c r="M123" s="1344"/>
      <c r="N123" s="1344"/>
      <c r="O123" s="1344"/>
      <c r="P123" s="1344"/>
      <c r="Q123" s="1490" t="s">
        <v>35</v>
      </c>
      <c r="R123" s="1491"/>
      <c r="S123" s="1491"/>
      <c r="T123" s="1491"/>
      <c r="U123" s="1491"/>
      <c r="V123" s="1491"/>
      <c r="W123" s="1492"/>
    </row>
    <row r="124" spans="1:23" ht="21" customHeight="1" thickBot="1" x14ac:dyDescent="0.3">
      <c r="A124" s="1346"/>
      <c r="B124" s="1347"/>
      <c r="C124" s="1347"/>
      <c r="D124" s="1347"/>
      <c r="E124" s="1347"/>
      <c r="F124" s="1347"/>
      <c r="G124" s="1347"/>
      <c r="H124" s="1347"/>
      <c r="I124" s="1347"/>
      <c r="J124" s="1489"/>
      <c r="K124" s="1347"/>
      <c r="L124" s="1347"/>
      <c r="M124" s="1347"/>
      <c r="N124" s="1347"/>
      <c r="O124" s="1347"/>
      <c r="P124" s="1347"/>
      <c r="Q124" s="1271"/>
      <c r="R124" s="1272"/>
      <c r="S124" s="1272"/>
      <c r="T124" s="1272"/>
      <c r="U124" s="1272"/>
      <c r="V124" s="1272"/>
      <c r="W124" s="1273"/>
    </row>
    <row r="125" spans="1:23" ht="15" customHeight="1" x14ac:dyDescent="0.25">
      <c r="A125" s="1483"/>
      <c r="B125" s="1484"/>
      <c r="C125" s="1484"/>
      <c r="D125" s="1484"/>
      <c r="E125" s="1484"/>
      <c r="F125" s="1484"/>
      <c r="G125" s="1484"/>
      <c r="H125" s="1484"/>
      <c r="I125" s="1484"/>
      <c r="J125" s="1485"/>
      <c r="K125" s="1486"/>
      <c r="L125" s="1486"/>
      <c r="M125" s="1486"/>
      <c r="N125" s="1486"/>
      <c r="O125" s="1486"/>
      <c r="P125" s="1486"/>
      <c r="Q125" s="1244"/>
      <c r="R125" s="1245"/>
      <c r="S125" s="1245"/>
      <c r="T125" s="1245"/>
      <c r="U125" s="1245"/>
      <c r="V125" s="1245"/>
      <c r="W125" s="1246"/>
    </row>
    <row r="126" spans="1:23" x14ac:dyDescent="0.25">
      <c r="A126" s="1479"/>
      <c r="B126" s="1480"/>
      <c r="C126" s="1480"/>
      <c r="D126" s="1480"/>
      <c r="E126" s="1480"/>
      <c r="F126" s="1480"/>
      <c r="G126" s="1480"/>
      <c r="H126" s="1480"/>
      <c r="I126" s="1480"/>
      <c r="J126" s="1481"/>
      <c r="K126" s="1482"/>
      <c r="L126" s="1482"/>
      <c r="M126" s="1482"/>
      <c r="N126" s="1482"/>
      <c r="O126" s="1482"/>
      <c r="P126" s="1482"/>
      <c r="Q126" s="1247"/>
      <c r="R126" s="1248"/>
      <c r="S126" s="1248"/>
      <c r="T126" s="1248"/>
      <c r="U126" s="1248"/>
      <c r="V126" s="1248"/>
      <c r="W126" s="1249"/>
    </row>
    <row r="127" spans="1:23" x14ac:dyDescent="0.25">
      <c r="A127" s="1479"/>
      <c r="B127" s="1480"/>
      <c r="C127" s="1480"/>
      <c r="D127" s="1480"/>
      <c r="E127" s="1480"/>
      <c r="F127" s="1480"/>
      <c r="G127" s="1480"/>
      <c r="H127" s="1480"/>
      <c r="I127" s="1480"/>
      <c r="J127" s="1481"/>
      <c r="K127" s="1482"/>
      <c r="L127" s="1482"/>
      <c r="M127" s="1482"/>
      <c r="N127" s="1482"/>
      <c r="O127" s="1482"/>
      <c r="P127" s="1482"/>
      <c r="Q127" s="1247"/>
      <c r="R127" s="1248"/>
      <c r="S127" s="1248"/>
      <c r="T127" s="1248"/>
      <c r="U127" s="1248"/>
      <c r="V127" s="1248"/>
      <c r="W127" s="1249"/>
    </row>
    <row r="128" spans="1:23" x14ac:dyDescent="0.25">
      <c r="A128" s="1479"/>
      <c r="B128" s="1480"/>
      <c r="C128" s="1480"/>
      <c r="D128" s="1480"/>
      <c r="E128" s="1480"/>
      <c r="F128" s="1480"/>
      <c r="G128" s="1480"/>
      <c r="H128" s="1480"/>
      <c r="I128" s="1480"/>
      <c r="J128" s="1481"/>
      <c r="K128" s="1482"/>
      <c r="L128" s="1482"/>
      <c r="M128" s="1482"/>
      <c r="N128" s="1482"/>
      <c r="O128" s="1482"/>
      <c r="P128" s="1482"/>
      <c r="Q128" s="1247"/>
      <c r="R128" s="1248"/>
      <c r="S128" s="1248"/>
      <c r="T128" s="1248"/>
      <c r="U128" s="1248"/>
      <c r="V128" s="1248"/>
      <c r="W128" s="1249"/>
    </row>
    <row r="129" spans="1:26" ht="15.75" thickBot="1" x14ac:dyDescent="0.3">
      <c r="A129" s="1475"/>
      <c r="B129" s="1476"/>
      <c r="C129" s="1476"/>
      <c r="D129" s="1476"/>
      <c r="E129" s="1476"/>
      <c r="F129" s="1476"/>
      <c r="G129" s="1476"/>
      <c r="H129" s="1476"/>
      <c r="I129" s="1476"/>
      <c r="J129" s="1477"/>
      <c r="K129" s="1478"/>
      <c r="L129" s="1478"/>
      <c r="M129" s="1478"/>
      <c r="N129" s="1478"/>
      <c r="O129" s="1478"/>
      <c r="P129" s="1478"/>
      <c r="Q129" s="1250"/>
      <c r="R129" s="1251"/>
      <c r="S129" s="1251"/>
      <c r="T129" s="1251"/>
      <c r="U129" s="1251"/>
      <c r="V129" s="1251"/>
      <c r="W129" s="1252"/>
    </row>
    <row r="130" spans="1:26" x14ac:dyDescent="0.25">
      <c r="A130" s="1474"/>
      <c r="B130" s="1474"/>
      <c r="C130" s="1474"/>
      <c r="D130" s="1474"/>
      <c r="E130" s="1474"/>
      <c r="F130" s="1143"/>
      <c r="G130" s="1143"/>
      <c r="H130" s="1143"/>
      <c r="I130" s="1143"/>
      <c r="J130" s="1143"/>
      <c r="K130" s="1143"/>
      <c r="L130" s="1474"/>
      <c r="M130" s="1474"/>
      <c r="N130" s="1474"/>
      <c r="O130" s="1143"/>
      <c r="P130" s="1143"/>
      <c r="Q130" s="1143"/>
      <c r="R130" s="1143"/>
      <c r="S130" s="1143"/>
      <c r="T130" s="1143"/>
      <c r="U130" s="1143"/>
      <c r="V130" s="1127"/>
      <c r="W130" s="1127"/>
    </row>
    <row r="131" spans="1:26" x14ac:dyDescent="0.25">
      <c r="A131" s="1113"/>
      <c r="B131" s="1113"/>
      <c r="C131" s="1113"/>
      <c r="D131" s="1113"/>
      <c r="E131" s="1113"/>
      <c r="F131" s="1113"/>
      <c r="G131" s="1113"/>
      <c r="H131" s="1113"/>
      <c r="I131" s="1113"/>
      <c r="J131" s="1113"/>
      <c r="K131" s="1113"/>
      <c r="L131" s="1113"/>
      <c r="M131" s="1113"/>
      <c r="N131" s="1113"/>
      <c r="O131" s="1113"/>
      <c r="P131" s="1113"/>
      <c r="Q131" s="1113"/>
      <c r="R131" s="1113"/>
      <c r="S131" s="1113"/>
      <c r="T131" s="1113"/>
      <c r="U131" s="1113"/>
      <c r="V131" s="1113"/>
      <c r="W131" s="1113"/>
    </row>
    <row r="132" spans="1:26" x14ac:dyDescent="0.25">
      <c r="A132" s="1130" t="s">
        <v>2175</v>
      </c>
      <c r="B132" s="1319" t="s">
        <v>2176</v>
      </c>
      <c r="C132" s="1319"/>
      <c r="D132" s="1319"/>
      <c r="E132" s="1319"/>
      <c r="F132" s="1319"/>
      <c r="G132" s="1319"/>
      <c r="H132" s="1319"/>
      <c r="I132" s="1319"/>
      <c r="J132" s="1319"/>
      <c r="K132" s="1319"/>
      <c r="L132" s="1319"/>
      <c r="M132" s="1319"/>
      <c r="N132" s="1319"/>
      <c r="O132" s="1319"/>
      <c r="P132" s="1319"/>
      <c r="Q132" s="1319"/>
      <c r="R132" s="1319"/>
      <c r="S132" s="1319"/>
      <c r="T132" s="1319"/>
      <c r="U132" s="1319"/>
      <c r="V132" s="1319"/>
      <c r="W132" s="1319"/>
    </row>
    <row r="133" spans="1:26" ht="15.75" thickBot="1" x14ac:dyDescent="0.3">
      <c r="A133" s="1113"/>
      <c r="B133" s="1113"/>
      <c r="C133" s="1113"/>
      <c r="D133" s="1113"/>
      <c r="E133" s="1113"/>
      <c r="F133" s="1113"/>
      <c r="G133" s="1113"/>
      <c r="H133" s="1113"/>
      <c r="I133" s="1113"/>
      <c r="J133" s="1113"/>
      <c r="K133" s="1113"/>
      <c r="L133" s="1113"/>
      <c r="M133" s="1113"/>
      <c r="N133" s="1113"/>
      <c r="O133" s="1113"/>
      <c r="P133" s="1113"/>
      <c r="Q133" s="1113"/>
      <c r="R133" s="1113"/>
      <c r="S133" s="1113"/>
      <c r="T133" s="1113"/>
      <c r="U133" s="1113"/>
      <c r="V133" s="1113"/>
      <c r="W133" s="1113"/>
    </row>
    <row r="134" spans="1:26" ht="46.5" customHeight="1" thickBot="1" x14ac:dyDescent="0.3">
      <c r="A134" s="1468" t="s">
        <v>0</v>
      </c>
      <c r="B134" s="1469"/>
      <c r="C134" s="1469"/>
      <c r="D134" s="1469"/>
      <c r="E134" s="1469" t="s">
        <v>1</v>
      </c>
      <c r="F134" s="1469"/>
      <c r="G134" s="1469"/>
      <c r="H134" s="1469"/>
      <c r="I134" s="1469"/>
      <c r="J134" s="1469"/>
      <c r="K134" s="1469"/>
      <c r="L134" s="1469"/>
      <c r="M134" s="1469"/>
      <c r="N134" s="1469" t="s">
        <v>2</v>
      </c>
      <c r="O134" s="1469"/>
      <c r="P134" s="1469"/>
      <c r="Q134" s="1469"/>
      <c r="R134" s="1469"/>
      <c r="S134" s="1469"/>
      <c r="T134" s="1469"/>
      <c r="U134" s="1469"/>
      <c r="V134" s="1469"/>
      <c r="W134" s="1470"/>
    </row>
    <row r="135" spans="1:26" ht="15.75" thickBot="1" x14ac:dyDescent="0.3">
      <c r="A135" s="1450" t="s">
        <v>191</v>
      </c>
      <c r="B135" s="1451"/>
      <c r="C135" s="1451"/>
      <c r="D135" s="1451"/>
      <c r="E135" s="1452" t="str">
        <f>IF(E136+E137=0,"",E136+E137)</f>
        <v/>
      </c>
      <c r="F135" s="1452"/>
      <c r="G135" s="1452"/>
      <c r="H135" s="1452"/>
      <c r="I135" s="1452"/>
      <c r="J135" s="1452"/>
      <c r="K135" s="1452"/>
      <c r="L135" s="1452"/>
      <c r="M135" s="1452"/>
      <c r="N135" s="1471" t="str">
        <f>IF(N136+N137=0,"",N136+N137)</f>
        <v/>
      </c>
      <c r="O135" s="1472"/>
      <c r="P135" s="1472"/>
      <c r="Q135" s="1472"/>
      <c r="R135" s="1472"/>
      <c r="S135" s="1472"/>
      <c r="T135" s="1472"/>
      <c r="U135" s="1472"/>
      <c r="V135" s="1472"/>
      <c r="W135" s="1473"/>
    </row>
    <row r="136" spans="1:26" ht="30" customHeight="1" x14ac:dyDescent="0.25">
      <c r="A136" s="1454" t="s">
        <v>190</v>
      </c>
      <c r="B136" s="1455"/>
      <c r="C136" s="1455"/>
      <c r="D136" s="1456"/>
      <c r="E136" s="1457"/>
      <c r="F136" s="1458"/>
      <c r="G136" s="1458"/>
      <c r="H136" s="1458"/>
      <c r="I136" s="1458"/>
      <c r="J136" s="1458"/>
      <c r="K136" s="1458"/>
      <c r="L136" s="1458"/>
      <c r="M136" s="1459"/>
      <c r="N136" s="1457"/>
      <c r="O136" s="1458"/>
      <c r="P136" s="1458"/>
      <c r="Q136" s="1458"/>
      <c r="R136" s="1458"/>
      <c r="S136" s="1458"/>
      <c r="T136" s="1458"/>
      <c r="U136" s="1458"/>
      <c r="V136" s="1458"/>
      <c r="W136" s="1460"/>
    </row>
    <row r="137" spans="1:26" ht="30" customHeight="1" thickBot="1" x14ac:dyDescent="0.3">
      <c r="A137" s="1461" t="s">
        <v>189</v>
      </c>
      <c r="B137" s="1462"/>
      <c r="C137" s="1462"/>
      <c r="D137" s="1463"/>
      <c r="E137" s="1464"/>
      <c r="F137" s="1465"/>
      <c r="G137" s="1465"/>
      <c r="H137" s="1465"/>
      <c r="I137" s="1465"/>
      <c r="J137" s="1465"/>
      <c r="K137" s="1465"/>
      <c r="L137" s="1465"/>
      <c r="M137" s="1466"/>
      <c r="N137" s="1464"/>
      <c r="O137" s="1465"/>
      <c r="P137" s="1465"/>
      <c r="Q137" s="1465"/>
      <c r="R137" s="1465"/>
      <c r="S137" s="1465"/>
      <c r="T137" s="1465"/>
      <c r="U137" s="1465"/>
      <c r="V137" s="1465"/>
      <c r="W137" s="1467"/>
    </row>
    <row r="138" spans="1:26" ht="15.75" thickBot="1" x14ac:dyDescent="0.3">
      <c r="A138" s="1450" t="s">
        <v>188</v>
      </c>
      <c r="B138" s="1451"/>
      <c r="C138" s="1451"/>
      <c r="D138" s="1451"/>
      <c r="E138" s="1452">
        <f>IF(E139+E140=0,"",E139+E140)</f>
        <v>480</v>
      </c>
      <c r="F138" s="1452"/>
      <c r="G138" s="1452"/>
      <c r="H138" s="1452"/>
      <c r="I138" s="1452"/>
      <c r="J138" s="1452"/>
      <c r="K138" s="1452"/>
      <c r="L138" s="1452"/>
      <c r="M138" s="1452"/>
      <c r="N138" s="1452">
        <f>IF(N139+N140=0,"",N139+N140)</f>
        <v>521</v>
      </c>
      <c r="O138" s="1452"/>
      <c r="P138" s="1452"/>
      <c r="Q138" s="1452"/>
      <c r="R138" s="1452"/>
      <c r="S138" s="1452"/>
      <c r="T138" s="1452"/>
      <c r="U138" s="1452"/>
      <c r="V138" s="1452"/>
      <c r="W138" s="1453"/>
      <c r="Y138" s="1153"/>
      <c r="Z138" s="1153"/>
    </row>
    <row r="139" spans="1:26" ht="30" customHeight="1" x14ac:dyDescent="0.25">
      <c r="A139" s="1454" t="s">
        <v>2177</v>
      </c>
      <c r="B139" s="1455"/>
      <c r="C139" s="1455"/>
      <c r="D139" s="1456"/>
      <c r="E139" s="1457">
        <v>480</v>
      </c>
      <c r="F139" s="1458"/>
      <c r="G139" s="1458"/>
      <c r="H139" s="1458"/>
      <c r="I139" s="1458"/>
      <c r="J139" s="1458"/>
      <c r="K139" s="1458"/>
      <c r="L139" s="1458"/>
      <c r="M139" s="1459"/>
      <c r="N139" s="1457">
        <v>521</v>
      </c>
      <c r="O139" s="1458"/>
      <c r="P139" s="1458"/>
      <c r="Q139" s="1458"/>
      <c r="R139" s="1458"/>
      <c r="S139" s="1458"/>
      <c r="T139" s="1458"/>
      <c r="U139" s="1458"/>
      <c r="V139" s="1458"/>
      <c r="W139" s="1460"/>
    </row>
    <row r="140" spans="1:26" ht="21" customHeight="1" thickBot="1" x14ac:dyDescent="0.3">
      <c r="A140" s="1436" t="s">
        <v>187</v>
      </c>
      <c r="B140" s="1437"/>
      <c r="C140" s="1437"/>
      <c r="D140" s="1438"/>
      <c r="E140" s="1439"/>
      <c r="F140" s="1440"/>
      <c r="G140" s="1440"/>
      <c r="H140" s="1440"/>
      <c r="I140" s="1440"/>
      <c r="J140" s="1440"/>
      <c r="K140" s="1440"/>
      <c r="L140" s="1440"/>
      <c r="M140" s="1441"/>
      <c r="N140" s="1439"/>
      <c r="O140" s="1440"/>
      <c r="P140" s="1440"/>
      <c r="Q140" s="1440"/>
      <c r="R140" s="1440"/>
      <c r="S140" s="1440"/>
      <c r="T140" s="1440"/>
      <c r="U140" s="1440"/>
      <c r="V140" s="1440"/>
      <c r="W140" s="1442"/>
    </row>
    <row r="141" spans="1:26" ht="21" customHeight="1" x14ac:dyDescent="0.25">
      <c r="A141" s="1125"/>
      <c r="B141" s="1125"/>
      <c r="C141" s="1125"/>
      <c r="D141" s="1125"/>
      <c r="E141" s="1119"/>
      <c r="F141" s="1119"/>
      <c r="G141" s="1119"/>
      <c r="H141" s="1119"/>
      <c r="I141" s="1119"/>
      <c r="J141" s="1119"/>
      <c r="K141" s="1119"/>
      <c r="L141" s="1119"/>
      <c r="M141" s="1119"/>
      <c r="N141" s="1119"/>
      <c r="O141" s="1119"/>
      <c r="P141" s="1119"/>
      <c r="Q141" s="1119"/>
      <c r="R141" s="1119"/>
      <c r="S141" s="1119"/>
      <c r="T141" s="1119"/>
      <c r="U141" s="1119"/>
      <c r="V141" s="1119"/>
      <c r="W141" s="1119"/>
    </row>
    <row r="142" spans="1:26" x14ac:dyDescent="0.25">
      <c r="A142" s="1113"/>
      <c r="B142" s="1113"/>
      <c r="C142" s="1113"/>
      <c r="D142" s="1113"/>
      <c r="E142" s="1113"/>
      <c r="F142" s="1113"/>
      <c r="G142" s="1113"/>
      <c r="H142" s="1113"/>
      <c r="I142" s="1113"/>
      <c r="J142" s="1113"/>
      <c r="K142" s="1113"/>
      <c r="L142" s="1113"/>
      <c r="M142" s="1113"/>
      <c r="N142" s="1113"/>
      <c r="O142" s="1113"/>
      <c r="P142" s="1113"/>
      <c r="Q142" s="1113"/>
      <c r="R142" s="1113"/>
      <c r="S142" s="1113"/>
      <c r="T142" s="1113"/>
      <c r="U142" s="1113"/>
      <c r="V142" s="1113"/>
      <c r="W142" s="1113"/>
    </row>
    <row r="143" spans="1:26" x14ac:dyDescent="0.25">
      <c r="A143" s="1130" t="s">
        <v>2178</v>
      </c>
      <c r="B143" s="1319" t="s">
        <v>2179</v>
      </c>
      <c r="C143" s="1319"/>
      <c r="D143" s="1319"/>
      <c r="E143" s="1319"/>
      <c r="F143" s="1319"/>
      <c r="G143" s="1319"/>
      <c r="H143" s="1319"/>
      <c r="I143" s="1319"/>
      <c r="J143" s="1319"/>
      <c r="K143" s="1319"/>
      <c r="L143" s="1319"/>
      <c r="M143" s="1319"/>
      <c r="N143" s="1319"/>
      <c r="O143" s="1319"/>
      <c r="P143" s="1319"/>
      <c r="Q143" s="1319"/>
      <c r="R143" s="1319"/>
      <c r="S143" s="1319"/>
      <c r="T143" s="1319"/>
      <c r="U143" s="1319"/>
      <c r="V143" s="1319"/>
      <c r="W143" s="1319"/>
    </row>
    <row r="144" spans="1:26" x14ac:dyDescent="0.25">
      <c r="A144" s="1130"/>
      <c r="B144" s="1443"/>
      <c r="C144" s="1443"/>
      <c r="D144" s="1443"/>
      <c r="E144" s="1443"/>
      <c r="F144" s="1443"/>
      <c r="G144" s="1443"/>
      <c r="H144" s="1443"/>
      <c r="I144" s="1443"/>
      <c r="J144" s="1443"/>
      <c r="K144" s="1443"/>
      <c r="L144" s="1443"/>
      <c r="M144" s="1443"/>
      <c r="N144" s="1443"/>
      <c r="O144" s="1443"/>
      <c r="P144" s="1443"/>
      <c r="Q144" s="1443"/>
      <c r="R144" s="1443"/>
      <c r="S144" s="1443"/>
      <c r="T144" s="1443"/>
      <c r="U144" s="1443"/>
      <c r="V144" s="1443"/>
      <c r="W144" s="1443"/>
    </row>
    <row r="145" spans="1:23" x14ac:dyDescent="0.25">
      <c r="A145" s="1146" t="s">
        <v>2220</v>
      </c>
      <c r="B145" s="1128"/>
      <c r="C145" s="1128"/>
      <c r="D145" s="1128"/>
      <c r="E145" s="1128"/>
      <c r="F145" s="1128"/>
      <c r="G145" s="1128"/>
      <c r="H145" s="1128"/>
      <c r="I145" s="1128"/>
      <c r="J145" s="1128"/>
      <c r="K145" s="1128"/>
      <c r="L145" s="1128"/>
      <c r="M145" s="1128"/>
      <c r="N145" s="1128"/>
      <c r="O145" s="1128"/>
      <c r="P145" s="1128"/>
      <c r="Q145" s="1128"/>
      <c r="R145" s="1128"/>
      <c r="S145" s="1128"/>
      <c r="T145" s="1128"/>
      <c r="U145" s="1128"/>
      <c r="V145" s="1128"/>
      <c r="W145" s="1128"/>
    </row>
    <row r="146" spans="1:23" ht="15.75" thickBot="1" x14ac:dyDescent="0.3">
      <c r="A146" s="1146"/>
      <c r="B146" s="1128"/>
      <c r="C146" s="1128"/>
      <c r="D146" s="1128"/>
      <c r="E146" s="1128"/>
      <c r="F146" s="1128"/>
      <c r="G146" s="1128"/>
      <c r="H146" s="1128"/>
      <c r="I146" s="1128"/>
      <c r="J146" s="1128"/>
      <c r="K146" s="1128"/>
      <c r="L146" s="1128"/>
      <c r="M146" s="1128"/>
      <c r="N146" s="1128"/>
      <c r="O146" s="1128"/>
      <c r="P146" s="1128"/>
      <c r="Q146" s="1128"/>
      <c r="R146" s="1128"/>
      <c r="S146" s="1128"/>
      <c r="T146" s="1128"/>
      <c r="U146" s="1128"/>
      <c r="V146" s="1128"/>
      <c r="W146" s="1128"/>
    </row>
    <row r="147" spans="1:23" ht="24.75" customHeight="1" x14ac:dyDescent="0.25">
      <c r="A147" s="1343" t="s">
        <v>2180</v>
      </c>
      <c r="B147" s="1344"/>
      <c r="C147" s="1344"/>
      <c r="D147" s="1344"/>
      <c r="E147" s="1344"/>
      <c r="F147" s="1344"/>
      <c r="G147" s="1344"/>
      <c r="H147" s="1344"/>
      <c r="I147" s="1344"/>
      <c r="J147" s="1344"/>
      <c r="K147" s="1344"/>
      <c r="L147" s="1345"/>
      <c r="M147" s="1349" t="s">
        <v>2181</v>
      </c>
      <c r="N147" s="1350"/>
      <c r="O147" s="1350"/>
      <c r="P147" s="1350"/>
      <c r="Q147" s="1350"/>
      <c r="R147" s="1350"/>
      <c r="S147" s="1350"/>
      <c r="T147" s="1350"/>
      <c r="U147" s="1350"/>
      <c r="V147" s="1350"/>
      <c r="W147" s="1351"/>
    </row>
    <row r="148" spans="1:23" ht="30.75" customHeight="1" thickBot="1" x14ac:dyDescent="0.3">
      <c r="A148" s="1444"/>
      <c r="B148" s="1445"/>
      <c r="C148" s="1445"/>
      <c r="D148" s="1445"/>
      <c r="E148" s="1445"/>
      <c r="F148" s="1445"/>
      <c r="G148" s="1445"/>
      <c r="H148" s="1445"/>
      <c r="I148" s="1445"/>
      <c r="J148" s="1445"/>
      <c r="K148" s="1445"/>
      <c r="L148" s="1446"/>
      <c r="M148" s="1326" t="s">
        <v>2182</v>
      </c>
      <c r="N148" s="1327"/>
      <c r="O148" s="1327"/>
      <c r="P148" s="1327"/>
      <c r="Q148" s="1327"/>
      <c r="R148" s="1447" t="s">
        <v>2183</v>
      </c>
      <c r="S148" s="1448"/>
      <c r="T148" s="1448"/>
      <c r="U148" s="1448"/>
      <c r="V148" s="1448"/>
      <c r="W148" s="1449"/>
    </row>
    <row r="149" spans="1:23" x14ac:dyDescent="0.25">
      <c r="A149" s="1433"/>
      <c r="B149" s="1434"/>
      <c r="C149" s="1434"/>
      <c r="D149" s="1434"/>
      <c r="E149" s="1434"/>
      <c r="F149" s="1434"/>
      <c r="G149" s="1434"/>
      <c r="H149" s="1434"/>
      <c r="I149" s="1434"/>
      <c r="J149" s="1434"/>
      <c r="K149" s="1434"/>
      <c r="L149" s="1435"/>
      <c r="M149" s="1235"/>
      <c r="N149" s="1236"/>
      <c r="O149" s="1236"/>
      <c r="P149" s="1236"/>
      <c r="Q149" s="1236"/>
      <c r="R149" s="1235"/>
      <c r="S149" s="1236"/>
      <c r="T149" s="1236"/>
      <c r="U149" s="1236"/>
      <c r="V149" s="1236"/>
      <c r="W149" s="1382"/>
    </row>
    <row r="150" spans="1:23" x14ac:dyDescent="0.25">
      <c r="A150" s="1430"/>
      <c r="B150" s="1431"/>
      <c r="C150" s="1431"/>
      <c r="D150" s="1431"/>
      <c r="E150" s="1431"/>
      <c r="F150" s="1431"/>
      <c r="G150" s="1431"/>
      <c r="H150" s="1431"/>
      <c r="I150" s="1431"/>
      <c r="J150" s="1431"/>
      <c r="K150" s="1431"/>
      <c r="L150" s="1432"/>
      <c r="M150" s="1226"/>
      <c r="N150" s="1238"/>
      <c r="O150" s="1238"/>
      <c r="P150" s="1238"/>
      <c r="Q150" s="1238"/>
      <c r="R150" s="1226"/>
      <c r="S150" s="1238"/>
      <c r="T150" s="1238"/>
      <c r="U150" s="1238"/>
      <c r="V150" s="1238"/>
      <c r="W150" s="1227"/>
    </row>
    <row r="151" spans="1:23" x14ac:dyDescent="0.25">
      <c r="A151" s="1430"/>
      <c r="B151" s="1431"/>
      <c r="C151" s="1431"/>
      <c r="D151" s="1431"/>
      <c r="E151" s="1431"/>
      <c r="F151" s="1431"/>
      <c r="G151" s="1431"/>
      <c r="H151" s="1431"/>
      <c r="I151" s="1431"/>
      <c r="J151" s="1431"/>
      <c r="K151" s="1431"/>
      <c r="L151" s="1432"/>
      <c r="M151" s="1226"/>
      <c r="N151" s="1238"/>
      <c r="O151" s="1238"/>
      <c r="P151" s="1238"/>
      <c r="Q151" s="1238"/>
      <c r="R151" s="1226"/>
      <c r="S151" s="1238"/>
      <c r="T151" s="1238"/>
      <c r="U151" s="1238"/>
      <c r="V151" s="1238"/>
      <c r="W151" s="1227"/>
    </row>
    <row r="152" spans="1:23" x14ac:dyDescent="0.25">
      <c r="A152" s="1430"/>
      <c r="B152" s="1431"/>
      <c r="C152" s="1431"/>
      <c r="D152" s="1431"/>
      <c r="E152" s="1431"/>
      <c r="F152" s="1431"/>
      <c r="G152" s="1431"/>
      <c r="H152" s="1431"/>
      <c r="I152" s="1431"/>
      <c r="J152" s="1431"/>
      <c r="K152" s="1431"/>
      <c r="L152" s="1432"/>
      <c r="M152" s="1226"/>
      <c r="N152" s="1238"/>
      <c r="O152" s="1238"/>
      <c r="P152" s="1238"/>
      <c r="Q152" s="1238"/>
      <c r="R152" s="1226"/>
      <c r="S152" s="1238"/>
      <c r="T152" s="1238"/>
      <c r="U152" s="1238"/>
      <c r="V152" s="1238"/>
      <c r="W152" s="1227"/>
    </row>
    <row r="153" spans="1:23" ht="15.75" thickBot="1" x14ac:dyDescent="0.3">
      <c r="A153" s="1414"/>
      <c r="B153" s="1415"/>
      <c r="C153" s="1415"/>
      <c r="D153" s="1415"/>
      <c r="E153" s="1415"/>
      <c r="F153" s="1415"/>
      <c r="G153" s="1415"/>
      <c r="H153" s="1415"/>
      <c r="I153" s="1415"/>
      <c r="J153" s="1415"/>
      <c r="K153" s="1415"/>
      <c r="L153" s="1416"/>
      <c r="M153" s="1283"/>
      <c r="N153" s="1284"/>
      <c r="O153" s="1284"/>
      <c r="P153" s="1284"/>
      <c r="Q153" s="1284"/>
      <c r="R153" s="1283"/>
      <c r="S153" s="1284"/>
      <c r="T153" s="1284"/>
      <c r="U153" s="1284"/>
      <c r="V153" s="1284"/>
      <c r="W153" s="1285"/>
    </row>
    <row r="154" spans="1:23" x14ac:dyDescent="0.25">
      <c r="A154" s="1119"/>
      <c r="B154" s="1119"/>
      <c r="C154" s="1119"/>
      <c r="D154" s="1119"/>
      <c r="E154" s="1119"/>
      <c r="F154" s="1119"/>
      <c r="G154" s="1119"/>
      <c r="H154" s="1119"/>
      <c r="I154" s="1119"/>
      <c r="J154" s="1119"/>
      <c r="K154" s="1119"/>
      <c r="L154" s="1119"/>
      <c r="M154" s="1119"/>
      <c r="N154" s="1119"/>
      <c r="O154" s="1119"/>
      <c r="P154" s="1119"/>
      <c r="Q154" s="1119"/>
      <c r="R154" s="1119"/>
      <c r="S154" s="1119"/>
      <c r="T154" s="1119"/>
      <c r="U154" s="1119"/>
      <c r="V154" s="1119"/>
      <c r="W154" s="1119"/>
    </row>
    <row r="155" spans="1:23" x14ac:dyDescent="0.25">
      <c r="A155" s="1119"/>
      <c r="B155" s="1119"/>
      <c r="C155" s="1119"/>
      <c r="D155" s="1119"/>
      <c r="E155" s="1119"/>
      <c r="F155" s="1119"/>
      <c r="G155" s="1119"/>
      <c r="H155" s="1119"/>
      <c r="I155" s="1119"/>
      <c r="J155" s="1119"/>
      <c r="K155" s="1119"/>
      <c r="L155" s="1119"/>
      <c r="M155" s="1119"/>
      <c r="N155" s="1119"/>
      <c r="O155" s="1119"/>
      <c r="P155" s="1119"/>
      <c r="Q155" s="1119"/>
      <c r="R155" s="1119"/>
      <c r="S155" s="1119"/>
      <c r="T155" s="1119"/>
      <c r="U155" s="1119"/>
      <c r="V155" s="1119"/>
      <c r="W155" s="1119"/>
    </row>
    <row r="156" spans="1:23" ht="27.75" customHeight="1" x14ac:dyDescent="0.25">
      <c r="A156" s="1119"/>
      <c r="B156" s="1119"/>
      <c r="C156" s="1119"/>
      <c r="D156" s="1119"/>
      <c r="E156" s="1119"/>
      <c r="F156" s="1119"/>
      <c r="G156" s="1119"/>
      <c r="H156" s="1119"/>
      <c r="I156" s="1119"/>
      <c r="J156" s="1119"/>
      <c r="K156" s="1119"/>
      <c r="L156" s="1119"/>
      <c r="M156" s="1119"/>
      <c r="N156" s="1119"/>
      <c r="O156" s="1119"/>
      <c r="P156" s="1119"/>
      <c r="Q156" s="1119"/>
      <c r="R156" s="1119"/>
      <c r="S156" s="1119"/>
      <c r="T156" s="1119"/>
      <c r="U156" s="1119"/>
      <c r="V156" s="1119"/>
      <c r="W156" s="1119"/>
    </row>
    <row r="157" spans="1:23" s="28" customFormat="1" ht="22.5" customHeight="1" x14ac:dyDescent="0.25">
      <c r="A157" s="1116" t="s">
        <v>501</v>
      </c>
      <c r="B157" s="1417" t="s">
        <v>2184</v>
      </c>
      <c r="C157" s="1417"/>
      <c r="D157" s="1417"/>
      <c r="E157" s="1417"/>
      <c r="F157" s="1417"/>
      <c r="G157" s="1417"/>
      <c r="H157" s="1417"/>
      <c r="I157" s="1417"/>
      <c r="J157" s="1417"/>
      <c r="K157" s="1417"/>
      <c r="L157" s="1417"/>
      <c r="M157" s="1417"/>
      <c r="N157" s="1417"/>
      <c r="O157" s="1417"/>
      <c r="P157" s="1417"/>
      <c r="Q157" s="1417"/>
      <c r="R157" s="1417"/>
      <c r="S157" s="1417"/>
      <c r="T157" s="1417"/>
      <c r="U157" s="1417"/>
      <c r="V157" s="1417"/>
      <c r="W157" s="1417"/>
    </row>
    <row r="158" spans="1:23" x14ac:dyDescent="0.25">
      <c r="A158" s="1130"/>
      <c r="B158" s="1116"/>
      <c r="C158" s="1116"/>
      <c r="D158" s="1116"/>
      <c r="E158" s="1116"/>
      <c r="F158" s="1116"/>
      <c r="G158" s="1116"/>
      <c r="H158" s="1116"/>
      <c r="I158" s="1116"/>
      <c r="J158" s="1116"/>
      <c r="K158" s="1116"/>
      <c r="L158" s="1116"/>
      <c r="M158" s="1116"/>
      <c r="N158" s="1116"/>
      <c r="O158" s="1116"/>
      <c r="P158" s="1116"/>
      <c r="Q158" s="1116"/>
      <c r="R158" s="1116"/>
      <c r="S158" s="1116"/>
      <c r="T158" s="1116"/>
      <c r="U158" s="1116"/>
      <c r="V158" s="1116"/>
      <c r="W158" s="1116"/>
    </row>
    <row r="159" spans="1:23" x14ac:dyDescent="0.25">
      <c r="A159" s="1146" t="s">
        <v>2220</v>
      </c>
      <c r="B159" s="1128"/>
      <c r="C159" s="1128"/>
      <c r="D159" s="1128"/>
      <c r="E159" s="1128"/>
      <c r="F159" s="1128"/>
      <c r="G159" s="1128"/>
      <c r="H159" s="1128"/>
      <c r="I159" s="1128"/>
      <c r="J159" s="1128"/>
      <c r="K159" s="1128"/>
      <c r="L159" s="1128"/>
      <c r="M159" s="1128"/>
      <c r="N159" s="1128"/>
      <c r="O159" s="1128"/>
      <c r="P159" s="1128"/>
      <c r="Q159" s="1128"/>
      <c r="R159" s="1128"/>
      <c r="S159" s="1128"/>
      <c r="T159" s="1128"/>
      <c r="U159" s="1128"/>
      <c r="V159" s="1128"/>
      <c r="W159" s="1128"/>
    </row>
    <row r="160" spans="1:23" ht="15.75" thickBot="1" x14ac:dyDescent="0.3">
      <c r="A160" s="1146"/>
      <c r="B160" s="1128"/>
      <c r="C160" s="1128"/>
      <c r="D160" s="1128"/>
      <c r="E160" s="1128"/>
      <c r="F160" s="1128"/>
      <c r="G160" s="1128"/>
      <c r="H160" s="1128"/>
      <c r="I160" s="1128"/>
      <c r="J160" s="1128"/>
      <c r="K160" s="1128"/>
      <c r="L160" s="1128"/>
      <c r="M160" s="1128"/>
      <c r="N160" s="1128"/>
      <c r="O160" s="1128"/>
      <c r="P160" s="1128"/>
      <c r="Q160" s="1128"/>
      <c r="R160" s="1128"/>
      <c r="S160" s="1128"/>
      <c r="T160" s="1128"/>
      <c r="U160" s="1128"/>
      <c r="V160" s="1128"/>
      <c r="W160" s="1128"/>
    </row>
    <row r="161" spans="1:23" ht="15.75" customHeight="1" x14ac:dyDescent="0.25">
      <c r="A161" s="1418" t="s">
        <v>2185</v>
      </c>
      <c r="B161" s="1419"/>
      <c r="C161" s="1424" t="s">
        <v>1</v>
      </c>
      <c r="D161" s="1425"/>
      <c r="E161" s="1425"/>
      <c r="F161" s="1425"/>
      <c r="G161" s="1425"/>
      <c r="H161" s="1425"/>
      <c r="I161" s="1425"/>
      <c r="J161" s="1425"/>
      <c r="K161" s="1425"/>
      <c r="L161" s="1425"/>
      <c r="M161" s="1425"/>
      <c r="N161" s="1425"/>
      <c r="O161" s="1425"/>
      <c r="P161" s="1425"/>
      <c r="Q161" s="1425"/>
      <c r="R161" s="1425"/>
      <c r="S161" s="1425"/>
      <c r="T161" s="1425"/>
      <c r="U161" s="1425"/>
      <c r="V161" s="1425"/>
      <c r="W161" s="1426"/>
    </row>
    <row r="162" spans="1:23" ht="30.75" customHeight="1" x14ac:dyDescent="0.25">
      <c r="A162" s="1420"/>
      <c r="B162" s="1421"/>
      <c r="C162" s="1268" t="s">
        <v>2186</v>
      </c>
      <c r="D162" s="1421"/>
      <c r="E162" s="1427" t="s">
        <v>9</v>
      </c>
      <c r="F162" s="1428"/>
      <c r="G162" s="1428"/>
      <c r="H162" s="1428"/>
      <c r="I162" s="1428"/>
      <c r="J162" s="1428"/>
      <c r="K162" s="1428"/>
      <c r="L162" s="1429"/>
      <c r="M162" s="1286" t="s">
        <v>10</v>
      </c>
      <c r="N162" s="1287"/>
      <c r="O162" s="1287"/>
      <c r="P162" s="1287"/>
      <c r="Q162" s="1287"/>
      <c r="R162" s="1265" t="s">
        <v>364</v>
      </c>
      <c r="S162" s="1266"/>
      <c r="T162" s="1266"/>
      <c r="U162" s="1266"/>
      <c r="V162" s="1266"/>
      <c r="W162" s="1267"/>
    </row>
    <row r="163" spans="1:23" x14ac:dyDescent="0.25">
      <c r="A163" s="1420"/>
      <c r="B163" s="1421"/>
      <c r="C163" s="1268"/>
      <c r="D163" s="1421"/>
      <c r="E163" s="1408" t="s">
        <v>2187</v>
      </c>
      <c r="F163" s="1409"/>
      <c r="G163" s="1409"/>
      <c r="H163" s="1409"/>
      <c r="I163" s="1409"/>
      <c r="J163" s="1409"/>
      <c r="K163" s="1409"/>
      <c r="L163" s="1410"/>
      <c r="M163" s="1288" t="s">
        <v>2187</v>
      </c>
      <c r="N163" s="1289"/>
      <c r="O163" s="1289"/>
      <c r="P163" s="1289"/>
      <c r="Q163" s="1289"/>
      <c r="R163" s="1268"/>
      <c r="S163" s="1269"/>
      <c r="T163" s="1269"/>
      <c r="U163" s="1269"/>
      <c r="V163" s="1269"/>
      <c r="W163" s="1270"/>
    </row>
    <row r="164" spans="1:23" x14ac:dyDescent="0.25">
      <c r="A164" s="1420"/>
      <c r="B164" s="1421"/>
      <c r="C164" s="1268"/>
      <c r="D164" s="1421"/>
      <c r="E164" s="1408" t="s">
        <v>2188</v>
      </c>
      <c r="F164" s="1409"/>
      <c r="G164" s="1409"/>
      <c r="H164" s="1409"/>
      <c r="I164" s="1409"/>
      <c r="J164" s="1409"/>
      <c r="K164" s="1409"/>
      <c r="L164" s="1410"/>
      <c r="M164" s="1288" t="s">
        <v>2188</v>
      </c>
      <c r="N164" s="1289"/>
      <c r="O164" s="1289"/>
      <c r="P164" s="1289"/>
      <c r="Q164" s="1289"/>
      <c r="R164" s="1268"/>
      <c r="S164" s="1269"/>
      <c r="T164" s="1269"/>
      <c r="U164" s="1269"/>
      <c r="V164" s="1269"/>
      <c r="W164" s="1270"/>
    </row>
    <row r="165" spans="1:23" ht="15" customHeight="1" x14ac:dyDescent="0.25">
      <c r="A165" s="1420"/>
      <c r="B165" s="1421"/>
      <c r="C165" s="1268"/>
      <c r="D165" s="1421"/>
      <c r="E165" s="1411" t="s">
        <v>2189</v>
      </c>
      <c r="F165" s="1412"/>
      <c r="G165" s="1412"/>
      <c r="H165" s="1412"/>
      <c r="I165" s="1412"/>
      <c r="J165" s="1412"/>
      <c r="K165" s="1412"/>
      <c r="L165" s="1413"/>
      <c r="M165" s="1290" t="s">
        <v>214</v>
      </c>
      <c r="N165" s="1291"/>
      <c r="O165" s="1291"/>
      <c r="P165" s="1291"/>
      <c r="Q165" s="1291"/>
      <c r="R165" s="1268"/>
      <c r="S165" s="1269"/>
      <c r="T165" s="1269"/>
      <c r="U165" s="1269"/>
      <c r="V165" s="1269"/>
      <c r="W165" s="1270"/>
    </row>
    <row r="166" spans="1:23" ht="15" customHeight="1" thickBot="1" x14ac:dyDescent="0.3">
      <c r="A166" s="1422"/>
      <c r="B166" s="1423"/>
      <c r="C166" s="1271"/>
      <c r="D166" s="1423"/>
      <c r="E166" s="1292" t="s">
        <v>2190</v>
      </c>
      <c r="F166" s="1293"/>
      <c r="G166" s="1293"/>
      <c r="H166" s="1293"/>
      <c r="I166" s="1293"/>
      <c r="J166" s="1293"/>
      <c r="K166" s="1293"/>
      <c r="L166" s="1404"/>
      <c r="M166" s="1292" t="s">
        <v>2191</v>
      </c>
      <c r="N166" s="1293"/>
      <c r="O166" s="1293"/>
      <c r="P166" s="1293"/>
      <c r="Q166" s="1293"/>
      <c r="R166" s="1271"/>
      <c r="S166" s="1272"/>
      <c r="T166" s="1272"/>
      <c r="U166" s="1272"/>
      <c r="V166" s="1272"/>
      <c r="W166" s="1273"/>
    </row>
    <row r="167" spans="1:23" x14ac:dyDescent="0.25">
      <c r="A167" s="1383"/>
      <c r="B167" s="1384"/>
      <c r="C167" s="1389"/>
      <c r="D167" s="1384"/>
      <c r="E167" s="1405"/>
      <c r="F167" s="1406"/>
      <c r="G167" s="1406"/>
      <c r="H167" s="1406"/>
      <c r="I167" s="1406"/>
      <c r="J167" s="1406"/>
      <c r="K167" s="1406"/>
      <c r="L167" s="1407"/>
      <c r="M167" s="1294"/>
      <c r="N167" s="1295"/>
      <c r="O167" s="1295"/>
      <c r="P167" s="1295"/>
      <c r="Q167" s="1296"/>
      <c r="R167" s="1274"/>
      <c r="S167" s="1275"/>
      <c r="T167" s="1275"/>
      <c r="U167" s="1275"/>
      <c r="V167" s="1275"/>
      <c r="W167" s="1276"/>
    </row>
    <row r="168" spans="1:23" x14ac:dyDescent="0.25">
      <c r="A168" s="1385"/>
      <c r="B168" s="1386"/>
      <c r="C168" s="1390"/>
      <c r="D168" s="1386"/>
      <c r="E168" s="1395"/>
      <c r="F168" s="1396"/>
      <c r="G168" s="1396"/>
      <c r="H168" s="1396"/>
      <c r="I168" s="1396"/>
      <c r="J168" s="1396"/>
      <c r="K168" s="1396"/>
      <c r="L168" s="1397"/>
      <c r="M168" s="1256"/>
      <c r="N168" s="1257"/>
      <c r="O168" s="1257"/>
      <c r="P168" s="1257"/>
      <c r="Q168" s="1258"/>
      <c r="R168" s="1277"/>
      <c r="S168" s="1278"/>
      <c r="T168" s="1278"/>
      <c r="U168" s="1278"/>
      <c r="V168" s="1278"/>
      <c r="W168" s="1279"/>
    </row>
    <row r="169" spans="1:23" x14ac:dyDescent="0.25">
      <c r="A169" s="1385"/>
      <c r="B169" s="1386"/>
      <c r="C169" s="1390"/>
      <c r="D169" s="1386"/>
      <c r="E169" s="1398"/>
      <c r="F169" s="1399"/>
      <c r="G169" s="1399"/>
      <c r="H169" s="1399"/>
      <c r="I169" s="1399"/>
      <c r="J169" s="1399"/>
      <c r="K169" s="1399"/>
      <c r="L169" s="1400"/>
      <c r="M169" s="1259"/>
      <c r="N169" s="1260"/>
      <c r="O169" s="1260"/>
      <c r="P169" s="1260"/>
      <c r="Q169" s="1261"/>
      <c r="R169" s="1277"/>
      <c r="S169" s="1278"/>
      <c r="T169" s="1278"/>
      <c r="U169" s="1278"/>
      <c r="V169" s="1278"/>
      <c r="W169" s="1279"/>
    </row>
    <row r="170" spans="1:23" ht="15.75" thickBot="1" x14ac:dyDescent="0.3">
      <c r="A170" s="1387"/>
      <c r="B170" s="1388"/>
      <c r="C170" s="1391"/>
      <c r="D170" s="1388"/>
      <c r="E170" s="1401"/>
      <c r="F170" s="1402"/>
      <c r="G170" s="1402"/>
      <c r="H170" s="1402"/>
      <c r="I170" s="1402"/>
      <c r="J170" s="1402"/>
      <c r="K170" s="1402"/>
      <c r="L170" s="1403"/>
      <c r="M170" s="1262"/>
      <c r="N170" s="1263"/>
      <c r="O170" s="1263"/>
      <c r="P170" s="1263"/>
      <c r="Q170" s="1264"/>
      <c r="R170" s="1280"/>
      <c r="S170" s="1281"/>
      <c r="T170" s="1281"/>
      <c r="U170" s="1281"/>
      <c r="V170" s="1281"/>
      <c r="W170" s="1282"/>
    </row>
    <row r="171" spans="1:23" x14ac:dyDescent="0.25">
      <c r="A171" s="1383"/>
      <c r="B171" s="1384"/>
      <c r="C171" s="1389"/>
      <c r="D171" s="1384"/>
      <c r="E171" s="1392"/>
      <c r="F171" s="1393"/>
      <c r="G171" s="1393"/>
      <c r="H171" s="1393"/>
      <c r="I171" s="1393"/>
      <c r="J171" s="1393"/>
      <c r="K171" s="1393"/>
      <c r="L171" s="1394"/>
      <c r="M171" s="1253"/>
      <c r="N171" s="1254"/>
      <c r="O171" s="1254"/>
      <c r="P171" s="1254"/>
      <c r="Q171" s="1255"/>
      <c r="R171" s="1274"/>
      <c r="S171" s="1275"/>
      <c r="T171" s="1275"/>
      <c r="U171" s="1275"/>
      <c r="V171" s="1275"/>
      <c r="W171" s="1276"/>
    </row>
    <row r="172" spans="1:23" x14ac:dyDescent="0.25">
      <c r="A172" s="1385"/>
      <c r="B172" s="1386"/>
      <c r="C172" s="1390"/>
      <c r="D172" s="1386"/>
      <c r="E172" s="1395"/>
      <c r="F172" s="1396"/>
      <c r="G172" s="1396"/>
      <c r="H172" s="1396"/>
      <c r="I172" s="1396"/>
      <c r="J172" s="1396"/>
      <c r="K172" s="1396"/>
      <c r="L172" s="1397"/>
      <c r="M172" s="1256"/>
      <c r="N172" s="1257"/>
      <c r="O172" s="1257"/>
      <c r="P172" s="1257"/>
      <c r="Q172" s="1258"/>
      <c r="R172" s="1277"/>
      <c r="S172" s="1278"/>
      <c r="T172" s="1278"/>
      <c r="U172" s="1278"/>
      <c r="V172" s="1278"/>
      <c r="W172" s="1279"/>
    </row>
    <row r="173" spans="1:23" x14ac:dyDescent="0.25">
      <c r="A173" s="1385"/>
      <c r="B173" s="1386"/>
      <c r="C173" s="1390"/>
      <c r="D173" s="1386"/>
      <c r="E173" s="1398"/>
      <c r="F173" s="1399"/>
      <c r="G173" s="1399"/>
      <c r="H173" s="1399"/>
      <c r="I173" s="1399"/>
      <c r="J173" s="1399"/>
      <c r="K173" s="1399"/>
      <c r="L173" s="1400"/>
      <c r="M173" s="1259"/>
      <c r="N173" s="1260"/>
      <c r="O173" s="1260"/>
      <c r="P173" s="1260"/>
      <c r="Q173" s="1261"/>
      <c r="R173" s="1277"/>
      <c r="S173" s="1278"/>
      <c r="T173" s="1278"/>
      <c r="U173" s="1278"/>
      <c r="V173" s="1278"/>
      <c r="W173" s="1279"/>
    </row>
    <row r="174" spans="1:23" ht="15.75" thickBot="1" x14ac:dyDescent="0.3">
      <c r="A174" s="1387"/>
      <c r="B174" s="1388"/>
      <c r="C174" s="1391"/>
      <c r="D174" s="1388"/>
      <c r="E174" s="1401"/>
      <c r="F174" s="1402"/>
      <c r="G174" s="1402"/>
      <c r="H174" s="1402"/>
      <c r="I174" s="1402"/>
      <c r="J174" s="1402"/>
      <c r="K174" s="1402"/>
      <c r="L174" s="1403"/>
      <c r="M174" s="1262"/>
      <c r="N174" s="1263"/>
      <c r="O174" s="1263"/>
      <c r="P174" s="1263"/>
      <c r="Q174" s="1264"/>
      <c r="R174" s="1280"/>
      <c r="S174" s="1281"/>
      <c r="T174" s="1281"/>
      <c r="U174" s="1281"/>
      <c r="V174" s="1281"/>
      <c r="W174" s="1282"/>
    </row>
    <row r="175" spans="1:23" x14ac:dyDescent="0.25">
      <c r="A175" s="1119"/>
      <c r="B175" s="1119"/>
      <c r="C175" s="1119"/>
      <c r="D175" s="1119"/>
      <c r="E175" s="1123"/>
      <c r="F175" s="1123"/>
      <c r="G175" s="1123"/>
      <c r="H175" s="1123"/>
      <c r="I175" s="1123"/>
      <c r="J175" s="1123"/>
      <c r="K175" s="1123"/>
      <c r="L175" s="1123"/>
      <c r="M175" s="1123"/>
      <c r="N175" s="1123"/>
      <c r="O175" s="1123"/>
      <c r="P175" s="1123"/>
      <c r="Q175" s="1123"/>
      <c r="R175" s="1123"/>
      <c r="S175" s="1123"/>
      <c r="T175" s="1123"/>
      <c r="U175" s="1123"/>
      <c r="V175" s="1119"/>
      <c r="W175" s="1119"/>
    </row>
    <row r="176" spans="1:23" x14ac:dyDescent="0.25">
      <c r="A176" s="1119"/>
      <c r="B176" s="1119"/>
      <c r="C176" s="1119"/>
      <c r="D176" s="1119"/>
      <c r="E176" s="1123"/>
      <c r="F176" s="1123"/>
      <c r="G176" s="1123"/>
      <c r="H176" s="1123"/>
      <c r="I176" s="1123"/>
      <c r="J176" s="1123"/>
      <c r="K176" s="1123"/>
      <c r="L176" s="1123"/>
      <c r="M176" s="1123"/>
      <c r="N176" s="1123"/>
      <c r="O176" s="1123"/>
      <c r="P176" s="1123"/>
      <c r="Q176" s="1123"/>
      <c r="R176" s="1123"/>
      <c r="S176" s="1123"/>
      <c r="T176" s="1123"/>
      <c r="U176" s="1123"/>
      <c r="V176" s="1119"/>
      <c r="W176" s="1119"/>
    </row>
    <row r="177" spans="1:23" ht="15" customHeight="1" x14ac:dyDescent="0.25">
      <c r="A177" s="1130" t="s">
        <v>504</v>
      </c>
      <c r="B177" s="1317" t="s">
        <v>2192</v>
      </c>
      <c r="C177" s="1317"/>
      <c r="D177" s="1317"/>
      <c r="E177" s="1317"/>
      <c r="F177" s="1317"/>
      <c r="G177" s="1317"/>
      <c r="H177" s="1317"/>
      <c r="I177" s="1317"/>
      <c r="J177" s="1317"/>
      <c r="K177" s="1317"/>
      <c r="L177" s="1317"/>
      <c r="M177" s="1317"/>
      <c r="N177" s="1317"/>
      <c r="O177" s="1317"/>
      <c r="P177" s="1317"/>
      <c r="Q177" s="1317"/>
      <c r="R177" s="1317"/>
      <c r="S177" s="1317"/>
      <c r="T177" s="1317"/>
      <c r="U177" s="1317"/>
      <c r="V177" s="1317"/>
      <c r="W177" s="1317"/>
    </row>
    <row r="178" spans="1:23" x14ac:dyDescent="0.25">
      <c r="A178" s="1113"/>
      <c r="B178" s="1113"/>
      <c r="C178" s="1113"/>
      <c r="D178" s="1113"/>
      <c r="E178" s="1113"/>
      <c r="F178" s="1113"/>
      <c r="G178" s="1113"/>
      <c r="H178" s="1113"/>
      <c r="I178" s="1113"/>
      <c r="J178" s="1113"/>
      <c r="K178" s="1113"/>
      <c r="L178" s="1113"/>
      <c r="M178" s="1113"/>
      <c r="N178" s="1113"/>
      <c r="O178" s="1113"/>
      <c r="P178" s="1113"/>
      <c r="Q178" s="1113"/>
      <c r="R178" s="1113"/>
      <c r="S178" s="1113"/>
      <c r="T178" s="1113"/>
      <c r="U178" s="1113"/>
      <c r="V178" s="1113"/>
      <c r="W178" s="1113"/>
    </row>
    <row r="179" spans="1:23" x14ac:dyDescent="0.25">
      <c r="A179" s="1146" t="s">
        <v>2220</v>
      </c>
      <c r="B179" s="1128"/>
      <c r="C179" s="1128"/>
      <c r="D179" s="1128"/>
      <c r="E179" s="1128"/>
      <c r="F179" s="1128"/>
      <c r="G179" s="1128"/>
      <c r="H179" s="1128"/>
      <c r="I179" s="1128"/>
      <c r="J179" s="1128"/>
      <c r="K179" s="1128"/>
      <c r="L179" s="1128"/>
      <c r="M179" s="1128"/>
      <c r="N179" s="1128"/>
      <c r="O179" s="1128"/>
      <c r="P179" s="1128"/>
      <c r="Q179" s="1128"/>
      <c r="R179" s="1128"/>
      <c r="S179" s="1128"/>
      <c r="T179" s="1128"/>
      <c r="U179" s="1128"/>
      <c r="V179" s="1128"/>
      <c r="W179" s="1128"/>
    </row>
    <row r="180" spans="1:23" ht="15.75" thickBot="1" x14ac:dyDescent="0.3">
      <c r="A180" s="1146"/>
      <c r="B180" s="1128"/>
      <c r="C180" s="1128"/>
      <c r="D180" s="1128"/>
      <c r="E180" s="1128"/>
      <c r="F180" s="1128"/>
      <c r="G180" s="1128"/>
      <c r="H180" s="1128"/>
      <c r="I180" s="1128"/>
      <c r="J180" s="1128"/>
      <c r="K180" s="1128"/>
      <c r="L180" s="1128"/>
      <c r="M180" s="1128"/>
      <c r="N180" s="1128"/>
      <c r="O180" s="1128"/>
      <c r="P180" s="1128"/>
      <c r="Q180" s="1128"/>
      <c r="R180" s="1128"/>
      <c r="S180" s="1128"/>
      <c r="T180" s="1128"/>
      <c r="U180" s="1128"/>
      <c r="V180" s="1128"/>
      <c r="W180" s="1128"/>
    </row>
    <row r="181" spans="1:23" ht="30" customHeight="1" x14ac:dyDescent="0.25">
      <c r="A181" s="1343" t="s">
        <v>344</v>
      </c>
      <c r="B181" s="1344"/>
      <c r="C181" s="1344"/>
      <c r="D181" s="1345"/>
      <c r="E181" s="1372" t="s">
        <v>2193</v>
      </c>
      <c r="F181" s="1373"/>
      <c r="G181" s="1373"/>
      <c r="H181" s="1373"/>
      <c r="I181" s="1373"/>
      <c r="J181" s="1373"/>
      <c r="K181" s="1373"/>
      <c r="L181" s="1373"/>
      <c r="M181" s="1373"/>
      <c r="N181" s="1374" t="s">
        <v>2194</v>
      </c>
      <c r="O181" s="1373"/>
      <c r="P181" s="1373"/>
      <c r="Q181" s="1373"/>
      <c r="R181" s="1373"/>
      <c r="S181" s="1373"/>
      <c r="T181" s="1373"/>
      <c r="U181" s="1373"/>
      <c r="V181" s="1373"/>
      <c r="W181" s="1375"/>
    </row>
    <row r="182" spans="1:23" ht="15.75" thickBot="1" x14ac:dyDescent="0.3">
      <c r="A182" s="1346"/>
      <c r="B182" s="1347"/>
      <c r="C182" s="1347"/>
      <c r="D182" s="1348"/>
      <c r="E182" s="1232" t="s">
        <v>347</v>
      </c>
      <c r="F182" s="1233"/>
      <c r="G182" s="1233"/>
      <c r="H182" s="1234"/>
      <c r="I182" s="1232" t="s">
        <v>348</v>
      </c>
      <c r="J182" s="1233"/>
      <c r="K182" s="1233"/>
      <c r="L182" s="1234"/>
      <c r="M182" s="1133" t="s">
        <v>349</v>
      </c>
      <c r="N182" s="1379" t="s">
        <v>347</v>
      </c>
      <c r="O182" s="1233"/>
      <c r="P182" s="1233"/>
      <c r="Q182" s="1233"/>
      <c r="R182" s="1232" t="s">
        <v>348</v>
      </c>
      <c r="S182" s="1233"/>
      <c r="T182" s="1233"/>
      <c r="U182" s="1234"/>
      <c r="V182" s="1232" t="s">
        <v>349</v>
      </c>
      <c r="W182" s="1381"/>
    </row>
    <row r="183" spans="1:23" x14ac:dyDescent="0.25">
      <c r="A183" s="1376" t="s">
        <v>2195</v>
      </c>
      <c r="B183" s="1377"/>
      <c r="C183" s="1377"/>
      <c r="D183" s="1378"/>
      <c r="E183" s="1235"/>
      <c r="F183" s="1236"/>
      <c r="G183" s="1236"/>
      <c r="H183" s="1237"/>
      <c r="I183" s="1235"/>
      <c r="J183" s="1236"/>
      <c r="K183" s="1236"/>
      <c r="L183" s="1237"/>
      <c r="M183" s="1134"/>
      <c r="N183" s="1380"/>
      <c r="O183" s="1236"/>
      <c r="P183" s="1236"/>
      <c r="Q183" s="1237"/>
      <c r="R183" s="1235"/>
      <c r="S183" s="1236"/>
      <c r="T183" s="1236"/>
      <c r="U183" s="1237"/>
      <c r="V183" s="1235"/>
      <c r="W183" s="1382"/>
    </row>
    <row r="184" spans="1:23" ht="15" customHeight="1" x14ac:dyDescent="0.25">
      <c r="A184" s="1363" t="s">
        <v>2196</v>
      </c>
      <c r="B184" s="1364"/>
      <c r="C184" s="1364"/>
      <c r="D184" s="1365"/>
      <c r="E184" s="1226"/>
      <c r="F184" s="1238"/>
      <c r="G184" s="1238"/>
      <c r="H184" s="1239"/>
      <c r="I184" s="1226"/>
      <c r="J184" s="1238"/>
      <c r="K184" s="1238"/>
      <c r="L184" s="1239"/>
      <c r="M184" s="1135"/>
      <c r="N184" s="1369"/>
      <c r="O184" s="1238"/>
      <c r="P184" s="1238"/>
      <c r="Q184" s="1239"/>
      <c r="R184" s="1226"/>
      <c r="S184" s="1238"/>
      <c r="T184" s="1238"/>
      <c r="U184" s="1239"/>
      <c r="V184" s="1226"/>
      <c r="W184" s="1227"/>
    </row>
    <row r="185" spans="1:23" x14ac:dyDescent="0.25">
      <c r="A185" s="1363" t="s">
        <v>2197</v>
      </c>
      <c r="B185" s="1364"/>
      <c r="C185" s="1364"/>
      <c r="D185" s="1365"/>
      <c r="E185" s="1226"/>
      <c r="F185" s="1238"/>
      <c r="G185" s="1238"/>
      <c r="H185" s="1239"/>
      <c r="I185" s="1226"/>
      <c r="J185" s="1238"/>
      <c r="K185" s="1238"/>
      <c r="L185" s="1239"/>
      <c r="M185" s="1135"/>
      <c r="N185" s="1369"/>
      <c r="O185" s="1238"/>
      <c r="P185" s="1238"/>
      <c r="Q185" s="1239"/>
      <c r="R185" s="1226"/>
      <c r="S185" s="1238"/>
      <c r="T185" s="1238"/>
      <c r="U185" s="1239"/>
      <c r="V185" s="1226"/>
      <c r="W185" s="1227"/>
    </row>
    <row r="186" spans="1:23" x14ac:dyDescent="0.25">
      <c r="A186" s="1363" t="s">
        <v>2198</v>
      </c>
      <c r="B186" s="1364"/>
      <c r="C186" s="1364"/>
      <c r="D186" s="1365"/>
      <c r="E186" s="1228"/>
      <c r="F186" s="1240"/>
      <c r="G186" s="1240"/>
      <c r="H186" s="1241"/>
      <c r="I186" s="1228"/>
      <c r="J186" s="1240"/>
      <c r="K186" s="1240"/>
      <c r="L186" s="1241"/>
      <c r="M186" s="1136"/>
      <c r="N186" s="1370"/>
      <c r="O186" s="1240"/>
      <c r="P186" s="1240"/>
      <c r="Q186" s="1241"/>
      <c r="R186" s="1228"/>
      <c r="S186" s="1240"/>
      <c r="T186" s="1240"/>
      <c r="U186" s="1241"/>
      <c r="V186" s="1228"/>
      <c r="W186" s="1229"/>
    </row>
    <row r="187" spans="1:23" ht="45" customHeight="1" thickBot="1" x14ac:dyDescent="0.3">
      <c r="A187" s="1366" t="s">
        <v>2199</v>
      </c>
      <c r="B187" s="1367"/>
      <c r="C187" s="1367"/>
      <c r="D187" s="1368"/>
      <c r="E187" s="1230"/>
      <c r="F187" s="1242"/>
      <c r="G187" s="1242"/>
      <c r="H187" s="1243"/>
      <c r="I187" s="1230"/>
      <c r="J187" s="1242"/>
      <c r="K187" s="1242"/>
      <c r="L187" s="1243"/>
      <c r="M187" s="1137"/>
      <c r="N187" s="1371"/>
      <c r="O187" s="1242"/>
      <c r="P187" s="1242"/>
      <c r="Q187" s="1243"/>
      <c r="R187" s="1230"/>
      <c r="S187" s="1242"/>
      <c r="T187" s="1242"/>
      <c r="U187" s="1243"/>
      <c r="V187" s="1230"/>
      <c r="W187" s="1231"/>
    </row>
    <row r="188" spans="1:23" x14ac:dyDescent="0.25">
      <c r="A188" s="1131"/>
      <c r="B188" s="1131"/>
      <c r="C188" s="1131"/>
      <c r="D188" s="1131"/>
      <c r="E188" s="1138"/>
      <c r="F188" s="1138"/>
      <c r="G188" s="1138"/>
      <c r="H188" s="1138"/>
      <c r="I188" s="1138"/>
      <c r="J188" s="1138"/>
      <c r="K188" s="1138"/>
      <c r="L188" s="1138"/>
      <c r="M188" s="1138"/>
      <c r="N188" s="1138"/>
      <c r="O188" s="1138"/>
      <c r="P188" s="1138"/>
      <c r="Q188" s="1138"/>
      <c r="R188" s="1138"/>
      <c r="S188" s="1138"/>
      <c r="T188" s="1138"/>
      <c r="U188" s="1138"/>
      <c r="V188" s="1138"/>
      <c r="W188" s="1138"/>
    </row>
    <row r="189" spans="1:23" ht="32.25" customHeight="1" x14ac:dyDescent="0.25">
      <c r="A189" s="1130" t="s">
        <v>2200</v>
      </c>
      <c r="B189" s="1317" t="s">
        <v>2201</v>
      </c>
      <c r="C189" s="1317"/>
      <c r="D189" s="1317"/>
      <c r="E189" s="1317"/>
      <c r="F189" s="1317"/>
      <c r="G189" s="1317"/>
      <c r="H189" s="1317"/>
      <c r="I189" s="1317"/>
      <c r="J189" s="1317"/>
      <c r="K189" s="1317"/>
      <c r="L189" s="1317"/>
      <c r="M189" s="1317"/>
      <c r="N189" s="1317"/>
      <c r="O189" s="1317"/>
      <c r="P189" s="1317"/>
      <c r="Q189" s="1317"/>
      <c r="R189" s="1317"/>
      <c r="S189" s="1317"/>
      <c r="T189" s="1317"/>
      <c r="U189" s="1317"/>
      <c r="V189" s="1317"/>
      <c r="W189" s="1317"/>
    </row>
    <row r="190" spans="1:23" ht="15" customHeight="1" x14ac:dyDescent="0.25">
      <c r="A190" s="1130"/>
      <c r="B190" s="1139"/>
      <c r="C190" s="1139"/>
      <c r="D190" s="1139"/>
      <c r="E190" s="1139"/>
      <c r="F190" s="1139"/>
      <c r="G190" s="1139"/>
      <c r="H190" s="1139"/>
      <c r="I190" s="1139"/>
      <c r="J190" s="1139"/>
      <c r="K190" s="1139"/>
      <c r="L190" s="1139"/>
      <c r="M190" s="1139"/>
      <c r="N190" s="1139"/>
      <c r="O190" s="1139"/>
      <c r="P190" s="1139"/>
      <c r="Q190" s="1139"/>
      <c r="R190" s="1139"/>
      <c r="S190" s="1139"/>
      <c r="T190" s="1139"/>
      <c r="U190" s="1139"/>
      <c r="V190" s="1139"/>
      <c r="W190" s="1139"/>
    </row>
    <row r="191" spans="1:23" x14ac:dyDescent="0.25">
      <c r="A191" s="1146" t="s">
        <v>2220</v>
      </c>
      <c r="B191" s="1128"/>
      <c r="C191" s="1128"/>
      <c r="D191" s="1128"/>
      <c r="E191" s="1128"/>
      <c r="F191" s="1128"/>
      <c r="G191" s="1128"/>
      <c r="H191" s="1128"/>
      <c r="I191" s="1128"/>
      <c r="J191" s="1128"/>
      <c r="K191" s="1128"/>
      <c r="L191" s="1128"/>
      <c r="M191" s="1128"/>
      <c r="N191" s="1128"/>
      <c r="O191" s="1128"/>
      <c r="P191" s="1128"/>
      <c r="Q191" s="1128"/>
      <c r="R191" s="1128"/>
      <c r="S191" s="1128"/>
      <c r="T191" s="1128"/>
      <c r="U191" s="1128"/>
      <c r="V191" s="1128"/>
      <c r="W191" s="1128"/>
    </row>
    <row r="192" spans="1:23" ht="15" customHeight="1" x14ac:dyDescent="0.25">
      <c r="A192" s="1130"/>
      <c r="B192" s="1359"/>
      <c r="C192" s="1359"/>
      <c r="D192" s="1359"/>
      <c r="E192" s="1359"/>
      <c r="F192" s="1359"/>
      <c r="G192" s="1359"/>
      <c r="H192" s="1359"/>
      <c r="I192" s="1359"/>
      <c r="J192" s="1359"/>
      <c r="K192" s="1359"/>
      <c r="L192" s="1359"/>
      <c r="M192" s="1359"/>
      <c r="N192" s="1359"/>
      <c r="O192" s="1359"/>
      <c r="P192" s="1359"/>
      <c r="Q192" s="1359"/>
      <c r="R192" s="1359"/>
      <c r="S192" s="1359"/>
      <c r="T192" s="1359"/>
      <c r="U192" s="1359"/>
      <c r="V192" s="1359"/>
      <c r="W192" s="1359"/>
    </row>
    <row r="193" spans="1:29" ht="15" customHeight="1" x14ac:dyDescent="0.25">
      <c r="A193" s="1130"/>
      <c r="B193" s="1359"/>
      <c r="C193" s="1359"/>
      <c r="D193" s="1359"/>
      <c r="E193" s="1359"/>
      <c r="F193" s="1359"/>
      <c r="G193" s="1359"/>
      <c r="H193" s="1359"/>
      <c r="I193" s="1359"/>
      <c r="J193" s="1359"/>
      <c r="K193" s="1359"/>
      <c r="L193" s="1359"/>
      <c r="M193" s="1359"/>
      <c r="N193" s="1359"/>
      <c r="O193" s="1359"/>
      <c r="P193" s="1359"/>
      <c r="Q193" s="1359"/>
      <c r="R193" s="1359"/>
      <c r="S193" s="1359"/>
      <c r="T193" s="1359"/>
      <c r="U193" s="1359"/>
      <c r="V193" s="1359"/>
      <c r="W193" s="1359"/>
    </row>
    <row r="194" spans="1:29" ht="15" customHeight="1" x14ac:dyDescent="0.25">
      <c r="A194" s="1130"/>
      <c r="B194" s="1359"/>
      <c r="C194" s="1359"/>
      <c r="D194" s="1359"/>
      <c r="E194" s="1359"/>
      <c r="F194" s="1359"/>
      <c r="G194" s="1359"/>
      <c r="H194" s="1359"/>
      <c r="I194" s="1359"/>
      <c r="J194" s="1359"/>
      <c r="K194" s="1359"/>
      <c r="L194" s="1359"/>
      <c r="M194" s="1359"/>
      <c r="N194" s="1359"/>
      <c r="O194" s="1359"/>
      <c r="P194" s="1359"/>
      <c r="Q194" s="1359"/>
      <c r="R194" s="1359"/>
      <c r="S194" s="1359"/>
      <c r="T194" s="1359"/>
      <c r="U194" s="1359"/>
      <c r="V194" s="1359"/>
      <c r="W194" s="1359"/>
    </row>
    <row r="195" spans="1:29" ht="15" customHeight="1" x14ac:dyDescent="0.25">
      <c r="A195" s="1130"/>
      <c r="B195" s="1359"/>
      <c r="C195" s="1359"/>
      <c r="D195" s="1359"/>
      <c r="E195" s="1359"/>
      <c r="F195" s="1359"/>
      <c r="G195" s="1359"/>
      <c r="H195" s="1359"/>
      <c r="I195" s="1359"/>
      <c r="J195" s="1359"/>
      <c r="K195" s="1359"/>
      <c r="L195" s="1359"/>
      <c r="M195" s="1359"/>
      <c r="N195" s="1359"/>
      <c r="O195" s="1359"/>
      <c r="P195" s="1359"/>
      <c r="Q195" s="1359"/>
      <c r="R195" s="1359"/>
      <c r="S195" s="1359"/>
      <c r="T195" s="1359"/>
      <c r="U195" s="1359"/>
      <c r="V195" s="1359"/>
      <c r="W195" s="1359"/>
    </row>
    <row r="196" spans="1:29" ht="15" customHeight="1" x14ac:dyDescent="0.25">
      <c r="A196" s="1130"/>
      <c r="B196" s="1359"/>
      <c r="C196" s="1359"/>
      <c r="D196" s="1359"/>
      <c r="E196" s="1359"/>
      <c r="F196" s="1359"/>
      <c r="G196" s="1359"/>
      <c r="H196" s="1359"/>
      <c r="I196" s="1359"/>
      <c r="J196" s="1359"/>
      <c r="K196" s="1359"/>
      <c r="L196" s="1359"/>
      <c r="M196" s="1359"/>
      <c r="N196" s="1359"/>
      <c r="O196" s="1359"/>
      <c r="P196" s="1359"/>
      <c r="Q196" s="1359"/>
      <c r="R196" s="1359"/>
      <c r="S196" s="1359"/>
      <c r="T196" s="1359"/>
      <c r="U196" s="1359"/>
      <c r="V196" s="1359"/>
      <c r="W196" s="1359"/>
    </row>
    <row r="197" spans="1:29" ht="15" customHeight="1" x14ac:dyDescent="0.25">
      <c r="A197" s="1130"/>
      <c r="B197" s="1359"/>
      <c r="C197" s="1359"/>
      <c r="D197" s="1359"/>
      <c r="E197" s="1359"/>
      <c r="F197" s="1359"/>
      <c r="G197" s="1359"/>
      <c r="H197" s="1359"/>
      <c r="I197" s="1359"/>
      <c r="J197" s="1359"/>
      <c r="K197" s="1359"/>
      <c r="L197" s="1359"/>
      <c r="M197" s="1359"/>
      <c r="N197" s="1359"/>
      <c r="O197" s="1359"/>
      <c r="P197" s="1359"/>
      <c r="Q197" s="1359"/>
      <c r="R197" s="1359"/>
      <c r="S197" s="1359"/>
      <c r="T197" s="1359"/>
      <c r="U197" s="1359"/>
      <c r="V197" s="1359"/>
      <c r="W197" s="1359"/>
    </row>
    <row r="198" spans="1:29" x14ac:dyDescent="0.25">
      <c r="A198" s="1131"/>
      <c r="B198" s="1359"/>
      <c r="C198" s="1359"/>
      <c r="D198" s="1359"/>
      <c r="E198" s="1359"/>
      <c r="F198" s="1359"/>
      <c r="G198" s="1359"/>
      <c r="H198" s="1359"/>
      <c r="I198" s="1359"/>
      <c r="J198" s="1359"/>
      <c r="K198" s="1359"/>
      <c r="L198" s="1359"/>
      <c r="M198" s="1359"/>
      <c r="N198" s="1359"/>
      <c r="O198" s="1359"/>
      <c r="P198" s="1359"/>
      <c r="Q198" s="1359"/>
      <c r="R198" s="1359"/>
      <c r="S198" s="1359"/>
      <c r="T198" s="1359"/>
      <c r="U198" s="1359"/>
      <c r="V198" s="1359"/>
      <c r="W198" s="1359"/>
    </row>
    <row r="199" spans="1:29" x14ac:dyDescent="0.25">
      <c r="A199" s="1123"/>
      <c r="B199" s="1359"/>
      <c r="C199" s="1359"/>
      <c r="D199" s="1359"/>
      <c r="E199" s="1359"/>
      <c r="F199" s="1359"/>
      <c r="G199" s="1359"/>
      <c r="H199" s="1359"/>
      <c r="I199" s="1359"/>
      <c r="J199" s="1359"/>
      <c r="K199" s="1359"/>
      <c r="L199" s="1359"/>
      <c r="M199" s="1359"/>
      <c r="N199" s="1359"/>
      <c r="O199" s="1359"/>
      <c r="P199" s="1359"/>
      <c r="Q199" s="1359"/>
      <c r="R199" s="1359"/>
      <c r="S199" s="1359"/>
      <c r="T199" s="1359"/>
      <c r="U199" s="1359"/>
      <c r="V199" s="1359"/>
      <c r="W199" s="1359"/>
    </row>
    <row r="200" spans="1:29" x14ac:dyDescent="0.25">
      <c r="A200" s="1123"/>
      <c r="B200" s="1359"/>
      <c r="C200" s="1359"/>
      <c r="D200" s="1359"/>
      <c r="E200" s="1359"/>
      <c r="F200" s="1359"/>
      <c r="G200" s="1359"/>
      <c r="H200" s="1359"/>
      <c r="I200" s="1359"/>
      <c r="J200" s="1359"/>
      <c r="K200" s="1359"/>
      <c r="L200" s="1359"/>
      <c r="M200" s="1359"/>
      <c r="N200" s="1359"/>
      <c r="O200" s="1359"/>
      <c r="P200" s="1359"/>
      <c r="Q200" s="1359"/>
      <c r="R200" s="1359"/>
      <c r="S200" s="1359"/>
      <c r="T200" s="1359"/>
      <c r="U200" s="1359"/>
      <c r="V200" s="1359"/>
      <c r="W200" s="1359"/>
    </row>
    <row r="201" spans="1:29" x14ac:dyDescent="0.25">
      <c r="A201" s="1123"/>
      <c r="B201" s="1359"/>
      <c r="C201" s="1359"/>
      <c r="D201" s="1359"/>
      <c r="E201" s="1359"/>
      <c r="F201" s="1359"/>
      <c r="G201" s="1359"/>
      <c r="H201" s="1359"/>
      <c r="I201" s="1359"/>
      <c r="J201" s="1359"/>
      <c r="K201" s="1359"/>
      <c r="L201" s="1359"/>
      <c r="M201" s="1359"/>
      <c r="N201" s="1359"/>
      <c r="O201" s="1359"/>
      <c r="P201" s="1359"/>
      <c r="Q201" s="1359"/>
      <c r="R201" s="1359"/>
      <c r="S201" s="1359"/>
      <c r="T201" s="1359"/>
      <c r="U201" s="1359"/>
      <c r="V201" s="1359"/>
      <c r="W201" s="1359"/>
    </row>
    <row r="202" spans="1:29" ht="28.5" customHeight="1" x14ac:dyDescent="0.25">
      <c r="A202" s="1123"/>
      <c r="B202" s="1123"/>
      <c r="C202" s="1123"/>
      <c r="D202" s="1123"/>
      <c r="E202" s="1123"/>
      <c r="F202" s="1123"/>
      <c r="G202" s="1123"/>
      <c r="H202" s="1123"/>
      <c r="I202" s="1123"/>
      <c r="J202" s="1123"/>
      <c r="K202" s="1123"/>
      <c r="L202" s="1123"/>
      <c r="M202" s="1123"/>
      <c r="N202" s="1123"/>
      <c r="O202" s="1123"/>
      <c r="P202" s="1123"/>
      <c r="Q202" s="1123"/>
      <c r="R202" s="1123"/>
      <c r="S202" s="1123"/>
      <c r="T202" s="1123"/>
      <c r="U202" s="1123"/>
      <c r="V202" s="1123"/>
      <c r="W202" s="1123"/>
    </row>
    <row r="203" spans="1:29" s="28" customFormat="1" ht="22.5" customHeight="1" x14ac:dyDescent="0.25">
      <c r="A203" s="1116" t="s">
        <v>2202</v>
      </c>
      <c r="B203" s="1360" t="s">
        <v>2203</v>
      </c>
      <c r="C203" s="1360"/>
      <c r="D203" s="1360"/>
      <c r="E203" s="1360"/>
      <c r="F203" s="1360"/>
      <c r="G203" s="1360"/>
      <c r="H203" s="1360"/>
      <c r="I203" s="1360"/>
      <c r="J203" s="1360"/>
      <c r="K203" s="1360"/>
      <c r="L203" s="1360"/>
      <c r="M203" s="1360"/>
      <c r="N203" s="1360"/>
      <c r="O203" s="1360"/>
      <c r="P203" s="1360"/>
      <c r="Q203" s="1360"/>
      <c r="R203" s="1360"/>
      <c r="S203" s="1360"/>
      <c r="T203" s="1360"/>
      <c r="U203" s="1360"/>
      <c r="V203" s="1360"/>
      <c r="W203" s="1360"/>
    </row>
    <row r="204" spans="1:29" x14ac:dyDescent="0.25">
      <c r="A204" s="1113"/>
      <c r="B204" s="1113"/>
      <c r="C204" s="1113"/>
      <c r="D204" s="1113"/>
      <c r="E204" s="1113"/>
      <c r="F204" s="1113"/>
      <c r="G204" s="1113"/>
      <c r="H204" s="1113"/>
      <c r="I204" s="1113"/>
      <c r="J204" s="1113"/>
      <c r="K204" s="1113"/>
      <c r="L204" s="1113"/>
      <c r="M204" s="1113"/>
      <c r="N204" s="1113"/>
      <c r="O204" s="1113"/>
      <c r="P204" s="1113"/>
      <c r="Q204" s="1113"/>
      <c r="R204" s="1113"/>
      <c r="S204" s="1113"/>
      <c r="T204" s="1113"/>
      <c r="U204" s="1113"/>
      <c r="V204" s="1113"/>
      <c r="W204" s="1113"/>
    </row>
    <row r="205" spans="1:29" x14ac:dyDescent="0.25">
      <c r="A205" s="1146" t="s">
        <v>2220</v>
      </c>
      <c r="B205" s="1128"/>
      <c r="C205" s="1128"/>
      <c r="D205" s="1128"/>
      <c r="E205" s="1128"/>
      <c r="F205" s="1128"/>
      <c r="G205" s="1128"/>
      <c r="H205" s="1128"/>
      <c r="I205" s="1128"/>
      <c r="J205" s="1128"/>
      <c r="K205" s="1128"/>
      <c r="L205" s="1128"/>
      <c r="M205" s="1128"/>
      <c r="N205" s="1128"/>
      <c r="O205" s="1128"/>
      <c r="P205" s="1128"/>
      <c r="Q205" s="1128"/>
      <c r="R205" s="1128"/>
      <c r="S205" s="1128"/>
      <c r="T205" s="1128"/>
      <c r="U205" s="1128"/>
      <c r="V205" s="1128"/>
      <c r="W205" s="1128"/>
    </row>
    <row r="206" spans="1:29" ht="15.75" thickBot="1" x14ac:dyDescent="0.3">
      <c r="A206" s="1146"/>
      <c r="B206" s="1128"/>
      <c r="C206" s="1128"/>
      <c r="D206" s="1128"/>
      <c r="E206" s="1128"/>
      <c r="F206" s="1128"/>
      <c r="G206" s="1128"/>
      <c r="H206" s="1128"/>
      <c r="I206" s="1128"/>
      <c r="J206" s="1128"/>
      <c r="K206" s="1128"/>
      <c r="L206" s="1128"/>
      <c r="M206" s="1128"/>
      <c r="N206" s="1128"/>
      <c r="O206" s="1128"/>
      <c r="P206" s="1128"/>
      <c r="Q206" s="1128"/>
      <c r="R206" s="1128"/>
      <c r="S206" s="1128"/>
      <c r="T206" s="1128"/>
      <c r="U206" s="1128"/>
      <c r="V206" s="1128"/>
      <c r="W206" s="1128"/>
      <c r="AC206" s="1150"/>
    </row>
    <row r="207" spans="1:29" ht="45.75" customHeight="1" x14ac:dyDescent="0.25">
      <c r="A207" s="1361" t="s">
        <v>0</v>
      </c>
      <c r="B207" s="1362"/>
      <c r="C207" s="1362"/>
      <c r="D207" s="1362"/>
      <c r="E207" s="1286" t="s">
        <v>323</v>
      </c>
      <c r="F207" s="1287"/>
      <c r="G207" s="1287"/>
      <c r="H207" s="1287"/>
      <c r="I207" s="1287"/>
      <c r="J207" s="1287"/>
      <c r="K207" s="1287"/>
      <c r="L207" s="1287"/>
      <c r="M207" s="1352"/>
      <c r="N207" s="1265" t="s">
        <v>2204</v>
      </c>
      <c r="O207" s="1266"/>
      <c r="P207" s="1266"/>
      <c r="Q207" s="1266"/>
      <c r="R207" s="1266"/>
      <c r="S207" s="1266"/>
      <c r="T207" s="1266"/>
      <c r="U207" s="1266"/>
      <c r="V207" s="1266"/>
      <c r="W207" s="1267"/>
    </row>
    <row r="208" spans="1:29" x14ac:dyDescent="0.25">
      <c r="A208" s="1356" t="s">
        <v>2205</v>
      </c>
      <c r="B208" s="1357"/>
      <c r="C208" s="1357"/>
      <c r="D208" s="1358"/>
      <c r="E208" s="1323"/>
      <c r="F208" s="1324"/>
      <c r="G208" s="1324"/>
      <c r="H208" s="1324"/>
      <c r="I208" s="1324"/>
      <c r="J208" s="1324"/>
      <c r="K208" s="1324"/>
      <c r="L208" s="1324"/>
      <c r="M208" s="1325"/>
      <c r="N208" s="1324"/>
      <c r="O208" s="1324"/>
      <c r="P208" s="1324"/>
      <c r="Q208" s="1324"/>
      <c r="R208" s="1324"/>
      <c r="S208" s="1324"/>
      <c r="T208" s="1324"/>
      <c r="U208" s="1324"/>
      <c r="V208" s="1324"/>
      <c r="W208" s="1328"/>
      <c r="AC208" s="1150"/>
    </row>
    <row r="209" spans="1:23" x14ac:dyDescent="0.25">
      <c r="A209" s="1356" t="s">
        <v>2206</v>
      </c>
      <c r="B209" s="1357"/>
      <c r="C209" s="1357"/>
      <c r="D209" s="1358"/>
      <c r="E209" s="1323"/>
      <c r="F209" s="1324"/>
      <c r="G209" s="1324"/>
      <c r="H209" s="1324"/>
      <c r="I209" s="1324"/>
      <c r="J209" s="1324"/>
      <c r="K209" s="1324"/>
      <c r="L209" s="1324"/>
      <c r="M209" s="1325"/>
      <c r="N209" s="1324"/>
      <c r="O209" s="1324"/>
      <c r="P209" s="1324"/>
      <c r="Q209" s="1324"/>
      <c r="R209" s="1324"/>
      <c r="S209" s="1324"/>
      <c r="T209" s="1324"/>
      <c r="U209" s="1324"/>
      <c r="V209" s="1324"/>
      <c r="W209" s="1328"/>
    </row>
    <row r="210" spans="1:23" x14ac:dyDescent="0.25">
      <c r="A210" s="1356" t="s">
        <v>2207</v>
      </c>
      <c r="B210" s="1357"/>
      <c r="C210" s="1357"/>
      <c r="D210" s="1358"/>
      <c r="E210" s="1323"/>
      <c r="F210" s="1324"/>
      <c r="G210" s="1324"/>
      <c r="H210" s="1324"/>
      <c r="I210" s="1324"/>
      <c r="J210" s="1324"/>
      <c r="K210" s="1324"/>
      <c r="L210" s="1324"/>
      <c r="M210" s="1325"/>
      <c r="N210" s="1324"/>
      <c r="O210" s="1324"/>
      <c r="P210" s="1324"/>
      <c r="Q210" s="1324"/>
      <c r="R210" s="1324"/>
      <c r="S210" s="1324"/>
      <c r="T210" s="1324"/>
      <c r="U210" s="1324"/>
      <c r="V210" s="1324"/>
      <c r="W210" s="1328"/>
    </row>
    <row r="211" spans="1:23" x14ac:dyDescent="0.25">
      <c r="A211" s="1356" t="s">
        <v>2208</v>
      </c>
      <c r="B211" s="1357"/>
      <c r="C211" s="1357"/>
      <c r="D211" s="1358"/>
      <c r="E211" s="1323"/>
      <c r="F211" s="1324"/>
      <c r="G211" s="1324"/>
      <c r="H211" s="1324"/>
      <c r="I211" s="1324"/>
      <c r="J211" s="1324"/>
      <c r="K211" s="1324"/>
      <c r="L211" s="1324"/>
      <c r="M211" s="1325"/>
      <c r="N211" s="1324"/>
      <c r="O211" s="1324"/>
      <c r="P211" s="1324"/>
      <c r="Q211" s="1324"/>
      <c r="R211" s="1324"/>
      <c r="S211" s="1324"/>
      <c r="T211" s="1324"/>
      <c r="U211" s="1324"/>
      <c r="V211" s="1324"/>
      <c r="W211" s="1328"/>
    </row>
    <row r="212" spans="1:23" ht="15.75" thickBot="1" x14ac:dyDescent="0.3">
      <c r="A212" s="1353" t="s">
        <v>2209</v>
      </c>
      <c r="B212" s="1354"/>
      <c r="C212" s="1354"/>
      <c r="D212" s="1355"/>
      <c r="E212" s="1332"/>
      <c r="F212" s="1333"/>
      <c r="G212" s="1333"/>
      <c r="H212" s="1333"/>
      <c r="I212" s="1333"/>
      <c r="J212" s="1333"/>
      <c r="K212" s="1333"/>
      <c r="L212" s="1333"/>
      <c r="M212" s="1334"/>
      <c r="N212" s="1333"/>
      <c r="O212" s="1333"/>
      <c r="P212" s="1333"/>
      <c r="Q212" s="1333"/>
      <c r="R212" s="1333"/>
      <c r="S212" s="1333"/>
      <c r="T212" s="1333"/>
      <c r="U212" s="1333"/>
      <c r="V212" s="1333"/>
      <c r="W212" s="1335"/>
    </row>
    <row r="213" spans="1:23" x14ac:dyDescent="0.25">
      <c r="A213" s="1122"/>
      <c r="B213" s="1122"/>
      <c r="C213" s="1122"/>
      <c r="D213" s="1122"/>
      <c r="E213" s="1122"/>
      <c r="F213" s="1122"/>
      <c r="G213" s="1122"/>
      <c r="H213" s="1122"/>
      <c r="I213" s="1122"/>
      <c r="J213" s="1122"/>
      <c r="K213" s="1122"/>
      <c r="L213" s="1122"/>
      <c r="M213" s="1122"/>
      <c r="N213" s="1122"/>
      <c r="O213" s="1122"/>
      <c r="P213" s="1122"/>
      <c r="Q213" s="1122"/>
      <c r="R213" s="1122"/>
      <c r="S213" s="1122"/>
      <c r="T213" s="1122"/>
      <c r="U213" s="1122"/>
      <c r="V213" s="1122"/>
      <c r="W213" s="1122"/>
    </row>
    <row r="214" spans="1:23" ht="15" customHeight="1" x14ac:dyDescent="0.25">
      <c r="A214" s="1319" t="s">
        <v>2210</v>
      </c>
      <c r="B214" s="1319"/>
      <c r="C214" s="1319"/>
      <c r="D214" s="1319"/>
      <c r="E214" s="1319"/>
      <c r="F214" s="1319"/>
      <c r="G214" s="1319"/>
      <c r="H214" s="1319"/>
      <c r="I214" s="1319"/>
      <c r="J214" s="1319"/>
      <c r="K214" s="1319"/>
      <c r="L214" s="1319"/>
      <c r="M214" s="1319"/>
      <c r="N214" s="1319"/>
      <c r="O214" s="1319"/>
      <c r="P214" s="1319"/>
      <c r="Q214" s="1319"/>
      <c r="R214" s="1319"/>
      <c r="S214" s="1319"/>
      <c r="T214" s="1319"/>
      <c r="U214" s="1319"/>
      <c r="V214" s="1319"/>
      <c r="W214" s="1319"/>
    </row>
    <row r="215" spans="1:23" x14ac:dyDescent="0.25">
      <c r="A215" s="1122"/>
      <c r="B215" s="1318"/>
      <c r="C215" s="1318"/>
      <c r="D215" s="1318"/>
      <c r="E215" s="1318"/>
      <c r="F215" s="1318"/>
      <c r="G215" s="1318"/>
      <c r="H215" s="1318"/>
      <c r="I215" s="1318"/>
      <c r="J215" s="1318"/>
      <c r="K215" s="1318"/>
      <c r="L215" s="1318"/>
      <c r="M215" s="1318"/>
      <c r="N215" s="1318"/>
      <c r="O215" s="1318"/>
      <c r="P215" s="1318"/>
      <c r="Q215" s="1318"/>
      <c r="R215" s="1318"/>
      <c r="S215" s="1318"/>
      <c r="T215" s="1318"/>
      <c r="U215" s="1318"/>
      <c r="V215" s="1318"/>
      <c r="W215" s="1318"/>
    </row>
    <row r="216" spans="1:23" x14ac:dyDescent="0.25">
      <c r="A216" s="1146" t="s">
        <v>2220</v>
      </c>
      <c r="B216" s="1146"/>
      <c r="C216" s="1146"/>
      <c r="D216" s="1146"/>
      <c r="E216" s="1146"/>
      <c r="F216" s="1146"/>
      <c r="G216" s="1146"/>
      <c r="H216" s="1146"/>
      <c r="I216" s="1146"/>
      <c r="J216" s="1146"/>
      <c r="K216" s="1146"/>
      <c r="L216" s="1146"/>
      <c r="M216" s="1146"/>
      <c r="N216" s="1146"/>
      <c r="O216" s="1146"/>
      <c r="P216" s="1146"/>
      <c r="Q216" s="1146"/>
      <c r="R216" s="1146"/>
      <c r="S216" s="1146"/>
      <c r="T216" s="1146"/>
      <c r="U216" s="1146"/>
      <c r="V216" s="1146"/>
      <c r="W216" s="1146"/>
    </row>
    <row r="217" spans="1:23" x14ac:dyDescent="0.25">
      <c r="A217" s="1122"/>
      <c r="B217" s="1316"/>
      <c r="C217" s="1316"/>
      <c r="D217" s="1316"/>
      <c r="E217" s="1316"/>
      <c r="F217" s="1316"/>
      <c r="G217" s="1316"/>
      <c r="H217" s="1316"/>
      <c r="I217" s="1316"/>
      <c r="J217" s="1316"/>
      <c r="K217" s="1316"/>
      <c r="L217" s="1316"/>
      <c r="M217" s="1316"/>
      <c r="N217" s="1316"/>
      <c r="O217" s="1316"/>
      <c r="P217" s="1316"/>
      <c r="Q217" s="1316"/>
      <c r="R217" s="1316"/>
      <c r="S217" s="1316"/>
      <c r="T217" s="1316"/>
      <c r="U217" s="1316"/>
      <c r="V217" s="1316"/>
      <c r="W217" s="1316"/>
    </row>
    <row r="218" spans="1:23" ht="18.75" customHeight="1" x14ac:dyDescent="0.25">
      <c r="A218" s="1122"/>
      <c r="B218" s="1122"/>
      <c r="C218" s="1122"/>
      <c r="D218" s="1122"/>
      <c r="E218" s="1122"/>
      <c r="F218" s="1122"/>
      <c r="G218" s="1122"/>
      <c r="H218" s="1122"/>
      <c r="I218" s="1122"/>
      <c r="J218" s="1122"/>
      <c r="K218" s="1122"/>
      <c r="L218" s="1122"/>
      <c r="M218" s="1122"/>
      <c r="N218" s="1122"/>
      <c r="O218" s="1122"/>
      <c r="P218" s="1122"/>
      <c r="Q218" s="1122"/>
      <c r="R218" s="1122"/>
      <c r="S218" s="1122"/>
      <c r="T218" s="1122"/>
      <c r="U218" s="1122"/>
      <c r="V218" s="1122"/>
      <c r="W218" s="1122"/>
    </row>
    <row r="219" spans="1:23" x14ac:dyDescent="0.25">
      <c r="A219" s="1130" t="s">
        <v>2211</v>
      </c>
      <c r="B219" s="1317" t="s">
        <v>2212</v>
      </c>
      <c r="C219" s="1317"/>
      <c r="D219" s="1317"/>
      <c r="E219" s="1317"/>
      <c r="F219" s="1317"/>
      <c r="G219" s="1317"/>
      <c r="H219" s="1317"/>
      <c r="I219" s="1317"/>
      <c r="J219" s="1317"/>
      <c r="K219" s="1317"/>
      <c r="L219" s="1317"/>
      <c r="M219" s="1317"/>
      <c r="N219" s="1317"/>
      <c r="O219" s="1317"/>
      <c r="P219" s="1317"/>
      <c r="Q219" s="1317"/>
      <c r="R219" s="1317"/>
      <c r="S219" s="1317"/>
      <c r="T219" s="1317"/>
      <c r="U219" s="1317"/>
      <c r="V219" s="1317"/>
      <c r="W219" s="1317"/>
    </row>
    <row r="220" spans="1:23" x14ac:dyDescent="0.25">
      <c r="A220" s="1113"/>
      <c r="B220" s="1113"/>
      <c r="C220" s="1113"/>
      <c r="D220" s="1113"/>
      <c r="E220" s="1113"/>
      <c r="F220" s="1113"/>
      <c r="G220" s="1113"/>
      <c r="H220" s="1113"/>
      <c r="I220" s="1113"/>
      <c r="J220" s="1113"/>
      <c r="K220" s="1113"/>
      <c r="L220" s="1113"/>
      <c r="M220" s="1113"/>
      <c r="N220" s="1113"/>
      <c r="O220" s="1113"/>
      <c r="P220" s="1113"/>
      <c r="Q220" s="1113"/>
      <c r="R220" s="1113"/>
      <c r="S220" s="1113"/>
      <c r="T220" s="1113"/>
      <c r="U220" s="1113"/>
      <c r="V220" s="1113"/>
      <c r="W220" s="1113"/>
    </row>
    <row r="221" spans="1:23" x14ac:dyDescent="0.25">
      <c r="A221" s="1146" t="s">
        <v>2220</v>
      </c>
      <c r="B221" s="1146"/>
      <c r="C221" s="1146"/>
      <c r="D221" s="1146"/>
      <c r="E221" s="1146"/>
      <c r="F221" s="1146"/>
      <c r="G221" s="1146"/>
      <c r="H221" s="1146"/>
      <c r="I221" s="1146"/>
      <c r="J221" s="1146"/>
      <c r="K221" s="1146"/>
      <c r="L221" s="1146"/>
      <c r="M221" s="1146"/>
      <c r="N221" s="1146"/>
      <c r="O221" s="1146"/>
      <c r="P221" s="1146"/>
      <c r="Q221" s="1146"/>
      <c r="R221" s="1146"/>
      <c r="S221" s="1146"/>
      <c r="T221" s="1146"/>
      <c r="U221" s="1146"/>
      <c r="V221" s="1146"/>
      <c r="W221" s="1146"/>
    </row>
    <row r="222" spans="1:23" ht="15.75" thickBot="1" x14ac:dyDescent="0.3">
      <c r="A222" s="1122"/>
      <c r="B222" s="1316"/>
      <c r="C222" s="1316"/>
      <c r="D222" s="1316"/>
      <c r="E222" s="1316"/>
      <c r="F222" s="1316"/>
      <c r="G222" s="1316"/>
      <c r="H222" s="1316"/>
      <c r="I222" s="1316"/>
      <c r="J222" s="1316"/>
      <c r="K222" s="1316"/>
      <c r="L222" s="1316"/>
      <c r="M222" s="1316"/>
      <c r="N222" s="1316"/>
      <c r="O222" s="1316"/>
      <c r="P222" s="1316"/>
      <c r="Q222" s="1316"/>
      <c r="R222" s="1316"/>
      <c r="S222" s="1316"/>
      <c r="T222" s="1316"/>
      <c r="U222" s="1316"/>
      <c r="V222" s="1316"/>
      <c r="W222" s="1316"/>
    </row>
    <row r="223" spans="1:23" ht="21" customHeight="1" x14ac:dyDescent="0.25">
      <c r="A223" s="1343" t="s">
        <v>321</v>
      </c>
      <c r="B223" s="1344"/>
      <c r="C223" s="1344"/>
      <c r="D223" s="1345"/>
      <c r="E223" s="1349" t="s">
        <v>1</v>
      </c>
      <c r="F223" s="1350"/>
      <c r="G223" s="1350"/>
      <c r="H223" s="1350"/>
      <c r="I223" s="1350"/>
      <c r="J223" s="1350"/>
      <c r="K223" s="1350"/>
      <c r="L223" s="1350"/>
      <c r="M223" s="1350"/>
      <c r="N223" s="1350"/>
      <c r="O223" s="1350"/>
      <c r="P223" s="1350"/>
      <c r="Q223" s="1350"/>
      <c r="R223" s="1350"/>
      <c r="S223" s="1350"/>
      <c r="T223" s="1350"/>
      <c r="U223" s="1350"/>
      <c r="V223" s="1350"/>
      <c r="W223" s="1351"/>
    </row>
    <row r="224" spans="1:23" ht="30.75" customHeight="1" thickBot="1" x14ac:dyDescent="0.3">
      <c r="A224" s="1346"/>
      <c r="B224" s="1347"/>
      <c r="C224" s="1347"/>
      <c r="D224" s="1348"/>
      <c r="E224" s="1286" t="s">
        <v>323</v>
      </c>
      <c r="F224" s="1287"/>
      <c r="G224" s="1287"/>
      <c r="H224" s="1287"/>
      <c r="I224" s="1287"/>
      <c r="J224" s="1287"/>
      <c r="K224" s="1287"/>
      <c r="L224" s="1287"/>
      <c r="M224" s="1352"/>
      <c r="N224" s="1265" t="s">
        <v>2204</v>
      </c>
      <c r="O224" s="1266"/>
      <c r="P224" s="1266"/>
      <c r="Q224" s="1266"/>
      <c r="R224" s="1266"/>
      <c r="S224" s="1266"/>
      <c r="T224" s="1266"/>
      <c r="U224" s="1266"/>
      <c r="V224" s="1266"/>
      <c r="W224" s="1267"/>
    </row>
    <row r="225" spans="1:23" x14ac:dyDescent="0.25">
      <c r="A225" s="1336" t="s">
        <v>325</v>
      </c>
      <c r="B225" s="1337"/>
      <c r="C225" s="1337"/>
      <c r="D225" s="1338"/>
      <c r="E225" s="1339"/>
      <c r="F225" s="1340"/>
      <c r="G225" s="1340"/>
      <c r="H225" s="1340"/>
      <c r="I225" s="1340"/>
      <c r="J225" s="1340"/>
      <c r="K225" s="1340"/>
      <c r="L225" s="1340"/>
      <c r="M225" s="1341"/>
      <c r="N225" s="1339"/>
      <c r="O225" s="1340"/>
      <c r="P225" s="1340"/>
      <c r="Q225" s="1340"/>
      <c r="R225" s="1340"/>
      <c r="S225" s="1340"/>
      <c r="T225" s="1340"/>
      <c r="U225" s="1340"/>
      <c r="V225" s="1340"/>
      <c r="W225" s="1342"/>
    </row>
    <row r="226" spans="1:23" x14ac:dyDescent="0.25">
      <c r="A226" s="1320" t="s">
        <v>2213</v>
      </c>
      <c r="B226" s="1321"/>
      <c r="C226" s="1321"/>
      <c r="D226" s="1322"/>
      <c r="E226" s="1323"/>
      <c r="F226" s="1324"/>
      <c r="G226" s="1324"/>
      <c r="H226" s="1324"/>
      <c r="I226" s="1324"/>
      <c r="J226" s="1324"/>
      <c r="K226" s="1324"/>
      <c r="L226" s="1324"/>
      <c r="M226" s="1325"/>
      <c r="N226" s="1323"/>
      <c r="O226" s="1324"/>
      <c r="P226" s="1324"/>
      <c r="Q226" s="1324"/>
      <c r="R226" s="1324"/>
      <c r="S226" s="1324"/>
      <c r="T226" s="1324"/>
      <c r="U226" s="1324"/>
      <c r="V226" s="1324"/>
      <c r="W226" s="1328"/>
    </row>
    <row r="227" spans="1:23" x14ac:dyDescent="0.25">
      <c r="A227" s="1320" t="s">
        <v>327</v>
      </c>
      <c r="B227" s="1321"/>
      <c r="C227" s="1321"/>
      <c r="D227" s="1322"/>
      <c r="E227" s="1323"/>
      <c r="F227" s="1324"/>
      <c r="G227" s="1324"/>
      <c r="H227" s="1324"/>
      <c r="I227" s="1324"/>
      <c r="J227" s="1324"/>
      <c r="K227" s="1324"/>
      <c r="L227" s="1324"/>
      <c r="M227" s="1325"/>
      <c r="N227" s="1323"/>
      <c r="O227" s="1324"/>
      <c r="P227" s="1324"/>
      <c r="Q227" s="1324"/>
      <c r="R227" s="1324"/>
      <c r="S227" s="1324"/>
      <c r="T227" s="1324"/>
      <c r="U227" s="1324"/>
      <c r="V227" s="1324"/>
      <c r="W227" s="1328"/>
    </row>
    <row r="228" spans="1:23" x14ac:dyDescent="0.25">
      <c r="A228" s="1320" t="s">
        <v>328</v>
      </c>
      <c r="B228" s="1321"/>
      <c r="C228" s="1321"/>
      <c r="D228" s="1322"/>
      <c r="E228" s="1323"/>
      <c r="F228" s="1324"/>
      <c r="G228" s="1324"/>
      <c r="H228" s="1324"/>
      <c r="I228" s="1324"/>
      <c r="J228" s="1324"/>
      <c r="K228" s="1324"/>
      <c r="L228" s="1324"/>
      <c r="M228" s="1325"/>
      <c r="N228" s="1323"/>
      <c r="O228" s="1324"/>
      <c r="P228" s="1324"/>
      <c r="Q228" s="1324"/>
      <c r="R228" s="1324"/>
      <c r="S228" s="1324"/>
      <c r="T228" s="1324"/>
      <c r="U228" s="1324"/>
      <c r="V228" s="1324"/>
      <c r="W228" s="1328"/>
    </row>
    <row r="229" spans="1:23" x14ac:dyDescent="0.25">
      <c r="A229" s="1320" t="s">
        <v>2214</v>
      </c>
      <c r="B229" s="1321"/>
      <c r="C229" s="1321"/>
      <c r="D229" s="1322"/>
      <c r="E229" s="1323"/>
      <c r="F229" s="1324"/>
      <c r="G229" s="1324"/>
      <c r="H229" s="1324"/>
      <c r="I229" s="1324"/>
      <c r="J229" s="1324"/>
      <c r="K229" s="1324"/>
      <c r="L229" s="1324"/>
      <c r="M229" s="1325"/>
      <c r="N229" s="1323"/>
      <c r="O229" s="1324"/>
      <c r="P229" s="1324"/>
      <c r="Q229" s="1324"/>
      <c r="R229" s="1324"/>
      <c r="S229" s="1324"/>
      <c r="T229" s="1324"/>
      <c r="U229" s="1324"/>
      <c r="V229" s="1324"/>
      <c r="W229" s="1328"/>
    </row>
    <row r="230" spans="1:23" ht="15.75" thickBot="1" x14ac:dyDescent="0.3">
      <c r="A230" s="1329" t="s">
        <v>330</v>
      </c>
      <c r="B230" s="1330"/>
      <c r="C230" s="1330"/>
      <c r="D230" s="1331"/>
      <c r="E230" s="1332"/>
      <c r="F230" s="1333"/>
      <c r="G230" s="1333"/>
      <c r="H230" s="1333"/>
      <c r="I230" s="1333"/>
      <c r="J230" s="1333"/>
      <c r="K230" s="1333"/>
      <c r="L230" s="1333"/>
      <c r="M230" s="1334"/>
      <c r="N230" s="1332"/>
      <c r="O230" s="1333"/>
      <c r="P230" s="1333"/>
      <c r="Q230" s="1333"/>
      <c r="R230" s="1333"/>
      <c r="S230" s="1333"/>
      <c r="T230" s="1333"/>
      <c r="U230" s="1333"/>
      <c r="V230" s="1333"/>
      <c r="W230" s="1335"/>
    </row>
    <row r="231" spans="1:23" x14ac:dyDescent="0.25">
      <c r="A231" s="1113"/>
      <c r="B231" s="1113"/>
      <c r="C231" s="1113"/>
      <c r="D231" s="1113"/>
      <c r="E231" s="1113"/>
      <c r="F231" s="1113"/>
      <c r="G231" s="1113"/>
      <c r="H231" s="1113"/>
      <c r="I231" s="1113"/>
      <c r="J231" s="1113"/>
      <c r="K231" s="1113"/>
      <c r="L231" s="1113"/>
      <c r="M231" s="1113"/>
      <c r="N231" s="1113"/>
      <c r="O231" s="1113"/>
      <c r="P231" s="1113"/>
      <c r="Q231" s="1113"/>
      <c r="R231" s="1113"/>
      <c r="S231" s="1113"/>
      <c r="T231" s="1113"/>
      <c r="U231" s="1113"/>
      <c r="V231" s="1113"/>
      <c r="W231" s="1113"/>
    </row>
    <row r="232" spans="1:23" x14ac:dyDescent="0.25">
      <c r="A232" s="1319" t="s">
        <v>2215</v>
      </c>
      <c r="B232" s="1319"/>
      <c r="C232" s="1319"/>
      <c r="D232" s="1319"/>
      <c r="E232" s="1319"/>
      <c r="F232" s="1319"/>
      <c r="G232" s="1319"/>
      <c r="H232" s="1319"/>
      <c r="I232" s="1319"/>
      <c r="J232" s="1319"/>
      <c r="K232" s="1319"/>
      <c r="L232" s="1319"/>
      <c r="M232" s="1319"/>
      <c r="N232" s="1319"/>
      <c r="O232" s="1319"/>
      <c r="P232" s="1319"/>
      <c r="Q232" s="1319"/>
      <c r="R232" s="1319"/>
      <c r="S232" s="1319"/>
      <c r="T232" s="1319"/>
      <c r="U232" s="1319"/>
      <c r="V232" s="1319"/>
      <c r="W232" s="1319"/>
    </row>
    <row r="233" spans="1:23" x14ac:dyDescent="0.25">
      <c r="A233" s="1122"/>
      <c r="B233" s="1318"/>
      <c r="C233" s="1318"/>
      <c r="D233" s="1318"/>
      <c r="E233" s="1318"/>
      <c r="F233" s="1318"/>
      <c r="G233" s="1318"/>
      <c r="H233" s="1318"/>
      <c r="I233" s="1318"/>
      <c r="J233" s="1318"/>
      <c r="K233" s="1318"/>
      <c r="L233" s="1318"/>
      <c r="M233" s="1318"/>
      <c r="N233" s="1318"/>
      <c r="O233" s="1318"/>
      <c r="P233" s="1318"/>
      <c r="Q233" s="1318"/>
      <c r="R233" s="1318"/>
      <c r="S233" s="1318"/>
      <c r="T233" s="1318"/>
      <c r="U233" s="1318"/>
      <c r="V233" s="1318"/>
      <c r="W233" s="1318"/>
    </row>
    <row r="234" spans="1:23" x14ac:dyDescent="0.25">
      <c r="A234" s="1122"/>
      <c r="B234" s="1316"/>
      <c r="C234" s="1316"/>
      <c r="D234" s="1316"/>
      <c r="E234" s="1316"/>
      <c r="F234" s="1316"/>
      <c r="G234" s="1316"/>
      <c r="H234" s="1316"/>
      <c r="I234" s="1316"/>
      <c r="J234" s="1316"/>
      <c r="K234" s="1316"/>
      <c r="L234" s="1316"/>
      <c r="M234" s="1316"/>
      <c r="N234" s="1316"/>
      <c r="O234" s="1316"/>
      <c r="P234" s="1316"/>
      <c r="Q234" s="1316"/>
      <c r="R234" s="1316"/>
      <c r="S234" s="1316"/>
      <c r="T234" s="1316"/>
      <c r="U234" s="1316"/>
      <c r="V234" s="1316"/>
      <c r="W234" s="1316"/>
    </row>
    <row r="235" spans="1:23" x14ac:dyDescent="0.25">
      <c r="A235" s="1122"/>
      <c r="B235" s="1316"/>
      <c r="C235" s="1316"/>
      <c r="D235" s="1316"/>
      <c r="E235" s="1316"/>
      <c r="F235" s="1316"/>
      <c r="G235" s="1316"/>
      <c r="H235" s="1316"/>
      <c r="I235" s="1316"/>
      <c r="J235" s="1316"/>
      <c r="K235" s="1316"/>
      <c r="L235" s="1316"/>
      <c r="M235" s="1316"/>
      <c r="N235" s="1316"/>
      <c r="O235" s="1316"/>
      <c r="P235" s="1316"/>
      <c r="Q235" s="1316"/>
      <c r="R235" s="1316"/>
      <c r="S235" s="1316"/>
      <c r="T235" s="1316"/>
      <c r="U235" s="1316"/>
      <c r="V235" s="1316"/>
      <c r="W235" s="1316"/>
    </row>
    <row r="236" spans="1:23" x14ac:dyDescent="0.25">
      <c r="A236" s="1122"/>
      <c r="B236" s="1122"/>
      <c r="C236" s="1122"/>
      <c r="D236" s="1122"/>
      <c r="E236" s="1122"/>
      <c r="F236" s="1122"/>
      <c r="G236" s="1122"/>
      <c r="H236" s="1122"/>
      <c r="I236" s="1122"/>
      <c r="J236" s="1122"/>
      <c r="K236" s="1122"/>
      <c r="L236" s="1122"/>
      <c r="M236" s="1122"/>
      <c r="N236" s="1122"/>
      <c r="O236" s="1122"/>
      <c r="P236" s="1122"/>
      <c r="Q236" s="1122"/>
      <c r="R236" s="1122"/>
      <c r="S236" s="1122"/>
      <c r="T236" s="1122"/>
      <c r="U236" s="1122"/>
      <c r="V236" s="1122"/>
      <c r="W236" s="1122"/>
    </row>
    <row r="237" spans="1:23" ht="30" customHeight="1" x14ac:dyDescent="0.25">
      <c r="A237" s="1130" t="s">
        <v>2216</v>
      </c>
      <c r="B237" s="1317" t="s">
        <v>2217</v>
      </c>
      <c r="C237" s="1317"/>
      <c r="D237" s="1317"/>
      <c r="E237" s="1317"/>
      <c r="F237" s="1317"/>
      <c r="G237" s="1317"/>
      <c r="H237" s="1317"/>
      <c r="I237" s="1317"/>
      <c r="J237" s="1317"/>
      <c r="K237" s="1317"/>
      <c r="L237" s="1317"/>
      <c r="M237" s="1317"/>
      <c r="N237" s="1317"/>
      <c r="O237" s="1317"/>
      <c r="P237" s="1317"/>
      <c r="Q237" s="1317"/>
      <c r="R237" s="1317"/>
      <c r="S237" s="1317"/>
      <c r="T237" s="1317"/>
      <c r="U237" s="1317"/>
      <c r="V237" s="1317"/>
      <c r="W237" s="1317"/>
    </row>
    <row r="238" spans="1:23" x14ac:dyDescent="0.25">
      <c r="A238" s="1122"/>
      <c r="B238" s="1318"/>
      <c r="C238" s="1318"/>
      <c r="D238" s="1318"/>
      <c r="E238" s="1318"/>
      <c r="F238" s="1318"/>
      <c r="G238" s="1318"/>
      <c r="H238" s="1318"/>
      <c r="I238" s="1318"/>
      <c r="J238" s="1318"/>
      <c r="K238" s="1318"/>
      <c r="L238" s="1318"/>
      <c r="M238" s="1318"/>
      <c r="N238" s="1318"/>
      <c r="O238" s="1318"/>
      <c r="P238" s="1318"/>
      <c r="Q238" s="1318"/>
      <c r="R238" s="1318"/>
      <c r="S238" s="1318"/>
      <c r="T238" s="1318"/>
      <c r="U238" s="1318"/>
      <c r="V238" s="1318"/>
      <c r="W238" s="1318"/>
    </row>
    <row r="239" spans="1:23" x14ac:dyDescent="0.25">
      <c r="A239" s="1146" t="s">
        <v>2220</v>
      </c>
      <c r="B239" s="1146"/>
      <c r="C239" s="1146"/>
      <c r="D239" s="1146"/>
      <c r="E239" s="1146"/>
      <c r="F239" s="1146"/>
      <c r="G239" s="1146"/>
      <c r="H239" s="1146"/>
      <c r="I239" s="1146"/>
      <c r="J239" s="1146"/>
      <c r="K239" s="1146"/>
      <c r="L239" s="1146"/>
      <c r="M239" s="1146"/>
      <c r="N239" s="1146"/>
      <c r="O239" s="1146"/>
      <c r="P239" s="1146"/>
      <c r="Q239" s="1146"/>
      <c r="R239" s="1146"/>
      <c r="S239" s="1146"/>
      <c r="T239" s="1146"/>
      <c r="U239" s="1146"/>
      <c r="V239" s="1146"/>
      <c r="W239" s="1146"/>
    </row>
    <row r="240" spans="1:23" x14ac:dyDescent="0.25">
      <c r="A240" s="1122"/>
      <c r="B240" s="1316"/>
      <c r="C240" s="1316"/>
      <c r="D240" s="1316"/>
      <c r="E240" s="1316"/>
      <c r="F240" s="1316"/>
      <c r="G240" s="1316"/>
      <c r="H240" s="1316"/>
      <c r="I240" s="1316"/>
      <c r="J240" s="1316"/>
      <c r="K240" s="1316"/>
      <c r="L240" s="1316"/>
      <c r="M240" s="1316"/>
      <c r="N240" s="1316"/>
      <c r="O240" s="1316"/>
      <c r="P240" s="1316"/>
      <c r="Q240" s="1316"/>
      <c r="R240" s="1316"/>
      <c r="S240" s="1316"/>
      <c r="T240" s="1316"/>
      <c r="U240" s="1316"/>
      <c r="V240" s="1316"/>
      <c r="W240" s="1316"/>
    </row>
    <row r="241" spans="1:23" x14ac:dyDescent="0.25">
      <c r="A241" s="1122"/>
      <c r="B241" s="1140"/>
      <c r="C241" s="1140"/>
      <c r="D241" s="1140"/>
      <c r="E241" s="1140"/>
      <c r="F241" s="1140"/>
      <c r="G241" s="1140"/>
      <c r="H241" s="1140"/>
      <c r="I241" s="1140"/>
      <c r="J241" s="1140"/>
      <c r="K241" s="1140"/>
      <c r="L241" s="1140"/>
      <c r="M241" s="1140"/>
      <c r="N241" s="1140"/>
      <c r="O241" s="1140"/>
      <c r="P241" s="1140"/>
      <c r="Q241" s="1140"/>
      <c r="R241" s="1140"/>
      <c r="S241" s="1140"/>
      <c r="T241" s="1140"/>
      <c r="U241" s="1140"/>
      <c r="V241" s="1140"/>
      <c r="W241" s="1140"/>
    </row>
    <row r="242" spans="1:23" ht="45" customHeight="1" x14ac:dyDescent="0.25">
      <c r="A242" s="1130">
        <v>6</v>
      </c>
      <c r="B242" s="1317" t="s">
        <v>2218</v>
      </c>
      <c r="C242" s="1317"/>
      <c r="D242" s="1317"/>
      <c r="E242" s="1317"/>
      <c r="F242" s="1317"/>
      <c r="G242" s="1317"/>
      <c r="H242" s="1317"/>
      <c r="I242" s="1317"/>
      <c r="J242" s="1317"/>
      <c r="K242" s="1317"/>
      <c r="L242" s="1317"/>
      <c r="M242" s="1317"/>
      <c r="N242" s="1317"/>
      <c r="O242" s="1317"/>
      <c r="P242" s="1317"/>
      <c r="Q242" s="1317"/>
      <c r="R242" s="1317"/>
      <c r="S242" s="1317"/>
      <c r="T242" s="1317"/>
      <c r="U242" s="1317"/>
      <c r="V242" s="1317"/>
      <c r="W242" s="1317"/>
    </row>
    <row r="243" spans="1:23" x14ac:dyDescent="0.25">
      <c r="A243" s="1122"/>
      <c r="B243" s="1318"/>
      <c r="C243" s="1318"/>
      <c r="D243" s="1318"/>
      <c r="E243" s="1318"/>
      <c r="F243" s="1318"/>
      <c r="G243" s="1318"/>
      <c r="H243" s="1318"/>
      <c r="I243" s="1318"/>
      <c r="J243" s="1318"/>
      <c r="K243" s="1318"/>
      <c r="L243" s="1318"/>
      <c r="M243" s="1318"/>
      <c r="N243" s="1318"/>
      <c r="O243" s="1318"/>
      <c r="P243" s="1318"/>
      <c r="Q243" s="1318"/>
      <c r="R243" s="1318"/>
      <c r="S243" s="1318"/>
      <c r="T243" s="1318"/>
      <c r="U243" s="1318"/>
      <c r="V243" s="1318"/>
      <c r="W243" s="1318"/>
    </row>
    <row r="244" spans="1:23" x14ac:dyDescent="0.25">
      <c r="A244" s="1146" t="s">
        <v>2220</v>
      </c>
      <c r="B244" s="1146"/>
      <c r="C244" s="1146"/>
      <c r="D244" s="1146"/>
      <c r="E244" s="1146"/>
      <c r="F244" s="1146"/>
      <c r="G244" s="1146"/>
      <c r="H244" s="1146"/>
      <c r="I244" s="1146"/>
      <c r="J244" s="1146"/>
      <c r="K244" s="1146"/>
      <c r="L244" s="1146"/>
      <c r="M244" s="1146"/>
      <c r="N244" s="1146"/>
      <c r="O244" s="1146"/>
      <c r="P244" s="1146"/>
      <c r="Q244" s="1146"/>
      <c r="R244" s="1146"/>
      <c r="S244" s="1146"/>
      <c r="T244" s="1146"/>
      <c r="U244" s="1146"/>
      <c r="V244" s="1146"/>
      <c r="W244" s="1146"/>
    </row>
    <row r="245" spans="1:23" x14ac:dyDescent="0.25">
      <c r="A245" s="1141"/>
      <c r="B245" s="1297"/>
      <c r="C245" s="1297"/>
      <c r="D245" s="1297"/>
      <c r="E245" s="1297"/>
      <c r="F245" s="1297"/>
      <c r="G245" s="1297"/>
      <c r="H245" s="1297"/>
      <c r="I245" s="1297"/>
      <c r="J245" s="1297"/>
      <c r="K245" s="1297"/>
      <c r="L245" s="1297"/>
      <c r="M245" s="1297"/>
      <c r="N245" s="1297"/>
      <c r="O245" s="1297"/>
      <c r="P245" s="1297"/>
      <c r="Q245" s="1297"/>
      <c r="R245" s="1297"/>
      <c r="S245" s="1297"/>
      <c r="T245" s="1297"/>
      <c r="U245" s="1297"/>
      <c r="V245" s="1297"/>
      <c r="W245" s="1297"/>
    </row>
    <row r="246" spans="1:23" x14ac:dyDescent="0.25">
      <c r="A246" s="1141"/>
      <c r="B246" s="1297"/>
      <c r="C246" s="1297"/>
      <c r="D246" s="1297"/>
      <c r="E246" s="1297"/>
      <c r="F246" s="1297"/>
      <c r="G246" s="1297"/>
      <c r="H246" s="1297"/>
      <c r="I246" s="1297"/>
      <c r="J246" s="1297"/>
      <c r="K246" s="1297"/>
      <c r="L246" s="1297"/>
      <c r="M246" s="1297"/>
      <c r="N246" s="1297"/>
      <c r="O246" s="1297"/>
      <c r="P246" s="1297"/>
      <c r="Q246" s="1297"/>
      <c r="R246" s="1297"/>
      <c r="S246" s="1297"/>
      <c r="T246" s="1297"/>
      <c r="U246" s="1297"/>
      <c r="V246" s="1297"/>
      <c r="W246" s="1297"/>
    </row>
  </sheetData>
  <mergeCells count="382">
    <mergeCell ref="B7:D7"/>
    <mergeCell ref="E7:W7"/>
    <mergeCell ref="A10:V10"/>
    <mergeCell ref="B11:W11"/>
    <mergeCell ref="B12:W12"/>
    <mergeCell ref="A13:V13"/>
    <mergeCell ref="A1:C1"/>
    <mergeCell ref="A3:W3"/>
    <mergeCell ref="A4:W4"/>
    <mergeCell ref="B6:D6"/>
    <mergeCell ref="E6:W6"/>
    <mergeCell ref="B21:L21"/>
    <mergeCell ref="M21:W21"/>
    <mergeCell ref="B22:L22"/>
    <mergeCell ref="M22:W22"/>
    <mergeCell ref="B23:L23"/>
    <mergeCell ref="M23:W23"/>
    <mergeCell ref="B14:W14"/>
    <mergeCell ref="A15:V15"/>
    <mergeCell ref="B16:W16"/>
    <mergeCell ref="B17:W17"/>
    <mergeCell ref="A18:V18"/>
    <mergeCell ref="B19:W19"/>
    <mergeCell ref="B31:D31"/>
    <mergeCell ref="E31:M31"/>
    <mergeCell ref="N31:W31"/>
    <mergeCell ref="A32:D32"/>
    <mergeCell ref="E32:M32"/>
    <mergeCell ref="N32:W32"/>
    <mergeCell ref="B24:L24"/>
    <mergeCell ref="M24:W24"/>
    <mergeCell ref="B25:L25"/>
    <mergeCell ref="M25:W25"/>
    <mergeCell ref="B28:M28"/>
    <mergeCell ref="B30:D30"/>
    <mergeCell ref="E30:M30"/>
    <mergeCell ref="N30:W30"/>
    <mergeCell ref="B43:C43"/>
    <mergeCell ref="D43:E43"/>
    <mergeCell ref="B46:W46"/>
    <mergeCell ref="A48:D48"/>
    <mergeCell ref="E48:M48"/>
    <mergeCell ref="N48:W48"/>
    <mergeCell ref="A33:D33"/>
    <mergeCell ref="E33:M33"/>
    <mergeCell ref="N33:W33"/>
    <mergeCell ref="A37:W37"/>
    <mergeCell ref="A38:W38"/>
    <mergeCell ref="B41:W41"/>
    <mergeCell ref="A51:D51"/>
    <mergeCell ref="E51:M51"/>
    <mergeCell ref="N51:W51"/>
    <mergeCell ref="A52:D52"/>
    <mergeCell ref="E52:M52"/>
    <mergeCell ref="N52:W52"/>
    <mergeCell ref="A49:D49"/>
    <mergeCell ref="E49:M49"/>
    <mergeCell ref="N49:W49"/>
    <mergeCell ref="A50:D50"/>
    <mergeCell ref="E50:M50"/>
    <mergeCell ref="N50:W50"/>
    <mergeCell ref="A55:D55"/>
    <mergeCell ref="E55:M55"/>
    <mergeCell ref="N55:W55"/>
    <mergeCell ref="A56:D56"/>
    <mergeCell ref="E56:M56"/>
    <mergeCell ref="N56:W56"/>
    <mergeCell ref="A53:D53"/>
    <mergeCell ref="E53:M53"/>
    <mergeCell ref="N53:W53"/>
    <mergeCell ref="A54:D54"/>
    <mergeCell ref="E54:M54"/>
    <mergeCell ref="N54:W54"/>
    <mergeCell ref="B60:W60"/>
    <mergeCell ref="B62:W64"/>
    <mergeCell ref="A66:C66"/>
    <mergeCell ref="N66:W66"/>
    <mergeCell ref="A57:D57"/>
    <mergeCell ref="E57:M57"/>
    <mergeCell ref="N57:W57"/>
    <mergeCell ref="A58:D58"/>
    <mergeCell ref="E58:M58"/>
    <mergeCell ref="A59:D59"/>
    <mergeCell ref="E59:M59"/>
    <mergeCell ref="A69:C69"/>
    <mergeCell ref="N69:W69"/>
    <mergeCell ref="A70:C70"/>
    <mergeCell ref="N70:W70"/>
    <mergeCell ref="K69:M69"/>
    <mergeCell ref="K70:M70"/>
    <mergeCell ref="A67:C67"/>
    <mergeCell ref="N67:W67"/>
    <mergeCell ref="A68:C68"/>
    <mergeCell ref="N68:W68"/>
    <mergeCell ref="B73:W73"/>
    <mergeCell ref="B74:W74"/>
    <mergeCell ref="B75:W75"/>
    <mergeCell ref="B76:W76"/>
    <mergeCell ref="B77:W77"/>
    <mergeCell ref="B78:W78"/>
    <mergeCell ref="A71:C71"/>
    <mergeCell ref="N71:W71"/>
    <mergeCell ref="A72:C72"/>
    <mergeCell ref="D72:E72"/>
    <mergeCell ref="L72:M72"/>
    <mergeCell ref="N72:W72"/>
    <mergeCell ref="K71:M71"/>
    <mergeCell ref="A88:D88"/>
    <mergeCell ref="E88:M88"/>
    <mergeCell ref="N88:W88"/>
    <mergeCell ref="A89:D89"/>
    <mergeCell ref="E89:M89"/>
    <mergeCell ref="N89:W89"/>
    <mergeCell ref="B80:W80"/>
    <mergeCell ref="B81:W81"/>
    <mergeCell ref="B82:W82"/>
    <mergeCell ref="B83:W83"/>
    <mergeCell ref="B84:W84"/>
    <mergeCell ref="B86:W86"/>
    <mergeCell ref="A92:D92"/>
    <mergeCell ref="E92:M92"/>
    <mergeCell ref="N92:W92"/>
    <mergeCell ref="A93:D93"/>
    <mergeCell ref="E93:M93"/>
    <mergeCell ref="N93:W93"/>
    <mergeCell ref="A90:D90"/>
    <mergeCell ref="E90:M90"/>
    <mergeCell ref="N90:W90"/>
    <mergeCell ref="A91:D91"/>
    <mergeCell ref="E91:M91"/>
    <mergeCell ref="N91:W91"/>
    <mergeCell ref="B96:W96"/>
    <mergeCell ref="A97:D97"/>
    <mergeCell ref="E97:M97"/>
    <mergeCell ref="N97:W97"/>
    <mergeCell ref="A100:D100"/>
    <mergeCell ref="E100:M100"/>
    <mergeCell ref="N100:W100"/>
    <mergeCell ref="A94:D94"/>
    <mergeCell ref="E94:M94"/>
    <mergeCell ref="N94:W94"/>
    <mergeCell ref="A95:D95"/>
    <mergeCell ref="E95:M95"/>
    <mergeCell ref="N95:W95"/>
    <mergeCell ref="A103:D103"/>
    <mergeCell ref="E103:M103"/>
    <mergeCell ref="N103:W103"/>
    <mergeCell ref="B106:W106"/>
    <mergeCell ref="A110:D110"/>
    <mergeCell ref="E110:L110"/>
    <mergeCell ref="M110:W110"/>
    <mergeCell ref="A101:D101"/>
    <mergeCell ref="E101:M101"/>
    <mergeCell ref="N101:W101"/>
    <mergeCell ref="A102:D102"/>
    <mergeCell ref="E102:M102"/>
    <mergeCell ref="N102:W102"/>
    <mergeCell ref="A116:W116"/>
    <mergeCell ref="A117:W117"/>
    <mergeCell ref="B119:W119"/>
    <mergeCell ref="A123:I124"/>
    <mergeCell ref="J123:P124"/>
    <mergeCell ref="Q123:W124"/>
    <mergeCell ref="A111:D111"/>
    <mergeCell ref="E111:L111"/>
    <mergeCell ref="M111:W111"/>
    <mergeCell ref="A112:D112"/>
    <mergeCell ref="E112:L112"/>
    <mergeCell ref="M112:W112"/>
    <mergeCell ref="A129:I129"/>
    <mergeCell ref="J129:P129"/>
    <mergeCell ref="A127:I127"/>
    <mergeCell ref="A128:I128"/>
    <mergeCell ref="J127:P127"/>
    <mergeCell ref="J128:P128"/>
    <mergeCell ref="A125:I125"/>
    <mergeCell ref="A126:I126"/>
    <mergeCell ref="J125:P125"/>
    <mergeCell ref="J126:P126"/>
    <mergeCell ref="A134:D134"/>
    <mergeCell ref="E134:M134"/>
    <mergeCell ref="N134:W134"/>
    <mergeCell ref="A135:D135"/>
    <mergeCell ref="E135:M135"/>
    <mergeCell ref="N135:W135"/>
    <mergeCell ref="A130:E130"/>
    <mergeCell ref="L130:N130"/>
    <mergeCell ref="B132:W132"/>
    <mergeCell ref="A138:D138"/>
    <mergeCell ref="E138:M138"/>
    <mergeCell ref="N138:W138"/>
    <mergeCell ref="A139:D139"/>
    <mergeCell ref="E139:M139"/>
    <mergeCell ref="N139:W139"/>
    <mergeCell ref="A136:D136"/>
    <mergeCell ref="E136:M136"/>
    <mergeCell ref="N136:W136"/>
    <mergeCell ref="A137:D137"/>
    <mergeCell ref="E137:M137"/>
    <mergeCell ref="N137:W137"/>
    <mergeCell ref="A151:L151"/>
    <mergeCell ref="A152:L152"/>
    <mergeCell ref="R151:W151"/>
    <mergeCell ref="R152:W152"/>
    <mergeCell ref="A149:L149"/>
    <mergeCell ref="A150:L150"/>
    <mergeCell ref="R150:W150"/>
    <mergeCell ref="A140:D140"/>
    <mergeCell ref="E140:M140"/>
    <mergeCell ref="N140:W140"/>
    <mergeCell ref="B143:W143"/>
    <mergeCell ref="B144:W144"/>
    <mergeCell ref="A147:L148"/>
    <mergeCell ref="M147:W147"/>
    <mergeCell ref="M150:Q150"/>
    <mergeCell ref="M151:Q151"/>
    <mergeCell ref="M152:Q152"/>
    <mergeCell ref="R148:W148"/>
    <mergeCell ref="R149:W149"/>
    <mergeCell ref="E166:L166"/>
    <mergeCell ref="A167:B170"/>
    <mergeCell ref="C167:D170"/>
    <mergeCell ref="E167:L167"/>
    <mergeCell ref="M170:Q170"/>
    <mergeCell ref="E163:L163"/>
    <mergeCell ref="E164:L164"/>
    <mergeCell ref="E165:L165"/>
    <mergeCell ref="A153:L153"/>
    <mergeCell ref="B157:W157"/>
    <mergeCell ref="A161:B166"/>
    <mergeCell ref="C161:W161"/>
    <mergeCell ref="C162:D166"/>
    <mergeCell ref="E162:L162"/>
    <mergeCell ref="M153:Q153"/>
    <mergeCell ref="A171:B174"/>
    <mergeCell ref="C171:D174"/>
    <mergeCell ref="E171:L171"/>
    <mergeCell ref="E172:L172"/>
    <mergeCell ref="E173:L173"/>
    <mergeCell ref="E174:L174"/>
    <mergeCell ref="E168:L168"/>
    <mergeCell ref="E169:L169"/>
    <mergeCell ref="E170:L170"/>
    <mergeCell ref="B177:W177"/>
    <mergeCell ref="A181:D182"/>
    <mergeCell ref="E181:M181"/>
    <mergeCell ref="N181:W181"/>
    <mergeCell ref="A183:D183"/>
    <mergeCell ref="E182:H182"/>
    <mergeCell ref="I182:L182"/>
    <mergeCell ref="I183:L183"/>
    <mergeCell ref="E183:H183"/>
    <mergeCell ref="N182:Q182"/>
    <mergeCell ref="N183:Q183"/>
    <mergeCell ref="V182:W182"/>
    <mergeCell ref="V183:W183"/>
    <mergeCell ref="B192:W192"/>
    <mergeCell ref="B193:W193"/>
    <mergeCell ref="B194:W194"/>
    <mergeCell ref="B195:W195"/>
    <mergeCell ref="B196:W196"/>
    <mergeCell ref="B197:W197"/>
    <mergeCell ref="A184:D184"/>
    <mergeCell ref="A185:D185"/>
    <mergeCell ref="A186:D186"/>
    <mergeCell ref="A187:D187"/>
    <mergeCell ref="B189:W189"/>
    <mergeCell ref="I184:L184"/>
    <mergeCell ref="I185:L185"/>
    <mergeCell ref="I186:L186"/>
    <mergeCell ref="I187:L187"/>
    <mergeCell ref="E184:H184"/>
    <mergeCell ref="E185:H185"/>
    <mergeCell ref="E186:H186"/>
    <mergeCell ref="E187:H187"/>
    <mergeCell ref="N184:Q184"/>
    <mergeCell ref="N185:Q185"/>
    <mergeCell ref="N186:Q186"/>
    <mergeCell ref="N187:Q187"/>
    <mergeCell ref="V184:W184"/>
    <mergeCell ref="A208:D208"/>
    <mergeCell ref="E208:M208"/>
    <mergeCell ref="N208:W208"/>
    <mergeCell ref="A209:D209"/>
    <mergeCell ref="E209:M209"/>
    <mergeCell ref="N209:W209"/>
    <mergeCell ref="B198:W198"/>
    <mergeCell ref="B199:W199"/>
    <mergeCell ref="B200:W200"/>
    <mergeCell ref="B201:W201"/>
    <mergeCell ref="B203:W203"/>
    <mergeCell ref="A207:D207"/>
    <mergeCell ref="E207:M207"/>
    <mergeCell ref="N207:W207"/>
    <mergeCell ref="A212:D212"/>
    <mergeCell ref="E212:M212"/>
    <mergeCell ref="N212:W212"/>
    <mergeCell ref="A214:W214"/>
    <mergeCell ref="B215:W215"/>
    <mergeCell ref="A210:D210"/>
    <mergeCell ref="E210:M210"/>
    <mergeCell ref="N210:W210"/>
    <mergeCell ref="A211:D211"/>
    <mergeCell ref="E211:M211"/>
    <mergeCell ref="N211:W211"/>
    <mergeCell ref="A225:D225"/>
    <mergeCell ref="E225:M225"/>
    <mergeCell ref="N225:W225"/>
    <mergeCell ref="A226:D226"/>
    <mergeCell ref="E226:M226"/>
    <mergeCell ref="N226:W226"/>
    <mergeCell ref="B217:W217"/>
    <mergeCell ref="B219:W219"/>
    <mergeCell ref="A223:D224"/>
    <mergeCell ref="E223:W223"/>
    <mergeCell ref="E224:M224"/>
    <mergeCell ref="N224:W224"/>
    <mergeCell ref="B222:W222"/>
    <mergeCell ref="N229:W229"/>
    <mergeCell ref="A230:D230"/>
    <mergeCell ref="E230:M230"/>
    <mergeCell ref="N230:W230"/>
    <mergeCell ref="A227:D227"/>
    <mergeCell ref="E227:M227"/>
    <mergeCell ref="N227:W227"/>
    <mergeCell ref="A228:D228"/>
    <mergeCell ref="E228:M228"/>
    <mergeCell ref="N228:W228"/>
    <mergeCell ref="B246:W246"/>
    <mergeCell ref="D66:J66"/>
    <mergeCell ref="D67:J67"/>
    <mergeCell ref="D68:J68"/>
    <mergeCell ref="D69:J69"/>
    <mergeCell ref="D70:J70"/>
    <mergeCell ref="D71:J71"/>
    <mergeCell ref="K66:M66"/>
    <mergeCell ref="K67:M67"/>
    <mergeCell ref="K68:M68"/>
    <mergeCell ref="B240:W240"/>
    <mergeCell ref="B242:W242"/>
    <mergeCell ref="B243:W243"/>
    <mergeCell ref="B245:W245"/>
    <mergeCell ref="A232:W232"/>
    <mergeCell ref="B233:W233"/>
    <mergeCell ref="B234:W234"/>
    <mergeCell ref="B235:W235"/>
    <mergeCell ref="B237:W237"/>
    <mergeCell ref="B238:W238"/>
    <mergeCell ref="A229:D229"/>
    <mergeCell ref="E229:M229"/>
    <mergeCell ref="M148:Q148"/>
    <mergeCell ref="M149:Q149"/>
    <mergeCell ref="Q125:W125"/>
    <mergeCell ref="Q126:W126"/>
    <mergeCell ref="Q127:W127"/>
    <mergeCell ref="Q128:W128"/>
    <mergeCell ref="Q129:W129"/>
    <mergeCell ref="M171:Q171"/>
    <mergeCell ref="M172:Q172"/>
    <mergeCell ref="M173:Q173"/>
    <mergeCell ref="M174:Q174"/>
    <mergeCell ref="R162:W166"/>
    <mergeCell ref="R167:W170"/>
    <mergeCell ref="R171:W174"/>
    <mergeCell ref="R153:W153"/>
    <mergeCell ref="M162:Q162"/>
    <mergeCell ref="M163:Q163"/>
    <mergeCell ref="M164:Q164"/>
    <mergeCell ref="M165:Q165"/>
    <mergeCell ref="M166:Q166"/>
    <mergeCell ref="M167:Q167"/>
    <mergeCell ref="M168:Q168"/>
    <mergeCell ref="M169:Q169"/>
    <mergeCell ref="V185:W185"/>
    <mergeCell ref="V186:W186"/>
    <mergeCell ref="V187:W187"/>
    <mergeCell ref="R182:U182"/>
    <mergeCell ref="R183:U183"/>
    <mergeCell ref="R184:U184"/>
    <mergeCell ref="R185:U185"/>
    <mergeCell ref="R186:U186"/>
    <mergeCell ref="R187:U187"/>
  </mergeCells>
  <dataValidations count="2">
    <dataValidation type="custom" allowBlank="1" showInputMessage="1" showErrorMessage="1" errorTitle="UPOZORNENIE" error="Pokúšate sa zmeniť bunku s automatickým výpočtom!" sqref="N135:W135 JQ135:JS135 TM135:TO135 ADI135:ADK135 ANE135:ANG135 AXA135:AXC135 BGW135:BGY135 BQS135:BQU135 CAO135:CAQ135 CKK135:CKM135 CUG135:CUI135 DEC135:DEE135 DNY135:DOA135 DXU135:DXW135 EHQ135:EHS135 ERM135:ERO135 FBI135:FBK135 FLE135:FLG135 FVA135:FVC135 GEW135:GEY135 GOS135:GOU135 GYO135:GYQ135 HIK135:HIM135 HSG135:HSI135 ICC135:ICE135 ILY135:IMA135 IVU135:IVW135 JFQ135:JFS135 JPM135:JPO135 JZI135:JZK135 KJE135:KJG135 KTA135:KTC135 LCW135:LCY135 LMS135:LMU135 LWO135:LWQ135 MGK135:MGM135 MQG135:MQI135 NAC135:NAE135 NJY135:NKA135 NTU135:NTW135 ODQ135:ODS135 ONM135:ONO135 OXI135:OXK135 PHE135:PHG135 PRA135:PRC135 QAW135:QAY135 QKS135:QKU135 QUO135:QUQ135 REK135:REM135 ROG135:ROI135 RYC135:RYE135 SHY135:SIA135 SRU135:SRW135 TBQ135:TBS135 TLM135:TLO135 TVI135:TVK135 UFE135:UFG135 UPA135:UPC135 UYW135:UYY135 VIS135:VIU135 VSO135:VSQ135 WCK135:WCM135 WMG135:WMI135 WWC135:WWE135 N65679:W65679 JQ65679:JS65679 TM65679:TO65679 ADI65679:ADK65679 ANE65679:ANG65679 AXA65679:AXC65679 BGW65679:BGY65679 BQS65679:BQU65679 CAO65679:CAQ65679 CKK65679:CKM65679 CUG65679:CUI65679 DEC65679:DEE65679 DNY65679:DOA65679 DXU65679:DXW65679 EHQ65679:EHS65679 ERM65679:ERO65679 FBI65679:FBK65679 FLE65679:FLG65679 FVA65679:FVC65679 GEW65679:GEY65679 GOS65679:GOU65679 GYO65679:GYQ65679 HIK65679:HIM65679 HSG65679:HSI65679 ICC65679:ICE65679 ILY65679:IMA65679 IVU65679:IVW65679 JFQ65679:JFS65679 JPM65679:JPO65679 JZI65679:JZK65679 KJE65679:KJG65679 KTA65679:KTC65679 LCW65679:LCY65679 LMS65679:LMU65679 LWO65679:LWQ65679 MGK65679:MGM65679 MQG65679:MQI65679 NAC65679:NAE65679 NJY65679:NKA65679 NTU65679:NTW65679 ODQ65679:ODS65679 ONM65679:ONO65679 OXI65679:OXK65679 PHE65679:PHG65679 PRA65679:PRC65679 QAW65679:QAY65679 QKS65679:QKU65679 QUO65679:QUQ65679 REK65679:REM65679 ROG65679:ROI65679 RYC65679:RYE65679 SHY65679:SIA65679 SRU65679:SRW65679 TBQ65679:TBS65679 TLM65679:TLO65679 TVI65679:TVK65679 UFE65679:UFG65679 UPA65679:UPC65679 UYW65679:UYY65679 VIS65679:VIU65679 VSO65679:VSQ65679 WCK65679:WCM65679 WMG65679:WMI65679 WWC65679:WWE65679 N131215:W131215 JQ131215:JS131215 TM131215:TO131215 ADI131215:ADK131215 ANE131215:ANG131215 AXA131215:AXC131215 BGW131215:BGY131215 BQS131215:BQU131215 CAO131215:CAQ131215 CKK131215:CKM131215 CUG131215:CUI131215 DEC131215:DEE131215 DNY131215:DOA131215 DXU131215:DXW131215 EHQ131215:EHS131215 ERM131215:ERO131215 FBI131215:FBK131215 FLE131215:FLG131215 FVA131215:FVC131215 GEW131215:GEY131215 GOS131215:GOU131215 GYO131215:GYQ131215 HIK131215:HIM131215 HSG131215:HSI131215 ICC131215:ICE131215 ILY131215:IMA131215 IVU131215:IVW131215 JFQ131215:JFS131215 JPM131215:JPO131215 JZI131215:JZK131215 KJE131215:KJG131215 KTA131215:KTC131215 LCW131215:LCY131215 LMS131215:LMU131215 LWO131215:LWQ131215 MGK131215:MGM131215 MQG131215:MQI131215 NAC131215:NAE131215 NJY131215:NKA131215 NTU131215:NTW131215 ODQ131215:ODS131215 ONM131215:ONO131215 OXI131215:OXK131215 PHE131215:PHG131215 PRA131215:PRC131215 QAW131215:QAY131215 QKS131215:QKU131215 QUO131215:QUQ131215 REK131215:REM131215 ROG131215:ROI131215 RYC131215:RYE131215 SHY131215:SIA131215 SRU131215:SRW131215 TBQ131215:TBS131215 TLM131215:TLO131215 TVI131215:TVK131215 UFE131215:UFG131215 UPA131215:UPC131215 UYW131215:UYY131215 VIS131215:VIU131215 VSO131215:VSQ131215 WCK131215:WCM131215 WMG131215:WMI131215 WWC131215:WWE131215 N196751:W196751 JQ196751:JS196751 TM196751:TO196751 ADI196751:ADK196751 ANE196751:ANG196751 AXA196751:AXC196751 BGW196751:BGY196751 BQS196751:BQU196751 CAO196751:CAQ196751 CKK196751:CKM196751 CUG196751:CUI196751 DEC196751:DEE196751 DNY196751:DOA196751 DXU196751:DXW196751 EHQ196751:EHS196751 ERM196751:ERO196751 FBI196751:FBK196751 FLE196751:FLG196751 FVA196751:FVC196751 GEW196751:GEY196751 GOS196751:GOU196751 GYO196751:GYQ196751 HIK196751:HIM196751 HSG196751:HSI196751 ICC196751:ICE196751 ILY196751:IMA196751 IVU196751:IVW196751 JFQ196751:JFS196751 JPM196751:JPO196751 JZI196751:JZK196751 KJE196751:KJG196751 KTA196751:KTC196751 LCW196751:LCY196751 LMS196751:LMU196751 LWO196751:LWQ196751 MGK196751:MGM196751 MQG196751:MQI196751 NAC196751:NAE196751 NJY196751:NKA196751 NTU196751:NTW196751 ODQ196751:ODS196751 ONM196751:ONO196751 OXI196751:OXK196751 PHE196751:PHG196751 PRA196751:PRC196751 QAW196751:QAY196751 QKS196751:QKU196751 QUO196751:QUQ196751 REK196751:REM196751 ROG196751:ROI196751 RYC196751:RYE196751 SHY196751:SIA196751 SRU196751:SRW196751 TBQ196751:TBS196751 TLM196751:TLO196751 TVI196751:TVK196751 UFE196751:UFG196751 UPA196751:UPC196751 UYW196751:UYY196751 VIS196751:VIU196751 VSO196751:VSQ196751 WCK196751:WCM196751 WMG196751:WMI196751 WWC196751:WWE196751 N262287:W262287 JQ262287:JS262287 TM262287:TO262287 ADI262287:ADK262287 ANE262287:ANG262287 AXA262287:AXC262287 BGW262287:BGY262287 BQS262287:BQU262287 CAO262287:CAQ262287 CKK262287:CKM262287 CUG262287:CUI262287 DEC262287:DEE262287 DNY262287:DOA262287 DXU262287:DXW262287 EHQ262287:EHS262287 ERM262287:ERO262287 FBI262287:FBK262287 FLE262287:FLG262287 FVA262287:FVC262287 GEW262287:GEY262287 GOS262287:GOU262287 GYO262287:GYQ262287 HIK262287:HIM262287 HSG262287:HSI262287 ICC262287:ICE262287 ILY262287:IMA262287 IVU262287:IVW262287 JFQ262287:JFS262287 JPM262287:JPO262287 JZI262287:JZK262287 KJE262287:KJG262287 KTA262287:KTC262287 LCW262287:LCY262287 LMS262287:LMU262287 LWO262287:LWQ262287 MGK262287:MGM262287 MQG262287:MQI262287 NAC262287:NAE262287 NJY262287:NKA262287 NTU262287:NTW262287 ODQ262287:ODS262287 ONM262287:ONO262287 OXI262287:OXK262287 PHE262287:PHG262287 PRA262287:PRC262287 QAW262287:QAY262287 QKS262287:QKU262287 QUO262287:QUQ262287 REK262287:REM262287 ROG262287:ROI262287 RYC262287:RYE262287 SHY262287:SIA262287 SRU262287:SRW262287 TBQ262287:TBS262287 TLM262287:TLO262287 TVI262287:TVK262287 UFE262287:UFG262287 UPA262287:UPC262287 UYW262287:UYY262287 VIS262287:VIU262287 VSO262287:VSQ262287 WCK262287:WCM262287 WMG262287:WMI262287 WWC262287:WWE262287 N327823:W327823 JQ327823:JS327823 TM327823:TO327823 ADI327823:ADK327823 ANE327823:ANG327823 AXA327823:AXC327823 BGW327823:BGY327823 BQS327823:BQU327823 CAO327823:CAQ327823 CKK327823:CKM327823 CUG327823:CUI327823 DEC327823:DEE327823 DNY327823:DOA327823 DXU327823:DXW327823 EHQ327823:EHS327823 ERM327823:ERO327823 FBI327823:FBK327823 FLE327823:FLG327823 FVA327823:FVC327823 GEW327823:GEY327823 GOS327823:GOU327823 GYO327823:GYQ327823 HIK327823:HIM327823 HSG327823:HSI327823 ICC327823:ICE327823 ILY327823:IMA327823 IVU327823:IVW327823 JFQ327823:JFS327823 JPM327823:JPO327823 JZI327823:JZK327823 KJE327823:KJG327823 KTA327823:KTC327823 LCW327823:LCY327823 LMS327823:LMU327823 LWO327823:LWQ327823 MGK327823:MGM327823 MQG327823:MQI327823 NAC327823:NAE327823 NJY327823:NKA327823 NTU327823:NTW327823 ODQ327823:ODS327823 ONM327823:ONO327823 OXI327823:OXK327823 PHE327823:PHG327823 PRA327823:PRC327823 QAW327823:QAY327823 QKS327823:QKU327823 QUO327823:QUQ327823 REK327823:REM327823 ROG327823:ROI327823 RYC327823:RYE327823 SHY327823:SIA327823 SRU327823:SRW327823 TBQ327823:TBS327823 TLM327823:TLO327823 TVI327823:TVK327823 UFE327823:UFG327823 UPA327823:UPC327823 UYW327823:UYY327823 VIS327823:VIU327823 VSO327823:VSQ327823 WCK327823:WCM327823 WMG327823:WMI327823 WWC327823:WWE327823 N393359:W393359 JQ393359:JS393359 TM393359:TO393359 ADI393359:ADK393359 ANE393359:ANG393359 AXA393359:AXC393359 BGW393359:BGY393359 BQS393359:BQU393359 CAO393359:CAQ393359 CKK393359:CKM393359 CUG393359:CUI393359 DEC393359:DEE393359 DNY393359:DOA393359 DXU393359:DXW393359 EHQ393359:EHS393359 ERM393359:ERO393359 FBI393359:FBK393359 FLE393359:FLG393359 FVA393359:FVC393359 GEW393359:GEY393359 GOS393359:GOU393359 GYO393359:GYQ393359 HIK393359:HIM393359 HSG393359:HSI393359 ICC393359:ICE393359 ILY393359:IMA393359 IVU393359:IVW393359 JFQ393359:JFS393359 JPM393359:JPO393359 JZI393359:JZK393359 KJE393359:KJG393359 KTA393359:KTC393359 LCW393359:LCY393359 LMS393359:LMU393359 LWO393359:LWQ393359 MGK393359:MGM393359 MQG393359:MQI393359 NAC393359:NAE393359 NJY393359:NKA393359 NTU393359:NTW393359 ODQ393359:ODS393359 ONM393359:ONO393359 OXI393359:OXK393359 PHE393359:PHG393359 PRA393359:PRC393359 QAW393359:QAY393359 QKS393359:QKU393359 QUO393359:QUQ393359 REK393359:REM393359 ROG393359:ROI393359 RYC393359:RYE393359 SHY393359:SIA393359 SRU393359:SRW393359 TBQ393359:TBS393359 TLM393359:TLO393359 TVI393359:TVK393359 UFE393359:UFG393359 UPA393359:UPC393359 UYW393359:UYY393359 VIS393359:VIU393359 VSO393359:VSQ393359 WCK393359:WCM393359 WMG393359:WMI393359 WWC393359:WWE393359 N458895:W458895 JQ458895:JS458895 TM458895:TO458895 ADI458895:ADK458895 ANE458895:ANG458895 AXA458895:AXC458895 BGW458895:BGY458895 BQS458895:BQU458895 CAO458895:CAQ458895 CKK458895:CKM458895 CUG458895:CUI458895 DEC458895:DEE458895 DNY458895:DOA458895 DXU458895:DXW458895 EHQ458895:EHS458895 ERM458895:ERO458895 FBI458895:FBK458895 FLE458895:FLG458895 FVA458895:FVC458895 GEW458895:GEY458895 GOS458895:GOU458895 GYO458895:GYQ458895 HIK458895:HIM458895 HSG458895:HSI458895 ICC458895:ICE458895 ILY458895:IMA458895 IVU458895:IVW458895 JFQ458895:JFS458895 JPM458895:JPO458895 JZI458895:JZK458895 KJE458895:KJG458895 KTA458895:KTC458895 LCW458895:LCY458895 LMS458895:LMU458895 LWO458895:LWQ458895 MGK458895:MGM458895 MQG458895:MQI458895 NAC458895:NAE458895 NJY458895:NKA458895 NTU458895:NTW458895 ODQ458895:ODS458895 ONM458895:ONO458895 OXI458895:OXK458895 PHE458895:PHG458895 PRA458895:PRC458895 QAW458895:QAY458895 QKS458895:QKU458895 QUO458895:QUQ458895 REK458895:REM458895 ROG458895:ROI458895 RYC458895:RYE458895 SHY458895:SIA458895 SRU458895:SRW458895 TBQ458895:TBS458895 TLM458895:TLO458895 TVI458895:TVK458895 UFE458895:UFG458895 UPA458895:UPC458895 UYW458895:UYY458895 VIS458895:VIU458895 VSO458895:VSQ458895 WCK458895:WCM458895 WMG458895:WMI458895 WWC458895:WWE458895 N524431:W524431 JQ524431:JS524431 TM524431:TO524431 ADI524431:ADK524431 ANE524431:ANG524431 AXA524431:AXC524431 BGW524431:BGY524431 BQS524431:BQU524431 CAO524431:CAQ524431 CKK524431:CKM524431 CUG524431:CUI524431 DEC524431:DEE524431 DNY524431:DOA524431 DXU524431:DXW524431 EHQ524431:EHS524431 ERM524431:ERO524431 FBI524431:FBK524431 FLE524431:FLG524431 FVA524431:FVC524431 GEW524431:GEY524431 GOS524431:GOU524431 GYO524431:GYQ524431 HIK524431:HIM524431 HSG524431:HSI524431 ICC524431:ICE524431 ILY524431:IMA524431 IVU524431:IVW524431 JFQ524431:JFS524431 JPM524431:JPO524431 JZI524431:JZK524431 KJE524431:KJG524431 KTA524431:KTC524431 LCW524431:LCY524431 LMS524431:LMU524431 LWO524431:LWQ524431 MGK524431:MGM524431 MQG524431:MQI524431 NAC524431:NAE524431 NJY524431:NKA524431 NTU524431:NTW524431 ODQ524431:ODS524431 ONM524431:ONO524431 OXI524431:OXK524431 PHE524431:PHG524431 PRA524431:PRC524431 QAW524431:QAY524431 QKS524431:QKU524431 QUO524431:QUQ524431 REK524431:REM524431 ROG524431:ROI524431 RYC524431:RYE524431 SHY524431:SIA524431 SRU524431:SRW524431 TBQ524431:TBS524431 TLM524431:TLO524431 TVI524431:TVK524431 UFE524431:UFG524431 UPA524431:UPC524431 UYW524431:UYY524431 VIS524431:VIU524431 VSO524431:VSQ524431 WCK524431:WCM524431 WMG524431:WMI524431 WWC524431:WWE524431 N589967:W589967 JQ589967:JS589967 TM589967:TO589967 ADI589967:ADK589967 ANE589967:ANG589967 AXA589967:AXC589967 BGW589967:BGY589967 BQS589967:BQU589967 CAO589967:CAQ589967 CKK589967:CKM589967 CUG589967:CUI589967 DEC589967:DEE589967 DNY589967:DOA589967 DXU589967:DXW589967 EHQ589967:EHS589967 ERM589967:ERO589967 FBI589967:FBK589967 FLE589967:FLG589967 FVA589967:FVC589967 GEW589967:GEY589967 GOS589967:GOU589967 GYO589967:GYQ589967 HIK589967:HIM589967 HSG589967:HSI589967 ICC589967:ICE589967 ILY589967:IMA589967 IVU589967:IVW589967 JFQ589967:JFS589967 JPM589967:JPO589967 JZI589967:JZK589967 KJE589967:KJG589967 KTA589967:KTC589967 LCW589967:LCY589967 LMS589967:LMU589967 LWO589967:LWQ589967 MGK589967:MGM589967 MQG589967:MQI589967 NAC589967:NAE589967 NJY589967:NKA589967 NTU589967:NTW589967 ODQ589967:ODS589967 ONM589967:ONO589967 OXI589967:OXK589967 PHE589967:PHG589967 PRA589967:PRC589967 QAW589967:QAY589967 QKS589967:QKU589967 QUO589967:QUQ589967 REK589967:REM589967 ROG589967:ROI589967 RYC589967:RYE589967 SHY589967:SIA589967 SRU589967:SRW589967 TBQ589967:TBS589967 TLM589967:TLO589967 TVI589967:TVK589967 UFE589967:UFG589967 UPA589967:UPC589967 UYW589967:UYY589967 VIS589967:VIU589967 VSO589967:VSQ589967 WCK589967:WCM589967 WMG589967:WMI589967 WWC589967:WWE589967 N655503:W655503 JQ655503:JS655503 TM655503:TO655503 ADI655503:ADK655503 ANE655503:ANG655503 AXA655503:AXC655503 BGW655503:BGY655503 BQS655503:BQU655503 CAO655503:CAQ655503 CKK655503:CKM655503 CUG655503:CUI655503 DEC655503:DEE655503 DNY655503:DOA655503 DXU655503:DXW655503 EHQ655503:EHS655503 ERM655503:ERO655503 FBI655503:FBK655503 FLE655503:FLG655503 FVA655503:FVC655503 GEW655503:GEY655503 GOS655503:GOU655503 GYO655503:GYQ655503 HIK655503:HIM655503 HSG655503:HSI655503 ICC655503:ICE655503 ILY655503:IMA655503 IVU655503:IVW655503 JFQ655503:JFS655503 JPM655503:JPO655503 JZI655503:JZK655503 KJE655503:KJG655503 KTA655503:KTC655503 LCW655503:LCY655503 LMS655503:LMU655503 LWO655503:LWQ655503 MGK655503:MGM655503 MQG655503:MQI655503 NAC655503:NAE655503 NJY655503:NKA655503 NTU655503:NTW655503 ODQ655503:ODS655503 ONM655503:ONO655503 OXI655503:OXK655503 PHE655503:PHG655503 PRA655503:PRC655503 QAW655503:QAY655503 QKS655503:QKU655503 QUO655503:QUQ655503 REK655503:REM655503 ROG655503:ROI655503 RYC655503:RYE655503 SHY655503:SIA655503 SRU655503:SRW655503 TBQ655503:TBS655503 TLM655503:TLO655503 TVI655503:TVK655503 UFE655503:UFG655503 UPA655503:UPC655503 UYW655503:UYY655503 VIS655503:VIU655503 VSO655503:VSQ655503 WCK655503:WCM655503 WMG655503:WMI655503 WWC655503:WWE655503 N721039:W721039 JQ721039:JS721039 TM721039:TO721039 ADI721039:ADK721039 ANE721039:ANG721039 AXA721039:AXC721039 BGW721039:BGY721039 BQS721039:BQU721039 CAO721039:CAQ721039 CKK721039:CKM721039 CUG721039:CUI721039 DEC721039:DEE721039 DNY721039:DOA721039 DXU721039:DXW721039 EHQ721039:EHS721039 ERM721039:ERO721039 FBI721039:FBK721039 FLE721039:FLG721039 FVA721039:FVC721039 GEW721039:GEY721039 GOS721039:GOU721039 GYO721039:GYQ721039 HIK721039:HIM721039 HSG721039:HSI721039 ICC721039:ICE721039 ILY721039:IMA721039 IVU721039:IVW721039 JFQ721039:JFS721039 JPM721039:JPO721039 JZI721039:JZK721039 KJE721039:KJG721039 KTA721039:KTC721039 LCW721039:LCY721039 LMS721039:LMU721039 LWO721039:LWQ721039 MGK721039:MGM721039 MQG721039:MQI721039 NAC721039:NAE721039 NJY721039:NKA721039 NTU721039:NTW721039 ODQ721039:ODS721039 ONM721039:ONO721039 OXI721039:OXK721039 PHE721039:PHG721039 PRA721039:PRC721039 QAW721039:QAY721039 QKS721039:QKU721039 QUO721039:QUQ721039 REK721039:REM721039 ROG721039:ROI721039 RYC721039:RYE721039 SHY721039:SIA721039 SRU721039:SRW721039 TBQ721039:TBS721039 TLM721039:TLO721039 TVI721039:TVK721039 UFE721039:UFG721039 UPA721039:UPC721039 UYW721039:UYY721039 VIS721039:VIU721039 VSO721039:VSQ721039 WCK721039:WCM721039 WMG721039:WMI721039 WWC721039:WWE721039 N786575:W786575 JQ786575:JS786575 TM786575:TO786575 ADI786575:ADK786575 ANE786575:ANG786575 AXA786575:AXC786575 BGW786575:BGY786575 BQS786575:BQU786575 CAO786575:CAQ786575 CKK786575:CKM786575 CUG786575:CUI786575 DEC786575:DEE786575 DNY786575:DOA786575 DXU786575:DXW786575 EHQ786575:EHS786575 ERM786575:ERO786575 FBI786575:FBK786575 FLE786575:FLG786575 FVA786575:FVC786575 GEW786575:GEY786575 GOS786575:GOU786575 GYO786575:GYQ786575 HIK786575:HIM786575 HSG786575:HSI786575 ICC786575:ICE786575 ILY786575:IMA786575 IVU786575:IVW786575 JFQ786575:JFS786575 JPM786575:JPO786575 JZI786575:JZK786575 KJE786575:KJG786575 KTA786575:KTC786575 LCW786575:LCY786575 LMS786575:LMU786575 LWO786575:LWQ786575 MGK786575:MGM786575 MQG786575:MQI786575 NAC786575:NAE786575 NJY786575:NKA786575 NTU786575:NTW786575 ODQ786575:ODS786575 ONM786575:ONO786575 OXI786575:OXK786575 PHE786575:PHG786575 PRA786575:PRC786575 QAW786575:QAY786575 QKS786575:QKU786575 QUO786575:QUQ786575 REK786575:REM786575 ROG786575:ROI786575 RYC786575:RYE786575 SHY786575:SIA786575 SRU786575:SRW786575 TBQ786575:TBS786575 TLM786575:TLO786575 TVI786575:TVK786575 UFE786575:UFG786575 UPA786575:UPC786575 UYW786575:UYY786575 VIS786575:VIU786575 VSO786575:VSQ786575 WCK786575:WCM786575 WMG786575:WMI786575 WWC786575:WWE786575 N852111:W852111 JQ852111:JS852111 TM852111:TO852111 ADI852111:ADK852111 ANE852111:ANG852111 AXA852111:AXC852111 BGW852111:BGY852111 BQS852111:BQU852111 CAO852111:CAQ852111 CKK852111:CKM852111 CUG852111:CUI852111 DEC852111:DEE852111 DNY852111:DOA852111 DXU852111:DXW852111 EHQ852111:EHS852111 ERM852111:ERO852111 FBI852111:FBK852111 FLE852111:FLG852111 FVA852111:FVC852111 GEW852111:GEY852111 GOS852111:GOU852111 GYO852111:GYQ852111 HIK852111:HIM852111 HSG852111:HSI852111 ICC852111:ICE852111 ILY852111:IMA852111 IVU852111:IVW852111 JFQ852111:JFS852111 JPM852111:JPO852111 JZI852111:JZK852111 KJE852111:KJG852111 KTA852111:KTC852111 LCW852111:LCY852111 LMS852111:LMU852111 LWO852111:LWQ852111 MGK852111:MGM852111 MQG852111:MQI852111 NAC852111:NAE852111 NJY852111:NKA852111 NTU852111:NTW852111 ODQ852111:ODS852111 ONM852111:ONO852111 OXI852111:OXK852111 PHE852111:PHG852111 PRA852111:PRC852111 QAW852111:QAY852111 QKS852111:QKU852111 QUO852111:QUQ852111 REK852111:REM852111 ROG852111:ROI852111 RYC852111:RYE852111 SHY852111:SIA852111 SRU852111:SRW852111 TBQ852111:TBS852111 TLM852111:TLO852111 TVI852111:TVK852111 UFE852111:UFG852111 UPA852111:UPC852111 UYW852111:UYY852111 VIS852111:VIU852111 VSO852111:VSQ852111 WCK852111:WCM852111 WMG852111:WMI852111 WWC852111:WWE852111 N917647:W917647 JQ917647:JS917647 TM917647:TO917647 ADI917647:ADK917647 ANE917647:ANG917647 AXA917647:AXC917647 BGW917647:BGY917647 BQS917647:BQU917647 CAO917647:CAQ917647 CKK917647:CKM917647 CUG917647:CUI917647 DEC917647:DEE917647 DNY917647:DOA917647 DXU917647:DXW917647 EHQ917647:EHS917647 ERM917647:ERO917647 FBI917647:FBK917647 FLE917647:FLG917647 FVA917647:FVC917647 GEW917647:GEY917647 GOS917647:GOU917647 GYO917647:GYQ917647 HIK917647:HIM917647 HSG917647:HSI917647 ICC917647:ICE917647 ILY917647:IMA917647 IVU917647:IVW917647 JFQ917647:JFS917647 JPM917647:JPO917647 JZI917647:JZK917647 KJE917647:KJG917647 KTA917647:KTC917647 LCW917647:LCY917647 LMS917647:LMU917647 LWO917647:LWQ917647 MGK917647:MGM917647 MQG917647:MQI917647 NAC917647:NAE917647 NJY917647:NKA917647 NTU917647:NTW917647 ODQ917647:ODS917647 ONM917647:ONO917647 OXI917647:OXK917647 PHE917647:PHG917647 PRA917647:PRC917647 QAW917647:QAY917647 QKS917647:QKU917647 QUO917647:QUQ917647 REK917647:REM917647 ROG917647:ROI917647 RYC917647:RYE917647 SHY917647:SIA917647 SRU917647:SRW917647 TBQ917647:TBS917647 TLM917647:TLO917647 TVI917647:TVK917647 UFE917647:UFG917647 UPA917647:UPC917647 UYW917647:UYY917647 VIS917647:VIU917647 VSO917647:VSQ917647 WCK917647:WCM917647 WMG917647:WMI917647 WWC917647:WWE917647 N983183:W983183 JQ983183:JS983183 TM983183:TO983183 ADI983183:ADK983183 ANE983183:ANG983183 AXA983183:AXC983183 BGW983183:BGY983183 BQS983183:BQU983183 CAO983183:CAQ983183 CKK983183:CKM983183 CUG983183:CUI983183 DEC983183:DEE983183 DNY983183:DOA983183 DXU983183:DXW983183 EHQ983183:EHS983183 ERM983183:ERO983183 FBI983183:FBK983183 FLE983183:FLG983183 FVA983183:FVC983183 GEW983183:GEY983183 GOS983183:GOU983183 GYO983183:GYQ983183 HIK983183:HIM983183 HSG983183:HSI983183 ICC983183:ICE983183 ILY983183:IMA983183 IVU983183:IVW983183 JFQ983183:JFS983183 JPM983183:JPO983183 JZI983183:JZK983183 KJE983183:KJG983183 KTA983183:KTC983183 LCW983183:LCY983183 LMS983183:LMU983183 LWO983183:LWQ983183 MGK983183:MGM983183 MQG983183:MQI983183 NAC983183:NAE983183 NJY983183:NKA983183 NTU983183:NTW983183 ODQ983183:ODS983183 ONM983183:ONO983183 OXI983183:OXK983183 PHE983183:PHG983183 PRA983183:PRC983183 QAW983183:QAY983183 QKS983183:QKU983183 QUO983183:QUQ983183 REK983183:REM983183 ROG983183:ROI983183 RYC983183:RYE983183 SHY983183:SIA983183 SRU983183:SRW983183 TBQ983183:TBS983183 TLM983183:TLO983183 TVI983183:TVK983183 UFE983183:UFG983183 UPA983183:UPC983183 UYW983183:UYY983183 VIS983183:VIU983183 VSO983183:VSQ983183 WCK983183:WCM983183 WMG983183:WMI983183 WWC983183:WWE983183">
      <formula1>"xy"</formula1>
    </dataValidation>
    <dataValidation type="custom" allowBlank="1" showInputMessage="1" showErrorMessage="1" errorTitle="UPOZORNENIE" error="Pokúšate sa zmeniť bunku s automatickým výpočtom!" sqref="E135:M135 JN135:JP135 TJ135:TL135 ADF135:ADH135 ANB135:AND135 AWX135:AWZ135 BGT135:BGV135 BQP135:BQR135 CAL135:CAN135 CKH135:CKJ135 CUD135:CUF135 DDZ135:DEB135 DNV135:DNX135 DXR135:DXT135 EHN135:EHP135 ERJ135:ERL135 FBF135:FBH135 FLB135:FLD135 FUX135:FUZ135 GET135:GEV135 GOP135:GOR135 GYL135:GYN135 HIH135:HIJ135 HSD135:HSF135 IBZ135:ICB135 ILV135:ILX135 IVR135:IVT135 JFN135:JFP135 JPJ135:JPL135 JZF135:JZH135 KJB135:KJD135 KSX135:KSZ135 LCT135:LCV135 LMP135:LMR135 LWL135:LWN135 MGH135:MGJ135 MQD135:MQF135 MZZ135:NAB135 NJV135:NJX135 NTR135:NTT135 ODN135:ODP135 ONJ135:ONL135 OXF135:OXH135 PHB135:PHD135 PQX135:PQZ135 QAT135:QAV135 QKP135:QKR135 QUL135:QUN135 REH135:REJ135 ROD135:ROF135 RXZ135:RYB135 SHV135:SHX135 SRR135:SRT135 TBN135:TBP135 TLJ135:TLL135 TVF135:TVH135 UFB135:UFD135 UOX135:UOZ135 UYT135:UYV135 VIP135:VIR135 VSL135:VSN135 WCH135:WCJ135 WMD135:WMF135 WVZ135:WWB135 E65679:M65679 JN65679:JP65679 TJ65679:TL65679 ADF65679:ADH65679 ANB65679:AND65679 AWX65679:AWZ65679 BGT65679:BGV65679 BQP65679:BQR65679 CAL65679:CAN65679 CKH65679:CKJ65679 CUD65679:CUF65679 DDZ65679:DEB65679 DNV65679:DNX65679 DXR65679:DXT65679 EHN65679:EHP65679 ERJ65679:ERL65679 FBF65679:FBH65679 FLB65679:FLD65679 FUX65679:FUZ65679 GET65679:GEV65679 GOP65679:GOR65679 GYL65679:GYN65679 HIH65679:HIJ65679 HSD65679:HSF65679 IBZ65679:ICB65679 ILV65679:ILX65679 IVR65679:IVT65679 JFN65679:JFP65679 JPJ65679:JPL65679 JZF65679:JZH65679 KJB65679:KJD65679 KSX65679:KSZ65679 LCT65679:LCV65679 LMP65679:LMR65679 LWL65679:LWN65679 MGH65679:MGJ65679 MQD65679:MQF65679 MZZ65679:NAB65679 NJV65679:NJX65679 NTR65679:NTT65679 ODN65679:ODP65679 ONJ65679:ONL65679 OXF65679:OXH65679 PHB65679:PHD65679 PQX65679:PQZ65679 QAT65679:QAV65679 QKP65679:QKR65679 QUL65679:QUN65679 REH65679:REJ65679 ROD65679:ROF65679 RXZ65679:RYB65679 SHV65679:SHX65679 SRR65679:SRT65679 TBN65679:TBP65679 TLJ65679:TLL65679 TVF65679:TVH65679 UFB65679:UFD65679 UOX65679:UOZ65679 UYT65679:UYV65679 VIP65679:VIR65679 VSL65679:VSN65679 WCH65679:WCJ65679 WMD65679:WMF65679 WVZ65679:WWB65679 E131215:M131215 JN131215:JP131215 TJ131215:TL131215 ADF131215:ADH131215 ANB131215:AND131215 AWX131215:AWZ131215 BGT131215:BGV131215 BQP131215:BQR131215 CAL131215:CAN131215 CKH131215:CKJ131215 CUD131215:CUF131215 DDZ131215:DEB131215 DNV131215:DNX131215 DXR131215:DXT131215 EHN131215:EHP131215 ERJ131215:ERL131215 FBF131215:FBH131215 FLB131215:FLD131215 FUX131215:FUZ131215 GET131215:GEV131215 GOP131215:GOR131215 GYL131215:GYN131215 HIH131215:HIJ131215 HSD131215:HSF131215 IBZ131215:ICB131215 ILV131215:ILX131215 IVR131215:IVT131215 JFN131215:JFP131215 JPJ131215:JPL131215 JZF131215:JZH131215 KJB131215:KJD131215 KSX131215:KSZ131215 LCT131215:LCV131215 LMP131215:LMR131215 LWL131215:LWN131215 MGH131215:MGJ131215 MQD131215:MQF131215 MZZ131215:NAB131215 NJV131215:NJX131215 NTR131215:NTT131215 ODN131215:ODP131215 ONJ131215:ONL131215 OXF131215:OXH131215 PHB131215:PHD131215 PQX131215:PQZ131215 QAT131215:QAV131215 QKP131215:QKR131215 QUL131215:QUN131215 REH131215:REJ131215 ROD131215:ROF131215 RXZ131215:RYB131215 SHV131215:SHX131215 SRR131215:SRT131215 TBN131215:TBP131215 TLJ131215:TLL131215 TVF131215:TVH131215 UFB131215:UFD131215 UOX131215:UOZ131215 UYT131215:UYV131215 VIP131215:VIR131215 VSL131215:VSN131215 WCH131215:WCJ131215 WMD131215:WMF131215 WVZ131215:WWB131215 E196751:M196751 JN196751:JP196751 TJ196751:TL196751 ADF196751:ADH196751 ANB196751:AND196751 AWX196751:AWZ196751 BGT196751:BGV196751 BQP196751:BQR196751 CAL196751:CAN196751 CKH196751:CKJ196751 CUD196751:CUF196751 DDZ196751:DEB196751 DNV196751:DNX196751 DXR196751:DXT196751 EHN196751:EHP196751 ERJ196751:ERL196751 FBF196751:FBH196751 FLB196751:FLD196751 FUX196751:FUZ196751 GET196751:GEV196751 GOP196751:GOR196751 GYL196751:GYN196751 HIH196751:HIJ196751 HSD196751:HSF196751 IBZ196751:ICB196751 ILV196751:ILX196751 IVR196751:IVT196751 JFN196751:JFP196751 JPJ196751:JPL196751 JZF196751:JZH196751 KJB196751:KJD196751 KSX196751:KSZ196751 LCT196751:LCV196751 LMP196751:LMR196751 LWL196751:LWN196751 MGH196751:MGJ196751 MQD196751:MQF196751 MZZ196751:NAB196751 NJV196751:NJX196751 NTR196751:NTT196751 ODN196751:ODP196751 ONJ196751:ONL196751 OXF196751:OXH196751 PHB196751:PHD196751 PQX196751:PQZ196751 QAT196751:QAV196751 QKP196751:QKR196751 QUL196751:QUN196751 REH196751:REJ196751 ROD196751:ROF196751 RXZ196751:RYB196751 SHV196751:SHX196751 SRR196751:SRT196751 TBN196751:TBP196751 TLJ196751:TLL196751 TVF196751:TVH196751 UFB196751:UFD196751 UOX196751:UOZ196751 UYT196751:UYV196751 VIP196751:VIR196751 VSL196751:VSN196751 WCH196751:WCJ196751 WMD196751:WMF196751 WVZ196751:WWB196751 E262287:M262287 JN262287:JP262287 TJ262287:TL262287 ADF262287:ADH262287 ANB262287:AND262287 AWX262287:AWZ262287 BGT262287:BGV262287 BQP262287:BQR262287 CAL262287:CAN262287 CKH262287:CKJ262287 CUD262287:CUF262287 DDZ262287:DEB262287 DNV262287:DNX262287 DXR262287:DXT262287 EHN262287:EHP262287 ERJ262287:ERL262287 FBF262287:FBH262287 FLB262287:FLD262287 FUX262287:FUZ262287 GET262287:GEV262287 GOP262287:GOR262287 GYL262287:GYN262287 HIH262287:HIJ262287 HSD262287:HSF262287 IBZ262287:ICB262287 ILV262287:ILX262287 IVR262287:IVT262287 JFN262287:JFP262287 JPJ262287:JPL262287 JZF262287:JZH262287 KJB262287:KJD262287 KSX262287:KSZ262287 LCT262287:LCV262287 LMP262287:LMR262287 LWL262287:LWN262287 MGH262287:MGJ262287 MQD262287:MQF262287 MZZ262287:NAB262287 NJV262287:NJX262287 NTR262287:NTT262287 ODN262287:ODP262287 ONJ262287:ONL262287 OXF262287:OXH262287 PHB262287:PHD262287 PQX262287:PQZ262287 QAT262287:QAV262287 QKP262287:QKR262287 QUL262287:QUN262287 REH262287:REJ262287 ROD262287:ROF262287 RXZ262287:RYB262287 SHV262287:SHX262287 SRR262287:SRT262287 TBN262287:TBP262287 TLJ262287:TLL262287 TVF262287:TVH262287 UFB262287:UFD262287 UOX262287:UOZ262287 UYT262287:UYV262287 VIP262287:VIR262287 VSL262287:VSN262287 WCH262287:WCJ262287 WMD262287:WMF262287 WVZ262287:WWB262287 E327823:M327823 JN327823:JP327823 TJ327823:TL327823 ADF327823:ADH327823 ANB327823:AND327823 AWX327823:AWZ327823 BGT327823:BGV327823 BQP327823:BQR327823 CAL327823:CAN327823 CKH327823:CKJ327823 CUD327823:CUF327823 DDZ327823:DEB327823 DNV327823:DNX327823 DXR327823:DXT327823 EHN327823:EHP327823 ERJ327823:ERL327823 FBF327823:FBH327823 FLB327823:FLD327823 FUX327823:FUZ327823 GET327823:GEV327823 GOP327823:GOR327823 GYL327823:GYN327823 HIH327823:HIJ327823 HSD327823:HSF327823 IBZ327823:ICB327823 ILV327823:ILX327823 IVR327823:IVT327823 JFN327823:JFP327823 JPJ327823:JPL327823 JZF327823:JZH327823 KJB327823:KJD327823 KSX327823:KSZ327823 LCT327823:LCV327823 LMP327823:LMR327823 LWL327823:LWN327823 MGH327823:MGJ327823 MQD327823:MQF327823 MZZ327823:NAB327823 NJV327823:NJX327823 NTR327823:NTT327823 ODN327823:ODP327823 ONJ327823:ONL327823 OXF327823:OXH327823 PHB327823:PHD327823 PQX327823:PQZ327823 QAT327823:QAV327823 QKP327823:QKR327823 QUL327823:QUN327823 REH327823:REJ327823 ROD327823:ROF327823 RXZ327823:RYB327823 SHV327823:SHX327823 SRR327823:SRT327823 TBN327823:TBP327823 TLJ327823:TLL327823 TVF327823:TVH327823 UFB327823:UFD327823 UOX327823:UOZ327823 UYT327823:UYV327823 VIP327823:VIR327823 VSL327823:VSN327823 WCH327823:WCJ327823 WMD327823:WMF327823 WVZ327823:WWB327823 E393359:M393359 JN393359:JP393359 TJ393359:TL393359 ADF393359:ADH393359 ANB393359:AND393359 AWX393359:AWZ393359 BGT393359:BGV393359 BQP393359:BQR393359 CAL393359:CAN393359 CKH393359:CKJ393359 CUD393359:CUF393359 DDZ393359:DEB393359 DNV393359:DNX393359 DXR393359:DXT393359 EHN393359:EHP393359 ERJ393359:ERL393359 FBF393359:FBH393359 FLB393359:FLD393359 FUX393359:FUZ393359 GET393359:GEV393359 GOP393359:GOR393359 GYL393359:GYN393359 HIH393359:HIJ393359 HSD393359:HSF393359 IBZ393359:ICB393359 ILV393359:ILX393359 IVR393359:IVT393359 JFN393359:JFP393359 JPJ393359:JPL393359 JZF393359:JZH393359 KJB393359:KJD393359 KSX393359:KSZ393359 LCT393359:LCV393359 LMP393359:LMR393359 LWL393359:LWN393359 MGH393359:MGJ393359 MQD393359:MQF393359 MZZ393359:NAB393359 NJV393359:NJX393359 NTR393359:NTT393359 ODN393359:ODP393359 ONJ393359:ONL393359 OXF393359:OXH393359 PHB393359:PHD393359 PQX393359:PQZ393359 QAT393359:QAV393359 QKP393359:QKR393359 QUL393359:QUN393359 REH393359:REJ393359 ROD393359:ROF393359 RXZ393359:RYB393359 SHV393359:SHX393359 SRR393359:SRT393359 TBN393359:TBP393359 TLJ393359:TLL393359 TVF393359:TVH393359 UFB393359:UFD393359 UOX393359:UOZ393359 UYT393359:UYV393359 VIP393359:VIR393359 VSL393359:VSN393359 WCH393359:WCJ393359 WMD393359:WMF393359 WVZ393359:WWB393359 E458895:M458895 JN458895:JP458895 TJ458895:TL458895 ADF458895:ADH458895 ANB458895:AND458895 AWX458895:AWZ458895 BGT458895:BGV458895 BQP458895:BQR458895 CAL458895:CAN458895 CKH458895:CKJ458895 CUD458895:CUF458895 DDZ458895:DEB458895 DNV458895:DNX458895 DXR458895:DXT458895 EHN458895:EHP458895 ERJ458895:ERL458895 FBF458895:FBH458895 FLB458895:FLD458895 FUX458895:FUZ458895 GET458895:GEV458895 GOP458895:GOR458895 GYL458895:GYN458895 HIH458895:HIJ458895 HSD458895:HSF458895 IBZ458895:ICB458895 ILV458895:ILX458895 IVR458895:IVT458895 JFN458895:JFP458895 JPJ458895:JPL458895 JZF458895:JZH458895 KJB458895:KJD458895 KSX458895:KSZ458895 LCT458895:LCV458895 LMP458895:LMR458895 LWL458895:LWN458895 MGH458895:MGJ458895 MQD458895:MQF458895 MZZ458895:NAB458895 NJV458895:NJX458895 NTR458895:NTT458895 ODN458895:ODP458895 ONJ458895:ONL458895 OXF458895:OXH458895 PHB458895:PHD458895 PQX458895:PQZ458895 QAT458895:QAV458895 QKP458895:QKR458895 QUL458895:QUN458895 REH458895:REJ458895 ROD458895:ROF458895 RXZ458895:RYB458895 SHV458895:SHX458895 SRR458895:SRT458895 TBN458895:TBP458895 TLJ458895:TLL458895 TVF458895:TVH458895 UFB458895:UFD458895 UOX458895:UOZ458895 UYT458895:UYV458895 VIP458895:VIR458895 VSL458895:VSN458895 WCH458895:WCJ458895 WMD458895:WMF458895 WVZ458895:WWB458895 E524431:M524431 JN524431:JP524431 TJ524431:TL524431 ADF524431:ADH524431 ANB524431:AND524431 AWX524431:AWZ524431 BGT524431:BGV524431 BQP524431:BQR524431 CAL524431:CAN524431 CKH524431:CKJ524431 CUD524431:CUF524431 DDZ524431:DEB524431 DNV524431:DNX524431 DXR524431:DXT524431 EHN524431:EHP524431 ERJ524431:ERL524431 FBF524431:FBH524431 FLB524431:FLD524431 FUX524431:FUZ524431 GET524431:GEV524431 GOP524431:GOR524431 GYL524431:GYN524431 HIH524431:HIJ524431 HSD524431:HSF524431 IBZ524431:ICB524431 ILV524431:ILX524431 IVR524431:IVT524431 JFN524431:JFP524431 JPJ524431:JPL524431 JZF524431:JZH524431 KJB524431:KJD524431 KSX524431:KSZ524431 LCT524431:LCV524431 LMP524431:LMR524431 LWL524431:LWN524431 MGH524431:MGJ524431 MQD524431:MQF524431 MZZ524431:NAB524431 NJV524431:NJX524431 NTR524431:NTT524431 ODN524431:ODP524431 ONJ524431:ONL524431 OXF524431:OXH524431 PHB524431:PHD524431 PQX524431:PQZ524431 QAT524431:QAV524431 QKP524431:QKR524431 QUL524431:QUN524431 REH524431:REJ524431 ROD524431:ROF524431 RXZ524431:RYB524431 SHV524431:SHX524431 SRR524431:SRT524431 TBN524431:TBP524431 TLJ524431:TLL524431 TVF524431:TVH524431 UFB524431:UFD524431 UOX524431:UOZ524431 UYT524431:UYV524431 VIP524431:VIR524431 VSL524431:VSN524431 WCH524431:WCJ524431 WMD524431:WMF524431 WVZ524431:WWB524431 E589967:M589967 JN589967:JP589967 TJ589967:TL589967 ADF589967:ADH589967 ANB589967:AND589967 AWX589967:AWZ589967 BGT589967:BGV589967 BQP589967:BQR589967 CAL589967:CAN589967 CKH589967:CKJ589967 CUD589967:CUF589967 DDZ589967:DEB589967 DNV589967:DNX589967 DXR589967:DXT589967 EHN589967:EHP589967 ERJ589967:ERL589967 FBF589967:FBH589967 FLB589967:FLD589967 FUX589967:FUZ589967 GET589967:GEV589967 GOP589967:GOR589967 GYL589967:GYN589967 HIH589967:HIJ589967 HSD589967:HSF589967 IBZ589967:ICB589967 ILV589967:ILX589967 IVR589967:IVT589967 JFN589967:JFP589967 JPJ589967:JPL589967 JZF589967:JZH589967 KJB589967:KJD589967 KSX589967:KSZ589967 LCT589967:LCV589967 LMP589967:LMR589967 LWL589967:LWN589967 MGH589967:MGJ589967 MQD589967:MQF589967 MZZ589967:NAB589967 NJV589967:NJX589967 NTR589967:NTT589967 ODN589967:ODP589967 ONJ589967:ONL589967 OXF589967:OXH589967 PHB589967:PHD589967 PQX589967:PQZ589967 QAT589967:QAV589967 QKP589967:QKR589967 QUL589967:QUN589967 REH589967:REJ589967 ROD589967:ROF589967 RXZ589967:RYB589967 SHV589967:SHX589967 SRR589967:SRT589967 TBN589967:TBP589967 TLJ589967:TLL589967 TVF589967:TVH589967 UFB589967:UFD589967 UOX589967:UOZ589967 UYT589967:UYV589967 VIP589967:VIR589967 VSL589967:VSN589967 WCH589967:WCJ589967 WMD589967:WMF589967 WVZ589967:WWB589967 E655503:M655503 JN655503:JP655503 TJ655503:TL655503 ADF655503:ADH655503 ANB655503:AND655503 AWX655503:AWZ655503 BGT655503:BGV655503 BQP655503:BQR655503 CAL655503:CAN655503 CKH655503:CKJ655503 CUD655503:CUF655503 DDZ655503:DEB655503 DNV655503:DNX655503 DXR655503:DXT655503 EHN655503:EHP655503 ERJ655503:ERL655503 FBF655503:FBH655503 FLB655503:FLD655503 FUX655503:FUZ655503 GET655503:GEV655503 GOP655503:GOR655503 GYL655503:GYN655503 HIH655503:HIJ655503 HSD655503:HSF655503 IBZ655503:ICB655503 ILV655503:ILX655503 IVR655503:IVT655503 JFN655503:JFP655503 JPJ655503:JPL655503 JZF655503:JZH655503 KJB655503:KJD655503 KSX655503:KSZ655503 LCT655503:LCV655503 LMP655503:LMR655503 LWL655503:LWN655503 MGH655503:MGJ655503 MQD655503:MQF655503 MZZ655503:NAB655503 NJV655503:NJX655503 NTR655503:NTT655503 ODN655503:ODP655503 ONJ655503:ONL655503 OXF655503:OXH655503 PHB655503:PHD655503 PQX655503:PQZ655503 QAT655503:QAV655503 QKP655503:QKR655503 QUL655503:QUN655503 REH655503:REJ655503 ROD655503:ROF655503 RXZ655503:RYB655503 SHV655503:SHX655503 SRR655503:SRT655503 TBN655503:TBP655503 TLJ655503:TLL655503 TVF655503:TVH655503 UFB655503:UFD655503 UOX655503:UOZ655503 UYT655503:UYV655503 VIP655503:VIR655503 VSL655503:VSN655503 WCH655503:WCJ655503 WMD655503:WMF655503 WVZ655503:WWB655503 E721039:M721039 JN721039:JP721039 TJ721039:TL721039 ADF721039:ADH721039 ANB721039:AND721039 AWX721039:AWZ721039 BGT721039:BGV721039 BQP721039:BQR721039 CAL721039:CAN721039 CKH721039:CKJ721039 CUD721039:CUF721039 DDZ721039:DEB721039 DNV721039:DNX721039 DXR721039:DXT721039 EHN721039:EHP721039 ERJ721039:ERL721039 FBF721039:FBH721039 FLB721039:FLD721039 FUX721039:FUZ721039 GET721039:GEV721039 GOP721039:GOR721039 GYL721039:GYN721039 HIH721039:HIJ721039 HSD721039:HSF721039 IBZ721039:ICB721039 ILV721039:ILX721039 IVR721039:IVT721039 JFN721039:JFP721039 JPJ721039:JPL721039 JZF721039:JZH721039 KJB721039:KJD721039 KSX721039:KSZ721039 LCT721039:LCV721039 LMP721039:LMR721039 LWL721039:LWN721039 MGH721039:MGJ721039 MQD721039:MQF721039 MZZ721039:NAB721039 NJV721039:NJX721039 NTR721039:NTT721039 ODN721039:ODP721039 ONJ721039:ONL721039 OXF721039:OXH721039 PHB721039:PHD721039 PQX721039:PQZ721039 QAT721039:QAV721039 QKP721039:QKR721039 QUL721039:QUN721039 REH721039:REJ721039 ROD721039:ROF721039 RXZ721039:RYB721039 SHV721039:SHX721039 SRR721039:SRT721039 TBN721039:TBP721039 TLJ721039:TLL721039 TVF721039:TVH721039 UFB721039:UFD721039 UOX721039:UOZ721039 UYT721039:UYV721039 VIP721039:VIR721039 VSL721039:VSN721039 WCH721039:WCJ721039 WMD721039:WMF721039 WVZ721039:WWB721039 E786575:M786575 JN786575:JP786575 TJ786575:TL786575 ADF786575:ADH786575 ANB786575:AND786575 AWX786575:AWZ786575 BGT786575:BGV786575 BQP786575:BQR786575 CAL786575:CAN786575 CKH786575:CKJ786575 CUD786575:CUF786575 DDZ786575:DEB786575 DNV786575:DNX786575 DXR786575:DXT786575 EHN786575:EHP786575 ERJ786575:ERL786575 FBF786575:FBH786575 FLB786575:FLD786575 FUX786575:FUZ786575 GET786575:GEV786575 GOP786575:GOR786575 GYL786575:GYN786575 HIH786575:HIJ786575 HSD786575:HSF786575 IBZ786575:ICB786575 ILV786575:ILX786575 IVR786575:IVT786575 JFN786575:JFP786575 JPJ786575:JPL786575 JZF786575:JZH786575 KJB786575:KJD786575 KSX786575:KSZ786575 LCT786575:LCV786575 LMP786575:LMR786575 LWL786575:LWN786575 MGH786575:MGJ786575 MQD786575:MQF786575 MZZ786575:NAB786575 NJV786575:NJX786575 NTR786575:NTT786575 ODN786575:ODP786575 ONJ786575:ONL786575 OXF786575:OXH786575 PHB786575:PHD786575 PQX786575:PQZ786575 QAT786575:QAV786575 QKP786575:QKR786575 QUL786575:QUN786575 REH786575:REJ786575 ROD786575:ROF786575 RXZ786575:RYB786575 SHV786575:SHX786575 SRR786575:SRT786575 TBN786575:TBP786575 TLJ786575:TLL786575 TVF786575:TVH786575 UFB786575:UFD786575 UOX786575:UOZ786575 UYT786575:UYV786575 VIP786575:VIR786575 VSL786575:VSN786575 WCH786575:WCJ786575 WMD786575:WMF786575 WVZ786575:WWB786575 E852111:M852111 JN852111:JP852111 TJ852111:TL852111 ADF852111:ADH852111 ANB852111:AND852111 AWX852111:AWZ852111 BGT852111:BGV852111 BQP852111:BQR852111 CAL852111:CAN852111 CKH852111:CKJ852111 CUD852111:CUF852111 DDZ852111:DEB852111 DNV852111:DNX852111 DXR852111:DXT852111 EHN852111:EHP852111 ERJ852111:ERL852111 FBF852111:FBH852111 FLB852111:FLD852111 FUX852111:FUZ852111 GET852111:GEV852111 GOP852111:GOR852111 GYL852111:GYN852111 HIH852111:HIJ852111 HSD852111:HSF852111 IBZ852111:ICB852111 ILV852111:ILX852111 IVR852111:IVT852111 JFN852111:JFP852111 JPJ852111:JPL852111 JZF852111:JZH852111 KJB852111:KJD852111 KSX852111:KSZ852111 LCT852111:LCV852111 LMP852111:LMR852111 LWL852111:LWN852111 MGH852111:MGJ852111 MQD852111:MQF852111 MZZ852111:NAB852111 NJV852111:NJX852111 NTR852111:NTT852111 ODN852111:ODP852111 ONJ852111:ONL852111 OXF852111:OXH852111 PHB852111:PHD852111 PQX852111:PQZ852111 QAT852111:QAV852111 QKP852111:QKR852111 QUL852111:QUN852111 REH852111:REJ852111 ROD852111:ROF852111 RXZ852111:RYB852111 SHV852111:SHX852111 SRR852111:SRT852111 TBN852111:TBP852111 TLJ852111:TLL852111 TVF852111:TVH852111 UFB852111:UFD852111 UOX852111:UOZ852111 UYT852111:UYV852111 VIP852111:VIR852111 VSL852111:VSN852111 WCH852111:WCJ852111 WMD852111:WMF852111 WVZ852111:WWB852111 E917647:M917647 JN917647:JP917647 TJ917647:TL917647 ADF917647:ADH917647 ANB917647:AND917647 AWX917647:AWZ917647 BGT917647:BGV917647 BQP917647:BQR917647 CAL917647:CAN917647 CKH917647:CKJ917647 CUD917647:CUF917647 DDZ917647:DEB917647 DNV917647:DNX917647 DXR917647:DXT917647 EHN917647:EHP917647 ERJ917647:ERL917647 FBF917647:FBH917647 FLB917647:FLD917647 FUX917647:FUZ917647 GET917647:GEV917647 GOP917647:GOR917647 GYL917647:GYN917647 HIH917647:HIJ917647 HSD917647:HSF917647 IBZ917647:ICB917647 ILV917647:ILX917647 IVR917647:IVT917647 JFN917647:JFP917647 JPJ917647:JPL917647 JZF917647:JZH917647 KJB917647:KJD917647 KSX917647:KSZ917647 LCT917647:LCV917647 LMP917647:LMR917647 LWL917647:LWN917647 MGH917647:MGJ917647 MQD917647:MQF917647 MZZ917647:NAB917647 NJV917647:NJX917647 NTR917647:NTT917647 ODN917647:ODP917647 ONJ917647:ONL917647 OXF917647:OXH917647 PHB917647:PHD917647 PQX917647:PQZ917647 QAT917647:QAV917647 QKP917647:QKR917647 QUL917647:QUN917647 REH917647:REJ917647 ROD917647:ROF917647 RXZ917647:RYB917647 SHV917647:SHX917647 SRR917647:SRT917647 TBN917647:TBP917647 TLJ917647:TLL917647 TVF917647:TVH917647 UFB917647:UFD917647 UOX917647:UOZ917647 UYT917647:UYV917647 VIP917647:VIR917647 VSL917647:VSN917647 WCH917647:WCJ917647 WMD917647:WMF917647 WVZ917647:WWB917647 E983183:M983183 JN983183:JP983183 TJ983183:TL983183 ADF983183:ADH983183 ANB983183:AND983183 AWX983183:AWZ983183 BGT983183:BGV983183 BQP983183:BQR983183 CAL983183:CAN983183 CKH983183:CKJ983183 CUD983183:CUF983183 DDZ983183:DEB983183 DNV983183:DNX983183 DXR983183:DXT983183 EHN983183:EHP983183 ERJ983183:ERL983183 FBF983183:FBH983183 FLB983183:FLD983183 FUX983183:FUZ983183 GET983183:GEV983183 GOP983183:GOR983183 GYL983183:GYN983183 HIH983183:HIJ983183 HSD983183:HSF983183 IBZ983183:ICB983183 ILV983183:ILX983183 IVR983183:IVT983183 JFN983183:JFP983183 JPJ983183:JPL983183 JZF983183:JZH983183 KJB983183:KJD983183 KSX983183:KSZ983183 LCT983183:LCV983183 LMP983183:LMR983183 LWL983183:LWN983183 MGH983183:MGJ983183 MQD983183:MQF983183 MZZ983183:NAB983183 NJV983183:NJX983183 NTR983183:NTT983183 ODN983183:ODP983183 ONJ983183:ONL983183 OXF983183:OXH983183 PHB983183:PHD983183 PQX983183:PQZ983183 QAT983183:QAV983183 QKP983183:QKR983183 QUL983183:QUN983183 REH983183:REJ983183 ROD983183:ROF983183 RXZ983183:RYB983183 SHV983183:SHX983183 SRR983183:SRT983183 TBN983183:TBP983183 TLJ983183:TLL983183 TVF983183:TVH983183 UFB983183:UFD983183 UOX983183:UOZ983183 UYT983183:UYV983183 VIP983183:VIR983183 VSL983183:VSN983183 WCH983183:WCJ983183 WMD983183:WMF983183 WVZ983183:WWB983183 E138:W138 JN138:JS138 TJ138:TO138 ADF138:ADK138 ANB138:ANG138 AWX138:AXC138 BGT138:BGY138 BQP138:BQU138 CAL138:CAQ138 CKH138:CKM138 CUD138:CUI138 DDZ138:DEE138 DNV138:DOA138 DXR138:DXW138 EHN138:EHS138 ERJ138:ERO138 FBF138:FBK138 FLB138:FLG138 FUX138:FVC138 GET138:GEY138 GOP138:GOU138 GYL138:GYQ138 HIH138:HIM138 HSD138:HSI138 IBZ138:ICE138 ILV138:IMA138 IVR138:IVW138 JFN138:JFS138 JPJ138:JPO138 JZF138:JZK138 KJB138:KJG138 KSX138:KTC138 LCT138:LCY138 LMP138:LMU138 LWL138:LWQ138 MGH138:MGM138 MQD138:MQI138 MZZ138:NAE138 NJV138:NKA138 NTR138:NTW138 ODN138:ODS138 ONJ138:ONO138 OXF138:OXK138 PHB138:PHG138 PQX138:PRC138 QAT138:QAY138 QKP138:QKU138 QUL138:QUQ138 REH138:REM138 ROD138:ROI138 RXZ138:RYE138 SHV138:SIA138 SRR138:SRW138 TBN138:TBS138 TLJ138:TLO138 TVF138:TVK138 UFB138:UFG138 UOX138:UPC138 UYT138:UYY138 VIP138:VIU138 VSL138:VSQ138 WCH138:WCM138 WMD138:WMI138 WVZ138:WWE138 E65682:W65682 JN65682:JS65682 TJ65682:TO65682 ADF65682:ADK65682 ANB65682:ANG65682 AWX65682:AXC65682 BGT65682:BGY65682 BQP65682:BQU65682 CAL65682:CAQ65682 CKH65682:CKM65682 CUD65682:CUI65682 DDZ65682:DEE65682 DNV65682:DOA65682 DXR65682:DXW65682 EHN65682:EHS65682 ERJ65682:ERO65682 FBF65682:FBK65682 FLB65682:FLG65682 FUX65682:FVC65682 GET65682:GEY65682 GOP65682:GOU65682 GYL65682:GYQ65682 HIH65682:HIM65682 HSD65682:HSI65682 IBZ65682:ICE65682 ILV65682:IMA65682 IVR65682:IVW65682 JFN65682:JFS65682 JPJ65682:JPO65682 JZF65682:JZK65682 KJB65682:KJG65682 KSX65682:KTC65682 LCT65682:LCY65682 LMP65682:LMU65682 LWL65682:LWQ65682 MGH65682:MGM65682 MQD65682:MQI65682 MZZ65682:NAE65682 NJV65682:NKA65682 NTR65682:NTW65682 ODN65682:ODS65682 ONJ65682:ONO65682 OXF65682:OXK65682 PHB65682:PHG65682 PQX65682:PRC65682 QAT65682:QAY65682 QKP65682:QKU65682 QUL65682:QUQ65682 REH65682:REM65682 ROD65682:ROI65682 RXZ65682:RYE65682 SHV65682:SIA65682 SRR65682:SRW65682 TBN65682:TBS65682 TLJ65682:TLO65682 TVF65682:TVK65682 UFB65682:UFG65682 UOX65682:UPC65682 UYT65682:UYY65682 VIP65682:VIU65682 VSL65682:VSQ65682 WCH65682:WCM65682 WMD65682:WMI65682 WVZ65682:WWE65682 E131218:W131218 JN131218:JS131218 TJ131218:TO131218 ADF131218:ADK131218 ANB131218:ANG131218 AWX131218:AXC131218 BGT131218:BGY131218 BQP131218:BQU131218 CAL131218:CAQ131218 CKH131218:CKM131218 CUD131218:CUI131218 DDZ131218:DEE131218 DNV131218:DOA131218 DXR131218:DXW131218 EHN131218:EHS131218 ERJ131218:ERO131218 FBF131218:FBK131218 FLB131218:FLG131218 FUX131218:FVC131218 GET131218:GEY131218 GOP131218:GOU131218 GYL131218:GYQ131218 HIH131218:HIM131218 HSD131218:HSI131218 IBZ131218:ICE131218 ILV131218:IMA131218 IVR131218:IVW131218 JFN131218:JFS131218 JPJ131218:JPO131218 JZF131218:JZK131218 KJB131218:KJG131218 KSX131218:KTC131218 LCT131218:LCY131218 LMP131218:LMU131218 LWL131218:LWQ131218 MGH131218:MGM131218 MQD131218:MQI131218 MZZ131218:NAE131218 NJV131218:NKA131218 NTR131218:NTW131218 ODN131218:ODS131218 ONJ131218:ONO131218 OXF131218:OXK131218 PHB131218:PHG131218 PQX131218:PRC131218 QAT131218:QAY131218 QKP131218:QKU131218 QUL131218:QUQ131218 REH131218:REM131218 ROD131218:ROI131218 RXZ131218:RYE131218 SHV131218:SIA131218 SRR131218:SRW131218 TBN131218:TBS131218 TLJ131218:TLO131218 TVF131218:TVK131218 UFB131218:UFG131218 UOX131218:UPC131218 UYT131218:UYY131218 VIP131218:VIU131218 VSL131218:VSQ131218 WCH131218:WCM131218 WMD131218:WMI131218 WVZ131218:WWE131218 E196754:W196754 JN196754:JS196754 TJ196754:TO196754 ADF196754:ADK196754 ANB196754:ANG196754 AWX196754:AXC196754 BGT196754:BGY196754 BQP196754:BQU196754 CAL196754:CAQ196754 CKH196754:CKM196754 CUD196754:CUI196754 DDZ196754:DEE196754 DNV196754:DOA196754 DXR196754:DXW196754 EHN196754:EHS196754 ERJ196754:ERO196754 FBF196754:FBK196754 FLB196754:FLG196754 FUX196754:FVC196754 GET196754:GEY196754 GOP196754:GOU196754 GYL196754:GYQ196754 HIH196754:HIM196754 HSD196754:HSI196754 IBZ196754:ICE196754 ILV196754:IMA196754 IVR196754:IVW196754 JFN196754:JFS196754 JPJ196754:JPO196754 JZF196754:JZK196754 KJB196754:KJG196754 KSX196754:KTC196754 LCT196754:LCY196754 LMP196754:LMU196754 LWL196754:LWQ196754 MGH196754:MGM196754 MQD196754:MQI196754 MZZ196754:NAE196754 NJV196754:NKA196754 NTR196754:NTW196754 ODN196754:ODS196754 ONJ196754:ONO196754 OXF196754:OXK196754 PHB196754:PHG196754 PQX196754:PRC196754 QAT196754:QAY196754 QKP196754:QKU196754 QUL196754:QUQ196754 REH196754:REM196754 ROD196754:ROI196754 RXZ196754:RYE196754 SHV196754:SIA196754 SRR196754:SRW196754 TBN196754:TBS196754 TLJ196754:TLO196754 TVF196754:TVK196754 UFB196754:UFG196754 UOX196754:UPC196754 UYT196754:UYY196754 VIP196754:VIU196754 VSL196754:VSQ196754 WCH196754:WCM196754 WMD196754:WMI196754 WVZ196754:WWE196754 E262290:W262290 JN262290:JS262290 TJ262290:TO262290 ADF262290:ADK262290 ANB262290:ANG262290 AWX262290:AXC262290 BGT262290:BGY262290 BQP262290:BQU262290 CAL262290:CAQ262290 CKH262290:CKM262290 CUD262290:CUI262290 DDZ262290:DEE262290 DNV262290:DOA262290 DXR262290:DXW262290 EHN262290:EHS262290 ERJ262290:ERO262290 FBF262290:FBK262290 FLB262290:FLG262290 FUX262290:FVC262290 GET262290:GEY262290 GOP262290:GOU262290 GYL262290:GYQ262290 HIH262290:HIM262290 HSD262290:HSI262290 IBZ262290:ICE262290 ILV262290:IMA262290 IVR262290:IVW262290 JFN262290:JFS262290 JPJ262290:JPO262290 JZF262290:JZK262290 KJB262290:KJG262290 KSX262290:KTC262290 LCT262290:LCY262290 LMP262290:LMU262290 LWL262290:LWQ262290 MGH262290:MGM262290 MQD262290:MQI262290 MZZ262290:NAE262290 NJV262290:NKA262290 NTR262290:NTW262290 ODN262290:ODS262290 ONJ262290:ONO262290 OXF262290:OXK262290 PHB262290:PHG262290 PQX262290:PRC262290 QAT262290:QAY262290 QKP262290:QKU262290 QUL262290:QUQ262290 REH262290:REM262290 ROD262290:ROI262290 RXZ262290:RYE262290 SHV262290:SIA262290 SRR262290:SRW262290 TBN262290:TBS262290 TLJ262290:TLO262290 TVF262290:TVK262290 UFB262290:UFG262290 UOX262290:UPC262290 UYT262290:UYY262290 VIP262290:VIU262290 VSL262290:VSQ262290 WCH262290:WCM262290 WMD262290:WMI262290 WVZ262290:WWE262290 E327826:W327826 JN327826:JS327826 TJ327826:TO327826 ADF327826:ADK327826 ANB327826:ANG327826 AWX327826:AXC327826 BGT327826:BGY327826 BQP327826:BQU327826 CAL327826:CAQ327826 CKH327826:CKM327826 CUD327826:CUI327826 DDZ327826:DEE327826 DNV327826:DOA327826 DXR327826:DXW327826 EHN327826:EHS327826 ERJ327826:ERO327826 FBF327826:FBK327826 FLB327826:FLG327826 FUX327826:FVC327826 GET327826:GEY327826 GOP327826:GOU327826 GYL327826:GYQ327826 HIH327826:HIM327826 HSD327826:HSI327826 IBZ327826:ICE327826 ILV327826:IMA327826 IVR327826:IVW327826 JFN327826:JFS327826 JPJ327826:JPO327826 JZF327826:JZK327826 KJB327826:KJG327826 KSX327826:KTC327826 LCT327826:LCY327826 LMP327826:LMU327826 LWL327826:LWQ327826 MGH327826:MGM327826 MQD327826:MQI327826 MZZ327826:NAE327826 NJV327826:NKA327826 NTR327826:NTW327826 ODN327826:ODS327826 ONJ327826:ONO327826 OXF327826:OXK327826 PHB327826:PHG327826 PQX327826:PRC327826 QAT327826:QAY327826 QKP327826:QKU327826 QUL327826:QUQ327826 REH327826:REM327826 ROD327826:ROI327826 RXZ327826:RYE327826 SHV327826:SIA327826 SRR327826:SRW327826 TBN327826:TBS327826 TLJ327826:TLO327826 TVF327826:TVK327826 UFB327826:UFG327826 UOX327826:UPC327826 UYT327826:UYY327826 VIP327826:VIU327826 VSL327826:VSQ327826 WCH327826:WCM327826 WMD327826:WMI327826 WVZ327826:WWE327826 E393362:W393362 JN393362:JS393362 TJ393362:TO393362 ADF393362:ADK393362 ANB393362:ANG393362 AWX393362:AXC393362 BGT393362:BGY393362 BQP393362:BQU393362 CAL393362:CAQ393362 CKH393362:CKM393362 CUD393362:CUI393362 DDZ393362:DEE393362 DNV393362:DOA393362 DXR393362:DXW393362 EHN393362:EHS393362 ERJ393362:ERO393362 FBF393362:FBK393362 FLB393362:FLG393362 FUX393362:FVC393362 GET393362:GEY393362 GOP393362:GOU393362 GYL393362:GYQ393362 HIH393362:HIM393362 HSD393362:HSI393362 IBZ393362:ICE393362 ILV393362:IMA393362 IVR393362:IVW393362 JFN393362:JFS393362 JPJ393362:JPO393362 JZF393362:JZK393362 KJB393362:KJG393362 KSX393362:KTC393362 LCT393362:LCY393362 LMP393362:LMU393362 LWL393362:LWQ393362 MGH393362:MGM393362 MQD393362:MQI393362 MZZ393362:NAE393362 NJV393362:NKA393362 NTR393362:NTW393362 ODN393362:ODS393362 ONJ393362:ONO393362 OXF393362:OXK393362 PHB393362:PHG393362 PQX393362:PRC393362 QAT393362:QAY393362 QKP393362:QKU393362 QUL393362:QUQ393362 REH393362:REM393362 ROD393362:ROI393362 RXZ393362:RYE393362 SHV393362:SIA393362 SRR393362:SRW393362 TBN393362:TBS393362 TLJ393362:TLO393362 TVF393362:TVK393362 UFB393362:UFG393362 UOX393362:UPC393362 UYT393362:UYY393362 VIP393362:VIU393362 VSL393362:VSQ393362 WCH393362:WCM393362 WMD393362:WMI393362 WVZ393362:WWE393362 E458898:W458898 JN458898:JS458898 TJ458898:TO458898 ADF458898:ADK458898 ANB458898:ANG458898 AWX458898:AXC458898 BGT458898:BGY458898 BQP458898:BQU458898 CAL458898:CAQ458898 CKH458898:CKM458898 CUD458898:CUI458898 DDZ458898:DEE458898 DNV458898:DOA458898 DXR458898:DXW458898 EHN458898:EHS458898 ERJ458898:ERO458898 FBF458898:FBK458898 FLB458898:FLG458898 FUX458898:FVC458898 GET458898:GEY458898 GOP458898:GOU458898 GYL458898:GYQ458898 HIH458898:HIM458898 HSD458898:HSI458898 IBZ458898:ICE458898 ILV458898:IMA458898 IVR458898:IVW458898 JFN458898:JFS458898 JPJ458898:JPO458898 JZF458898:JZK458898 KJB458898:KJG458898 KSX458898:KTC458898 LCT458898:LCY458898 LMP458898:LMU458898 LWL458898:LWQ458898 MGH458898:MGM458898 MQD458898:MQI458898 MZZ458898:NAE458898 NJV458898:NKA458898 NTR458898:NTW458898 ODN458898:ODS458898 ONJ458898:ONO458898 OXF458898:OXK458898 PHB458898:PHG458898 PQX458898:PRC458898 QAT458898:QAY458898 QKP458898:QKU458898 QUL458898:QUQ458898 REH458898:REM458898 ROD458898:ROI458898 RXZ458898:RYE458898 SHV458898:SIA458898 SRR458898:SRW458898 TBN458898:TBS458898 TLJ458898:TLO458898 TVF458898:TVK458898 UFB458898:UFG458898 UOX458898:UPC458898 UYT458898:UYY458898 VIP458898:VIU458898 VSL458898:VSQ458898 WCH458898:WCM458898 WMD458898:WMI458898 WVZ458898:WWE458898 E524434:W524434 JN524434:JS524434 TJ524434:TO524434 ADF524434:ADK524434 ANB524434:ANG524434 AWX524434:AXC524434 BGT524434:BGY524434 BQP524434:BQU524434 CAL524434:CAQ524434 CKH524434:CKM524434 CUD524434:CUI524434 DDZ524434:DEE524434 DNV524434:DOA524434 DXR524434:DXW524434 EHN524434:EHS524434 ERJ524434:ERO524434 FBF524434:FBK524434 FLB524434:FLG524434 FUX524434:FVC524434 GET524434:GEY524434 GOP524434:GOU524434 GYL524434:GYQ524434 HIH524434:HIM524434 HSD524434:HSI524434 IBZ524434:ICE524434 ILV524434:IMA524434 IVR524434:IVW524434 JFN524434:JFS524434 JPJ524434:JPO524434 JZF524434:JZK524434 KJB524434:KJG524434 KSX524434:KTC524434 LCT524434:LCY524434 LMP524434:LMU524434 LWL524434:LWQ524434 MGH524434:MGM524434 MQD524434:MQI524434 MZZ524434:NAE524434 NJV524434:NKA524434 NTR524434:NTW524434 ODN524434:ODS524434 ONJ524434:ONO524434 OXF524434:OXK524434 PHB524434:PHG524434 PQX524434:PRC524434 QAT524434:QAY524434 QKP524434:QKU524434 QUL524434:QUQ524434 REH524434:REM524434 ROD524434:ROI524434 RXZ524434:RYE524434 SHV524434:SIA524434 SRR524434:SRW524434 TBN524434:TBS524434 TLJ524434:TLO524434 TVF524434:TVK524434 UFB524434:UFG524434 UOX524434:UPC524434 UYT524434:UYY524434 VIP524434:VIU524434 VSL524434:VSQ524434 WCH524434:WCM524434 WMD524434:WMI524434 WVZ524434:WWE524434 E589970:W589970 JN589970:JS589970 TJ589970:TO589970 ADF589970:ADK589970 ANB589970:ANG589970 AWX589970:AXC589970 BGT589970:BGY589970 BQP589970:BQU589970 CAL589970:CAQ589970 CKH589970:CKM589970 CUD589970:CUI589970 DDZ589970:DEE589970 DNV589970:DOA589970 DXR589970:DXW589970 EHN589970:EHS589970 ERJ589970:ERO589970 FBF589970:FBK589970 FLB589970:FLG589970 FUX589970:FVC589970 GET589970:GEY589970 GOP589970:GOU589970 GYL589970:GYQ589970 HIH589970:HIM589970 HSD589970:HSI589970 IBZ589970:ICE589970 ILV589970:IMA589970 IVR589970:IVW589970 JFN589970:JFS589970 JPJ589970:JPO589970 JZF589970:JZK589970 KJB589970:KJG589970 KSX589970:KTC589970 LCT589970:LCY589970 LMP589970:LMU589970 LWL589970:LWQ589970 MGH589970:MGM589970 MQD589970:MQI589970 MZZ589970:NAE589970 NJV589970:NKA589970 NTR589970:NTW589970 ODN589970:ODS589970 ONJ589970:ONO589970 OXF589970:OXK589970 PHB589970:PHG589970 PQX589970:PRC589970 QAT589970:QAY589970 QKP589970:QKU589970 QUL589970:QUQ589970 REH589970:REM589970 ROD589970:ROI589970 RXZ589970:RYE589970 SHV589970:SIA589970 SRR589970:SRW589970 TBN589970:TBS589970 TLJ589970:TLO589970 TVF589970:TVK589970 UFB589970:UFG589970 UOX589970:UPC589970 UYT589970:UYY589970 VIP589970:VIU589970 VSL589970:VSQ589970 WCH589970:WCM589970 WMD589970:WMI589970 WVZ589970:WWE589970 E655506:W655506 JN655506:JS655506 TJ655506:TO655506 ADF655506:ADK655506 ANB655506:ANG655506 AWX655506:AXC655506 BGT655506:BGY655506 BQP655506:BQU655506 CAL655506:CAQ655506 CKH655506:CKM655506 CUD655506:CUI655506 DDZ655506:DEE655506 DNV655506:DOA655506 DXR655506:DXW655506 EHN655506:EHS655506 ERJ655506:ERO655506 FBF655506:FBK655506 FLB655506:FLG655506 FUX655506:FVC655506 GET655506:GEY655506 GOP655506:GOU655506 GYL655506:GYQ655506 HIH655506:HIM655506 HSD655506:HSI655506 IBZ655506:ICE655506 ILV655506:IMA655506 IVR655506:IVW655506 JFN655506:JFS655506 JPJ655506:JPO655506 JZF655506:JZK655506 KJB655506:KJG655506 KSX655506:KTC655506 LCT655506:LCY655506 LMP655506:LMU655506 LWL655506:LWQ655506 MGH655506:MGM655506 MQD655506:MQI655506 MZZ655506:NAE655506 NJV655506:NKA655506 NTR655506:NTW655506 ODN655506:ODS655506 ONJ655506:ONO655506 OXF655506:OXK655506 PHB655506:PHG655506 PQX655506:PRC655506 QAT655506:QAY655506 QKP655506:QKU655506 QUL655506:QUQ655506 REH655506:REM655506 ROD655506:ROI655506 RXZ655506:RYE655506 SHV655506:SIA655506 SRR655506:SRW655506 TBN655506:TBS655506 TLJ655506:TLO655506 TVF655506:TVK655506 UFB655506:UFG655506 UOX655506:UPC655506 UYT655506:UYY655506 VIP655506:VIU655506 VSL655506:VSQ655506 WCH655506:WCM655506 WMD655506:WMI655506 WVZ655506:WWE655506 E721042:W721042 JN721042:JS721042 TJ721042:TO721042 ADF721042:ADK721042 ANB721042:ANG721042 AWX721042:AXC721042 BGT721042:BGY721042 BQP721042:BQU721042 CAL721042:CAQ721042 CKH721042:CKM721042 CUD721042:CUI721042 DDZ721042:DEE721042 DNV721042:DOA721042 DXR721042:DXW721042 EHN721042:EHS721042 ERJ721042:ERO721042 FBF721042:FBK721042 FLB721042:FLG721042 FUX721042:FVC721042 GET721042:GEY721042 GOP721042:GOU721042 GYL721042:GYQ721042 HIH721042:HIM721042 HSD721042:HSI721042 IBZ721042:ICE721042 ILV721042:IMA721042 IVR721042:IVW721042 JFN721042:JFS721042 JPJ721042:JPO721042 JZF721042:JZK721042 KJB721042:KJG721042 KSX721042:KTC721042 LCT721042:LCY721042 LMP721042:LMU721042 LWL721042:LWQ721042 MGH721042:MGM721042 MQD721042:MQI721042 MZZ721042:NAE721042 NJV721042:NKA721042 NTR721042:NTW721042 ODN721042:ODS721042 ONJ721042:ONO721042 OXF721042:OXK721042 PHB721042:PHG721042 PQX721042:PRC721042 QAT721042:QAY721042 QKP721042:QKU721042 QUL721042:QUQ721042 REH721042:REM721042 ROD721042:ROI721042 RXZ721042:RYE721042 SHV721042:SIA721042 SRR721042:SRW721042 TBN721042:TBS721042 TLJ721042:TLO721042 TVF721042:TVK721042 UFB721042:UFG721042 UOX721042:UPC721042 UYT721042:UYY721042 VIP721042:VIU721042 VSL721042:VSQ721042 WCH721042:WCM721042 WMD721042:WMI721042 WVZ721042:WWE721042 E786578:W786578 JN786578:JS786578 TJ786578:TO786578 ADF786578:ADK786578 ANB786578:ANG786578 AWX786578:AXC786578 BGT786578:BGY786578 BQP786578:BQU786578 CAL786578:CAQ786578 CKH786578:CKM786578 CUD786578:CUI786578 DDZ786578:DEE786578 DNV786578:DOA786578 DXR786578:DXW786578 EHN786578:EHS786578 ERJ786578:ERO786578 FBF786578:FBK786578 FLB786578:FLG786578 FUX786578:FVC786578 GET786578:GEY786578 GOP786578:GOU786578 GYL786578:GYQ786578 HIH786578:HIM786578 HSD786578:HSI786578 IBZ786578:ICE786578 ILV786578:IMA786578 IVR786578:IVW786578 JFN786578:JFS786578 JPJ786578:JPO786578 JZF786578:JZK786578 KJB786578:KJG786578 KSX786578:KTC786578 LCT786578:LCY786578 LMP786578:LMU786578 LWL786578:LWQ786578 MGH786578:MGM786578 MQD786578:MQI786578 MZZ786578:NAE786578 NJV786578:NKA786578 NTR786578:NTW786578 ODN786578:ODS786578 ONJ786578:ONO786578 OXF786578:OXK786578 PHB786578:PHG786578 PQX786578:PRC786578 QAT786578:QAY786578 QKP786578:QKU786578 QUL786578:QUQ786578 REH786578:REM786578 ROD786578:ROI786578 RXZ786578:RYE786578 SHV786578:SIA786578 SRR786578:SRW786578 TBN786578:TBS786578 TLJ786578:TLO786578 TVF786578:TVK786578 UFB786578:UFG786578 UOX786578:UPC786578 UYT786578:UYY786578 VIP786578:VIU786578 VSL786578:VSQ786578 WCH786578:WCM786578 WMD786578:WMI786578 WVZ786578:WWE786578 E852114:W852114 JN852114:JS852114 TJ852114:TO852114 ADF852114:ADK852114 ANB852114:ANG852114 AWX852114:AXC852114 BGT852114:BGY852114 BQP852114:BQU852114 CAL852114:CAQ852114 CKH852114:CKM852114 CUD852114:CUI852114 DDZ852114:DEE852114 DNV852114:DOA852114 DXR852114:DXW852114 EHN852114:EHS852114 ERJ852114:ERO852114 FBF852114:FBK852114 FLB852114:FLG852114 FUX852114:FVC852114 GET852114:GEY852114 GOP852114:GOU852114 GYL852114:GYQ852114 HIH852114:HIM852114 HSD852114:HSI852114 IBZ852114:ICE852114 ILV852114:IMA852114 IVR852114:IVW852114 JFN852114:JFS852114 JPJ852114:JPO852114 JZF852114:JZK852114 KJB852114:KJG852114 KSX852114:KTC852114 LCT852114:LCY852114 LMP852114:LMU852114 LWL852114:LWQ852114 MGH852114:MGM852114 MQD852114:MQI852114 MZZ852114:NAE852114 NJV852114:NKA852114 NTR852114:NTW852114 ODN852114:ODS852114 ONJ852114:ONO852114 OXF852114:OXK852114 PHB852114:PHG852114 PQX852114:PRC852114 QAT852114:QAY852114 QKP852114:QKU852114 QUL852114:QUQ852114 REH852114:REM852114 ROD852114:ROI852114 RXZ852114:RYE852114 SHV852114:SIA852114 SRR852114:SRW852114 TBN852114:TBS852114 TLJ852114:TLO852114 TVF852114:TVK852114 UFB852114:UFG852114 UOX852114:UPC852114 UYT852114:UYY852114 VIP852114:VIU852114 VSL852114:VSQ852114 WCH852114:WCM852114 WMD852114:WMI852114 WVZ852114:WWE852114 E917650:W917650 JN917650:JS917650 TJ917650:TO917650 ADF917650:ADK917650 ANB917650:ANG917650 AWX917650:AXC917650 BGT917650:BGY917650 BQP917650:BQU917650 CAL917650:CAQ917650 CKH917650:CKM917650 CUD917650:CUI917650 DDZ917650:DEE917650 DNV917650:DOA917650 DXR917650:DXW917650 EHN917650:EHS917650 ERJ917650:ERO917650 FBF917650:FBK917650 FLB917650:FLG917650 FUX917650:FVC917650 GET917650:GEY917650 GOP917650:GOU917650 GYL917650:GYQ917650 HIH917650:HIM917650 HSD917650:HSI917650 IBZ917650:ICE917650 ILV917650:IMA917650 IVR917650:IVW917650 JFN917650:JFS917650 JPJ917650:JPO917650 JZF917650:JZK917650 KJB917650:KJG917650 KSX917650:KTC917650 LCT917650:LCY917650 LMP917650:LMU917650 LWL917650:LWQ917650 MGH917650:MGM917650 MQD917650:MQI917650 MZZ917650:NAE917650 NJV917650:NKA917650 NTR917650:NTW917650 ODN917650:ODS917650 ONJ917650:ONO917650 OXF917650:OXK917650 PHB917650:PHG917650 PQX917650:PRC917650 QAT917650:QAY917650 QKP917650:QKU917650 QUL917650:QUQ917650 REH917650:REM917650 ROD917650:ROI917650 RXZ917650:RYE917650 SHV917650:SIA917650 SRR917650:SRW917650 TBN917650:TBS917650 TLJ917650:TLO917650 TVF917650:TVK917650 UFB917650:UFG917650 UOX917650:UPC917650 UYT917650:UYY917650 VIP917650:VIU917650 VSL917650:VSQ917650 WCH917650:WCM917650 WMD917650:WMI917650 WVZ917650:WWE917650 E983186:W983186 JN983186:JS983186 TJ983186:TO983186 ADF983186:ADK983186 ANB983186:ANG983186 AWX983186:AXC983186 BGT983186:BGY983186 BQP983186:BQU983186 CAL983186:CAQ983186 CKH983186:CKM983186 CUD983186:CUI983186 DDZ983186:DEE983186 DNV983186:DOA983186 DXR983186:DXW983186 EHN983186:EHS983186 ERJ983186:ERO983186 FBF983186:FBK983186 FLB983186:FLG983186 FUX983186:FVC983186 GET983186:GEY983186 GOP983186:GOU983186 GYL983186:GYQ983186 HIH983186:HIM983186 HSD983186:HSI983186 IBZ983186:ICE983186 ILV983186:IMA983186 IVR983186:IVW983186 JFN983186:JFS983186 JPJ983186:JPO983186 JZF983186:JZK983186 KJB983186:KJG983186 KSX983186:KTC983186 LCT983186:LCY983186 LMP983186:LMU983186 LWL983186:LWQ983186 MGH983186:MGM983186 MQD983186:MQI983186 MZZ983186:NAE983186 NJV983186:NKA983186 NTR983186:NTW983186 ODN983186:ODS983186 ONJ983186:ONO983186 OXF983186:OXK983186 PHB983186:PHG983186 PQX983186:PRC983186 QAT983186:QAY983186 QKP983186:QKU983186 QUL983186:QUQ983186 REH983186:REM983186 ROD983186:ROI983186 RXZ983186:RYE983186 SHV983186:SIA983186 SRR983186:SRW983186 TBN983186:TBS983186 TLJ983186:TLO983186 TVF983186:TVK983186 UFB983186:UFG983186 UOX983186:UPC983186 UYT983186:UYY983186 VIP983186:VIU983186 VSL983186:VSQ983186 WCH983186:WCM983186 WMD983186:WMI983186 WVZ983186:WWE98318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scale="91" fitToHeight="6" orientation="portrait" r:id="rId1"/>
  <ignoredErrors>
    <ignoredError sqref="N1:W1 E1:L1" unlockedFormula="1"/>
  </ignoredError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92D050"/>
  </sheetPr>
  <dimension ref="A1:Q143"/>
  <sheetViews>
    <sheetView showGridLines="0" showZeros="0" topLeftCell="A92" zoomScaleNormal="100" workbookViewId="0">
      <selection activeCell="B132" sqref="B132"/>
    </sheetView>
  </sheetViews>
  <sheetFormatPr defaultColWidth="9.140625" defaultRowHeight="11.25" x14ac:dyDescent="0.2"/>
  <cols>
    <col min="1" max="1" width="6.85546875" style="167" customWidth="1"/>
    <col min="2" max="2" width="53.5703125" style="219" customWidth="1"/>
    <col min="3" max="3" width="5.85546875" style="167" customWidth="1"/>
    <col min="4" max="4" width="13.42578125" style="167" bestFit="1" customWidth="1"/>
    <col min="5" max="5" width="14.28515625" style="167" bestFit="1" customWidth="1"/>
    <col min="6" max="6" width="13.42578125" style="167" customWidth="1"/>
    <col min="7" max="7" width="15.140625" style="167" customWidth="1"/>
    <col min="8" max="8" width="10" style="167" bestFit="1" customWidth="1"/>
    <col min="9" max="11" width="9.140625" style="167"/>
    <col min="12" max="12" width="9.140625" style="167" customWidth="1"/>
    <col min="13" max="17" width="9.140625" style="167" hidden="1" customWidth="1"/>
    <col min="18" max="16384" width="9.140625" style="167"/>
  </cols>
  <sheetData>
    <row r="1" spans="1:17" ht="12.75" hidden="1" x14ac:dyDescent="0.2">
      <c r="M1" s="168" t="s">
        <v>462</v>
      </c>
    </row>
    <row r="2" spans="1:17" s="174" customFormat="1" ht="12" customHeight="1" x14ac:dyDescent="0.2">
      <c r="A2" s="169" t="s">
        <v>463</v>
      </c>
      <c r="B2" s="746">
        <v>0</v>
      </c>
      <c r="C2" s="170"/>
      <c r="D2" s="171"/>
      <c r="E2" s="172"/>
      <c r="F2" s="172"/>
      <c r="G2" s="173"/>
      <c r="K2" s="168"/>
      <c r="L2" s="168"/>
      <c r="M2" s="168" t="s">
        <v>465</v>
      </c>
      <c r="N2" s="168"/>
      <c r="O2" s="168"/>
      <c r="P2" s="168"/>
      <c r="Q2" s="168"/>
    </row>
    <row r="3" spans="1:17" ht="12" customHeight="1" x14ac:dyDescent="0.2">
      <c r="A3" s="169" t="s">
        <v>466</v>
      </c>
      <c r="B3" s="746" t="s">
        <v>467</v>
      </c>
      <c r="D3" s="171"/>
      <c r="E3" s="172"/>
      <c r="F3" s="172"/>
      <c r="K3" s="168"/>
      <c r="L3" s="175" t="s">
        <v>468</v>
      </c>
      <c r="M3" s="176" t="s">
        <v>464</v>
      </c>
      <c r="N3" s="176" t="s">
        <v>469</v>
      </c>
      <c r="O3" s="176" t="s">
        <v>470</v>
      </c>
      <c r="P3" s="176" t="s">
        <v>471</v>
      </c>
      <c r="Q3" s="176" t="s">
        <v>472</v>
      </c>
    </row>
    <row r="4" spans="1:17" ht="12" customHeight="1" x14ac:dyDescent="0.2">
      <c r="C4" s="320" t="s">
        <v>467</v>
      </c>
      <c r="D4" s="171"/>
      <c r="E4" s="172"/>
      <c r="F4" s="172"/>
      <c r="K4" s="168"/>
      <c r="L4" s="175"/>
      <c r="M4" s="168"/>
      <c r="N4" s="168"/>
      <c r="O4" s="168"/>
      <c r="P4" s="168"/>
      <c r="Q4" s="175" t="s">
        <v>468</v>
      </c>
    </row>
    <row r="5" spans="1:17" ht="13.5" customHeight="1" x14ac:dyDescent="0.2">
      <c r="A5" s="177"/>
      <c r="B5" s="747"/>
      <c r="C5" s="178"/>
      <c r="D5" s="178"/>
      <c r="E5" s="178"/>
      <c r="F5" s="178"/>
      <c r="G5" s="178"/>
      <c r="K5" s="168"/>
      <c r="L5" s="168"/>
      <c r="M5" s="179">
        <v>0.1</v>
      </c>
      <c r="N5" s="180">
        <v>0.01</v>
      </c>
      <c r="O5" s="179">
        <v>0.05</v>
      </c>
      <c r="P5" s="181">
        <v>5.0000000000000001E-3</v>
      </c>
      <c r="Q5" s="182" t="e">
        <f>IF(#REF!=$M$3,M5,IF(#REF!=$N$3,N5,IF(#REF!=$O$3,O5,IF(#REF!=$P$3,P5,""))))</f>
        <v>#REF!</v>
      </c>
    </row>
    <row r="6" spans="1:17" ht="12" customHeight="1" x14ac:dyDescent="0.2">
      <c r="C6" s="183" t="s">
        <v>473</v>
      </c>
      <c r="D6" s="184"/>
      <c r="E6" s="170"/>
      <c r="K6" s="168"/>
      <c r="L6" s="168"/>
      <c r="M6" s="179">
        <v>0.09</v>
      </c>
      <c r="N6" s="180">
        <v>8.9999999999999993E-3</v>
      </c>
      <c r="O6" s="179">
        <v>0.04</v>
      </c>
      <c r="P6" s="181">
        <v>4.0000000000000001E-3</v>
      </c>
      <c r="Q6" s="182" t="e">
        <f>IF(#REF!=$M$3,M6,IF(#REF!=$N$3,N6,IF(#REF!=$O$3,O6,IF(#REF!=$P$3,P6,""))))</f>
        <v>#REF!</v>
      </c>
    </row>
    <row r="7" spans="1:17" s="188" customFormat="1" ht="12" customHeight="1" x14ac:dyDescent="0.2">
      <c r="A7" s="185" t="s">
        <v>474</v>
      </c>
      <c r="B7" s="748" t="s">
        <v>475</v>
      </c>
      <c r="C7" s="185" t="s">
        <v>476</v>
      </c>
      <c r="D7" s="186" t="s">
        <v>477</v>
      </c>
      <c r="E7" s="186"/>
      <c r="F7" s="186"/>
      <c r="G7" s="187" t="s">
        <v>478</v>
      </c>
      <c r="K7" s="168"/>
      <c r="L7" s="168"/>
      <c r="M7" s="179">
        <v>0.08</v>
      </c>
      <c r="N7" s="180">
        <v>8.0000000000000002E-3</v>
      </c>
      <c r="O7" s="179">
        <v>0.03</v>
      </c>
      <c r="P7" s="181">
        <v>3.0000000000000001E-3</v>
      </c>
      <c r="Q7" s="182" t="e">
        <f>IF(#REF!=$M$3,M7,IF(#REF!=$N$3,N7,IF(#REF!=$O$3,O7,IF(#REF!=$P$3,P7,""))))</f>
        <v>#REF!</v>
      </c>
    </row>
    <row r="8" spans="1:17" s="191" customFormat="1" ht="12" customHeight="1" x14ac:dyDescent="0.2">
      <c r="A8" s="189" t="s">
        <v>479</v>
      </c>
      <c r="B8" s="190"/>
      <c r="C8" s="189" t="s">
        <v>480</v>
      </c>
      <c r="D8" s="185" t="s">
        <v>481</v>
      </c>
      <c r="E8" s="185" t="s">
        <v>482</v>
      </c>
      <c r="F8" s="185" t="s">
        <v>483</v>
      </c>
      <c r="G8" s="185" t="s">
        <v>483</v>
      </c>
      <c r="K8" s="168"/>
      <c r="L8" s="168"/>
      <c r="M8" s="179">
        <v>7.0000000000000007E-2</v>
      </c>
      <c r="N8" s="180">
        <v>7.0000000000000001E-3</v>
      </c>
      <c r="O8" s="179">
        <v>0.02</v>
      </c>
      <c r="P8" s="181">
        <v>2.5000000000000001E-3</v>
      </c>
      <c r="Q8" s="182" t="e">
        <f>IF(#REF!=$M$3,M8,IF(#REF!=$N$3,N8,IF(#REF!=$O$3,O8,IF(#REF!=$P$3,P8,""))))</f>
        <v>#REF!</v>
      </c>
    </row>
    <row r="9" spans="1:17" s="188" customFormat="1" ht="12" customHeight="1" x14ac:dyDescent="0.2">
      <c r="A9" s="192" t="s">
        <v>484</v>
      </c>
      <c r="B9" s="749" t="s">
        <v>485</v>
      </c>
      <c r="C9" s="192" t="s">
        <v>486</v>
      </c>
      <c r="D9" s="192">
        <v>1</v>
      </c>
      <c r="E9" s="192">
        <v>2</v>
      </c>
      <c r="F9" s="192">
        <v>3</v>
      </c>
      <c r="G9" s="192">
        <v>4</v>
      </c>
      <c r="K9" s="168"/>
      <c r="L9" s="168"/>
      <c r="M9" s="179">
        <v>0.06</v>
      </c>
      <c r="N9" s="180">
        <v>6.0000000000000001E-3</v>
      </c>
      <c r="O9" s="179">
        <v>0.01</v>
      </c>
      <c r="P9" s="168"/>
      <c r="Q9" s="182" t="e">
        <f>IF(#REF!=$M$3,M9,IF(#REF!=$N$3,N9,IF(#REF!=$O$3,O9,IF(#REF!=$P$3,P9,""))))</f>
        <v>#REF!</v>
      </c>
    </row>
    <row r="10" spans="1:17" s="196" customFormat="1" ht="12" customHeight="1" x14ac:dyDescent="0.2">
      <c r="A10" s="193"/>
      <c r="B10" s="750" t="s">
        <v>487</v>
      </c>
      <c r="C10" s="194" t="s">
        <v>488</v>
      </c>
      <c r="D10" s="711">
        <f>D11+D39+D70</f>
        <v>0</v>
      </c>
      <c r="E10" s="711">
        <f>E11+E39+E70</f>
        <v>0</v>
      </c>
      <c r="F10" s="711">
        <f>F11+F39+F70</f>
        <v>0</v>
      </c>
      <c r="G10" s="711">
        <f>G11+G39+G70</f>
        <v>0</v>
      </c>
      <c r="K10" s="168"/>
      <c r="L10" s="168"/>
      <c r="M10" s="179">
        <v>0.05</v>
      </c>
      <c r="N10" s="180">
        <v>5.0000000000000001E-3</v>
      </c>
      <c r="O10" s="168"/>
      <c r="P10" s="168"/>
      <c r="Q10" s="182" t="e">
        <f>IF(#REF!=$M$3,M10,IF(#REF!=$N$3,N10,IF(#REF!=$O$3,O10,IF(#REF!=$P$3,P10,""))))</f>
        <v>#REF!</v>
      </c>
    </row>
    <row r="11" spans="1:17" s="196" customFormat="1" ht="12" customHeight="1" x14ac:dyDescent="0.25">
      <c r="A11" s="197" t="s">
        <v>489</v>
      </c>
      <c r="B11" s="751" t="s">
        <v>490</v>
      </c>
      <c r="C11" s="194" t="s">
        <v>491</v>
      </c>
      <c r="D11" s="711">
        <f>D12+D20+D30</f>
        <v>0</v>
      </c>
      <c r="E11" s="711">
        <f>E12+E20+E30</f>
        <v>0</v>
      </c>
      <c r="F11" s="711">
        <f>F12+F20+F30</f>
        <v>0</v>
      </c>
      <c r="G11" s="711">
        <f>G12+G20+G30</f>
        <v>0</v>
      </c>
    </row>
    <row r="12" spans="1:17" s="196" customFormat="1" ht="12" customHeight="1" x14ac:dyDescent="0.25">
      <c r="A12" s="198" t="s">
        <v>492</v>
      </c>
      <c r="B12" s="752" t="s">
        <v>493</v>
      </c>
      <c r="C12" s="194" t="s">
        <v>494</v>
      </c>
      <c r="D12" s="711">
        <f>SUM(D13:D19)</f>
        <v>0</v>
      </c>
      <c r="E12" s="711">
        <f>SUM(E13:E19)</f>
        <v>0</v>
      </c>
      <c r="F12" s="711">
        <f>SUM(F13:F19)</f>
        <v>0</v>
      </c>
      <c r="G12" s="711">
        <f>SUM(G13:G19)</f>
        <v>0</v>
      </c>
    </row>
    <row r="13" spans="1:17" s="174" customFormat="1" ht="12" customHeight="1" x14ac:dyDescent="0.25">
      <c r="A13" s="199" t="s">
        <v>495</v>
      </c>
      <c r="B13" s="753" t="s">
        <v>496</v>
      </c>
      <c r="C13" s="200" t="s">
        <v>497</v>
      </c>
      <c r="D13" s="712"/>
      <c r="E13" s="712"/>
      <c r="F13" s="712"/>
      <c r="G13" s="712"/>
      <c r="H13" s="201"/>
    </row>
    <row r="14" spans="1:17" s="174" customFormat="1" ht="12" customHeight="1" x14ac:dyDescent="0.25">
      <c r="A14" s="199" t="s">
        <v>498</v>
      </c>
      <c r="B14" s="753" t="s">
        <v>499</v>
      </c>
      <c r="C14" s="200" t="s">
        <v>500</v>
      </c>
      <c r="D14" s="712"/>
      <c r="E14" s="712"/>
      <c r="F14" s="712"/>
      <c r="G14" s="713"/>
    </row>
    <row r="15" spans="1:17" s="174" customFormat="1" ht="12" customHeight="1" x14ac:dyDescent="0.25">
      <c r="A15" s="199" t="s">
        <v>501</v>
      </c>
      <c r="B15" s="753" t="s">
        <v>502</v>
      </c>
      <c r="C15" s="200" t="s">
        <v>503</v>
      </c>
      <c r="D15" s="712"/>
      <c r="E15" s="712"/>
      <c r="F15" s="712"/>
      <c r="G15" s="712"/>
    </row>
    <row r="16" spans="1:17" s="174" customFormat="1" ht="12" customHeight="1" x14ac:dyDescent="0.25">
      <c r="A16" s="199" t="s">
        <v>504</v>
      </c>
      <c r="B16" s="753" t="s">
        <v>505</v>
      </c>
      <c r="C16" s="200" t="s">
        <v>506</v>
      </c>
      <c r="D16" s="712"/>
      <c r="E16" s="712"/>
      <c r="F16" s="712"/>
      <c r="G16" s="712"/>
    </row>
    <row r="17" spans="1:7" s="174" customFormat="1" ht="12" customHeight="1" x14ac:dyDescent="0.25">
      <c r="A17" s="199" t="s">
        <v>507</v>
      </c>
      <c r="B17" s="754" t="s">
        <v>508</v>
      </c>
      <c r="C17" s="200" t="s">
        <v>509</v>
      </c>
      <c r="D17" s="712"/>
      <c r="E17" s="712"/>
      <c r="F17" s="712"/>
      <c r="G17" s="712"/>
    </row>
    <row r="18" spans="1:7" s="174" customFormat="1" ht="12" customHeight="1" x14ac:dyDescent="0.25">
      <c r="A18" s="199" t="s">
        <v>510</v>
      </c>
      <c r="B18" s="753" t="s">
        <v>511</v>
      </c>
      <c r="C18" s="200" t="s">
        <v>512</v>
      </c>
      <c r="D18" s="712"/>
      <c r="E18" s="712"/>
      <c r="F18" s="712"/>
      <c r="G18" s="712"/>
    </row>
    <row r="19" spans="1:7" s="174" customFormat="1" ht="12" customHeight="1" x14ac:dyDescent="0.25">
      <c r="A19" s="199" t="s">
        <v>513</v>
      </c>
      <c r="B19" s="753" t="s">
        <v>514</v>
      </c>
      <c r="C19" s="200" t="s">
        <v>515</v>
      </c>
      <c r="D19" s="712"/>
      <c r="E19" s="712"/>
      <c r="F19" s="712"/>
      <c r="G19" s="712"/>
    </row>
    <row r="20" spans="1:7" s="196" customFormat="1" ht="12" customHeight="1" x14ac:dyDescent="0.25">
      <c r="A20" s="202" t="s">
        <v>516</v>
      </c>
      <c r="B20" s="752" t="s">
        <v>517</v>
      </c>
      <c r="C20" s="194" t="s">
        <v>518</v>
      </c>
      <c r="D20" s="711">
        <f>SUM(D21:D29)</f>
        <v>0</v>
      </c>
      <c r="E20" s="711">
        <f>SUM(E21:E29)</f>
        <v>0</v>
      </c>
      <c r="F20" s="711">
        <f>SUM(F21:F29)</f>
        <v>0</v>
      </c>
      <c r="G20" s="711">
        <f>SUM(G21:G29)</f>
        <v>0</v>
      </c>
    </row>
    <row r="21" spans="1:7" s="174" customFormat="1" ht="12" customHeight="1" x14ac:dyDescent="0.25">
      <c r="A21" s="203" t="s">
        <v>519</v>
      </c>
      <c r="B21" s="753" t="s">
        <v>520</v>
      </c>
      <c r="C21" s="200" t="s">
        <v>521</v>
      </c>
      <c r="D21" s="712"/>
      <c r="E21" s="712"/>
      <c r="F21" s="712"/>
      <c r="G21" s="712"/>
    </row>
    <row r="22" spans="1:7" s="174" customFormat="1" ht="12" customHeight="1" x14ac:dyDescent="0.25">
      <c r="A22" s="199" t="s">
        <v>498</v>
      </c>
      <c r="B22" s="753" t="s">
        <v>522</v>
      </c>
      <c r="C22" s="200" t="s">
        <v>523</v>
      </c>
      <c r="D22" s="712"/>
      <c r="E22" s="712"/>
      <c r="F22" s="712"/>
      <c r="G22" s="712"/>
    </row>
    <row r="23" spans="1:7" s="174" customFormat="1" ht="12" customHeight="1" x14ac:dyDescent="0.25">
      <c r="A23" s="199" t="s">
        <v>501</v>
      </c>
      <c r="B23" s="753" t="s">
        <v>524</v>
      </c>
      <c r="C23" s="200" t="s">
        <v>525</v>
      </c>
      <c r="D23" s="712"/>
      <c r="E23" s="714"/>
      <c r="F23" s="712"/>
      <c r="G23" s="712"/>
    </row>
    <row r="24" spans="1:7" s="174" customFormat="1" ht="12" customHeight="1" x14ac:dyDescent="0.25">
      <c r="A24" s="199" t="s">
        <v>504</v>
      </c>
      <c r="B24" s="753" t="s">
        <v>526</v>
      </c>
      <c r="C24" s="200" t="s">
        <v>527</v>
      </c>
      <c r="D24" s="712"/>
      <c r="E24" s="712"/>
      <c r="F24" s="712"/>
      <c r="G24" s="714"/>
    </row>
    <row r="25" spans="1:7" s="174" customFormat="1" ht="12" customHeight="1" x14ac:dyDescent="0.25">
      <c r="A25" s="199" t="s">
        <v>507</v>
      </c>
      <c r="B25" s="753" t="s">
        <v>528</v>
      </c>
      <c r="C25" s="200" t="s">
        <v>529</v>
      </c>
      <c r="D25" s="712"/>
      <c r="E25" s="712"/>
      <c r="F25" s="712"/>
      <c r="G25" s="714"/>
    </row>
    <row r="26" spans="1:7" s="174" customFormat="1" ht="12" customHeight="1" x14ac:dyDescent="0.25">
      <c r="A26" s="199" t="s">
        <v>510</v>
      </c>
      <c r="B26" s="754" t="s">
        <v>530</v>
      </c>
      <c r="C26" s="200" t="s">
        <v>531</v>
      </c>
      <c r="D26" s="714"/>
      <c r="E26" s="714"/>
      <c r="F26" s="712"/>
      <c r="G26" s="714"/>
    </row>
    <row r="27" spans="1:7" s="174" customFormat="1" ht="12" customHeight="1" x14ac:dyDescent="0.25">
      <c r="A27" s="199" t="s">
        <v>513</v>
      </c>
      <c r="B27" s="753" t="s">
        <v>532</v>
      </c>
      <c r="C27" s="200" t="s">
        <v>533</v>
      </c>
      <c r="D27" s="712"/>
      <c r="E27" s="712"/>
      <c r="F27" s="712"/>
      <c r="G27" s="712"/>
    </row>
    <row r="28" spans="1:7" s="174" customFormat="1" ht="12" customHeight="1" x14ac:dyDescent="0.25">
      <c r="A28" s="199" t="s">
        <v>534</v>
      </c>
      <c r="B28" s="753" t="s">
        <v>535</v>
      </c>
      <c r="C28" s="200" t="s">
        <v>536</v>
      </c>
      <c r="D28" s="712"/>
      <c r="E28" s="712"/>
      <c r="F28" s="712"/>
      <c r="G28" s="712"/>
    </row>
    <row r="29" spans="1:7" s="174" customFormat="1" ht="12" customHeight="1" x14ac:dyDescent="0.25">
      <c r="A29" s="199" t="s">
        <v>537</v>
      </c>
      <c r="B29" s="753" t="s">
        <v>538</v>
      </c>
      <c r="C29" s="200" t="s">
        <v>539</v>
      </c>
      <c r="D29" s="712"/>
      <c r="E29" s="712"/>
      <c r="F29" s="712"/>
      <c r="G29" s="712"/>
    </row>
    <row r="30" spans="1:7" s="196" customFormat="1" ht="12" customHeight="1" x14ac:dyDescent="0.25">
      <c r="A30" s="202" t="s">
        <v>540</v>
      </c>
      <c r="B30" s="752" t="s">
        <v>541</v>
      </c>
      <c r="C30" s="194" t="s">
        <v>542</v>
      </c>
      <c r="D30" s="711">
        <f>SUM(D31:D38)</f>
        <v>0</v>
      </c>
      <c r="E30" s="711">
        <f>SUM(E31:E38)</f>
        <v>0</v>
      </c>
      <c r="F30" s="711">
        <f>SUM(F31:F38)</f>
        <v>0</v>
      </c>
      <c r="G30" s="711">
        <f>SUM(G31:G38)</f>
        <v>0</v>
      </c>
    </row>
    <row r="31" spans="1:7" s="174" customFormat="1" ht="12" customHeight="1" x14ac:dyDescent="0.25">
      <c r="A31" s="203" t="s">
        <v>543</v>
      </c>
      <c r="B31" s="753" t="s">
        <v>544</v>
      </c>
      <c r="C31" s="200" t="s">
        <v>545</v>
      </c>
      <c r="D31" s="712"/>
      <c r="E31" s="712"/>
      <c r="F31" s="712"/>
      <c r="G31" s="712"/>
    </row>
    <row r="32" spans="1:7" s="174" customFormat="1" ht="12" customHeight="1" x14ac:dyDescent="0.25">
      <c r="A32" s="199" t="s">
        <v>498</v>
      </c>
      <c r="B32" s="753" t="s">
        <v>546</v>
      </c>
      <c r="C32" s="200" t="s">
        <v>547</v>
      </c>
      <c r="D32" s="712"/>
      <c r="E32" s="712"/>
      <c r="F32" s="712"/>
      <c r="G32" s="712"/>
    </row>
    <row r="33" spans="1:7" s="174" customFormat="1" ht="12" customHeight="1" x14ac:dyDescent="0.25">
      <c r="A33" s="199" t="s">
        <v>501</v>
      </c>
      <c r="B33" s="753" t="s">
        <v>548</v>
      </c>
      <c r="C33" s="200" t="s">
        <v>549</v>
      </c>
      <c r="D33" s="712"/>
      <c r="E33" s="712"/>
      <c r="F33" s="712"/>
      <c r="G33" s="712"/>
    </row>
    <row r="34" spans="1:7" s="174" customFormat="1" ht="12" customHeight="1" x14ac:dyDescent="0.25">
      <c r="A34" s="199" t="s">
        <v>504</v>
      </c>
      <c r="B34" s="753" t="s">
        <v>550</v>
      </c>
      <c r="C34" s="200" t="s">
        <v>551</v>
      </c>
      <c r="D34" s="712"/>
      <c r="E34" s="712"/>
      <c r="F34" s="712"/>
      <c r="G34" s="712"/>
    </row>
    <row r="35" spans="1:7" s="174" customFormat="1" ht="12" customHeight="1" x14ac:dyDescent="0.25">
      <c r="A35" s="199" t="s">
        <v>507</v>
      </c>
      <c r="B35" s="754" t="s">
        <v>552</v>
      </c>
      <c r="C35" s="200" t="s">
        <v>553</v>
      </c>
      <c r="D35" s="712"/>
      <c r="E35" s="712"/>
      <c r="F35" s="712"/>
      <c r="G35" s="712"/>
    </row>
    <row r="36" spans="1:7" s="174" customFormat="1" ht="12" customHeight="1" x14ac:dyDescent="0.25">
      <c r="A36" s="199" t="s">
        <v>510</v>
      </c>
      <c r="B36" s="754" t="s">
        <v>554</v>
      </c>
      <c r="C36" s="200" t="s">
        <v>555</v>
      </c>
      <c r="D36" s="712"/>
      <c r="E36" s="712"/>
      <c r="F36" s="712"/>
      <c r="G36" s="712"/>
    </row>
    <row r="37" spans="1:7" s="174" customFormat="1" ht="12" customHeight="1" x14ac:dyDescent="0.25">
      <c r="A37" s="199" t="s">
        <v>513</v>
      </c>
      <c r="B37" s="753" t="s">
        <v>556</v>
      </c>
      <c r="C37" s="200" t="s">
        <v>557</v>
      </c>
      <c r="D37" s="712"/>
      <c r="E37" s="712"/>
      <c r="F37" s="712"/>
      <c r="G37" s="712"/>
    </row>
    <row r="38" spans="1:7" s="174" customFormat="1" ht="12" customHeight="1" x14ac:dyDescent="0.25">
      <c r="A38" s="199" t="s">
        <v>534</v>
      </c>
      <c r="B38" s="753" t="s">
        <v>558</v>
      </c>
      <c r="C38" s="200" t="s">
        <v>559</v>
      </c>
      <c r="D38" s="712"/>
      <c r="E38" s="712"/>
      <c r="F38" s="712"/>
      <c r="G38" s="712"/>
    </row>
    <row r="39" spans="1:7" s="196" customFormat="1" ht="12" customHeight="1" x14ac:dyDescent="0.25">
      <c r="A39" s="202" t="s">
        <v>560</v>
      </c>
      <c r="B39" s="751" t="s">
        <v>561</v>
      </c>
      <c r="C39" s="194" t="s">
        <v>562</v>
      </c>
      <c r="D39" s="711">
        <f>D40+D47+D55+D64</f>
        <v>0</v>
      </c>
      <c r="E39" s="711">
        <f>E40+E47+E55+E64</f>
        <v>0</v>
      </c>
      <c r="F39" s="711">
        <f>F40+F47+F55+F64</f>
        <v>0</v>
      </c>
      <c r="G39" s="711">
        <f>G40+G47+G55+G64</f>
        <v>0</v>
      </c>
    </row>
    <row r="40" spans="1:7" s="196" customFormat="1" ht="12" customHeight="1" x14ac:dyDescent="0.25">
      <c r="A40" s="198" t="s">
        <v>563</v>
      </c>
      <c r="B40" s="752" t="s">
        <v>564</v>
      </c>
      <c r="C40" s="194" t="s">
        <v>565</v>
      </c>
      <c r="D40" s="711">
        <f>SUM(D41:D46)</f>
        <v>0</v>
      </c>
      <c r="E40" s="711">
        <f>SUM(E41:E46)</f>
        <v>0</v>
      </c>
      <c r="F40" s="711">
        <f>SUM(F41:F46)</f>
        <v>0</v>
      </c>
      <c r="G40" s="711">
        <f>SUM(G41:G46)</f>
        <v>0</v>
      </c>
    </row>
    <row r="41" spans="1:7" s="174" customFormat="1" ht="12" customHeight="1" x14ac:dyDescent="0.25">
      <c r="A41" s="203" t="s">
        <v>566</v>
      </c>
      <c r="B41" s="753" t="s">
        <v>567</v>
      </c>
      <c r="C41" s="200" t="s">
        <v>568</v>
      </c>
      <c r="D41" s="712"/>
      <c r="E41" s="712"/>
      <c r="F41" s="712"/>
      <c r="G41" s="712"/>
    </row>
    <row r="42" spans="1:7" s="174" customFormat="1" ht="12" customHeight="1" x14ac:dyDescent="0.25">
      <c r="A42" s="199" t="s">
        <v>498</v>
      </c>
      <c r="B42" s="754" t="s">
        <v>569</v>
      </c>
      <c r="C42" s="200" t="s">
        <v>570</v>
      </c>
      <c r="D42" s="712"/>
      <c r="E42" s="712"/>
      <c r="F42" s="712"/>
      <c r="G42" s="712"/>
    </row>
    <row r="43" spans="1:7" s="174" customFormat="1" ht="12" customHeight="1" x14ac:dyDescent="0.25">
      <c r="A43" s="199" t="s">
        <v>501</v>
      </c>
      <c r="B43" s="753" t="s">
        <v>571</v>
      </c>
      <c r="C43" s="200" t="s">
        <v>572</v>
      </c>
      <c r="D43" s="712"/>
      <c r="E43" s="712"/>
      <c r="F43" s="712"/>
      <c r="G43" s="712"/>
    </row>
    <row r="44" spans="1:7" s="174" customFormat="1" ht="12" customHeight="1" x14ac:dyDescent="0.25">
      <c r="A44" s="199" t="s">
        <v>504</v>
      </c>
      <c r="B44" s="753" t="s">
        <v>573</v>
      </c>
      <c r="C44" s="200" t="s">
        <v>574</v>
      </c>
      <c r="D44" s="712"/>
      <c r="E44" s="712"/>
      <c r="F44" s="712"/>
      <c r="G44" s="712"/>
    </row>
    <row r="45" spans="1:7" s="174" customFormat="1" ht="12" customHeight="1" x14ac:dyDescent="0.25">
      <c r="A45" s="199" t="s">
        <v>507</v>
      </c>
      <c r="B45" s="754" t="s">
        <v>575</v>
      </c>
      <c r="C45" s="200" t="s">
        <v>576</v>
      </c>
      <c r="D45" s="712"/>
      <c r="E45" s="712"/>
      <c r="F45" s="712"/>
      <c r="G45" s="712"/>
    </row>
    <row r="46" spans="1:7" s="174" customFormat="1" ht="12" customHeight="1" x14ac:dyDescent="0.25">
      <c r="A46" s="199" t="s">
        <v>510</v>
      </c>
      <c r="B46" s="753" t="s">
        <v>577</v>
      </c>
      <c r="C46" s="200" t="s">
        <v>578</v>
      </c>
      <c r="D46" s="715"/>
      <c r="E46" s="715"/>
      <c r="F46" s="715"/>
      <c r="G46" s="712"/>
    </row>
    <row r="47" spans="1:7" s="196" customFormat="1" ht="12" customHeight="1" x14ac:dyDescent="0.25">
      <c r="A47" s="202" t="s">
        <v>579</v>
      </c>
      <c r="B47" s="752" t="s">
        <v>580</v>
      </c>
      <c r="C47" s="194" t="s">
        <v>581</v>
      </c>
      <c r="D47" s="711">
        <f>SUM(D48:D54)</f>
        <v>0</v>
      </c>
      <c r="E47" s="711">
        <f>SUM(E48:E54)</f>
        <v>0</v>
      </c>
      <c r="F47" s="711">
        <f>SUM(F48:F54)</f>
        <v>0</v>
      </c>
      <c r="G47" s="711">
        <f>SUM(G48:G54)</f>
        <v>0</v>
      </c>
    </row>
    <row r="48" spans="1:7" s="174" customFormat="1" ht="12" customHeight="1" x14ac:dyDescent="0.25">
      <c r="A48" s="203" t="s">
        <v>582</v>
      </c>
      <c r="B48" s="754" t="s">
        <v>583</v>
      </c>
      <c r="C48" s="200" t="s">
        <v>584</v>
      </c>
      <c r="D48" s="716"/>
      <c r="E48" s="716"/>
      <c r="F48" s="716"/>
      <c r="G48" s="716"/>
    </row>
    <row r="49" spans="1:7" s="174" customFormat="1" ht="12" customHeight="1" x14ac:dyDescent="0.25">
      <c r="A49" s="206" t="s">
        <v>498</v>
      </c>
      <c r="B49" s="755" t="s">
        <v>585</v>
      </c>
      <c r="C49" s="207" t="s">
        <v>586</v>
      </c>
      <c r="D49" s="716"/>
      <c r="E49" s="714"/>
      <c r="F49" s="714"/>
      <c r="G49" s="716"/>
    </row>
    <row r="50" spans="1:7" s="174" customFormat="1" ht="12" customHeight="1" x14ac:dyDescent="0.25">
      <c r="A50" s="199" t="s">
        <v>501</v>
      </c>
      <c r="B50" s="753" t="s">
        <v>587</v>
      </c>
      <c r="C50" s="200" t="s">
        <v>588</v>
      </c>
      <c r="D50" s="716"/>
      <c r="E50" s="716"/>
      <c r="F50" s="716"/>
      <c r="G50" s="716"/>
    </row>
    <row r="51" spans="1:7" s="174" customFormat="1" ht="12" customHeight="1" x14ac:dyDescent="0.25">
      <c r="A51" s="199" t="s">
        <v>504</v>
      </c>
      <c r="B51" s="753" t="s">
        <v>589</v>
      </c>
      <c r="C51" s="200" t="s">
        <v>590</v>
      </c>
      <c r="D51" s="716"/>
      <c r="E51" s="716"/>
      <c r="F51" s="716"/>
      <c r="G51" s="716"/>
    </row>
    <row r="52" spans="1:7" s="174" customFormat="1" ht="12" customHeight="1" x14ac:dyDescent="0.25">
      <c r="A52" s="199" t="s">
        <v>507</v>
      </c>
      <c r="B52" s="754" t="s">
        <v>591</v>
      </c>
      <c r="C52" s="200" t="s">
        <v>592</v>
      </c>
      <c r="D52" s="716"/>
      <c r="E52" s="716"/>
      <c r="F52" s="716"/>
      <c r="G52" s="716"/>
    </row>
    <row r="53" spans="1:7" s="174" customFormat="1" ht="12" customHeight="1" x14ac:dyDescent="0.25">
      <c r="A53" s="199" t="s">
        <v>510</v>
      </c>
      <c r="B53" s="754" t="s">
        <v>593</v>
      </c>
      <c r="C53" s="200" t="s">
        <v>594</v>
      </c>
      <c r="D53" s="716"/>
      <c r="E53" s="717"/>
      <c r="F53" s="717"/>
      <c r="G53" s="716"/>
    </row>
    <row r="54" spans="1:7" s="174" customFormat="1" ht="12" customHeight="1" x14ac:dyDescent="0.25">
      <c r="A54" s="199" t="s">
        <v>513</v>
      </c>
      <c r="B54" s="753" t="s">
        <v>595</v>
      </c>
      <c r="C54" s="200" t="s">
        <v>596</v>
      </c>
      <c r="D54" s="716"/>
      <c r="E54" s="717"/>
      <c r="F54" s="717"/>
      <c r="G54" s="716"/>
    </row>
    <row r="55" spans="1:7" s="196" customFormat="1" ht="12" customHeight="1" x14ac:dyDescent="0.25">
      <c r="A55" s="202" t="s">
        <v>597</v>
      </c>
      <c r="B55" s="752" t="s">
        <v>598</v>
      </c>
      <c r="C55" s="194" t="s">
        <v>599</v>
      </c>
      <c r="D55" s="711">
        <f>SUM(D56:D63)</f>
        <v>0</v>
      </c>
      <c r="E55" s="711">
        <f>SUM(E56:E63)</f>
        <v>0</v>
      </c>
      <c r="F55" s="711">
        <f>SUM(F56:F63)</f>
        <v>0</v>
      </c>
      <c r="G55" s="711">
        <f>SUM(G56:G63)</f>
        <v>0</v>
      </c>
    </row>
    <row r="56" spans="1:7" s="174" customFormat="1" ht="12" customHeight="1" x14ac:dyDescent="0.25">
      <c r="A56" s="203" t="s">
        <v>600</v>
      </c>
      <c r="B56" s="754" t="s">
        <v>601</v>
      </c>
      <c r="C56" s="200" t="s">
        <v>602</v>
      </c>
      <c r="D56" s="716"/>
      <c r="E56" s="716"/>
      <c r="F56" s="716"/>
      <c r="G56" s="716"/>
    </row>
    <row r="57" spans="1:7" s="174" customFormat="1" ht="12" customHeight="1" x14ac:dyDescent="0.25">
      <c r="A57" s="206" t="s">
        <v>498</v>
      </c>
      <c r="B57" s="755" t="s">
        <v>585</v>
      </c>
      <c r="C57" s="207" t="s">
        <v>603</v>
      </c>
      <c r="D57" s="716"/>
      <c r="E57" s="714"/>
      <c r="F57" s="714"/>
      <c r="G57" s="716"/>
    </row>
    <row r="58" spans="1:7" s="174" customFormat="1" ht="12" customHeight="1" x14ac:dyDescent="0.25">
      <c r="A58" s="199" t="s">
        <v>501</v>
      </c>
      <c r="B58" s="753" t="s">
        <v>604</v>
      </c>
      <c r="C58" s="200" t="s">
        <v>605</v>
      </c>
      <c r="D58" s="716"/>
      <c r="E58" s="716"/>
      <c r="F58" s="716"/>
      <c r="G58" s="716"/>
    </row>
    <row r="59" spans="1:7" s="174" customFormat="1" ht="12" customHeight="1" x14ac:dyDescent="0.25">
      <c r="A59" s="199" t="s">
        <v>504</v>
      </c>
      <c r="B59" s="753" t="s">
        <v>589</v>
      </c>
      <c r="C59" s="200" t="s">
        <v>606</v>
      </c>
      <c r="D59" s="716"/>
      <c r="E59" s="716"/>
      <c r="F59" s="716"/>
      <c r="G59" s="716"/>
    </row>
    <row r="60" spans="1:7" s="174" customFormat="1" ht="12" customHeight="1" x14ac:dyDescent="0.25">
      <c r="A60" s="199" t="s">
        <v>507</v>
      </c>
      <c r="B60" s="754" t="s">
        <v>607</v>
      </c>
      <c r="C60" s="200" t="s">
        <v>608</v>
      </c>
      <c r="D60" s="716"/>
      <c r="E60" s="716"/>
      <c r="F60" s="716"/>
      <c r="G60" s="716"/>
    </row>
    <row r="61" spans="1:7" s="174" customFormat="1" ht="12" customHeight="1" x14ac:dyDescent="0.25">
      <c r="A61" s="199" t="s">
        <v>510</v>
      </c>
      <c r="B61" s="753" t="s">
        <v>609</v>
      </c>
      <c r="C61" s="200" t="s">
        <v>610</v>
      </c>
      <c r="D61" s="716"/>
      <c r="E61" s="716"/>
      <c r="F61" s="716"/>
      <c r="G61" s="716"/>
    </row>
    <row r="62" spans="1:7" s="174" customFormat="1" ht="12" customHeight="1" x14ac:dyDescent="0.25">
      <c r="A62" s="199" t="s">
        <v>513</v>
      </c>
      <c r="B62" s="753" t="s">
        <v>611</v>
      </c>
      <c r="C62" s="200" t="s">
        <v>612</v>
      </c>
      <c r="D62" s="716"/>
      <c r="E62" s="716"/>
      <c r="F62" s="716"/>
      <c r="G62" s="716"/>
    </row>
    <row r="63" spans="1:7" s="174" customFormat="1" ht="12" customHeight="1" x14ac:dyDescent="0.25">
      <c r="A63" s="199" t="s">
        <v>534</v>
      </c>
      <c r="B63" s="756" t="s">
        <v>613</v>
      </c>
      <c r="C63" s="200" t="s">
        <v>614</v>
      </c>
      <c r="D63" s="716"/>
      <c r="E63" s="716"/>
      <c r="F63" s="716"/>
      <c r="G63" s="716"/>
    </row>
    <row r="64" spans="1:7" s="196" customFormat="1" ht="12" customHeight="1" x14ac:dyDescent="0.25">
      <c r="A64" s="202" t="s">
        <v>615</v>
      </c>
      <c r="B64" s="752" t="s">
        <v>616</v>
      </c>
      <c r="C64" s="194" t="s">
        <v>617</v>
      </c>
      <c r="D64" s="711">
        <f>SUM(D65:D69)</f>
        <v>0</v>
      </c>
      <c r="E64" s="711">
        <f>SUM(E65:E69)</f>
        <v>0</v>
      </c>
      <c r="F64" s="711">
        <f>SUM(F65:F69)</f>
        <v>0</v>
      </c>
      <c r="G64" s="711">
        <f>SUM(G65:G69)</f>
        <v>0</v>
      </c>
    </row>
    <row r="65" spans="1:7" s="196" customFormat="1" ht="12" customHeight="1" x14ac:dyDescent="0.25">
      <c r="A65" s="203" t="s">
        <v>618</v>
      </c>
      <c r="B65" s="753" t="s">
        <v>619</v>
      </c>
      <c r="C65" s="200" t="s">
        <v>620</v>
      </c>
      <c r="D65" s="712"/>
      <c r="E65" s="712"/>
      <c r="F65" s="714"/>
      <c r="G65" s="712"/>
    </row>
    <row r="66" spans="1:7" s="174" customFormat="1" ht="12" customHeight="1" x14ac:dyDescent="0.25">
      <c r="A66" s="199" t="s">
        <v>498</v>
      </c>
      <c r="B66" s="753" t="s">
        <v>621</v>
      </c>
      <c r="C66" s="200" t="s">
        <v>622</v>
      </c>
      <c r="D66" s="712"/>
      <c r="E66" s="712"/>
      <c r="F66" s="712"/>
      <c r="G66" s="712"/>
    </row>
    <row r="67" spans="1:7" s="174" customFormat="1" ht="12" customHeight="1" x14ac:dyDescent="0.25">
      <c r="A67" s="199" t="s">
        <v>501</v>
      </c>
      <c r="B67" s="753" t="s">
        <v>623</v>
      </c>
      <c r="C67" s="200" t="s">
        <v>624</v>
      </c>
      <c r="D67" s="712"/>
      <c r="E67" s="712"/>
      <c r="F67" s="712"/>
      <c r="G67" s="712"/>
    </row>
    <row r="68" spans="1:7" s="174" customFormat="1" ht="12" customHeight="1" x14ac:dyDescent="0.25">
      <c r="A68" s="199" t="s">
        <v>504</v>
      </c>
      <c r="B68" s="753" t="s">
        <v>625</v>
      </c>
      <c r="C68" s="200" t="s">
        <v>626</v>
      </c>
      <c r="D68" s="712"/>
      <c r="E68" s="712"/>
      <c r="F68" s="712"/>
      <c r="G68" s="712"/>
    </row>
    <row r="69" spans="1:7" s="174" customFormat="1" ht="12" customHeight="1" x14ac:dyDescent="0.25">
      <c r="A69" s="199" t="s">
        <v>507</v>
      </c>
      <c r="B69" s="753" t="s">
        <v>627</v>
      </c>
      <c r="C69" s="200" t="s">
        <v>628</v>
      </c>
      <c r="D69" s="712"/>
      <c r="E69" s="712"/>
      <c r="F69" s="712"/>
      <c r="G69" s="712"/>
    </row>
    <row r="70" spans="1:7" s="196" customFormat="1" ht="12" customHeight="1" x14ac:dyDescent="0.25">
      <c r="A70" s="202" t="s">
        <v>629</v>
      </c>
      <c r="B70" s="752" t="s">
        <v>630</v>
      </c>
      <c r="C70" s="194" t="s">
        <v>631</v>
      </c>
      <c r="D70" s="711">
        <f>SUM(D71:D74)</f>
        <v>0</v>
      </c>
      <c r="E70" s="711">
        <f>SUM(E71:E74)</f>
        <v>0</v>
      </c>
      <c r="F70" s="711">
        <f>SUM(F71:F74)</f>
        <v>0</v>
      </c>
      <c r="G70" s="711">
        <f>SUM(G71:G74)</f>
        <v>0</v>
      </c>
    </row>
    <row r="71" spans="1:7" s="174" customFormat="1" ht="12" customHeight="1" x14ac:dyDescent="0.25">
      <c r="A71" s="203" t="s">
        <v>632</v>
      </c>
      <c r="B71" s="753" t="s">
        <v>633</v>
      </c>
      <c r="C71" s="200" t="s">
        <v>634</v>
      </c>
      <c r="D71" s="718"/>
      <c r="E71" s="719"/>
      <c r="F71" s="714"/>
      <c r="G71" s="719"/>
    </row>
    <row r="72" spans="1:7" s="174" customFormat="1" ht="12" customHeight="1" x14ac:dyDescent="0.25">
      <c r="A72" s="199" t="s">
        <v>498</v>
      </c>
      <c r="B72" s="754" t="s">
        <v>635</v>
      </c>
      <c r="C72" s="200" t="s">
        <v>636</v>
      </c>
      <c r="D72" s="714"/>
      <c r="E72" s="714"/>
      <c r="F72" s="714"/>
      <c r="G72" s="714"/>
    </row>
    <row r="73" spans="1:7" s="174" customFormat="1" ht="12" customHeight="1" x14ac:dyDescent="0.25">
      <c r="A73" s="199" t="s">
        <v>501</v>
      </c>
      <c r="B73" s="753" t="s">
        <v>637</v>
      </c>
      <c r="C73" s="200" t="s">
        <v>638</v>
      </c>
      <c r="D73" s="714"/>
      <c r="E73" s="714"/>
      <c r="F73" s="714"/>
      <c r="G73" s="714"/>
    </row>
    <row r="74" spans="1:7" s="174" customFormat="1" ht="12" customHeight="1" x14ac:dyDescent="0.25">
      <c r="A74" s="199" t="s">
        <v>504</v>
      </c>
      <c r="B74" s="753" t="s">
        <v>639</v>
      </c>
      <c r="C74" s="200" t="s">
        <v>640</v>
      </c>
      <c r="D74" s="712"/>
      <c r="E74" s="712"/>
      <c r="F74" s="712"/>
      <c r="G74" s="712"/>
    </row>
    <row r="75" spans="1:7" s="174" customFormat="1" ht="12" customHeight="1" x14ac:dyDescent="0.25">
      <c r="A75" s="208"/>
      <c r="B75" s="757" t="s">
        <v>641</v>
      </c>
      <c r="C75" s="209">
        <v>888</v>
      </c>
      <c r="D75" s="720">
        <f>(SUM(D10:D74))</f>
        <v>0</v>
      </c>
      <c r="E75" s="720">
        <f>(SUM(E10:E74))</f>
        <v>0</v>
      </c>
      <c r="F75" s="720">
        <f>SUM(F10:F74)</f>
        <v>0</v>
      </c>
      <c r="G75" s="720">
        <f>(SUM(G10:G74))</f>
        <v>0</v>
      </c>
    </row>
    <row r="76" spans="1:7" s="174" customFormat="1" ht="12" customHeight="1" x14ac:dyDescent="0.25">
      <c r="A76" s="210"/>
      <c r="B76" s="219"/>
      <c r="D76" s="211"/>
      <c r="E76" s="211"/>
      <c r="F76" s="211"/>
      <c r="G76" s="211"/>
    </row>
    <row r="77" spans="1:7" s="174" customFormat="1" ht="12" customHeight="1" x14ac:dyDescent="0.25">
      <c r="A77" s="210"/>
      <c r="B77" s="219"/>
      <c r="D77" s="211"/>
      <c r="E77" s="211"/>
      <c r="F77" s="211"/>
      <c r="G77" s="211"/>
    </row>
    <row r="78" spans="1:7" s="174" customFormat="1" ht="12" customHeight="1" x14ac:dyDescent="0.25">
      <c r="A78" s="212" t="s">
        <v>474</v>
      </c>
      <c r="B78" s="758" t="s">
        <v>642</v>
      </c>
      <c r="C78" s="212" t="s">
        <v>476</v>
      </c>
      <c r="D78" s="213" t="s">
        <v>643</v>
      </c>
      <c r="E78" s="213" t="s">
        <v>644</v>
      </c>
      <c r="F78" s="214"/>
      <c r="G78" s="214"/>
    </row>
    <row r="79" spans="1:7" s="174" customFormat="1" ht="12" customHeight="1" x14ac:dyDescent="0.25">
      <c r="A79" s="215" t="s">
        <v>479</v>
      </c>
      <c r="B79" s="759"/>
      <c r="C79" s="215" t="s">
        <v>480</v>
      </c>
      <c r="D79" s="216" t="s">
        <v>645</v>
      </c>
      <c r="E79" s="216" t="s">
        <v>645</v>
      </c>
      <c r="F79" s="214"/>
      <c r="G79" s="214"/>
    </row>
    <row r="80" spans="1:7" s="219" customFormat="1" ht="12" customHeight="1" x14ac:dyDescent="0.25">
      <c r="A80" s="217" t="s">
        <v>484</v>
      </c>
      <c r="B80" s="760" t="s">
        <v>485</v>
      </c>
      <c r="C80" s="217" t="s">
        <v>486</v>
      </c>
      <c r="D80" s="218">
        <v>5</v>
      </c>
      <c r="E80" s="218">
        <v>6</v>
      </c>
      <c r="F80" s="214"/>
      <c r="G80" s="214"/>
    </row>
    <row r="81" spans="1:7" s="196" customFormat="1" ht="12" customHeight="1" x14ac:dyDescent="0.25">
      <c r="A81" s="220"/>
      <c r="B81" s="761" t="s">
        <v>646</v>
      </c>
      <c r="C81" s="221" t="s">
        <v>647</v>
      </c>
      <c r="D81" s="711"/>
      <c r="E81" s="711"/>
      <c r="F81" s="222"/>
      <c r="G81" s="222"/>
    </row>
    <row r="82" spans="1:7" s="196" customFormat="1" ht="12" customHeight="1" x14ac:dyDescent="0.25">
      <c r="A82" s="220" t="s">
        <v>489</v>
      </c>
      <c r="B82" s="761" t="s">
        <v>648</v>
      </c>
      <c r="C82" s="221" t="s">
        <v>649</v>
      </c>
      <c r="D82" s="711"/>
      <c r="E82" s="711"/>
      <c r="F82" s="1624"/>
      <c r="G82" s="1624"/>
    </row>
    <row r="83" spans="1:7" s="196" customFormat="1" ht="12" customHeight="1" x14ac:dyDescent="0.25">
      <c r="A83" s="220" t="s">
        <v>492</v>
      </c>
      <c r="B83" s="761" t="s">
        <v>650</v>
      </c>
      <c r="C83" s="221" t="s">
        <v>651</v>
      </c>
      <c r="D83" s="711"/>
      <c r="E83" s="711"/>
      <c r="F83" s="204"/>
      <c r="G83" s="204"/>
    </row>
    <row r="84" spans="1:7" s="174" customFormat="1" ht="12" customHeight="1" x14ac:dyDescent="0.25">
      <c r="A84" s="223" t="s">
        <v>495</v>
      </c>
      <c r="B84" s="762" t="s">
        <v>652</v>
      </c>
      <c r="C84" s="224" t="s">
        <v>653</v>
      </c>
      <c r="D84" s="712"/>
      <c r="E84" s="712"/>
      <c r="F84" s="204"/>
      <c r="G84" s="204"/>
    </row>
    <row r="85" spans="1:7" s="174" customFormat="1" ht="12" customHeight="1" x14ac:dyDescent="0.25">
      <c r="A85" s="223" t="s">
        <v>498</v>
      </c>
      <c r="B85" s="762" t="s">
        <v>654</v>
      </c>
      <c r="C85" s="224" t="s">
        <v>655</v>
      </c>
      <c r="D85" s="712"/>
      <c r="E85" s="712"/>
      <c r="F85" s="214"/>
      <c r="G85" s="195"/>
    </row>
    <row r="86" spans="1:7" s="174" customFormat="1" ht="12" customHeight="1" x14ac:dyDescent="0.25">
      <c r="A86" s="223" t="s">
        <v>501</v>
      </c>
      <c r="B86" s="762" t="s">
        <v>656</v>
      </c>
      <c r="C86" s="224" t="s">
        <v>657</v>
      </c>
      <c r="D86" s="712"/>
      <c r="E86" s="712"/>
      <c r="F86" s="214"/>
      <c r="G86" s="195"/>
    </row>
    <row r="87" spans="1:7" s="174" customFormat="1" ht="12" customHeight="1" x14ac:dyDescent="0.25">
      <c r="A87" s="199" t="s">
        <v>504</v>
      </c>
      <c r="B87" s="753" t="s">
        <v>658</v>
      </c>
      <c r="C87" s="200" t="s">
        <v>659</v>
      </c>
      <c r="D87" s="721"/>
      <c r="E87" s="712"/>
      <c r="F87" s="214"/>
      <c r="G87" s="205"/>
    </row>
    <row r="88" spans="1:7" s="196" customFormat="1" ht="12" customHeight="1" x14ac:dyDescent="0.25">
      <c r="A88" s="220" t="s">
        <v>516</v>
      </c>
      <c r="B88" s="761" t="s">
        <v>660</v>
      </c>
      <c r="C88" s="221" t="s">
        <v>661</v>
      </c>
      <c r="D88" s="711"/>
      <c r="E88" s="711"/>
      <c r="F88" s="222"/>
      <c r="G88" s="195"/>
    </row>
    <row r="89" spans="1:7" s="174" customFormat="1" ht="12" customHeight="1" x14ac:dyDescent="0.25">
      <c r="A89" s="223" t="s">
        <v>519</v>
      </c>
      <c r="B89" s="762" t="s">
        <v>662</v>
      </c>
      <c r="C89" s="224" t="s">
        <v>663</v>
      </c>
      <c r="D89" s="712"/>
      <c r="E89" s="712"/>
      <c r="F89" s="214"/>
      <c r="G89" s="195"/>
    </row>
    <row r="90" spans="1:7" s="174" customFormat="1" ht="12" customHeight="1" x14ac:dyDescent="0.25">
      <c r="A90" s="223" t="s">
        <v>498</v>
      </c>
      <c r="B90" s="762" t="s">
        <v>664</v>
      </c>
      <c r="C90" s="224" t="s">
        <v>665</v>
      </c>
      <c r="D90" s="712"/>
      <c r="E90" s="712"/>
      <c r="F90" s="214"/>
      <c r="G90" s="195"/>
    </row>
    <row r="91" spans="1:7" s="174" customFormat="1" ht="12" customHeight="1" x14ac:dyDescent="0.25">
      <c r="A91" s="223" t="s">
        <v>501</v>
      </c>
      <c r="B91" s="762" t="s">
        <v>666</v>
      </c>
      <c r="C91" s="224" t="s">
        <v>667</v>
      </c>
      <c r="D91" s="712"/>
      <c r="E91" s="712"/>
      <c r="F91" s="214"/>
      <c r="G91" s="195"/>
    </row>
    <row r="92" spans="1:7" s="174" customFormat="1" ht="12" customHeight="1" x14ac:dyDescent="0.25">
      <c r="A92" s="223" t="s">
        <v>504</v>
      </c>
      <c r="B92" s="762" t="s">
        <v>668</v>
      </c>
      <c r="C92" s="224" t="s">
        <v>669</v>
      </c>
      <c r="D92" s="712"/>
      <c r="E92" s="712"/>
      <c r="F92" s="214"/>
      <c r="G92" s="195"/>
    </row>
    <row r="93" spans="1:7" s="174" customFormat="1" ht="12" customHeight="1" x14ac:dyDescent="0.25">
      <c r="A93" s="223" t="s">
        <v>507</v>
      </c>
      <c r="B93" s="762" t="s">
        <v>670</v>
      </c>
      <c r="C93" s="224" t="s">
        <v>671</v>
      </c>
      <c r="D93" s="712"/>
      <c r="E93" s="712"/>
      <c r="F93" s="214"/>
      <c r="G93" s="195"/>
    </row>
    <row r="94" spans="1:7" s="174" customFormat="1" ht="12" customHeight="1" x14ac:dyDescent="0.25">
      <c r="A94" s="223" t="s">
        <v>510</v>
      </c>
      <c r="B94" s="762" t="s">
        <v>672</v>
      </c>
      <c r="C94" s="224" t="s">
        <v>673</v>
      </c>
      <c r="D94" s="712"/>
      <c r="E94" s="712"/>
      <c r="F94" s="214"/>
      <c r="G94" s="195"/>
    </row>
    <row r="95" spans="1:7" s="196" customFormat="1" ht="12" customHeight="1" x14ac:dyDescent="0.25">
      <c r="A95" s="220" t="s">
        <v>540</v>
      </c>
      <c r="B95" s="761" t="s">
        <v>674</v>
      </c>
      <c r="C95" s="221" t="s">
        <v>675</v>
      </c>
      <c r="D95" s="711"/>
      <c r="E95" s="711"/>
      <c r="F95" s="222"/>
      <c r="G95" s="195"/>
    </row>
    <row r="96" spans="1:7" s="174" customFormat="1" ht="12" customHeight="1" x14ac:dyDescent="0.25">
      <c r="A96" s="223" t="s">
        <v>543</v>
      </c>
      <c r="B96" s="762" t="s">
        <v>676</v>
      </c>
      <c r="C96" s="224" t="s">
        <v>677</v>
      </c>
      <c r="D96" s="712"/>
      <c r="E96" s="712"/>
      <c r="F96" s="214"/>
      <c r="G96" s="195"/>
    </row>
    <row r="97" spans="1:7" s="174" customFormat="1" ht="12" customHeight="1" x14ac:dyDescent="0.25">
      <c r="A97" s="223" t="s">
        <v>498</v>
      </c>
      <c r="B97" s="762" t="s">
        <v>678</v>
      </c>
      <c r="C97" s="224" t="s">
        <v>679</v>
      </c>
      <c r="D97" s="712"/>
      <c r="E97" s="712"/>
      <c r="F97" s="214"/>
      <c r="G97" s="195"/>
    </row>
    <row r="98" spans="1:7" s="174" customFormat="1" ht="12" customHeight="1" x14ac:dyDescent="0.25">
      <c r="A98" s="223" t="s">
        <v>501</v>
      </c>
      <c r="B98" s="762" t="s">
        <v>680</v>
      </c>
      <c r="C98" s="224" t="s">
        <v>681</v>
      </c>
      <c r="D98" s="712"/>
      <c r="E98" s="712"/>
      <c r="F98" s="214"/>
      <c r="G98" s="195"/>
    </row>
    <row r="99" spans="1:7" s="196" customFormat="1" ht="12" customHeight="1" x14ac:dyDescent="0.25">
      <c r="A99" s="220" t="s">
        <v>682</v>
      </c>
      <c r="B99" s="761" t="s">
        <v>683</v>
      </c>
      <c r="C99" s="221" t="s">
        <v>684</v>
      </c>
      <c r="D99" s="711"/>
      <c r="E99" s="711"/>
      <c r="F99" s="222"/>
      <c r="G99" s="195"/>
    </row>
    <row r="100" spans="1:7" s="174" customFormat="1" ht="12" customHeight="1" x14ac:dyDescent="0.25">
      <c r="A100" s="223" t="s">
        <v>685</v>
      </c>
      <c r="B100" s="762" t="s">
        <v>686</v>
      </c>
      <c r="C100" s="224" t="s">
        <v>687</v>
      </c>
      <c r="D100" s="712"/>
      <c r="E100" s="712"/>
      <c r="F100" s="214"/>
      <c r="G100" s="195"/>
    </row>
    <row r="101" spans="1:7" s="174" customFormat="1" ht="12" customHeight="1" x14ac:dyDescent="0.25">
      <c r="A101" s="223" t="s">
        <v>498</v>
      </c>
      <c r="B101" s="762" t="s">
        <v>688</v>
      </c>
      <c r="C101" s="224" t="s">
        <v>689</v>
      </c>
      <c r="D101" s="712"/>
      <c r="E101" s="712"/>
      <c r="F101" s="214"/>
      <c r="G101" s="195"/>
    </row>
    <row r="102" spans="1:7" s="227" customFormat="1" x14ac:dyDescent="0.25">
      <c r="A102" s="225" t="s">
        <v>690</v>
      </c>
      <c r="B102" s="763" t="s">
        <v>691</v>
      </c>
      <c r="C102" s="226" t="s">
        <v>692</v>
      </c>
      <c r="D102" s="722"/>
      <c r="E102" s="722"/>
      <c r="F102" s="222"/>
    </row>
    <row r="103" spans="1:7" s="196" customFormat="1" ht="12" customHeight="1" x14ac:dyDescent="0.25">
      <c r="A103" s="220" t="s">
        <v>560</v>
      </c>
      <c r="B103" s="761" t="s">
        <v>693</v>
      </c>
      <c r="C103" s="221" t="s">
        <v>694</v>
      </c>
      <c r="D103" s="711"/>
      <c r="E103" s="711"/>
      <c r="F103" s="228"/>
      <c r="G103" s="195"/>
    </row>
    <row r="104" spans="1:7" s="196" customFormat="1" ht="12" customHeight="1" x14ac:dyDescent="0.25">
      <c r="A104" s="220" t="s">
        <v>563</v>
      </c>
      <c r="B104" s="761" t="s">
        <v>695</v>
      </c>
      <c r="C104" s="221" t="s">
        <v>696</v>
      </c>
      <c r="D104" s="711"/>
      <c r="E104" s="711"/>
      <c r="F104" s="1623"/>
      <c r="G104" s="1623"/>
    </row>
    <row r="105" spans="1:7" s="174" customFormat="1" ht="12" customHeight="1" x14ac:dyDescent="0.25">
      <c r="A105" s="223" t="s">
        <v>566</v>
      </c>
      <c r="B105" s="762" t="s">
        <v>697</v>
      </c>
      <c r="C105" s="224" t="s">
        <v>698</v>
      </c>
      <c r="D105" s="712"/>
      <c r="E105" s="712"/>
      <c r="F105" s="204"/>
      <c r="G105" s="204"/>
    </row>
    <row r="106" spans="1:7" s="174" customFormat="1" ht="12" customHeight="1" x14ac:dyDescent="0.25">
      <c r="A106" s="223" t="s">
        <v>498</v>
      </c>
      <c r="B106" s="762" t="s">
        <v>699</v>
      </c>
      <c r="C106" s="224" t="s">
        <v>700</v>
      </c>
      <c r="D106" s="712"/>
      <c r="E106" s="712"/>
      <c r="F106" s="204"/>
      <c r="G106" s="204"/>
    </row>
    <row r="107" spans="1:7" s="174" customFormat="1" ht="12" customHeight="1" x14ac:dyDescent="0.25">
      <c r="A107" s="223" t="s">
        <v>501</v>
      </c>
      <c r="B107" s="762" t="s">
        <v>701</v>
      </c>
      <c r="C107" s="224" t="s">
        <v>702</v>
      </c>
      <c r="D107" s="712"/>
      <c r="E107" s="712"/>
      <c r="F107" s="204"/>
      <c r="G107" s="204"/>
    </row>
    <row r="108" spans="1:7" s="174" customFormat="1" ht="12" customHeight="1" x14ac:dyDescent="0.25">
      <c r="A108" s="223" t="s">
        <v>504</v>
      </c>
      <c r="B108" s="762" t="s">
        <v>703</v>
      </c>
      <c r="C108" s="224" t="s">
        <v>704</v>
      </c>
      <c r="D108" s="712"/>
      <c r="E108" s="712"/>
      <c r="F108" s="214"/>
      <c r="G108" s="195"/>
    </row>
    <row r="109" spans="1:7" s="196" customFormat="1" ht="12" customHeight="1" x14ac:dyDescent="0.25">
      <c r="A109" s="220" t="s">
        <v>579</v>
      </c>
      <c r="B109" s="761" t="s">
        <v>705</v>
      </c>
      <c r="C109" s="221" t="s">
        <v>706</v>
      </c>
      <c r="D109" s="711"/>
      <c r="E109" s="711"/>
      <c r="F109" s="1623"/>
      <c r="G109" s="1623"/>
    </row>
    <row r="110" spans="1:7" s="174" customFormat="1" ht="12" customHeight="1" x14ac:dyDescent="0.25">
      <c r="A110" s="229" t="s">
        <v>582</v>
      </c>
      <c r="B110" s="764" t="s">
        <v>707</v>
      </c>
      <c r="C110" s="230" t="s">
        <v>708</v>
      </c>
      <c r="D110" s="714"/>
      <c r="E110" s="716"/>
      <c r="F110" s="204"/>
      <c r="G110" s="204"/>
    </row>
    <row r="111" spans="1:7" s="174" customFormat="1" ht="12" customHeight="1" x14ac:dyDescent="0.25">
      <c r="A111" s="229" t="s">
        <v>498</v>
      </c>
      <c r="B111" s="764" t="s">
        <v>585</v>
      </c>
      <c r="C111" s="230" t="s">
        <v>709</v>
      </c>
      <c r="D111" s="714"/>
      <c r="E111" s="716"/>
      <c r="F111" s="204"/>
      <c r="G111" s="204"/>
    </row>
    <row r="112" spans="1:7" s="174" customFormat="1" ht="12" customHeight="1" x14ac:dyDescent="0.25">
      <c r="A112" s="229" t="s">
        <v>501</v>
      </c>
      <c r="B112" s="764" t="s">
        <v>710</v>
      </c>
      <c r="C112" s="230" t="s">
        <v>711</v>
      </c>
      <c r="D112" s="714"/>
      <c r="E112" s="716"/>
      <c r="F112" s="204"/>
      <c r="G112" s="204"/>
    </row>
    <row r="113" spans="1:7" s="174" customFormat="1" ht="12" customHeight="1" x14ac:dyDescent="0.25">
      <c r="A113" s="229" t="s">
        <v>504</v>
      </c>
      <c r="B113" s="764" t="s">
        <v>712</v>
      </c>
      <c r="C113" s="230" t="s">
        <v>713</v>
      </c>
      <c r="D113" s="714"/>
      <c r="E113" s="716"/>
      <c r="F113" s="214"/>
      <c r="G113" s="195"/>
    </row>
    <row r="114" spans="1:7" s="174" customFormat="1" ht="12" customHeight="1" x14ac:dyDescent="0.25">
      <c r="A114" s="229" t="s">
        <v>507</v>
      </c>
      <c r="B114" s="764" t="s">
        <v>714</v>
      </c>
      <c r="C114" s="230" t="s">
        <v>715</v>
      </c>
      <c r="D114" s="714"/>
      <c r="E114" s="716"/>
      <c r="F114" s="214"/>
      <c r="G114" s="195"/>
    </row>
    <row r="115" spans="1:7" s="174" customFormat="1" ht="12" customHeight="1" x14ac:dyDescent="0.25">
      <c r="A115" s="229" t="s">
        <v>510</v>
      </c>
      <c r="B115" s="764" t="s">
        <v>716</v>
      </c>
      <c r="C115" s="230" t="s">
        <v>717</v>
      </c>
      <c r="D115" s="714"/>
      <c r="E115" s="716"/>
      <c r="F115" s="214"/>
      <c r="G115" s="195"/>
    </row>
    <row r="116" spans="1:7" s="174" customFormat="1" ht="12" customHeight="1" x14ac:dyDescent="0.25">
      <c r="A116" s="229" t="s">
        <v>513</v>
      </c>
      <c r="B116" s="764" t="s">
        <v>718</v>
      </c>
      <c r="C116" s="230" t="s">
        <v>719</v>
      </c>
      <c r="D116" s="716"/>
      <c r="E116" s="716"/>
      <c r="F116" s="214"/>
      <c r="G116" s="195"/>
    </row>
    <row r="117" spans="1:7" s="174" customFormat="1" ht="12" customHeight="1" x14ac:dyDescent="0.25">
      <c r="A117" s="229" t="s">
        <v>534</v>
      </c>
      <c r="B117" s="764" t="s">
        <v>720</v>
      </c>
      <c r="C117" s="230" t="s">
        <v>721</v>
      </c>
      <c r="D117" s="716"/>
      <c r="E117" s="716"/>
      <c r="F117" s="214"/>
      <c r="G117" s="195"/>
    </row>
    <row r="118" spans="1:7" s="174" customFormat="1" ht="12" customHeight="1" x14ac:dyDescent="0.25">
      <c r="A118" s="229" t="s">
        <v>537</v>
      </c>
      <c r="B118" s="764" t="s">
        <v>722</v>
      </c>
      <c r="C118" s="230" t="s">
        <v>723</v>
      </c>
      <c r="D118" s="716"/>
      <c r="E118" s="716"/>
      <c r="F118" s="214"/>
      <c r="G118" s="195"/>
    </row>
    <row r="119" spans="1:7" s="174" customFormat="1" ht="12" customHeight="1" x14ac:dyDescent="0.25">
      <c r="A119" s="229" t="s">
        <v>724</v>
      </c>
      <c r="B119" s="764" t="s">
        <v>725</v>
      </c>
      <c r="C119" s="230" t="s">
        <v>726</v>
      </c>
      <c r="D119" s="716"/>
      <c r="E119" s="716"/>
      <c r="F119" s="214"/>
      <c r="G119" s="195"/>
    </row>
    <row r="120" spans="1:7" s="174" customFormat="1" ht="12" customHeight="1" x14ac:dyDescent="0.25">
      <c r="A120" s="229" t="s">
        <v>727</v>
      </c>
      <c r="B120" s="765" t="s">
        <v>728</v>
      </c>
      <c r="C120" s="230" t="s">
        <v>729</v>
      </c>
      <c r="D120" s="716"/>
      <c r="E120" s="716"/>
      <c r="F120" s="214"/>
      <c r="G120" s="195"/>
    </row>
    <row r="121" spans="1:7" s="196" customFormat="1" ht="12" customHeight="1" x14ac:dyDescent="0.25">
      <c r="A121" s="220" t="s">
        <v>597</v>
      </c>
      <c r="B121" s="761" t="s">
        <v>730</v>
      </c>
      <c r="C121" s="221" t="s">
        <v>731</v>
      </c>
      <c r="D121" s="711"/>
      <c r="E121" s="711"/>
      <c r="F121" s="1623"/>
      <c r="G121" s="1623"/>
    </row>
    <row r="122" spans="1:7" s="174" customFormat="1" ht="12" customHeight="1" x14ac:dyDescent="0.25">
      <c r="A122" s="223" t="s">
        <v>600</v>
      </c>
      <c r="B122" s="762" t="s">
        <v>732</v>
      </c>
      <c r="C122" s="224" t="s">
        <v>733</v>
      </c>
      <c r="D122" s="714"/>
      <c r="E122" s="716"/>
      <c r="F122" s="204"/>
      <c r="G122" s="204"/>
    </row>
    <row r="123" spans="1:7" s="174" customFormat="1" ht="12" customHeight="1" x14ac:dyDescent="0.25">
      <c r="A123" s="229" t="s">
        <v>498</v>
      </c>
      <c r="B123" s="764" t="s">
        <v>585</v>
      </c>
      <c r="C123" s="230" t="s">
        <v>734</v>
      </c>
      <c r="D123" s="714"/>
      <c r="E123" s="716"/>
      <c r="F123" s="204"/>
      <c r="G123" s="204"/>
    </row>
    <row r="124" spans="1:7" s="174" customFormat="1" ht="12" customHeight="1" x14ac:dyDescent="0.25">
      <c r="A124" s="223" t="s">
        <v>501</v>
      </c>
      <c r="B124" s="762" t="s">
        <v>735</v>
      </c>
      <c r="C124" s="224" t="s">
        <v>736</v>
      </c>
      <c r="D124" s="714"/>
      <c r="E124" s="716"/>
      <c r="F124" s="204"/>
      <c r="G124" s="204"/>
    </row>
    <row r="125" spans="1:7" s="174" customFormat="1" ht="12" customHeight="1" x14ac:dyDescent="0.25">
      <c r="A125" s="223" t="s">
        <v>504</v>
      </c>
      <c r="B125" s="762" t="s">
        <v>737</v>
      </c>
      <c r="C125" s="224" t="s">
        <v>738</v>
      </c>
      <c r="D125" s="714"/>
      <c r="E125" s="716"/>
      <c r="F125" s="204"/>
      <c r="G125" s="204"/>
    </row>
    <row r="126" spans="1:7" s="174" customFormat="1" ht="12" customHeight="1" x14ac:dyDescent="0.25">
      <c r="A126" s="223" t="s">
        <v>507</v>
      </c>
      <c r="B126" s="762" t="s">
        <v>739</v>
      </c>
      <c r="C126" s="224" t="s">
        <v>740</v>
      </c>
      <c r="D126" s="714"/>
      <c r="E126" s="716"/>
      <c r="F126" s="1624"/>
      <c r="G126" s="1624"/>
    </row>
    <row r="127" spans="1:7" s="174" customFormat="1" ht="12" customHeight="1" x14ac:dyDescent="0.25">
      <c r="A127" s="223" t="s">
        <v>510</v>
      </c>
      <c r="B127" s="762" t="s">
        <v>741</v>
      </c>
      <c r="C127" s="224" t="s">
        <v>742</v>
      </c>
      <c r="D127" s="714"/>
      <c r="E127" s="716"/>
      <c r="F127" s="1624"/>
      <c r="G127" s="1624"/>
    </row>
    <row r="128" spans="1:7" s="174" customFormat="1" ht="12" customHeight="1" x14ac:dyDescent="0.25">
      <c r="A128" s="223" t="s">
        <v>513</v>
      </c>
      <c r="B128" s="762" t="s">
        <v>743</v>
      </c>
      <c r="C128" s="224" t="s">
        <v>744</v>
      </c>
      <c r="D128" s="716"/>
      <c r="E128" s="716"/>
      <c r="F128" s="1624"/>
      <c r="G128" s="1624"/>
    </row>
    <row r="129" spans="1:7" s="174" customFormat="1" ht="12" customHeight="1" x14ac:dyDescent="0.25">
      <c r="A129" s="223" t="s">
        <v>534</v>
      </c>
      <c r="B129" s="762" t="s">
        <v>745</v>
      </c>
      <c r="C129" s="224" t="s">
        <v>746</v>
      </c>
      <c r="D129" s="716"/>
      <c r="E129" s="716"/>
      <c r="F129" s="214"/>
      <c r="G129" s="195"/>
    </row>
    <row r="130" spans="1:7" s="174" customFormat="1" ht="12" customHeight="1" x14ac:dyDescent="0.25">
      <c r="A130" s="223" t="s">
        <v>537</v>
      </c>
      <c r="B130" s="762" t="s">
        <v>747</v>
      </c>
      <c r="C130" s="224" t="s">
        <v>748</v>
      </c>
      <c r="D130" s="716"/>
      <c r="E130" s="716"/>
      <c r="F130" s="214"/>
      <c r="G130" s="195"/>
    </row>
    <row r="131" spans="1:7" s="174" customFormat="1" ht="12" customHeight="1" x14ac:dyDescent="0.25">
      <c r="A131" s="223" t="s">
        <v>724</v>
      </c>
      <c r="B131" s="766" t="s">
        <v>749</v>
      </c>
      <c r="C131" s="224" t="s">
        <v>750</v>
      </c>
      <c r="D131" s="716"/>
      <c r="E131" s="716"/>
      <c r="F131" s="214"/>
      <c r="G131" s="195"/>
    </row>
    <row r="132" spans="1:7" s="174" customFormat="1" ht="12" customHeight="1" x14ac:dyDescent="0.25">
      <c r="A132" s="231" t="s">
        <v>615</v>
      </c>
      <c r="B132" s="767" t="s">
        <v>751</v>
      </c>
      <c r="C132" s="232" t="s">
        <v>752</v>
      </c>
      <c r="D132" s="723"/>
      <c r="E132" s="723"/>
      <c r="F132" s="1623"/>
      <c r="G132" s="1623"/>
    </row>
    <row r="133" spans="1:7" s="196" customFormat="1" ht="12" customHeight="1" x14ac:dyDescent="0.25">
      <c r="A133" s="220" t="s">
        <v>753</v>
      </c>
      <c r="B133" s="761" t="s">
        <v>754</v>
      </c>
      <c r="C133" s="221" t="s">
        <v>755</v>
      </c>
      <c r="D133" s="711"/>
      <c r="E133" s="711"/>
      <c r="F133" s="1623"/>
      <c r="G133" s="1623"/>
    </row>
    <row r="134" spans="1:7" s="174" customFormat="1" ht="12" customHeight="1" x14ac:dyDescent="0.25">
      <c r="A134" s="223" t="s">
        <v>756</v>
      </c>
      <c r="B134" s="762" t="s">
        <v>757</v>
      </c>
      <c r="C134" s="224" t="s">
        <v>758</v>
      </c>
      <c r="D134" s="716"/>
      <c r="E134" s="716"/>
      <c r="F134" s="204"/>
      <c r="G134" s="204"/>
    </row>
    <row r="135" spans="1:7" s="174" customFormat="1" ht="12" customHeight="1" x14ac:dyDescent="0.25">
      <c r="A135" s="223" t="s">
        <v>498</v>
      </c>
      <c r="B135" s="762" t="s">
        <v>759</v>
      </c>
      <c r="C135" s="224" t="s">
        <v>760</v>
      </c>
      <c r="D135" s="716"/>
      <c r="E135" s="716"/>
      <c r="F135" s="204"/>
      <c r="G135" s="204"/>
    </row>
    <row r="136" spans="1:7" s="196" customFormat="1" ht="12" customHeight="1" x14ac:dyDescent="0.25">
      <c r="A136" s="220" t="s">
        <v>629</v>
      </c>
      <c r="B136" s="761" t="s">
        <v>761</v>
      </c>
      <c r="C136" s="221" t="s">
        <v>762</v>
      </c>
      <c r="D136" s="711"/>
      <c r="E136" s="711"/>
      <c r="F136" s="1623"/>
      <c r="G136" s="1623"/>
    </row>
    <row r="137" spans="1:7" s="174" customFormat="1" ht="12" customHeight="1" x14ac:dyDescent="0.25">
      <c r="A137" s="223" t="s">
        <v>632</v>
      </c>
      <c r="B137" s="762" t="s">
        <v>763</v>
      </c>
      <c r="C137" s="224" t="s">
        <v>764</v>
      </c>
      <c r="D137" s="712"/>
      <c r="E137" s="712"/>
      <c r="F137" s="204"/>
      <c r="G137" s="204"/>
    </row>
    <row r="138" spans="1:7" s="174" customFormat="1" ht="12" customHeight="1" x14ac:dyDescent="0.25">
      <c r="A138" s="223" t="s">
        <v>498</v>
      </c>
      <c r="B138" s="762" t="s">
        <v>765</v>
      </c>
      <c r="C138" s="224" t="s">
        <v>766</v>
      </c>
      <c r="D138" s="714"/>
      <c r="E138" s="714"/>
      <c r="F138" s="204"/>
      <c r="G138" s="204"/>
    </row>
    <row r="139" spans="1:7" s="174" customFormat="1" ht="12" customHeight="1" x14ac:dyDescent="0.25">
      <c r="A139" s="223" t="s">
        <v>501</v>
      </c>
      <c r="B139" s="762" t="s">
        <v>767</v>
      </c>
      <c r="C139" s="224" t="s">
        <v>768</v>
      </c>
      <c r="D139" s="714"/>
      <c r="E139" s="714"/>
      <c r="F139" s="1624"/>
      <c r="G139" s="1624"/>
    </row>
    <row r="140" spans="1:7" s="174" customFormat="1" ht="12" customHeight="1" x14ac:dyDescent="0.25">
      <c r="A140" s="223" t="s">
        <v>504</v>
      </c>
      <c r="B140" s="762" t="s">
        <v>769</v>
      </c>
      <c r="C140" s="224" t="s">
        <v>770</v>
      </c>
      <c r="D140" s="712"/>
      <c r="E140" s="712"/>
      <c r="F140" s="214"/>
      <c r="G140" s="195"/>
    </row>
    <row r="141" spans="1:7" ht="12" customHeight="1" x14ac:dyDescent="0.2">
      <c r="A141" s="233"/>
      <c r="B141" s="768" t="s">
        <v>771</v>
      </c>
      <c r="C141" s="234" t="s">
        <v>772</v>
      </c>
      <c r="D141" s="720"/>
      <c r="E141" s="720"/>
      <c r="F141" s="214"/>
      <c r="G141" s="195"/>
    </row>
    <row r="142" spans="1:7" ht="15" customHeight="1" x14ac:dyDescent="0.2">
      <c r="A142" s="235"/>
      <c r="B142" s="769"/>
      <c r="C142" s="236"/>
      <c r="D142" s="237"/>
      <c r="E142" s="237"/>
    </row>
    <row r="143" spans="1:7" ht="15" customHeight="1" x14ac:dyDescent="0.2">
      <c r="A143" s="235"/>
      <c r="B143" s="769"/>
      <c r="C143" s="236"/>
      <c r="D143" s="237"/>
      <c r="E143" s="237"/>
    </row>
  </sheetData>
  <mergeCells count="9">
    <mergeCell ref="F104:G104"/>
    <mergeCell ref="F82:G82"/>
    <mergeCell ref="F139:G139"/>
    <mergeCell ref="F109:G109"/>
    <mergeCell ref="F121:G121"/>
    <mergeCell ref="F126:G128"/>
    <mergeCell ref="F132:G132"/>
    <mergeCell ref="F133:G133"/>
    <mergeCell ref="F136:G136"/>
  </mergeCells>
  <hyperlinks>
    <hyperlink ref="F132:G132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76" max="7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92D050"/>
    <pageSetUpPr fitToPage="1"/>
  </sheetPr>
  <dimension ref="A1:E88"/>
  <sheetViews>
    <sheetView showGridLines="0" showZeros="0" topLeftCell="A25" zoomScaleNormal="100" workbookViewId="0">
      <selection activeCell="B53" sqref="B53"/>
    </sheetView>
  </sheetViews>
  <sheetFormatPr defaultColWidth="9.140625" defaultRowHeight="11.25" x14ac:dyDescent="0.2"/>
  <cols>
    <col min="1" max="1" width="5.7109375" style="167" customWidth="1"/>
    <col min="2" max="2" width="65" style="167" customWidth="1"/>
    <col min="3" max="3" width="9.28515625" style="188" customWidth="1"/>
    <col min="4" max="4" width="15.5703125" style="279" customWidth="1"/>
    <col min="5" max="5" width="14.5703125" style="167" customWidth="1"/>
    <col min="6" max="16384" width="9.140625" style="167"/>
  </cols>
  <sheetData>
    <row r="1" spans="1:5" ht="12" customHeight="1" x14ac:dyDescent="0.2">
      <c r="A1" s="169" t="s">
        <v>463</v>
      </c>
      <c r="B1" s="238">
        <v>0</v>
      </c>
      <c r="C1" s="239"/>
      <c r="D1" s="240"/>
      <c r="E1" s="241"/>
    </row>
    <row r="2" spans="1:5" s="174" customFormat="1" ht="12" customHeight="1" x14ac:dyDescent="0.2">
      <c r="A2" s="169" t="s">
        <v>466</v>
      </c>
      <c r="B2" s="242" t="s">
        <v>773</v>
      </c>
      <c r="C2" s="239"/>
      <c r="D2" s="240"/>
      <c r="E2" s="241"/>
    </row>
    <row r="3" spans="1:5" ht="11.25" customHeight="1" x14ac:dyDescent="0.2">
      <c r="B3" s="321" t="s">
        <v>773</v>
      </c>
      <c r="C3" s="167"/>
      <c r="D3" s="167"/>
    </row>
    <row r="4" spans="1:5" ht="11.25" customHeight="1" x14ac:dyDescent="0.2">
      <c r="A4" s="177"/>
      <c r="B4" s="178"/>
      <c r="C4" s="178"/>
      <c r="D4" s="243"/>
      <c r="E4" s="244"/>
    </row>
    <row r="5" spans="1:5" ht="12" customHeight="1" x14ac:dyDescent="0.2">
      <c r="B5" s="245" t="s">
        <v>774</v>
      </c>
      <c r="C5" s="184"/>
      <c r="D5" s="246"/>
      <c r="E5" s="247"/>
    </row>
    <row r="6" spans="1:5" s="188" customFormat="1" ht="12" customHeight="1" x14ac:dyDescent="0.2">
      <c r="A6" s="248" t="s">
        <v>474</v>
      </c>
      <c r="B6" s="249" t="s">
        <v>775</v>
      </c>
      <c r="C6" s="248" t="s">
        <v>476</v>
      </c>
      <c r="D6" s="250" t="s">
        <v>776</v>
      </c>
      <c r="E6" s="251"/>
    </row>
    <row r="7" spans="1:5" s="191" customFormat="1" ht="12" customHeight="1" x14ac:dyDescent="0.25">
      <c r="A7" s="252" t="s">
        <v>479</v>
      </c>
      <c r="B7" s="253"/>
      <c r="C7" s="252" t="s">
        <v>480</v>
      </c>
      <c r="D7" s="254" t="s">
        <v>777</v>
      </c>
      <c r="E7" s="255" t="s">
        <v>778</v>
      </c>
    </row>
    <row r="8" spans="1:5" s="188" customFormat="1" ht="12" customHeight="1" x14ac:dyDescent="0.2">
      <c r="A8" s="256" t="s">
        <v>484</v>
      </c>
      <c r="B8" s="257" t="s">
        <v>485</v>
      </c>
      <c r="C8" s="256" t="s">
        <v>486</v>
      </c>
      <c r="D8" s="258">
        <v>1</v>
      </c>
      <c r="E8" s="256">
        <v>2</v>
      </c>
    </row>
    <row r="9" spans="1:5" s="174" customFormat="1" ht="12" customHeight="1" x14ac:dyDescent="0.25">
      <c r="A9" s="259" t="s">
        <v>779</v>
      </c>
      <c r="B9" s="260" t="s">
        <v>1223</v>
      </c>
      <c r="C9" s="261" t="s">
        <v>780</v>
      </c>
      <c r="D9" s="724"/>
      <c r="E9" s="725"/>
    </row>
    <row r="10" spans="1:5" s="174" customFormat="1" ht="12" customHeight="1" x14ac:dyDescent="0.2">
      <c r="A10" s="259" t="s">
        <v>781</v>
      </c>
      <c r="B10" s="260" t="s">
        <v>782</v>
      </c>
      <c r="C10" s="261" t="s">
        <v>783</v>
      </c>
      <c r="D10" s="726"/>
      <c r="E10" s="727"/>
    </row>
    <row r="11" spans="1:5" s="264" customFormat="1" ht="12" customHeight="1" x14ac:dyDescent="0.25">
      <c r="A11" s="262" t="s">
        <v>784</v>
      </c>
      <c r="B11" s="262" t="s">
        <v>785</v>
      </c>
      <c r="C11" s="263" t="s">
        <v>786</v>
      </c>
      <c r="D11" s="728">
        <f>D9-D10</f>
        <v>0</v>
      </c>
      <c r="E11" s="728">
        <f>E9-E10</f>
        <v>0</v>
      </c>
    </row>
    <row r="12" spans="1:5" s="196" customFormat="1" ht="12" customHeight="1" x14ac:dyDescent="0.25">
      <c r="A12" s="265" t="s">
        <v>787</v>
      </c>
      <c r="B12" s="265" t="s">
        <v>788</v>
      </c>
      <c r="C12" s="266" t="s">
        <v>789</v>
      </c>
      <c r="D12" s="729">
        <f>SUM(D13:D15)</f>
        <v>0</v>
      </c>
      <c r="E12" s="729">
        <f>SUM(E13:E15)</f>
        <v>0</v>
      </c>
    </row>
    <row r="13" spans="1:5" s="174" customFormat="1" ht="12" customHeight="1" x14ac:dyDescent="0.25">
      <c r="A13" s="259" t="s">
        <v>790</v>
      </c>
      <c r="B13" s="260" t="s">
        <v>791</v>
      </c>
      <c r="C13" s="261" t="s">
        <v>792</v>
      </c>
      <c r="D13" s="724"/>
      <c r="E13" s="725"/>
    </row>
    <row r="14" spans="1:5" s="174" customFormat="1" ht="12" customHeight="1" x14ac:dyDescent="0.25">
      <c r="A14" s="259" t="s">
        <v>498</v>
      </c>
      <c r="B14" s="260" t="s">
        <v>793</v>
      </c>
      <c r="C14" s="261" t="s">
        <v>794</v>
      </c>
      <c r="D14" s="724"/>
      <c r="E14" s="725"/>
    </row>
    <row r="15" spans="1:5" s="174" customFormat="1" ht="12" customHeight="1" x14ac:dyDescent="0.25">
      <c r="A15" s="259" t="s">
        <v>501</v>
      </c>
      <c r="B15" s="260" t="s">
        <v>795</v>
      </c>
      <c r="C15" s="261" t="s">
        <v>796</v>
      </c>
      <c r="D15" s="724"/>
      <c r="E15" s="725"/>
    </row>
    <row r="16" spans="1:5" s="174" customFormat="1" ht="12" customHeight="1" x14ac:dyDescent="0.25">
      <c r="A16" s="267" t="s">
        <v>560</v>
      </c>
      <c r="B16" s="268" t="s">
        <v>797</v>
      </c>
      <c r="C16" s="269" t="s">
        <v>798</v>
      </c>
      <c r="D16" s="730">
        <f>SUM(D17:D18)</f>
        <v>0</v>
      </c>
      <c r="E16" s="730">
        <f>SUM(E17:E18)</f>
        <v>0</v>
      </c>
    </row>
    <row r="17" spans="1:5" s="174" customFormat="1" ht="12" customHeight="1" x14ac:dyDescent="0.25">
      <c r="A17" s="259" t="s">
        <v>799</v>
      </c>
      <c r="B17" s="260" t="s">
        <v>800</v>
      </c>
      <c r="C17" s="261" t="s">
        <v>801</v>
      </c>
      <c r="D17" s="724"/>
      <c r="E17" s="725"/>
    </row>
    <row r="18" spans="1:5" s="174" customFormat="1" ht="12" customHeight="1" x14ac:dyDescent="0.25">
      <c r="A18" s="259" t="s">
        <v>802</v>
      </c>
      <c r="B18" s="260" t="s">
        <v>803</v>
      </c>
      <c r="C18" s="261" t="s">
        <v>804</v>
      </c>
      <c r="D18" s="726"/>
      <c r="E18" s="725"/>
    </row>
    <row r="19" spans="1:5" s="264" customFormat="1" ht="12" customHeight="1" x14ac:dyDescent="0.25">
      <c r="A19" s="262" t="s">
        <v>784</v>
      </c>
      <c r="B19" s="262" t="s">
        <v>805</v>
      </c>
      <c r="C19" s="263" t="s">
        <v>806</v>
      </c>
      <c r="D19" s="728">
        <f>D11+D12-D16</f>
        <v>0</v>
      </c>
      <c r="E19" s="728">
        <f>E11+E12-E16</f>
        <v>0</v>
      </c>
    </row>
    <row r="20" spans="1:5" s="196" customFormat="1" ht="12" customHeight="1" x14ac:dyDescent="0.25">
      <c r="A20" s="265" t="s">
        <v>629</v>
      </c>
      <c r="B20" s="265" t="s">
        <v>807</v>
      </c>
      <c r="C20" s="266" t="s">
        <v>808</v>
      </c>
      <c r="D20" s="729">
        <f>SUM(D21:D24)</f>
        <v>0</v>
      </c>
      <c r="E20" s="729">
        <f>SUM(E21:E24)</f>
        <v>0</v>
      </c>
    </row>
    <row r="21" spans="1:5" s="174" customFormat="1" ht="12" customHeight="1" x14ac:dyDescent="0.25">
      <c r="A21" s="259" t="s">
        <v>632</v>
      </c>
      <c r="B21" s="260" t="s">
        <v>809</v>
      </c>
      <c r="C21" s="261" t="s">
        <v>810</v>
      </c>
      <c r="D21" s="724"/>
      <c r="E21" s="725"/>
    </row>
    <row r="22" spans="1:5" s="174" customFormat="1" ht="12" customHeight="1" x14ac:dyDescent="0.25">
      <c r="A22" s="259" t="s">
        <v>802</v>
      </c>
      <c r="B22" s="260" t="s">
        <v>811</v>
      </c>
      <c r="C22" s="261" t="s">
        <v>812</v>
      </c>
      <c r="D22" s="724"/>
      <c r="E22" s="725"/>
    </row>
    <row r="23" spans="1:5" s="174" customFormat="1" ht="12" customHeight="1" x14ac:dyDescent="0.25">
      <c r="A23" s="259" t="s">
        <v>813</v>
      </c>
      <c r="B23" s="260" t="s">
        <v>814</v>
      </c>
      <c r="C23" s="261" t="s">
        <v>815</v>
      </c>
      <c r="D23" s="724"/>
      <c r="E23" s="725"/>
    </row>
    <row r="24" spans="1:5" s="174" customFormat="1" ht="12" customHeight="1" x14ac:dyDescent="0.25">
      <c r="A24" s="259" t="s">
        <v>816</v>
      </c>
      <c r="B24" s="260" t="s">
        <v>817</v>
      </c>
      <c r="C24" s="261" t="s">
        <v>818</v>
      </c>
      <c r="D24" s="724"/>
      <c r="E24" s="725"/>
    </row>
    <row r="25" spans="1:5" s="174" customFormat="1" ht="12" customHeight="1" x14ac:dyDescent="0.25">
      <c r="A25" s="259" t="s">
        <v>819</v>
      </c>
      <c r="B25" s="260" t="s">
        <v>820</v>
      </c>
      <c r="C25" s="261" t="s">
        <v>821</v>
      </c>
      <c r="D25" s="724"/>
      <c r="E25" s="725"/>
    </row>
    <row r="26" spans="1:5" s="174" customFormat="1" ht="12" customHeight="1" x14ac:dyDescent="0.25">
      <c r="A26" s="259" t="s">
        <v>822</v>
      </c>
      <c r="B26" s="260" t="s">
        <v>823</v>
      </c>
      <c r="C26" s="261" t="s">
        <v>824</v>
      </c>
      <c r="D26" s="724"/>
      <c r="E26" s="725"/>
    </row>
    <row r="27" spans="1:5" s="174" customFormat="1" ht="12" customHeight="1" x14ac:dyDescent="0.25">
      <c r="A27" s="259" t="s">
        <v>825</v>
      </c>
      <c r="B27" s="260" t="s">
        <v>826</v>
      </c>
      <c r="C27" s="261" t="s">
        <v>827</v>
      </c>
      <c r="D27" s="724"/>
      <c r="E27" s="725"/>
    </row>
    <row r="28" spans="1:5" s="174" customFormat="1" ht="12" customHeight="1" x14ac:dyDescent="0.25">
      <c r="A28" s="259" t="s">
        <v>828</v>
      </c>
      <c r="B28" s="260" t="s">
        <v>829</v>
      </c>
      <c r="C28" s="261" t="s">
        <v>830</v>
      </c>
      <c r="D28" s="724"/>
      <c r="E28" s="725"/>
    </row>
    <row r="29" spans="1:5" s="174" customFormat="1" ht="12" customHeight="1" x14ac:dyDescent="0.25">
      <c r="A29" s="259" t="s">
        <v>831</v>
      </c>
      <c r="B29" s="270" t="s">
        <v>832</v>
      </c>
      <c r="C29" s="261" t="s">
        <v>833</v>
      </c>
      <c r="D29" s="724"/>
      <c r="E29" s="725"/>
    </row>
    <row r="30" spans="1:5" s="174" customFormat="1" ht="12" customHeight="1" x14ac:dyDescent="0.25">
      <c r="A30" s="259" t="s">
        <v>834</v>
      </c>
      <c r="B30" s="270" t="s">
        <v>835</v>
      </c>
      <c r="C30" s="261" t="s">
        <v>836</v>
      </c>
      <c r="D30" s="724"/>
      <c r="E30" s="725"/>
    </row>
    <row r="31" spans="1:5" s="174" customFormat="1" ht="12" customHeight="1" x14ac:dyDescent="0.25">
      <c r="A31" s="259" t="s">
        <v>837</v>
      </c>
      <c r="B31" s="270" t="s">
        <v>838</v>
      </c>
      <c r="C31" s="261" t="s">
        <v>839</v>
      </c>
      <c r="D31" s="724"/>
      <c r="E31" s="725"/>
    </row>
    <row r="32" spans="1:5" s="174" customFormat="1" ht="12" customHeight="1" x14ac:dyDescent="0.25">
      <c r="A32" s="259" t="s">
        <v>840</v>
      </c>
      <c r="B32" s="270" t="s">
        <v>841</v>
      </c>
      <c r="C32" s="261" t="s">
        <v>842</v>
      </c>
      <c r="D32" s="724"/>
      <c r="E32" s="725"/>
    </row>
    <row r="33" spans="1:5" s="174" customFormat="1" ht="12" customHeight="1" x14ac:dyDescent="0.25">
      <c r="A33" s="259" t="s">
        <v>843</v>
      </c>
      <c r="B33" s="270" t="s">
        <v>844</v>
      </c>
      <c r="C33" s="261" t="s">
        <v>845</v>
      </c>
      <c r="D33" s="724"/>
      <c r="E33" s="725"/>
    </row>
    <row r="34" spans="1:5" s="264" customFormat="1" ht="30.75" customHeight="1" x14ac:dyDescent="0.25">
      <c r="A34" s="262" t="s">
        <v>846</v>
      </c>
      <c r="B34" s="271" t="s">
        <v>847</v>
      </c>
      <c r="C34" s="272" t="s">
        <v>848</v>
      </c>
      <c r="D34" s="728">
        <f>D19-D20-D25-D26+D27-D28-D29+D30-D31+(-D32)-(-D33)</f>
        <v>0</v>
      </c>
      <c r="E34" s="728">
        <f>E19-E20-E25-E26+E27-E28-E29+E30-E31+(-E32)-(-E33)</f>
        <v>0</v>
      </c>
    </row>
    <row r="35" spans="1:5" s="174" customFormat="1" ht="12" customHeight="1" x14ac:dyDescent="0.25">
      <c r="A35" s="259" t="s">
        <v>849</v>
      </c>
      <c r="B35" s="270" t="s">
        <v>850</v>
      </c>
      <c r="C35" s="261" t="s">
        <v>851</v>
      </c>
      <c r="D35" s="724"/>
      <c r="E35" s="725"/>
    </row>
    <row r="36" spans="1:5" s="174" customFormat="1" ht="12" customHeight="1" x14ac:dyDescent="0.25">
      <c r="A36" s="259" t="s">
        <v>852</v>
      </c>
      <c r="B36" s="270" t="s">
        <v>853</v>
      </c>
      <c r="C36" s="261" t="s">
        <v>854</v>
      </c>
      <c r="D36" s="724"/>
      <c r="E36" s="725"/>
    </row>
    <row r="37" spans="1:5" s="174" customFormat="1" ht="12" customHeight="1" x14ac:dyDescent="0.25">
      <c r="A37" s="267" t="s">
        <v>855</v>
      </c>
      <c r="B37" s="267" t="s">
        <v>856</v>
      </c>
      <c r="C37" s="269" t="s">
        <v>857</v>
      </c>
      <c r="D37" s="730">
        <f>(SUM(D38:D40))</f>
        <v>0</v>
      </c>
      <c r="E37" s="730">
        <f>(SUM(E38:E40))</f>
        <v>0</v>
      </c>
    </row>
    <row r="38" spans="1:5" s="174" customFormat="1" ht="12" customHeight="1" x14ac:dyDescent="0.25">
      <c r="A38" s="259" t="s">
        <v>858</v>
      </c>
      <c r="B38" s="270" t="s">
        <v>859</v>
      </c>
      <c r="C38" s="261" t="s">
        <v>860</v>
      </c>
      <c r="D38" s="724"/>
      <c r="E38" s="725"/>
    </row>
    <row r="39" spans="1:5" s="174" customFormat="1" ht="12" customHeight="1" x14ac:dyDescent="0.25">
      <c r="A39" s="259" t="s">
        <v>861</v>
      </c>
      <c r="B39" s="270" t="s">
        <v>862</v>
      </c>
      <c r="C39" s="261" t="s">
        <v>863</v>
      </c>
      <c r="D39" s="724"/>
      <c r="E39" s="725"/>
    </row>
    <row r="40" spans="1:5" s="174" customFormat="1" ht="12" customHeight="1" x14ac:dyDescent="0.25">
      <c r="A40" s="259" t="s">
        <v>864</v>
      </c>
      <c r="B40" s="270" t="s">
        <v>865</v>
      </c>
      <c r="C40" s="261" t="s">
        <v>866</v>
      </c>
      <c r="D40" s="724"/>
      <c r="E40" s="725"/>
    </row>
    <row r="41" spans="1:5" s="174" customFormat="1" ht="12" customHeight="1" x14ac:dyDescent="0.25">
      <c r="A41" s="259" t="s">
        <v>867</v>
      </c>
      <c r="B41" s="270" t="s">
        <v>868</v>
      </c>
      <c r="C41" s="261" t="s">
        <v>869</v>
      </c>
      <c r="D41" s="724"/>
      <c r="E41" s="725"/>
    </row>
    <row r="42" spans="1:5" s="174" customFormat="1" ht="12" customHeight="1" x14ac:dyDescent="0.25">
      <c r="A42" s="259" t="s">
        <v>870</v>
      </c>
      <c r="B42" s="270" t="s">
        <v>871</v>
      </c>
      <c r="C42" s="261" t="s">
        <v>872</v>
      </c>
      <c r="D42" s="724"/>
      <c r="E42" s="725"/>
    </row>
    <row r="43" spans="1:5" s="174" customFormat="1" ht="12" customHeight="1" x14ac:dyDescent="0.25">
      <c r="A43" s="259" t="s">
        <v>873</v>
      </c>
      <c r="B43" s="270" t="s">
        <v>874</v>
      </c>
      <c r="C43" s="261" t="s">
        <v>875</v>
      </c>
      <c r="D43" s="724"/>
      <c r="E43" s="725"/>
    </row>
    <row r="44" spans="1:5" s="174" customFormat="1" ht="12" customHeight="1" x14ac:dyDescent="0.25">
      <c r="A44" s="259" t="s">
        <v>876</v>
      </c>
      <c r="B44" s="270" t="s">
        <v>877</v>
      </c>
      <c r="C44" s="261" t="s">
        <v>878</v>
      </c>
      <c r="D44" s="724"/>
      <c r="E44" s="725"/>
    </row>
    <row r="45" spans="1:5" s="174" customFormat="1" ht="12" customHeight="1" x14ac:dyDescent="0.25">
      <c r="A45" s="259" t="s">
        <v>879</v>
      </c>
      <c r="B45" s="270" t="s">
        <v>880</v>
      </c>
      <c r="C45" s="261" t="s">
        <v>881</v>
      </c>
      <c r="D45" s="724"/>
      <c r="E45" s="725"/>
    </row>
    <row r="46" spans="1:5" s="174" customFormat="1" ht="12" customHeight="1" x14ac:dyDescent="0.25">
      <c r="A46" s="259" t="s">
        <v>882</v>
      </c>
      <c r="B46" s="270" t="s">
        <v>883</v>
      </c>
      <c r="C46" s="261" t="s">
        <v>884</v>
      </c>
      <c r="D46" s="724"/>
      <c r="E46" s="725"/>
    </row>
    <row r="47" spans="1:5" s="174" customFormat="1" ht="12" customHeight="1" x14ac:dyDescent="0.25">
      <c r="A47" s="259" t="s">
        <v>885</v>
      </c>
      <c r="B47" s="270" t="s">
        <v>886</v>
      </c>
      <c r="C47" s="261" t="s">
        <v>887</v>
      </c>
      <c r="D47" s="724"/>
      <c r="E47" s="725"/>
    </row>
    <row r="48" spans="1:5" s="174" customFormat="1" ht="12" customHeight="1" x14ac:dyDescent="0.25">
      <c r="A48" s="259" t="s">
        <v>888</v>
      </c>
      <c r="B48" s="270" t="s">
        <v>889</v>
      </c>
      <c r="C48" s="261" t="s">
        <v>890</v>
      </c>
      <c r="D48" s="724"/>
      <c r="E48" s="725"/>
    </row>
    <row r="49" spans="1:5" s="174" customFormat="1" ht="12" customHeight="1" x14ac:dyDescent="0.25">
      <c r="A49" s="259" t="s">
        <v>891</v>
      </c>
      <c r="B49" s="270" t="s">
        <v>892</v>
      </c>
      <c r="C49" s="261" t="s">
        <v>893</v>
      </c>
      <c r="D49" s="724"/>
      <c r="E49" s="725"/>
    </row>
    <row r="50" spans="1:5" s="174" customFormat="1" ht="12" customHeight="1" x14ac:dyDescent="0.25">
      <c r="A50" s="259" t="s">
        <v>894</v>
      </c>
      <c r="B50" s="270" t="s">
        <v>895</v>
      </c>
      <c r="C50" s="261" t="s">
        <v>896</v>
      </c>
      <c r="D50" s="724"/>
      <c r="E50" s="725"/>
    </row>
    <row r="51" spans="1:5" s="174" customFormat="1" ht="12" customHeight="1" x14ac:dyDescent="0.25">
      <c r="A51" s="259" t="s">
        <v>897</v>
      </c>
      <c r="B51" s="270" t="s">
        <v>898</v>
      </c>
      <c r="C51" s="261" t="s">
        <v>899</v>
      </c>
      <c r="D51" s="724"/>
      <c r="E51" s="725"/>
    </row>
    <row r="52" spans="1:5" s="174" customFormat="1" ht="12" customHeight="1" x14ac:dyDescent="0.25">
      <c r="A52" s="259" t="s">
        <v>900</v>
      </c>
      <c r="B52" s="270" t="s">
        <v>901</v>
      </c>
      <c r="C52" s="261" t="s">
        <v>902</v>
      </c>
      <c r="D52" s="724"/>
      <c r="E52" s="725"/>
    </row>
    <row r="53" spans="1:5" s="174" customFormat="1" ht="12" customHeight="1" x14ac:dyDescent="0.25">
      <c r="A53" s="259" t="s">
        <v>903</v>
      </c>
      <c r="B53" s="270" t="s">
        <v>904</v>
      </c>
      <c r="C53" s="261" t="s">
        <v>905</v>
      </c>
      <c r="D53" s="724"/>
      <c r="E53" s="725"/>
    </row>
    <row r="54" spans="1:5" s="264" customFormat="1" ht="30" customHeight="1" x14ac:dyDescent="0.25">
      <c r="A54" s="265" t="s">
        <v>846</v>
      </c>
      <c r="B54" s="271" t="s">
        <v>906</v>
      </c>
      <c r="C54" s="272" t="s">
        <v>907</v>
      </c>
      <c r="D54" s="728">
        <f>D35-D36+D37+D41-D42+D43-D44-D45+D46-D47+D48-D49+D50-D51+(-D52)-(-D53)</f>
        <v>0</v>
      </c>
      <c r="E54" s="728">
        <f>E35-E36+E37+E41-E42+E43-E44-E45+E46-E47+E48-E49+E50-E51+(-E52)-(-E53)</f>
        <v>0</v>
      </c>
    </row>
    <row r="55" spans="1:5" s="174" customFormat="1" ht="12" customHeight="1" x14ac:dyDescent="0.25">
      <c r="A55" s="267" t="s">
        <v>908</v>
      </c>
      <c r="B55" s="267" t="s">
        <v>909</v>
      </c>
      <c r="C55" s="269" t="s">
        <v>910</v>
      </c>
      <c r="D55" s="730"/>
      <c r="E55" s="730"/>
    </row>
    <row r="56" spans="1:5" s="174" customFormat="1" ht="12" customHeight="1" x14ac:dyDescent="0.25">
      <c r="A56" s="267" t="s">
        <v>911</v>
      </c>
      <c r="B56" s="267" t="s">
        <v>912</v>
      </c>
      <c r="C56" s="269" t="s">
        <v>913</v>
      </c>
      <c r="D56" s="730">
        <f>SUM(D57:D58)</f>
        <v>0</v>
      </c>
      <c r="E56" s="730">
        <f>SUM(E57:E58)</f>
        <v>0</v>
      </c>
    </row>
    <row r="57" spans="1:5" s="174" customFormat="1" ht="12" customHeight="1" x14ac:dyDescent="0.25">
      <c r="A57" s="259" t="s">
        <v>914</v>
      </c>
      <c r="B57" s="273" t="s">
        <v>915</v>
      </c>
      <c r="C57" s="261" t="s">
        <v>916</v>
      </c>
      <c r="D57" s="725"/>
      <c r="E57" s="725"/>
    </row>
    <row r="58" spans="1:5" s="264" customFormat="1" ht="12" customHeight="1" x14ac:dyDescent="0.25">
      <c r="A58" s="259" t="s">
        <v>802</v>
      </c>
      <c r="B58" s="273" t="s">
        <v>917</v>
      </c>
      <c r="C58" s="261" t="s">
        <v>918</v>
      </c>
      <c r="D58" s="725"/>
      <c r="E58" s="725"/>
    </row>
    <row r="59" spans="1:5" s="174" customFormat="1" ht="12" customHeight="1" x14ac:dyDescent="0.25">
      <c r="A59" s="265" t="s">
        <v>908</v>
      </c>
      <c r="B59" s="262" t="s">
        <v>919</v>
      </c>
      <c r="C59" s="272" t="s">
        <v>920</v>
      </c>
      <c r="D59" s="728">
        <f>D55-D56</f>
        <v>0</v>
      </c>
      <c r="E59" s="728">
        <f>E55-E56</f>
        <v>0</v>
      </c>
    </row>
    <row r="60" spans="1:5" s="174" customFormat="1" ht="12" customHeight="1" x14ac:dyDescent="0.25">
      <c r="A60" s="259" t="s">
        <v>921</v>
      </c>
      <c r="B60" s="270" t="s">
        <v>922</v>
      </c>
      <c r="C60" s="261" t="s">
        <v>923</v>
      </c>
      <c r="D60" s="725"/>
      <c r="E60" s="725"/>
    </row>
    <row r="61" spans="1:5" s="174" customFormat="1" ht="12" customHeight="1" x14ac:dyDescent="0.25">
      <c r="A61" s="259" t="s">
        <v>924</v>
      </c>
      <c r="B61" s="270" t="s">
        <v>925</v>
      </c>
      <c r="C61" s="261" t="s">
        <v>926</v>
      </c>
      <c r="D61" s="725"/>
      <c r="E61" s="725"/>
    </row>
    <row r="62" spans="1:5" s="174" customFormat="1" ht="12" customHeight="1" x14ac:dyDescent="0.25">
      <c r="A62" s="267" t="s">
        <v>846</v>
      </c>
      <c r="B62" s="267" t="s">
        <v>927</v>
      </c>
      <c r="C62" s="269" t="s">
        <v>928</v>
      </c>
      <c r="D62" s="730">
        <f>D60-D61</f>
        <v>0</v>
      </c>
      <c r="E62" s="730">
        <f>E60-E61</f>
        <v>0</v>
      </c>
    </row>
    <row r="63" spans="1:5" s="174" customFormat="1" ht="12" customHeight="1" x14ac:dyDescent="0.25">
      <c r="A63" s="267" t="s">
        <v>929</v>
      </c>
      <c r="B63" s="267" t="s">
        <v>930</v>
      </c>
      <c r="C63" s="269" t="s">
        <v>931</v>
      </c>
      <c r="D63" s="730">
        <f>SUM(D64:D65)</f>
        <v>0</v>
      </c>
      <c r="E63" s="730">
        <f>SUM(E64:E65)</f>
        <v>0</v>
      </c>
    </row>
    <row r="64" spans="1:5" s="264" customFormat="1" ht="12" customHeight="1" x14ac:dyDescent="0.25">
      <c r="A64" s="259" t="s">
        <v>932</v>
      </c>
      <c r="B64" s="273" t="s">
        <v>933</v>
      </c>
      <c r="C64" s="261" t="s">
        <v>934</v>
      </c>
      <c r="D64" s="725"/>
      <c r="E64" s="725"/>
    </row>
    <row r="65" spans="1:5" s="174" customFormat="1" ht="12" customHeight="1" x14ac:dyDescent="0.25">
      <c r="A65" s="259" t="s">
        <v>802</v>
      </c>
      <c r="B65" s="273" t="s">
        <v>935</v>
      </c>
      <c r="C65" s="261" t="s">
        <v>936</v>
      </c>
      <c r="D65" s="725"/>
      <c r="E65" s="725"/>
    </row>
    <row r="66" spans="1:5" s="274" customFormat="1" ht="12" customHeight="1" x14ac:dyDescent="0.25">
      <c r="A66" s="265" t="s">
        <v>846</v>
      </c>
      <c r="B66" s="262" t="s">
        <v>937</v>
      </c>
      <c r="C66" s="269" t="s">
        <v>938</v>
      </c>
      <c r="D66" s="728">
        <f>D62-D63</f>
        <v>0</v>
      </c>
      <c r="E66" s="728">
        <f>E62-E63</f>
        <v>0</v>
      </c>
    </row>
    <row r="67" spans="1:5" s="174" customFormat="1" ht="12" customHeight="1" x14ac:dyDescent="0.25">
      <c r="A67" s="267" t="s">
        <v>939</v>
      </c>
      <c r="B67" s="275" t="s">
        <v>940</v>
      </c>
      <c r="C67" s="269" t="s">
        <v>941</v>
      </c>
      <c r="D67" s="730">
        <f>D55+D62</f>
        <v>0</v>
      </c>
      <c r="E67" s="730">
        <f>E55+E62</f>
        <v>0</v>
      </c>
    </row>
    <row r="68" spans="1:5" ht="12" customHeight="1" x14ac:dyDescent="0.2">
      <c r="A68" s="259" t="s">
        <v>942</v>
      </c>
      <c r="B68" s="260" t="s">
        <v>943</v>
      </c>
      <c r="C68" s="261" t="s">
        <v>944</v>
      </c>
      <c r="D68" s="731"/>
      <c r="E68" s="725"/>
    </row>
    <row r="69" spans="1:5" ht="12" customHeight="1" x14ac:dyDescent="0.2">
      <c r="A69" s="276" t="s">
        <v>939</v>
      </c>
      <c r="B69" s="277" t="s">
        <v>945</v>
      </c>
      <c r="C69" s="278" t="s">
        <v>946</v>
      </c>
      <c r="D69" s="732">
        <f>D59+D66-D68</f>
        <v>0</v>
      </c>
      <c r="E69" s="732">
        <f>E59+E66-E68</f>
        <v>0</v>
      </c>
    </row>
    <row r="70" spans="1:5" ht="12" customHeight="1" x14ac:dyDescent="0.2"/>
    <row r="71" spans="1:5" ht="12" customHeight="1" x14ac:dyDescent="0.2"/>
    <row r="72" spans="1:5" ht="12" customHeight="1" x14ac:dyDescent="0.2"/>
    <row r="73" spans="1:5" ht="12" customHeight="1" x14ac:dyDescent="0.2">
      <c r="E73" s="279"/>
    </row>
    <row r="74" spans="1:5" ht="12" customHeight="1" x14ac:dyDescent="0.2"/>
    <row r="75" spans="1:5" ht="12" customHeight="1" x14ac:dyDescent="0.2"/>
    <row r="76" spans="1:5" ht="12" customHeight="1" x14ac:dyDescent="0.2"/>
    <row r="77" spans="1:5" ht="12" customHeight="1" x14ac:dyDescent="0.2"/>
    <row r="78" spans="1:5" ht="12" customHeight="1" x14ac:dyDescent="0.2"/>
    <row r="79" spans="1:5" ht="12" customHeight="1" x14ac:dyDescent="0.2"/>
    <row r="80" spans="1: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pageMargins left="0.64" right="0.19685039370078741" top="0.28000000000000003" bottom="0.59055118110236227" header="0.21" footer="0.31496062992125984"/>
  <pageSetup paperSize="9" scale="9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  <pageSetUpPr fitToPage="1"/>
  </sheetPr>
  <dimension ref="A1:AR53"/>
  <sheetViews>
    <sheetView showGridLines="0" view="pageBreakPreview" zoomScaleNormal="100" zoomScaleSheetLayoutView="100" workbookViewId="0">
      <selection activeCell="A19" sqref="A19"/>
    </sheetView>
  </sheetViews>
  <sheetFormatPr defaultColWidth="9.140625" defaultRowHeight="12.75" x14ac:dyDescent="0.25"/>
  <cols>
    <col min="1" max="45" width="2.5703125" style="733" customWidth="1"/>
    <col min="46" max="46" width="7.7109375" style="733" customWidth="1"/>
    <col min="47" max="61" width="2.5703125" style="733" customWidth="1"/>
    <col min="62" max="16384" width="9.140625" style="733"/>
  </cols>
  <sheetData>
    <row r="1" spans="1:37" s="443" customFormat="1" ht="9.75" x14ac:dyDescent="0.25">
      <c r="C1" s="444" t="s">
        <v>1533</v>
      </c>
    </row>
    <row r="2" spans="1:37" s="340" customFormat="1" ht="21" customHeight="1" x14ac:dyDescent="0.25">
      <c r="C2" s="442" t="s">
        <v>1534</v>
      </c>
      <c r="D2" s="441"/>
      <c r="E2" s="441"/>
      <c r="F2" s="441"/>
      <c r="G2" s="441"/>
      <c r="H2" s="441"/>
      <c r="I2" s="441"/>
      <c r="J2" s="441"/>
      <c r="K2" s="440"/>
      <c r="Q2" s="439" t="s">
        <v>1226</v>
      </c>
    </row>
    <row r="3" spans="1:37" ht="13.5" thickBot="1" x14ac:dyDescent="0.3">
      <c r="N3" s="737"/>
      <c r="O3" s="737" t="s">
        <v>1531</v>
      </c>
    </row>
    <row r="4" spans="1:37" ht="28.5" customHeight="1" thickBot="1" x14ac:dyDescent="0.3">
      <c r="K4" s="735" t="s">
        <v>1532</v>
      </c>
      <c r="L4" s="437"/>
      <c r="M4" s="437"/>
      <c r="N4" s="437"/>
      <c r="O4" s="437" t="str">
        <f>+MID('Input data'!$B$11,1,1)</f>
        <v>3</v>
      </c>
      <c r="P4" s="437" t="str">
        <f>+MID('Input data'!$B$11,2,1)</f>
        <v>1</v>
      </c>
      <c r="Q4" s="437" t="s">
        <v>955</v>
      </c>
      <c r="R4" s="437" t="str">
        <f>LEFT('Input data'!B13,1)</f>
        <v>1</v>
      </c>
      <c r="S4" s="437" t="str">
        <f>RIGHT('Input data'!B13,1)</f>
        <v>2</v>
      </c>
      <c r="T4" s="437" t="s">
        <v>955</v>
      </c>
      <c r="U4" s="437" t="str">
        <f>+LEFT('Input data'!$B$14,1)</f>
        <v>2</v>
      </c>
      <c r="V4" s="437" t="str">
        <f>+MID('Input data'!$B$14,2,1)</f>
        <v>0</v>
      </c>
      <c r="W4" s="437" t="str">
        <f>+MID('Input data'!$B$14,3,1)</f>
        <v>1</v>
      </c>
      <c r="X4" s="437" t="str">
        <f>+MID('Input data'!$B$14,4,1)</f>
        <v>4</v>
      </c>
      <c r="Y4" s="736"/>
      <c r="Z4" s="434"/>
    </row>
    <row r="5" spans="1:37" ht="7.5" customHeight="1" thickBot="1" x14ac:dyDescent="0.3"/>
    <row r="6" spans="1:37" s="430" customFormat="1" ht="14.25" customHeight="1" x14ac:dyDescent="0.25">
      <c r="A6" s="433" t="s">
        <v>957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958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/>
    <row r="10" spans="1:37" s="405" customFormat="1" ht="14.25" customHeight="1" x14ac:dyDescent="0.25">
      <c r="A10" s="407" t="s">
        <v>1123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961</v>
      </c>
      <c r="L10" s="406"/>
      <c r="M10" s="424"/>
      <c r="N10" s="424"/>
      <c r="O10" s="424"/>
      <c r="P10" s="406"/>
      <c r="Q10" s="423" t="s">
        <v>961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962</v>
      </c>
      <c r="AE10" s="423"/>
      <c r="AF10" s="423"/>
      <c r="AG10" s="423" t="s">
        <v>963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21" t="str">
        <f>IF('Input data'!D7="x","x"," ")</f>
        <v xml:space="preserve"> </v>
      </c>
      <c r="M11" s="413" t="s">
        <v>967</v>
      </c>
      <c r="N11" s="415"/>
      <c r="O11" s="415"/>
      <c r="P11" s="415"/>
      <c r="Q11" s="415"/>
      <c r="R11" s="421" t="str">
        <f>IF('Input data'!D17="x","x"," ")</f>
        <v xml:space="preserve"> </v>
      </c>
      <c r="S11" s="413" t="s">
        <v>968</v>
      </c>
      <c r="T11" s="408"/>
      <c r="U11" s="408"/>
      <c r="V11" s="414"/>
      <c r="W11" s="413" t="s">
        <v>964</v>
      </c>
      <c r="X11" s="408"/>
      <c r="Y11" s="408"/>
      <c r="Z11" s="408"/>
      <c r="AA11" s="408"/>
      <c r="AB11" s="413" t="s">
        <v>965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thickBot="1" x14ac:dyDescent="0.3">
      <c r="A12" s="346" t="s">
        <v>966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17" t="str">
        <f>IF('Input data'!D8="x","x", "")</f>
        <v/>
      </c>
      <c r="M12" s="413" t="s">
        <v>970</v>
      </c>
      <c r="N12" s="415"/>
      <c r="O12" s="415"/>
      <c r="P12" s="415"/>
      <c r="Q12" s="415"/>
      <c r="R12" s="418" t="str">
        <f>IF('Input data'!D18="x","x"," ")</f>
        <v xml:space="preserve"> </v>
      </c>
      <c r="S12" s="413" t="s">
        <v>971</v>
      </c>
      <c r="T12" s="408"/>
      <c r="U12" s="408"/>
      <c r="V12" s="414"/>
      <c r="W12" s="420"/>
      <c r="X12" s="410"/>
      <c r="Y12" s="410"/>
      <c r="Z12" s="410"/>
      <c r="AA12" s="410"/>
      <c r="AB12" s="409" t="s">
        <v>969</v>
      </c>
      <c r="AC12" s="410"/>
      <c r="AD12" s="382" t="str">
        <f>MID('Input data'!$B$13,1,1)</f>
        <v>1</v>
      </c>
      <c r="AE12" s="382" t="str">
        <f>MID('Input data'!$B$13,2,1)</f>
        <v>2</v>
      </c>
      <c r="AF12" s="382"/>
      <c r="AG12" s="382" t="str">
        <f>MID('Input data'!$B$14,1,1)</f>
        <v>2</v>
      </c>
      <c r="AH12" s="382" t="str">
        <f>MID('Input data'!$B$14,2,1)</f>
        <v>0</v>
      </c>
      <c r="AI12" s="382" t="str">
        <f>MID('Input data'!$B$14,3,1)</f>
        <v>1</v>
      </c>
      <c r="AJ12" s="382" t="str">
        <f>MID('Input data'!$B$14,4,1)</f>
        <v>4</v>
      </c>
      <c r="AK12" s="411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738"/>
      <c r="L13" s="660"/>
      <c r="M13" s="661" t="s">
        <v>1227</v>
      </c>
      <c r="N13" s="660"/>
      <c r="O13" s="660"/>
      <c r="P13" s="660"/>
      <c r="Q13" s="660"/>
      <c r="R13" s="739" t="s">
        <v>974</v>
      </c>
      <c r="S13" s="660"/>
      <c r="T13" s="660"/>
      <c r="U13" s="660"/>
      <c r="V13" s="663"/>
      <c r="W13" s="413" t="s">
        <v>972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421"/>
      <c r="M14" s="413" t="s">
        <v>1535</v>
      </c>
      <c r="N14" s="415"/>
      <c r="O14" s="415"/>
      <c r="P14" s="415"/>
      <c r="Q14" s="415"/>
      <c r="S14" s="415"/>
      <c r="T14" s="408"/>
      <c r="U14" s="408"/>
      <c r="V14" s="414"/>
      <c r="W14" s="413" t="s">
        <v>947</v>
      </c>
      <c r="X14" s="408"/>
      <c r="Y14" s="345"/>
      <c r="Z14" s="342"/>
      <c r="AA14" s="342"/>
      <c r="AB14" s="413" t="s">
        <v>965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str">
        <f>LEFT('Input data'!$F$7,1)</f>
        <v>5</v>
      </c>
      <c r="B15" s="337" t="str">
        <f>MID('Input data'!$F$7,2,1)</f>
        <v>9</v>
      </c>
      <c r="C15" s="410" t="s">
        <v>955</v>
      </c>
      <c r="D15" s="337" t="str">
        <f>MID('Input data'!$F$7,3,1)</f>
        <v>1</v>
      </c>
      <c r="E15" s="337" t="str">
        <f>MID('Input data'!$F$7,4,1)</f>
        <v>2</v>
      </c>
      <c r="F15" s="361" t="s">
        <v>955</v>
      </c>
      <c r="G15" s="337" t="str">
        <f>MID('Input data'!$F$7,5,1)</f>
        <v>0</v>
      </c>
      <c r="H15" s="337"/>
      <c r="I15" s="337"/>
      <c r="J15" s="336"/>
      <c r="K15" s="337"/>
      <c r="L15" s="337"/>
      <c r="M15" s="409" t="s">
        <v>1536</v>
      </c>
      <c r="N15" s="337"/>
      <c r="O15" s="337"/>
      <c r="P15" s="337"/>
      <c r="Q15" s="337"/>
      <c r="R15" s="740" t="s">
        <v>974</v>
      </c>
      <c r="S15" s="337"/>
      <c r="T15" s="410"/>
      <c r="U15" s="410"/>
      <c r="V15" s="411"/>
      <c r="W15" s="409" t="s">
        <v>975</v>
      </c>
      <c r="X15" s="410"/>
      <c r="Y15" s="338"/>
      <c r="Z15" s="337"/>
      <c r="AA15" s="337"/>
      <c r="AB15" s="409" t="s">
        <v>969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44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44" s="405" customFormat="1" ht="16.5" x14ac:dyDescent="0.25">
      <c r="A18" s="407" t="s">
        <v>976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44" s="40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</row>
    <row r="20" spans="1:44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</row>
    <row r="21" spans="1:44" ht="14.2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44" ht="19.5" hidden="1" customHeight="1" x14ac:dyDescent="0.25">
      <c r="A22" s="400"/>
      <c r="B22" s="399"/>
      <c r="C22" s="399"/>
      <c r="D22" s="399"/>
      <c r="E22" s="399"/>
      <c r="F22" s="399"/>
      <c r="G22" s="399" t="e">
        <f>+MID('Input data'!#REF!,7,1)</f>
        <v>#REF!</v>
      </c>
      <c r="H22" s="399" t="e">
        <f>+MID('Input data'!#REF!,8,1)</f>
        <v>#REF!</v>
      </c>
      <c r="I22" s="399" t="e">
        <f>+MID('Input data'!#REF!,9,1)</f>
        <v>#REF!</v>
      </c>
      <c r="J22" s="399" t="e">
        <f>+MID('Input data'!#REF!,10,1)</f>
        <v>#REF!</v>
      </c>
      <c r="K22" s="399" t="e">
        <f>+MID('Input data'!#REF!,11,1)</f>
        <v>#REF!</v>
      </c>
      <c r="L22" s="399" t="e">
        <f>+MID('Input data'!#REF!,12,1)</f>
        <v>#REF!</v>
      </c>
      <c r="M22" s="399" t="e">
        <f>+MID('Input data'!#REF!,13,1)</f>
        <v>#REF!</v>
      </c>
      <c r="N22" s="399" t="e">
        <f>+MID('Input data'!#REF!,14,1)</f>
        <v>#REF!</v>
      </c>
      <c r="O22" s="399" t="e">
        <f>+MID('Input data'!#REF!,15,1)</f>
        <v>#REF!</v>
      </c>
      <c r="P22" s="399" t="e">
        <f>+MID('Input data'!#REF!,16,1)</f>
        <v>#REF!</v>
      </c>
      <c r="Q22" s="399" t="e">
        <f>+MID('Input data'!#REF!,17,1)</f>
        <v>#REF!</v>
      </c>
      <c r="R22" s="399" t="e">
        <f>+MID('Input data'!#REF!,18,1)</f>
        <v>#REF!</v>
      </c>
      <c r="S22" s="399" t="e">
        <f>+MID('Input data'!#REF!,19,1)</f>
        <v>#REF!</v>
      </c>
      <c r="T22" s="399" t="e">
        <f>+MID('Input data'!#REF!,20,1)</f>
        <v>#REF!</v>
      </c>
      <c r="U22" s="399" t="e">
        <f>+MID('Input data'!#REF!,21,1)</f>
        <v>#REF!</v>
      </c>
      <c r="V22" s="399" t="e">
        <f>+MID('Input data'!#REF!,22,1)</f>
        <v>#REF!</v>
      </c>
      <c r="W22" s="399" t="e">
        <f>+MID('Input data'!#REF!,23,1)</f>
        <v>#REF!</v>
      </c>
      <c r="X22" s="399" t="e">
        <f>+MID('Input data'!#REF!,24,1)</f>
        <v>#REF!</v>
      </c>
      <c r="Y22" s="399" t="e">
        <f>+MID('Input data'!#REF!,25,1)</f>
        <v>#REF!</v>
      </c>
      <c r="Z22" s="399" t="e">
        <f>+MID('Input data'!#REF!,26,1)</f>
        <v>#REF!</v>
      </c>
      <c r="AA22" s="399" t="e">
        <f>+MID('Input data'!#REF!,27,1)</f>
        <v>#REF!</v>
      </c>
      <c r="AB22" s="399" t="e">
        <f>+MID('Input data'!#REF!,28,1)</f>
        <v>#REF!</v>
      </c>
      <c r="AC22" s="399" t="e">
        <f>+MID('Input data'!#REF!,29,1)</f>
        <v>#REF!</v>
      </c>
      <c r="AD22" s="399" t="e">
        <f>+MID('Input data'!#REF!,30,1)</f>
        <v>#REF!</v>
      </c>
      <c r="AE22" s="399" t="e">
        <f>+MID('Input data'!#REF!,31,1)</f>
        <v>#REF!</v>
      </c>
      <c r="AF22" s="399" t="e">
        <f>+MID('Input data'!#REF!,32,1)</f>
        <v>#REF!</v>
      </c>
      <c r="AG22" s="399" t="e">
        <f>+MID('Input data'!#REF!,33,1)</f>
        <v>#REF!</v>
      </c>
      <c r="AH22" s="399" t="e">
        <f>+MID('Input data'!#REF!,34,1)</f>
        <v>#REF!</v>
      </c>
      <c r="AI22" s="399" t="e">
        <f>+MID('Input data'!#REF!,35,1)</f>
        <v>#REF!</v>
      </c>
      <c r="AJ22" s="399" t="e">
        <f>+MID('Input data'!#REF!,36,1)</f>
        <v>#REF!</v>
      </c>
      <c r="AK22" s="398" t="e">
        <f>+MID('Input data'!#REF!,37,1)</f>
        <v>#REF!</v>
      </c>
    </row>
    <row r="23" spans="1:44" s="393" customFormat="1" ht="12" customHeight="1" x14ac:dyDescent="0.25">
      <c r="A23" s="397" t="s">
        <v>977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44" x14ac:dyDescent="0.25">
      <c r="A24" s="389" t="s">
        <v>978</v>
      </c>
      <c r="B24" s="734"/>
      <c r="C24" s="734"/>
      <c r="D24" s="734"/>
      <c r="E24" s="734"/>
      <c r="F24" s="734"/>
      <c r="G24" s="734"/>
      <c r="H24" s="734"/>
      <c r="I24" s="734"/>
      <c r="J24" s="734"/>
      <c r="K24" s="734"/>
      <c r="L24" s="734"/>
      <c r="M24" s="734"/>
      <c r="N24" s="734"/>
      <c r="O24" s="734"/>
      <c r="P24" s="734"/>
      <c r="Q24" s="734"/>
      <c r="R24" s="734"/>
      <c r="S24" s="734"/>
      <c r="T24" s="734"/>
      <c r="U24" s="734"/>
      <c r="V24" s="734"/>
      <c r="W24" s="342"/>
      <c r="X24" s="342"/>
      <c r="Y24" s="342"/>
      <c r="Z24" s="342"/>
      <c r="AA24" s="342"/>
      <c r="AB24" s="734"/>
      <c r="AC24" s="342"/>
      <c r="AD24" s="345" t="s">
        <v>979</v>
      </c>
      <c r="AE24" s="342"/>
      <c r="AF24" s="342"/>
      <c r="AG24" s="342"/>
      <c r="AH24" s="342"/>
      <c r="AI24" s="342"/>
      <c r="AJ24" s="342"/>
      <c r="AK24" s="341"/>
    </row>
    <row r="25" spans="1:44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91" t="str">
        <f>+MID('Input data'!$C$30,8,1)</f>
        <v/>
      </c>
      <c r="AR25" s="745"/>
    </row>
    <row r="26" spans="1:44" x14ac:dyDescent="0.25">
      <c r="A26" s="389" t="s">
        <v>980</v>
      </c>
      <c r="B26" s="742"/>
      <c r="C26" s="742"/>
      <c r="D26" s="742"/>
      <c r="E26" s="742"/>
      <c r="F26" s="742"/>
      <c r="G26" s="388" t="s">
        <v>981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44" s="390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91" t="str">
        <f>+MID('Input data'!$C$34,31,1)</f>
        <v/>
      </c>
    </row>
    <row r="28" spans="1:44" x14ac:dyDescent="0.25">
      <c r="A28" s="389" t="s">
        <v>982</v>
      </c>
      <c r="B28" s="742"/>
      <c r="C28" s="742"/>
      <c r="D28" s="742"/>
      <c r="E28" s="742"/>
      <c r="F28" s="742"/>
      <c r="G28" s="388"/>
      <c r="H28" s="388"/>
      <c r="I28" s="388"/>
      <c r="J28" s="388"/>
      <c r="K28" s="388"/>
      <c r="L28" s="388"/>
      <c r="M28" s="388"/>
      <c r="N28" s="742"/>
      <c r="O28" s="388" t="s">
        <v>983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44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 t="s">
        <v>985</v>
      </c>
      <c r="AH29" s="342"/>
      <c r="AI29" s="342"/>
      <c r="AJ29" s="342"/>
      <c r="AK29" s="341"/>
    </row>
    <row r="30" spans="1:44" s="334" customFormat="1" x14ac:dyDescent="0.25">
      <c r="A30" s="346" t="s">
        <v>986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44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1" t="str">
        <f>+MID('Input data'!$B$42,37,1)</f>
        <v/>
      </c>
    </row>
    <row r="32" spans="1:44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37" s="377" customFormat="1" ht="12.75" customHeight="1" x14ac:dyDescent="0.25">
      <c r="A33" s="380" t="s">
        <v>987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625" t="s">
        <v>1538</v>
      </c>
      <c r="M33" s="1626"/>
      <c r="N33" s="1626"/>
      <c r="O33" s="1626"/>
      <c r="P33" s="1626"/>
      <c r="Q33" s="1626"/>
      <c r="R33" s="1626"/>
      <c r="S33" s="1626"/>
      <c r="T33" s="1627"/>
      <c r="U33" s="1626" t="s">
        <v>989</v>
      </c>
      <c r="V33" s="1626"/>
      <c r="W33" s="1626"/>
      <c r="X33" s="1626"/>
      <c r="Y33" s="1626"/>
      <c r="Z33" s="1626"/>
      <c r="AA33" s="1626"/>
      <c r="AB33" s="1627"/>
      <c r="AC33" s="1625" t="s">
        <v>1537</v>
      </c>
      <c r="AD33" s="1626"/>
      <c r="AE33" s="1626"/>
      <c r="AF33" s="1626"/>
      <c r="AG33" s="1626"/>
      <c r="AH33" s="1626"/>
      <c r="AI33" s="1626"/>
      <c r="AJ33" s="1626"/>
      <c r="AK33" s="1631"/>
    </row>
    <row r="34" spans="1:37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0" t="str">
        <f>MID(TEXT('Input data'!$F$34,"dd.mm.yyyy"),7,1)</f>
        <v>1</v>
      </c>
      <c r="H34" s="360" t="str">
        <f>MID(TEXT('Input data'!$F$34,"dd.mm.yyyy"),8,1)</f>
        <v>9</v>
      </c>
      <c r="I34" s="360" t="str">
        <f>MID(TEXT('Input data'!$F$34,"dd.mm.yyyy"),9,1)</f>
        <v>0</v>
      </c>
      <c r="J34" s="360" t="str">
        <f>MID(TEXT('Input data'!$F$34,"dd.mm.yyyy"),10,1)</f>
        <v>0</v>
      </c>
      <c r="K34" s="376"/>
      <c r="L34" s="1628"/>
      <c r="M34" s="1629"/>
      <c r="N34" s="1629"/>
      <c r="O34" s="1629"/>
      <c r="P34" s="1629"/>
      <c r="Q34" s="1629"/>
      <c r="R34" s="1629"/>
      <c r="S34" s="1629"/>
      <c r="T34" s="1630"/>
      <c r="U34" s="1629"/>
      <c r="V34" s="1629"/>
      <c r="W34" s="1629"/>
      <c r="X34" s="1629"/>
      <c r="Y34" s="1629"/>
      <c r="Z34" s="1629"/>
      <c r="AA34" s="1629"/>
      <c r="AB34" s="1630"/>
      <c r="AC34" s="1628"/>
      <c r="AD34" s="1629"/>
      <c r="AE34" s="1629"/>
      <c r="AF34" s="1629"/>
      <c r="AG34" s="1629"/>
      <c r="AH34" s="1629"/>
      <c r="AI34" s="1629"/>
      <c r="AJ34" s="1629"/>
      <c r="AK34" s="1632"/>
    </row>
    <row r="35" spans="1:37" s="334" customFormat="1" ht="12.7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628"/>
      <c r="M35" s="1629"/>
      <c r="N35" s="1629"/>
      <c r="O35" s="1629"/>
      <c r="P35" s="1629"/>
      <c r="Q35" s="1629"/>
      <c r="R35" s="1629"/>
      <c r="S35" s="1629"/>
      <c r="T35" s="1630"/>
      <c r="U35" s="1629"/>
      <c r="V35" s="1629"/>
      <c r="W35" s="1629"/>
      <c r="X35" s="1629"/>
      <c r="Y35" s="1629"/>
      <c r="Z35" s="1629"/>
      <c r="AA35" s="1629"/>
      <c r="AB35" s="1630"/>
      <c r="AC35" s="1628"/>
      <c r="AD35" s="1629"/>
      <c r="AE35" s="1629"/>
      <c r="AF35" s="1629"/>
      <c r="AG35" s="1629"/>
      <c r="AH35" s="1629"/>
      <c r="AI35" s="1629"/>
      <c r="AJ35" s="1629"/>
      <c r="AK35" s="1632"/>
    </row>
    <row r="36" spans="1:37" s="334" customFormat="1" x14ac:dyDescent="0.2">
      <c r="A36" s="346" t="s">
        <v>991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5"/>
      <c r="AE36" s="365"/>
      <c r="AF36" s="365"/>
      <c r="AG36" s="365"/>
      <c r="AH36" s="365"/>
      <c r="AI36" s="365"/>
      <c r="AJ36" s="365"/>
      <c r="AK36" s="364"/>
    </row>
    <row r="37" spans="1:37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359"/>
      <c r="L37" s="358"/>
      <c r="M37" s="357"/>
      <c r="N37" s="357"/>
      <c r="O37" s="357"/>
      <c r="P37" s="357"/>
      <c r="Q37" s="357"/>
      <c r="R37" s="357"/>
      <c r="S37" s="357"/>
      <c r="T37" s="356"/>
      <c r="U37" s="358"/>
      <c r="V37" s="357"/>
      <c r="W37" s="357"/>
      <c r="X37" s="357"/>
      <c r="Y37" s="357"/>
      <c r="Z37" s="357"/>
      <c r="AA37" s="357"/>
      <c r="AB37" s="356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7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'Input data'!F40</f>
        <v>0</v>
      </c>
      <c r="M38" s="1634"/>
      <c r="N38" s="1634"/>
      <c r="O38" s="1634"/>
      <c r="P38" s="1634"/>
      <c r="Q38" s="1634"/>
      <c r="R38" s="1634"/>
      <c r="S38" s="1634"/>
      <c r="T38" s="1635"/>
      <c r="U38" s="1633" t="e">
        <f>'Input data'!#REF!</f>
        <v>#REF!</v>
      </c>
      <c r="V38" s="1634"/>
      <c r="W38" s="1634"/>
      <c r="X38" s="1634"/>
      <c r="Y38" s="1634"/>
      <c r="Z38" s="1634"/>
      <c r="AA38" s="1634"/>
      <c r="AB38" s="1635"/>
      <c r="AC38" s="1636" t="e">
        <f>'Input data'!#REF!</f>
        <v>#REF!</v>
      </c>
      <c r="AD38" s="1634"/>
      <c r="AE38" s="1634"/>
      <c r="AF38" s="1634"/>
      <c r="AG38" s="1634"/>
      <c r="AH38" s="1634"/>
      <c r="AI38" s="1634"/>
      <c r="AJ38" s="1634"/>
      <c r="AK38" s="1637"/>
    </row>
    <row r="39" spans="1:37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7" s="340" customFormat="1" ht="12.75" customHeigh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7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7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7" s="340" customFormat="1" x14ac:dyDescent="0.25">
      <c r="B43" s="352" t="s">
        <v>992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7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7" ht="12.75" customHeight="1" x14ac:dyDescent="0.25">
      <c r="B45" s="348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  <c r="O45" s="734"/>
      <c r="P45" s="734"/>
      <c r="Q45" s="734"/>
      <c r="R45" s="734"/>
      <c r="S45" s="734"/>
      <c r="T45" s="734"/>
      <c r="U45" s="734"/>
      <c r="V45" s="734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7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7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7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993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994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23622047244094491" footer="0.23622047244094491"/>
  <pageSetup scale="99" orientation="portrait" r:id="rId1"/>
  <headerFooter alignWithMargins="0">
    <oddFooter>&amp;LMF SR č. 25947/1/2010&amp;RStrana 1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13"/>
  <sheetViews>
    <sheetView showGridLines="0" view="pageBreakPreview" zoomScaleNormal="100" zoomScaleSheetLayoutView="100" workbookViewId="0">
      <selection activeCell="H11" sqref="H11:K11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1.42578125" style="445" customWidth="1"/>
    <col min="4" max="4" width="3.7109375" style="445" customWidth="1"/>
    <col min="5" max="5" width="3.5703125" style="445" customWidth="1"/>
    <col min="6" max="6" width="12.42578125" style="445" customWidth="1"/>
    <col min="7" max="7" width="12.140625" style="445" customWidth="1"/>
    <col min="8" max="8" width="1.42578125" style="445" customWidth="1"/>
    <col min="9" max="9" width="3.7109375" style="445" customWidth="1"/>
    <col min="10" max="10" width="3.5703125" style="445" customWidth="1"/>
    <col min="11" max="11" width="10.5703125" style="445" customWidth="1"/>
    <col min="12" max="12" width="14.42578125" style="445" customWidth="1"/>
    <col min="13" max="16384" width="9.140625" style="445"/>
  </cols>
  <sheetData>
    <row r="1" spans="1:15" ht="9.75" customHeight="1" x14ac:dyDescent="0.25">
      <c r="A1" s="444"/>
      <c r="B1" s="445" t="s">
        <v>1634</v>
      </c>
      <c r="C1" s="388"/>
      <c r="G1" s="388"/>
      <c r="H1" s="388"/>
      <c r="I1" s="388"/>
      <c r="J1" s="388"/>
      <c r="K1" s="388"/>
    </row>
    <row r="2" spans="1:15" ht="23.25" customHeight="1" x14ac:dyDescent="0.25">
      <c r="A2" s="444"/>
      <c r="B2" s="902" t="s">
        <v>1635</v>
      </c>
      <c r="C2" s="905"/>
      <c r="D2" s="468" t="s">
        <v>1123</v>
      </c>
      <c r="E2" s="467" t="e">
        <f>"  "&amp;#REF!&amp;"  "&amp;#REF!&amp;"  "&amp;#REF!&amp;"  "&amp;#REF!&amp;"  "&amp;#REF!&amp;"  "&amp;#REF!&amp;"  "&amp;#REF!&amp;"  "&amp;#REF!&amp;"  "&amp;#REF!&amp;"  "&amp;#REF!</f>
        <v>#REF!</v>
      </c>
      <c r="F2" s="466"/>
      <c r="G2" s="465"/>
      <c r="H2" s="911"/>
      <c r="I2" s="465" t="s">
        <v>966</v>
      </c>
      <c r="J2" s="784" t="e">
        <f>"  "&amp;#REF!&amp;"  "&amp;#REF!&amp;"  "&amp;#REF!&amp;"  "&amp;#REF!&amp;"  "&amp;#REF!&amp;"  "&amp;#REF!&amp;"  "&amp;#REF!&amp;"  "&amp;#REF!&amp;" "</f>
        <v>#REF!</v>
      </c>
      <c r="K2" s="903"/>
      <c r="L2" s="904"/>
    </row>
    <row r="3" spans="1:15" ht="2.25" customHeight="1" thickBot="1" x14ac:dyDescent="0.3">
      <c r="A3" s="444"/>
      <c r="C3" s="523"/>
      <c r="D3" s="523"/>
      <c r="F3" s="523"/>
      <c r="G3" s="523"/>
      <c r="H3" s="523"/>
      <c r="I3" s="523"/>
    </row>
    <row r="4" spans="1:15" s="462" customFormat="1" ht="11.25" customHeight="1" x14ac:dyDescent="0.25">
      <c r="A4" s="1702" t="s">
        <v>1029</v>
      </c>
      <c r="B4" s="1703" t="s">
        <v>1073</v>
      </c>
      <c r="C4" s="1706" t="s">
        <v>1027</v>
      </c>
      <c r="D4" s="1707"/>
      <c r="E4" s="1654" t="s">
        <v>1</v>
      </c>
      <c r="F4" s="1678"/>
      <c r="G4" s="1678"/>
      <c r="H4" s="1678"/>
      <c r="I4" s="1678"/>
      <c r="J4" s="1658"/>
      <c r="K4" s="1719" t="s">
        <v>1072</v>
      </c>
      <c r="L4" s="1720"/>
    </row>
    <row r="5" spans="1:15" s="462" customFormat="1" ht="11.25" customHeight="1" x14ac:dyDescent="0.15">
      <c r="A5" s="1667"/>
      <c r="B5" s="1675"/>
      <c r="C5" s="1706"/>
      <c r="D5" s="1707"/>
      <c r="E5" s="1679">
        <v>1</v>
      </c>
      <c r="F5" s="1675" t="s">
        <v>1071</v>
      </c>
      <c r="G5" s="1675"/>
      <c r="H5" s="1723" t="s">
        <v>1070</v>
      </c>
      <c r="I5" s="1724"/>
      <c r="J5" s="1725"/>
      <c r="K5" s="1656"/>
      <c r="L5" s="1657"/>
    </row>
    <row r="6" spans="1:15" s="462" customFormat="1" ht="12" customHeight="1" x14ac:dyDescent="0.25">
      <c r="A6" s="1667"/>
      <c r="B6" s="1675"/>
      <c r="C6" s="1708"/>
      <c r="D6" s="1709"/>
      <c r="E6" s="1679"/>
      <c r="F6" s="1675" t="s">
        <v>1069</v>
      </c>
      <c r="G6" s="1675"/>
      <c r="H6" s="1664"/>
      <c r="I6" s="1726"/>
      <c r="J6" s="1727"/>
      <c r="K6" s="1664" t="s">
        <v>1068</v>
      </c>
      <c r="L6" s="1665"/>
    </row>
    <row r="7" spans="1:15" s="464" customFormat="1" ht="27.95" customHeight="1" x14ac:dyDescent="0.25">
      <c r="A7" s="1704"/>
      <c r="B7" s="1683" t="s">
        <v>1636</v>
      </c>
      <c r="C7" s="1641" t="s">
        <v>488</v>
      </c>
      <c r="D7" s="1642"/>
      <c r="E7" s="1652" t="e">
        <f>BS!#REF!</f>
        <v>#REF!</v>
      </c>
      <c r="F7" s="1652"/>
      <c r="G7" s="1652"/>
      <c r="H7" s="1638" t="e">
        <f>E7-E8</f>
        <v>#REF!</v>
      </c>
      <c r="I7" s="1639"/>
      <c r="J7" s="1639"/>
      <c r="K7" s="1640"/>
      <c r="L7" s="463"/>
    </row>
    <row r="8" spans="1:15" s="464" customFormat="1" ht="27.95" customHeight="1" x14ac:dyDescent="0.25">
      <c r="A8" s="1704"/>
      <c r="B8" s="1683"/>
      <c r="C8" s="1643"/>
      <c r="D8" s="1644"/>
      <c r="E8" s="1652" t="e">
        <f>BS!#REF!</f>
        <v>#REF!</v>
      </c>
      <c r="F8" s="1652"/>
      <c r="G8" s="1652"/>
      <c r="H8" s="1638"/>
      <c r="I8" s="1640"/>
      <c r="J8" s="1721">
        <f>BS!E7</f>
        <v>0</v>
      </c>
      <c r="K8" s="1722"/>
      <c r="L8" s="1653"/>
      <c r="O8" s="464" t="s">
        <v>985</v>
      </c>
    </row>
    <row r="9" spans="1:15" s="464" customFormat="1" ht="27.95" customHeight="1" x14ac:dyDescent="0.25">
      <c r="A9" s="1681" t="s">
        <v>489</v>
      </c>
      <c r="B9" s="1705" t="s">
        <v>1637</v>
      </c>
      <c r="C9" s="1641" t="s">
        <v>491</v>
      </c>
      <c r="D9" s="1642"/>
      <c r="E9" s="1649" t="e">
        <f>BS!#REF!</f>
        <v>#REF!</v>
      </c>
      <c r="F9" s="1650"/>
      <c r="G9" s="1651"/>
      <c r="H9" s="1638" t="e">
        <f>E9-E10</f>
        <v>#REF!</v>
      </c>
      <c r="I9" s="1639"/>
      <c r="J9" s="1639"/>
      <c r="K9" s="1640"/>
      <c r="L9" s="463"/>
    </row>
    <row r="10" spans="1:15" s="464" customFormat="1" ht="27.95" customHeight="1" x14ac:dyDescent="0.25">
      <c r="A10" s="1681"/>
      <c r="B10" s="1705"/>
      <c r="C10" s="1643"/>
      <c r="D10" s="1644"/>
      <c r="E10" s="1649" t="e">
        <f>BS!#REF!</f>
        <v>#REF!</v>
      </c>
      <c r="F10" s="1650"/>
      <c r="G10" s="1651"/>
      <c r="H10" s="1638"/>
      <c r="I10" s="1640"/>
      <c r="J10" s="1649">
        <f>BS!E8</f>
        <v>0</v>
      </c>
      <c r="K10" s="1650"/>
      <c r="L10" s="1653"/>
    </row>
    <row r="11" spans="1:15" s="464" customFormat="1" ht="27.95" customHeight="1" x14ac:dyDescent="0.25">
      <c r="A11" s="1681" t="s">
        <v>492</v>
      </c>
      <c r="B11" s="1700" t="s">
        <v>1638</v>
      </c>
      <c r="C11" s="1641" t="s">
        <v>494</v>
      </c>
      <c r="D11" s="1642"/>
      <c r="E11" s="1652">
        <f>'BS old'!D12</f>
        <v>0</v>
      </c>
      <c r="F11" s="1652"/>
      <c r="G11" s="1652"/>
      <c r="H11" s="1638">
        <f>'BS old'!F12</f>
        <v>0</v>
      </c>
      <c r="I11" s="1639"/>
      <c r="J11" s="1639"/>
      <c r="K11" s="1640"/>
      <c r="L11" s="463"/>
    </row>
    <row r="12" spans="1:15" s="464" customFormat="1" ht="27.95" customHeight="1" x14ac:dyDescent="0.25">
      <c r="A12" s="1681"/>
      <c r="B12" s="1701"/>
      <c r="C12" s="1643"/>
      <c r="D12" s="1644"/>
      <c r="E12" s="1652">
        <f>'BS old'!E12</f>
        <v>0</v>
      </c>
      <c r="F12" s="1652"/>
      <c r="G12" s="1652"/>
      <c r="H12" s="912"/>
      <c r="I12" s="913"/>
      <c r="J12" s="1649">
        <f>'BS old'!G12</f>
        <v>0</v>
      </c>
      <c r="K12" s="1650"/>
      <c r="L12" s="1653"/>
    </row>
    <row r="13" spans="1:15" s="462" customFormat="1" ht="27.95" customHeight="1" x14ac:dyDescent="0.25">
      <c r="A13" s="1693" t="s">
        <v>495</v>
      </c>
      <c r="B13" s="1671" t="s">
        <v>1122</v>
      </c>
      <c r="C13" s="1645" t="s">
        <v>497</v>
      </c>
      <c r="D13" s="1646"/>
      <c r="E13" s="1652">
        <f>'BS old'!D13</f>
        <v>0</v>
      </c>
      <c r="F13" s="1652"/>
      <c r="G13" s="1652"/>
      <c r="H13" s="1638">
        <f>'BS old'!F13</f>
        <v>0</v>
      </c>
      <c r="I13" s="1639"/>
      <c r="J13" s="1639"/>
      <c r="K13" s="1640"/>
      <c r="L13" s="463"/>
    </row>
    <row r="14" spans="1:15" s="462" customFormat="1" ht="27.95" customHeight="1" x14ac:dyDescent="0.25">
      <c r="A14" s="1699"/>
      <c r="B14" s="1671"/>
      <c r="C14" s="1647"/>
      <c r="D14" s="1648"/>
      <c r="E14" s="1652">
        <f>'BS old'!E13</f>
        <v>0</v>
      </c>
      <c r="F14" s="1652"/>
      <c r="G14" s="1652"/>
      <c r="H14" s="912"/>
      <c r="I14" s="913"/>
      <c r="J14" s="1649">
        <f>'BS old'!G13</f>
        <v>0</v>
      </c>
      <c r="K14" s="1650"/>
      <c r="L14" s="1653"/>
    </row>
    <row r="15" spans="1:15" s="462" customFormat="1" ht="27.95" customHeight="1" x14ac:dyDescent="0.25">
      <c r="A15" s="1669" t="s">
        <v>498</v>
      </c>
      <c r="B15" s="1671" t="s">
        <v>1121</v>
      </c>
      <c r="C15" s="1645" t="s">
        <v>500</v>
      </c>
      <c r="D15" s="1646"/>
      <c r="E15" s="1652">
        <f>'BS old'!D14</f>
        <v>0</v>
      </c>
      <c r="F15" s="1652"/>
      <c r="G15" s="1652"/>
      <c r="H15" s="1638">
        <f>'BS old'!F14</f>
        <v>0</v>
      </c>
      <c r="I15" s="1639"/>
      <c r="J15" s="1639"/>
      <c r="K15" s="1640"/>
      <c r="L15" s="463"/>
    </row>
    <row r="16" spans="1:15" s="462" customFormat="1" ht="27.95" customHeight="1" x14ac:dyDescent="0.25">
      <c r="A16" s="1669"/>
      <c r="B16" s="1671"/>
      <c r="C16" s="1647"/>
      <c r="D16" s="1648"/>
      <c r="E16" s="1652">
        <f>'BS old'!E14</f>
        <v>0</v>
      </c>
      <c r="F16" s="1652"/>
      <c r="G16" s="1652"/>
      <c r="H16" s="912"/>
      <c r="I16" s="913"/>
      <c r="J16" s="1649">
        <f>'BS old'!G14</f>
        <v>0</v>
      </c>
      <c r="K16" s="1650"/>
      <c r="L16" s="1653"/>
    </row>
    <row r="17" spans="1:12" s="462" customFormat="1" ht="27.95" customHeight="1" x14ac:dyDescent="0.25">
      <c r="A17" s="1669" t="s">
        <v>501</v>
      </c>
      <c r="B17" s="1671" t="s">
        <v>1120</v>
      </c>
      <c r="C17" s="1645" t="s">
        <v>503</v>
      </c>
      <c r="D17" s="1646"/>
      <c r="E17" s="1652">
        <f>'BS old'!D15</f>
        <v>0</v>
      </c>
      <c r="F17" s="1652"/>
      <c r="G17" s="1652"/>
      <c r="H17" s="1638">
        <f>'BS old'!F15</f>
        <v>0</v>
      </c>
      <c r="I17" s="1639"/>
      <c r="J17" s="1639"/>
      <c r="K17" s="1640"/>
      <c r="L17" s="463"/>
    </row>
    <row r="18" spans="1:12" s="462" customFormat="1" ht="27.95" customHeight="1" x14ac:dyDescent="0.25">
      <c r="A18" s="1669"/>
      <c r="B18" s="1671"/>
      <c r="C18" s="1647"/>
      <c r="D18" s="1648"/>
      <c r="E18" s="1652">
        <f>'BS old'!E15</f>
        <v>0</v>
      </c>
      <c r="F18" s="1652"/>
      <c r="G18" s="1652"/>
      <c r="H18" s="912"/>
      <c r="I18" s="913"/>
      <c r="J18" s="1649">
        <f>'BS old'!G15</f>
        <v>0</v>
      </c>
      <c r="K18" s="1650"/>
      <c r="L18" s="1653"/>
    </row>
    <row r="19" spans="1:12" s="462" customFormat="1" ht="27.95" customHeight="1" x14ac:dyDescent="0.25">
      <c r="A19" s="1669" t="s">
        <v>504</v>
      </c>
      <c r="B19" s="1671" t="s">
        <v>1119</v>
      </c>
      <c r="C19" s="1645" t="s">
        <v>506</v>
      </c>
      <c r="D19" s="1646"/>
      <c r="E19" s="1652">
        <f>'BS old'!D16</f>
        <v>0</v>
      </c>
      <c r="F19" s="1652"/>
      <c r="G19" s="1652"/>
      <c r="H19" s="1638">
        <f>'BS old'!F16</f>
        <v>0</v>
      </c>
      <c r="I19" s="1639"/>
      <c r="J19" s="1639"/>
      <c r="K19" s="1640"/>
      <c r="L19" s="463"/>
    </row>
    <row r="20" spans="1:12" s="462" customFormat="1" ht="27.95" customHeight="1" x14ac:dyDescent="0.25">
      <c r="A20" s="1669"/>
      <c r="B20" s="1671"/>
      <c r="C20" s="1647"/>
      <c r="D20" s="1648"/>
      <c r="E20" s="1652">
        <f>'BS old'!E16</f>
        <v>0</v>
      </c>
      <c r="F20" s="1652"/>
      <c r="G20" s="1652"/>
      <c r="H20" s="912"/>
      <c r="I20" s="913"/>
      <c r="J20" s="1649">
        <f>'BS old'!G16</f>
        <v>0</v>
      </c>
      <c r="K20" s="1650"/>
      <c r="L20" s="1653"/>
    </row>
    <row r="21" spans="1:12" s="462" customFormat="1" ht="27.95" customHeight="1" x14ac:dyDescent="0.25">
      <c r="A21" s="1669" t="s">
        <v>507</v>
      </c>
      <c r="B21" s="1671" t="s">
        <v>1118</v>
      </c>
      <c r="C21" s="1645" t="s">
        <v>509</v>
      </c>
      <c r="D21" s="1646"/>
      <c r="E21" s="1652">
        <f>'BS old'!D17</f>
        <v>0</v>
      </c>
      <c r="F21" s="1652"/>
      <c r="G21" s="1652"/>
      <c r="H21" s="1638">
        <f>'BS old'!F17</f>
        <v>0</v>
      </c>
      <c r="I21" s="1639"/>
      <c r="J21" s="1639"/>
      <c r="K21" s="1640"/>
      <c r="L21" s="463"/>
    </row>
    <row r="22" spans="1:12" s="462" customFormat="1" ht="27.95" customHeight="1" x14ac:dyDescent="0.25">
      <c r="A22" s="1669"/>
      <c r="B22" s="1671"/>
      <c r="C22" s="1647"/>
      <c r="D22" s="1648"/>
      <c r="E22" s="1652">
        <f>'BS old'!E17</f>
        <v>0</v>
      </c>
      <c r="F22" s="1652"/>
      <c r="G22" s="1652"/>
      <c r="H22" s="912"/>
      <c r="I22" s="913"/>
      <c r="J22" s="1649">
        <f>'BS old'!G17</f>
        <v>0</v>
      </c>
      <c r="K22" s="1650"/>
      <c r="L22" s="1653"/>
    </row>
    <row r="23" spans="1:12" s="462" customFormat="1" ht="27.95" customHeight="1" x14ac:dyDescent="0.25">
      <c r="A23" s="1669" t="s">
        <v>510</v>
      </c>
      <c r="B23" s="1671" t="s">
        <v>1117</v>
      </c>
      <c r="C23" s="1645" t="s">
        <v>512</v>
      </c>
      <c r="D23" s="1646"/>
      <c r="E23" s="1652">
        <f>'BS old'!D18</f>
        <v>0</v>
      </c>
      <c r="F23" s="1652"/>
      <c r="G23" s="1652"/>
      <c r="H23" s="1638">
        <f>'BS old'!F18</f>
        <v>0</v>
      </c>
      <c r="I23" s="1639"/>
      <c r="J23" s="1639"/>
      <c r="K23" s="1640"/>
      <c r="L23" s="463"/>
    </row>
    <row r="24" spans="1:12" s="462" customFormat="1" ht="27.95" customHeight="1" x14ac:dyDescent="0.25">
      <c r="A24" s="1669"/>
      <c r="B24" s="1671"/>
      <c r="C24" s="1647"/>
      <c r="D24" s="1648"/>
      <c r="E24" s="1652">
        <f>'BS old'!E18</f>
        <v>0</v>
      </c>
      <c r="F24" s="1652"/>
      <c r="G24" s="1652"/>
      <c r="H24" s="912"/>
      <c r="I24" s="913"/>
      <c r="J24" s="1649">
        <f>'BS old'!G18</f>
        <v>0</v>
      </c>
      <c r="K24" s="1650"/>
      <c r="L24" s="1653"/>
    </row>
    <row r="25" spans="1:12" s="462" customFormat="1" ht="27.95" customHeight="1" x14ac:dyDescent="0.25">
      <c r="A25" s="1669" t="s">
        <v>513</v>
      </c>
      <c r="B25" s="1671" t="s">
        <v>1116</v>
      </c>
      <c r="C25" s="1645" t="s">
        <v>515</v>
      </c>
      <c r="D25" s="1646"/>
      <c r="E25" s="1652">
        <f>'BS old'!D19</f>
        <v>0</v>
      </c>
      <c r="F25" s="1652"/>
      <c r="G25" s="1652"/>
      <c r="H25" s="1638">
        <f>'BS old'!F19</f>
        <v>0</v>
      </c>
      <c r="I25" s="1639"/>
      <c r="J25" s="1639"/>
      <c r="K25" s="1640"/>
      <c r="L25" s="463"/>
    </row>
    <row r="26" spans="1:12" s="462" customFormat="1" ht="27.95" customHeight="1" x14ac:dyDescent="0.25">
      <c r="A26" s="1669"/>
      <c r="B26" s="1671"/>
      <c r="C26" s="1647"/>
      <c r="D26" s="1648"/>
      <c r="E26" s="1652">
        <f>'BS old'!E19</f>
        <v>0</v>
      </c>
      <c r="F26" s="1652"/>
      <c r="G26" s="1652"/>
      <c r="H26" s="912"/>
      <c r="I26" s="913"/>
      <c r="J26" s="1649">
        <f>'BS old'!G19</f>
        <v>0</v>
      </c>
      <c r="K26" s="1650"/>
      <c r="L26" s="1653"/>
    </row>
    <row r="27" spans="1:12" s="464" customFormat="1" ht="27.95" customHeight="1" x14ac:dyDescent="0.25">
      <c r="A27" s="1694" t="s">
        <v>516</v>
      </c>
      <c r="B27" s="1683" t="s">
        <v>1115</v>
      </c>
      <c r="C27" s="1641" t="s">
        <v>518</v>
      </c>
      <c r="D27" s="1642"/>
      <c r="E27" s="1652">
        <f>'BS old'!D20</f>
        <v>0</v>
      </c>
      <c r="F27" s="1652"/>
      <c r="G27" s="1652"/>
      <c r="H27" s="1638">
        <f>'BS old'!F20</f>
        <v>0</v>
      </c>
      <c r="I27" s="1639"/>
      <c r="J27" s="1639"/>
      <c r="K27" s="1640"/>
      <c r="L27" s="463"/>
    </row>
    <row r="28" spans="1:12" s="464" customFormat="1" ht="27.95" customHeight="1" x14ac:dyDescent="0.25">
      <c r="A28" s="1681"/>
      <c r="B28" s="1683"/>
      <c r="C28" s="1643"/>
      <c r="D28" s="1644"/>
      <c r="E28" s="1652">
        <f>'BS old'!E20</f>
        <v>0</v>
      </c>
      <c r="F28" s="1652"/>
      <c r="G28" s="1652"/>
      <c r="H28" s="1638"/>
      <c r="I28" s="1640"/>
      <c r="J28" s="1649">
        <f>'BS old'!G20</f>
        <v>0</v>
      </c>
      <c r="K28" s="1650"/>
      <c r="L28" s="1653"/>
    </row>
    <row r="29" spans="1:12" s="462" customFormat="1" ht="27.95" customHeight="1" x14ac:dyDescent="0.25">
      <c r="A29" s="1693" t="s">
        <v>519</v>
      </c>
      <c r="B29" s="1671" t="s">
        <v>1114</v>
      </c>
      <c r="C29" s="1645" t="s">
        <v>521</v>
      </c>
      <c r="D29" s="1646"/>
      <c r="E29" s="1652">
        <f>'BS old'!D21</f>
        <v>0</v>
      </c>
      <c r="F29" s="1652"/>
      <c r="G29" s="1652"/>
      <c r="H29" s="1638">
        <f>'BS old'!F21</f>
        <v>0</v>
      </c>
      <c r="I29" s="1639"/>
      <c r="J29" s="1639"/>
      <c r="K29" s="1640"/>
      <c r="L29" s="463"/>
    </row>
    <row r="30" spans="1:12" s="462" customFormat="1" ht="27.95" customHeight="1" x14ac:dyDescent="0.25">
      <c r="A30" s="1680"/>
      <c r="B30" s="1671"/>
      <c r="C30" s="1647"/>
      <c r="D30" s="1648"/>
      <c r="E30" s="1652">
        <f>'BS old'!E21</f>
        <v>0</v>
      </c>
      <c r="F30" s="1652"/>
      <c r="G30" s="1652"/>
      <c r="H30" s="912"/>
      <c r="I30" s="913"/>
      <c r="J30" s="1649">
        <f>'BS old'!G21</f>
        <v>0</v>
      </c>
      <c r="K30" s="1650"/>
      <c r="L30" s="1653"/>
    </row>
    <row r="31" spans="1:12" s="462" customFormat="1" ht="27.95" customHeight="1" x14ac:dyDescent="0.25">
      <c r="A31" s="1669" t="s">
        <v>498</v>
      </c>
      <c r="B31" s="1671" t="s">
        <v>1113</v>
      </c>
      <c r="C31" s="1645" t="s">
        <v>523</v>
      </c>
      <c r="D31" s="1646"/>
      <c r="E31" s="1652">
        <f>'BS old'!D22</f>
        <v>0</v>
      </c>
      <c r="F31" s="1652"/>
      <c r="G31" s="1652"/>
      <c r="H31" s="1638">
        <f>'BS old'!F22</f>
        <v>0</v>
      </c>
      <c r="I31" s="1639"/>
      <c r="J31" s="1639"/>
      <c r="K31" s="1640"/>
      <c r="L31" s="463"/>
    </row>
    <row r="32" spans="1:12" s="462" customFormat="1" ht="27.95" customHeight="1" x14ac:dyDescent="0.25">
      <c r="A32" s="1669"/>
      <c r="B32" s="1671"/>
      <c r="C32" s="1647"/>
      <c r="D32" s="1648"/>
      <c r="E32" s="1652">
        <f>'BS old'!E22</f>
        <v>0</v>
      </c>
      <c r="F32" s="1652"/>
      <c r="G32" s="1652"/>
      <c r="H32" s="1638"/>
      <c r="I32" s="1640"/>
      <c r="J32" s="1649">
        <f>'BS old'!G22</f>
        <v>0</v>
      </c>
      <c r="K32" s="1650"/>
      <c r="L32" s="1653"/>
    </row>
    <row r="33" spans="1:12" s="462" customFormat="1" ht="11.25" customHeight="1" x14ac:dyDescent="0.25">
      <c r="A33" s="1666" t="s">
        <v>1029</v>
      </c>
      <c r="B33" s="1674" t="s">
        <v>1073</v>
      </c>
      <c r="C33" s="777"/>
      <c r="D33" s="1676" t="s">
        <v>1027</v>
      </c>
      <c r="E33" s="1656" t="s">
        <v>1</v>
      </c>
      <c r="F33" s="1678"/>
      <c r="G33" s="1678"/>
      <c r="H33" s="1678"/>
      <c r="I33" s="1678"/>
      <c r="J33" s="1659"/>
      <c r="K33" s="1660" t="s">
        <v>1072</v>
      </c>
      <c r="L33" s="1661"/>
    </row>
    <row r="34" spans="1:12" s="462" customFormat="1" ht="11.25" customHeight="1" x14ac:dyDescent="0.15">
      <c r="A34" s="1667"/>
      <c r="B34" s="1675"/>
      <c r="C34" s="778"/>
      <c r="D34" s="1677"/>
      <c r="E34" s="1679">
        <v>1</v>
      </c>
      <c r="F34" s="1675" t="s">
        <v>1071</v>
      </c>
      <c r="G34" s="1675"/>
      <c r="H34" s="772"/>
      <c r="I34" s="1662" t="s">
        <v>1070</v>
      </c>
      <c r="J34" s="1663"/>
      <c r="K34" s="1656"/>
      <c r="L34" s="1657"/>
    </row>
    <row r="35" spans="1:12" s="462" customFormat="1" ht="12" customHeight="1" x14ac:dyDescent="0.15">
      <c r="A35" s="1667"/>
      <c r="B35" s="1675"/>
      <c r="C35" s="778"/>
      <c r="D35" s="1677"/>
      <c r="E35" s="1679"/>
      <c r="F35" s="1675" t="s">
        <v>1069</v>
      </c>
      <c r="G35" s="1675"/>
      <c r="H35" s="774"/>
      <c r="I35" s="1723"/>
      <c r="J35" s="1725"/>
      <c r="K35" s="1664" t="s">
        <v>1068</v>
      </c>
      <c r="L35" s="1665"/>
    </row>
    <row r="36" spans="1:12" ht="27.95" customHeight="1" x14ac:dyDescent="0.25">
      <c r="A36" s="1668" t="s">
        <v>501</v>
      </c>
      <c r="B36" s="1670" t="s">
        <v>1112</v>
      </c>
      <c r="C36" s="775"/>
      <c r="D36" s="1672" t="s">
        <v>525</v>
      </c>
      <c r="E36" s="1652">
        <f>'BS old'!D23</f>
        <v>0</v>
      </c>
      <c r="F36" s="1652"/>
      <c r="G36" s="1652"/>
      <c r="H36" s="771"/>
      <c r="I36" s="1649">
        <f>'BS old'!F23</f>
        <v>0</v>
      </c>
      <c r="J36" s="1650"/>
      <c r="K36" s="1651"/>
      <c r="L36" s="463"/>
    </row>
    <row r="37" spans="1:12" ht="27.95" customHeight="1" x14ac:dyDescent="0.25">
      <c r="A37" s="1669"/>
      <c r="B37" s="1671"/>
      <c r="C37" s="776"/>
      <c r="D37" s="1673"/>
      <c r="E37" s="1652">
        <f>'BS old'!E23</f>
        <v>0</v>
      </c>
      <c r="F37" s="1652"/>
      <c r="G37" s="1652"/>
      <c r="H37" s="779"/>
      <c r="I37" s="530"/>
      <c r="J37" s="1649">
        <f>'BS old'!G23</f>
        <v>0</v>
      </c>
      <c r="K37" s="1650"/>
      <c r="L37" s="1653"/>
    </row>
    <row r="38" spans="1:12" ht="27.95" customHeight="1" x14ac:dyDescent="0.25">
      <c r="A38" s="1669" t="s">
        <v>504</v>
      </c>
      <c r="B38" s="1671" t="s">
        <v>1111</v>
      </c>
      <c r="C38" s="776"/>
      <c r="D38" s="1673" t="s">
        <v>527</v>
      </c>
      <c r="E38" s="1652">
        <f>'BS old'!D24</f>
        <v>0</v>
      </c>
      <c r="F38" s="1652"/>
      <c r="G38" s="1652"/>
      <c r="H38" s="771"/>
      <c r="I38" s="1649">
        <f>'BS old'!F24</f>
        <v>0</v>
      </c>
      <c r="J38" s="1650"/>
      <c r="K38" s="1651"/>
      <c r="L38" s="463"/>
    </row>
    <row r="39" spans="1:12" ht="27.95" customHeight="1" x14ac:dyDescent="0.25">
      <c r="A39" s="1669"/>
      <c r="B39" s="1671"/>
      <c r="C39" s="776"/>
      <c r="D39" s="1673"/>
      <c r="E39" s="1652">
        <f>'BS old'!E24</f>
        <v>0</v>
      </c>
      <c r="F39" s="1652"/>
      <c r="G39" s="1652"/>
      <c r="H39" s="779"/>
      <c r="I39" s="530"/>
      <c r="J39" s="1649">
        <f>'BS old'!G24</f>
        <v>0</v>
      </c>
      <c r="K39" s="1650"/>
      <c r="L39" s="1653"/>
    </row>
    <row r="40" spans="1:12" ht="27.95" customHeight="1" x14ac:dyDescent="0.25">
      <c r="A40" s="1669" t="s">
        <v>507</v>
      </c>
      <c r="B40" s="1671" t="s">
        <v>1110</v>
      </c>
      <c r="C40" s="775"/>
      <c r="D40" s="1672" t="s">
        <v>529</v>
      </c>
      <c r="E40" s="1652">
        <f>'BS old'!D25</f>
        <v>0</v>
      </c>
      <c r="F40" s="1652"/>
      <c r="G40" s="1652"/>
      <c r="H40" s="771"/>
      <c r="I40" s="1649">
        <f>'BS old'!F25</f>
        <v>0</v>
      </c>
      <c r="J40" s="1650"/>
      <c r="K40" s="1651"/>
      <c r="L40" s="463"/>
    </row>
    <row r="41" spans="1:12" ht="27.95" customHeight="1" x14ac:dyDescent="0.25">
      <c r="A41" s="1669"/>
      <c r="B41" s="1671"/>
      <c r="C41" s="776"/>
      <c r="D41" s="1673"/>
      <c r="E41" s="1652">
        <f>'BS old'!E25</f>
        <v>0</v>
      </c>
      <c r="F41" s="1652"/>
      <c r="G41" s="1652"/>
      <c r="H41" s="779"/>
      <c r="I41" s="530"/>
      <c r="J41" s="1649">
        <f>'BS old'!G25</f>
        <v>0</v>
      </c>
      <c r="K41" s="1650"/>
      <c r="L41" s="1653"/>
    </row>
    <row r="42" spans="1:12" ht="27.95" customHeight="1" x14ac:dyDescent="0.25">
      <c r="A42" s="1669" t="s">
        <v>510</v>
      </c>
      <c r="B42" s="1671" t="s">
        <v>1109</v>
      </c>
      <c r="C42" s="776"/>
      <c r="D42" s="1673" t="s">
        <v>531</v>
      </c>
      <c r="E42" s="1652">
        <f>'BS old'!D26</f>
        <v>0</v>
      </c>
      <c r="F42" s="1652"/>
      <c r="G42" s="1652"/>
      <c r="H42" s="771"/>
      <c r="I42" s="1649">
        <f>'BS old'!F26</f>
        <v>0</v>
      </c>
      <c r="J42" s="1650"/>
      <c r="K42" s="1651"/>
      <c r="L42" s="463"/>
    </row>
    <row r="43" spans="1:12" ht="27.95" customHeight="1" x14ac:dyDescent="0.25">
      <c r="A43" s="1669"/>
      <c r="B43" s="1671"/>
      <c r="C43" s="776"/>
      <c r="D43" s="1673"/>
      <c r="E43" s="1652">
        <f>'BS old'!E26</f>
        <v>0</v>
      </c>
      <c r="F43" s="1652"/>
      <c r="G43" s="1652"/>
      <c r="H43" s="779"/>
      <c r="I43" s="530"/>
      <c r="J43" s="1649">
        <f>'BS old'!G26</f>
        <v>0</v>
      </c>
      <c r="K43" s="1650"/>
      <c r="L43" s="1653"/>
    </row>
    <row r="44" spans="1:12" ht="27.95" customHeight="1" x14ac:dyDescent="0.25">
      <c r="A44" s="1669" t="s">
        <v>513</v>
      </c>
      <c r="B44" s="1671" t="s">
        <v>1108</v>
      </c>
      <c r="C44" s="775"/>
      <c r="D44" s="1672" t="s">
        <v>533</v>
      </c>
      <c r="E44" s="1652">
        <f>'BS old'!D27</f>
        <v>0</v>
      </c>
      <c r="F44" s="1652"/>
      <c r="G44" s="1652"/>
      <c r="H44" s="771"/>
      <c r="I44" s="1649">
        <f>'BS old'!F27</f>
        <v>0</v>
      </c>
      <c r="J44" s="1650"/>
      <c r="K44" s="1651"/>
      <c r="L44" s="463"/>
    </row>
    <row r="45" spans="1:12" ht="27.95" customHeight="1" x14ac:dyDescent="0.25">
      <c r="A45" s="1669"/>
      <c r="B45" s="1671"/>
      <c r="C45" s="776"/>
      <c r="D45" s="1673"/>
      <c r="E45" s="1652">
        <f>'BS old'!E27</f>
        <v>0</v>
      </c>
      <c r="F45" s="1652"/>
      <c r="G45" s="1652"/>
      <c r="H45" s="779"/>
      <c r="I45" s="530"/>
      <c r="J45" s="1649">
        <f>'BS old'!G27</f>
        <v>0</v>
      </c>
      <c r="K45" s="1650"/>
      <c r="L45" s="1653"/>
    </row>
    <row r="46" spans="1:12" ht="27.95" customHeight="1" x14ac:dyDescent="0.25">
      <c r="A46" s="1669" t="s">
        <v>534</v>
      </c>
      <c r="B46" s="1671" t="s">
        <v>1107</v>
      </c>
      <c r="C46" s="776"/>
      <c r="D46" s="1673" t="s">
        <v>536</v>
      </c>
      <c r="E46" s="1652">
        <f>'BS old'!D28</f>
        <v>0</v>
      </c>
      <c r="F46" s="1652"/>
      <c r="G46" s="1652"/>
      <c r="H46" s="771"/>
      <c r="I46" s="1649">
        <f>'BS old'!F28</f>
        <v>0</v>
      </c>
      <c r="J46" s="1650"/>
      <c r="K46" s="1651"/>
      <c r="L46" s="463"/>
    </row>
    <row r="47" spans="1:12" ht="27.95" customHeight="1" x14ac:dyDescent="0.25">
      <c r="A47" s="1669"/>
      <c r="B47" s="1671"/>
      <c r="C47" s="776"/>
      <c r="D47" s="1673"/>
      <c r="E47" s="1652">
        <f>'BS old'!E28</f>
        <v>0</v>
      </c>
      <c r="F47" s="1652"/>
      <c r="G47" s="1652"/>
      <c r="H47" s="779"/>
      <c r="I47" s="530"/>
      <c r="J47" s="1649">
        <f>'BS old'!G28</f>
        <v>0</v>
      </c>
      <c r="K47" s="1650"/>
      <c r="L47" s="1653"/>
    </row>
    <row r="48" spans="1:12" ht="27.95" customHeight="1" x14ac:dyDescent="0.25">
      <c r="A48" s="1669" t="s">
        <v>537</v>
      </c>
      <c r="B48" s="1671" t="s">
        <v>1106</v>
      </c>
      <c r="C48" s="775"/>
      <c r="D48" s="1672" t="s">
        <v>539</v>
      </c>
      <c r="E48" s="1652">
        <f>'BS old'!D29</f>
        <v>0</v>
      </c>
      <c r="F48" s="1652"/>
      <c r="G48" s="1652"/>
      <c r="H48" s="771"/>
      <c r="I48" s="1649">
        <f>'BS old'!F29</f>
        <v>0</v>
      </c>
      <c r="J48" s="1650"/>
      <c r="K48" s="1651"/>
      <c r="L48" s="463"/>
    </row>
    <row r="49" spans="1:12" ht="27.95" customHeight="1" x14ac:dyDescent="0.25">
      <c r="A49" s="1669"/>
      <c r="B49" s="1671"/>
      <c r="C49" s="776"/>
      <c r="D49" s="1673"/>
      <c r="E49" s="1652">
        <f>'BS old'!E29</f>
        <v>0</v>
      </c>
      <c r="F49" s="1652"/>
      <c r="G49" s="1652"/>
      <c r="H49" s="779"/>
      <c r="I49" s="530"/>
      <c r="J49" s="1649">
        <f>'BS old'!G29</f>
        <v>0</v>
      </c>
      <c r="K49" s="1650"/>
      <c r="L49" s="1653"/>
    </row>
    <row r="50" spans="1:12" ht="27.95" customHeight="1" x14ac:dyDescent="0.25">
      <c r="A50" s="1694" t="s">
        <v>540</v>
      </c>
      <c r="B50" s="1688" t="s">
        <v>1105</v>
      </c>
      <c r="C50" s="782"/>
      <c r="D50" s="1673" t="s">
        <v>542</v>
      </c>
      <c r="E50" s="1652">
        <f>'BS old'!D30</f>
        <v>0</v>
      </c>
      <c r="F50" s="1652"/>
      <c r="G50" s="1652"/>
      <c r="H50" s="771"/>
      <c r="I50" s="1649">
        <f>'BS old'!F30</f>
        <v>0</v>
      </c>
      <c r="J50" s="1650"/>
      <c r="K50" s="1651"/>
      <c r="L50" s="463"/>
    </row>
    <row r="51" spans="1:12" ht="27.95" customHeight="1" x14ac:dyDescent="0.25">
      <c r="A51" s="1694"/>
      <c r="B51" s="1688"/>
      <c r="C51" s="782"/>
      <c r="D51" s="1673"/>
      <c r="E51" s="1652">
        <f>'BS old'!E30</f>
        <v>0</v>
      </c>
      <c r="F51" s="1652"/>
      <c r="G51" s="1652"/>
      <c r="H51" s="779"/>
      <c r="I51" s="530"/>
      <c r="J51" s="1649">
        <f>'BS old'!G30</f>
        <v>0</v>
      </c>
      <c r="K51" s="1650"/>
      <c r="L51" s="1653"/>
    </row>
    <row r="52" spans="1:12" s="393" customFormat="1" ht="27.95" customHeight="1" x14ac:dyDescent="0.25">
      <c r="A52" s="1698" t="s">
        <v>543</v>
      </c>
      <c r="B52" s="1671" t="s">
        <v>1104</v>
      </c>
      <c r="C52" s="775"/>
      <c r="D52" s="1672" t="s">
        <v>545</v>
      </c>
      <c r="E52" s="1652">
        <f>'BS old'!D31</f>
        <v>0</v>
      </c>
      <c r="F52" s="1652"/>
      <c r="G52" s="1652"/>
      <c r="H52" s="771"/>
      <c r="I52" s="1649">
        <f>'BS old'!F31</f>
        <v>0</v>
      </c>
      <c r="J52" s="1650"/>
      <c r="K52" s="1651"/>
      <c r="L52" s="463"/>
    </row>
    <row r="53" spans="1:12" s="393" customFormat="1" ht="27.95" customHeight="1" x14ac:dyDescent="0.25">
      <c r="A53" s="1698"/>
      <c r="B53" s="1671"/>
      <c r="C53" s="776"/>
      <c r="D53" s="1673"/>
      <c r="E53" s="1652">
        <f>'BS old'!E31</f>
        <v>0</v>
      </c>
      <c r="F53" s="1652"/>
      <c r="G53" s="1652"/>
      <c r="H53" s="779"/>
      <c r="I53" s="530"/>
      <c r="J53" s="1649">
        <f>'BS old'!G31</f>
        <v>0</v>
      </c>
      <c r="K53" s="1650"/>
      <c r="L53" s="1653"/>
    </row>
    <row r="54" spans="1:12" ht="27.95" customHeight="1" x14ac:dyDescent="0.25">
      <c r="A54" s="1669" t="s">
        <v>498</v>
      </c>
      <c r="B54" s="1671" t="s">
        <v>1103</v>
      </c>
      <c r="C54" s="776"/>
      <c r="D54" s="1673" t="s">
        <v>547</v>
      </c>
      <c r="E54" s="1652">
        <f>'BS old'!D32</f>
        <v>0</v>
      </c>
      <c r="F54" s="1652"/>
      <c r="G54" s="1652"/>
      <c r="H54" s="771"/>
      <c r="I54" s="1649">
        <f>'BS old'!F32</f>
        <v>0</v>
      </c>
      <c r="J54" s="1650"/>
      <c r="K54" s="1651"/>
      <c r="L54" s="463"/>
    </row>
    <row r="55" spans="1:12" ht="27.95" customHeight="1" x14ac:dyDescent="0.25">
      <c r="A55" s="1669"/>
      <c r="B55" s="1671"/>
      <c r="C55" s="776"/>
      <c r="D55" s="1673"/>
      <c r="E55" s="1652">
        <f>'BS old'!E32</f>
        <v>0</v>
      </c>
      <c r="F55" s="1652"/>
      <c r="G55" s="1652"/>
      <c r="H55" s="779"/>
      <c r="I55" s="530"/>
      <c r="J55" s="1649">
        <f>'BS old'!G32</f>
        <v>0</v>
      </c>
      <c r="K55" s="1650"/>
      <c r="L55" s="1653"/>
    </row>
    <row r="56" spans="1:12" ht="27.95" customHeight="1" x14ac:dyDescent="0.25">
      <c r="A56" s="1669" t="s">
        <v>501</v>
      </c>
      <c r="B56" s="1671" t="s">
        <v>1102</v>
      </c>
      <c r="C56" s="775"/>
      <c r="D56" s="1672" t="s">
        <v>549</v>
      </c>
      <c r="E56" s="1652">
        <f>'BS old'!D33</f>
        <v>0</v>
      </c>
      <c r="F56" s="1652"/>
      <c r="G56" s="1652"/>
      <c r="H56" s="771"/>
      <c r="I56" s="1649">
        <f>'BS old'!F33</f>
        <v>0</v>
      </c>
      <c r="J56" s="1650"/>
      <c r="K56" s="1651"/>
      <c r="L56" s="463"/>
    </row>
    <row r="57" spans="1:12" ht="27.95" customHeight="1" x14ac:dyDescent="0.25">
      <c r="A57" s="1669"/>
      <c r="B57" s="1671"/>
      <c r="C57" s="776"/>
      <c r="D57" s="1673"/>
      <c r="E57" s="1652">
        <f>'BS old'!E33</f>
        <v>0</v>
      </c>
      <c r="F57" s="1652"/>
      <c r="G57" s="1652"/>
      <c r="H57" s="779"/>
      <c r="I57" s="530"/>
      <c r="J57" s="1649">
        <f>'BS old'!G33</f>
        <v>0</v>
      </c>
      <c r="K57" s="1650"/>
      <c r="L57" s="1653"/>
    </row>
    <row r="58" spans="1:12" ht="27.95" customHeight="1" x14ac:dyDescent="0.25">
      <c r="A58" s="1669" t="s">
        <v>504</v>
      </c>
      <c r="B58" s="1671" t="s">
        <v>1101</v>
      </c>
      <c r="C58" s="776"/>
      <c r="D58" s="1673" t="s">
        <v>551</v>
      </c>
      <c r="E58" s="1652">
        <f>'BS old'!D34</f>
        <v>0</v>
      </c>
      <c r="F58" s="1652"/>
      <c r="G58" s="1652"/>
      <c r="H58" s="771"/>
      <c r="I58" s="1649">
        <f>'BS old'!F34</f>
        <v>0</v>
      </c>
      <c r="J58" s="1650"/>
      <c r="K58" s="1651"/>
      <c r="L58" s="463"/>
    </row>
    <row r="59" spans="1:12" ht="27.95" customHeight="1" x14ac:dyDescent="0.25">
      <c r="A59" s="1669"/>
      <c r="B59" s="1671"/>
      <c r="C59" s="776"/>
      <c r="D59" s="1673"/>
      <c r="E59" s="1652">
        <f>'BS old'!E34</f>
        <v>0</v>
      </c>
      <c r="F59" s="1652"/>
      <c r="G59" s="1652"/>
      <c r="H59" s="779"/>
      <c r="I59" s="530"/>
      <c r="J59" s="1649">
        <f>'BS old'!G34</f>
        <v>0</v>
      </c>
      <c r="K59" s="1650"/>
      <c r="L59" s="1653"/>
    </row>
    <row r="60" spans="1:12" ht="27.95" customHeight="1" x14ac:dyDescent="0.25">
      <c r="A60" s="1669" t="s">
        <v>507</v>
      </c>
      <c r="B60" s="1671" t="s">
        <v>1100</v>
      </c>
      <c r="C60" s="775"/>
      <c r="D60" s="1672" t="s">
        <v>553</v>
      </c>
      <c r="E60" s="1652">
        <f>'BS old'!D35</f>
        <v>0</v>
      </c>
      <c r="F60" s="1652"/>
      <c r="G60" s="1652"/>
      <c r="H60" s="771"/>
      <c r="I60" s="1649">
        <f>'BS old'!F35</f>
        <v>0</v>
      </c>
      <c r="J60" s="1650"/>
      <c r="K60" s="1651"/>
      <c r="L60" s="463"/>
    </row>
    <row r="61" spans="1:12" ht="27.95" customHeight="1" x14ac:dyDescent="0.25">
      <c r="A61" s="1669"/>
      <c r="B61" s="1671"/>
      <c r="C61" s="776"/>
      <c r="D61" s="1673"/>
      <c r="E61" s="1652">
        <f>'BS old'!E35</f>
        <v>0</v>
      </c>
      <c r="F61" s="1652"/>
      <c r="G61" s="1652"/>
      <c r="H61" s="779"/>
      <c r="I61" s="530"/>
      <c r="J61" s="1649">
        <f>'BS old'!G35</f>
        <v>0</v>
      </c>
      <c r="K61" s="1650"/>
      <c r="L61" s="1653"/>
    </row>
    <row r="62" spans="1:12" ht="27.95" customHeight="1" x14ac:dyDescent="0.25">
      <c r="A62" s="1669" t="s">
        <v>510</v>
      </c>
      <c r="B62" s="1671" t="s">
        <v>1099</v>
      </c>
      <c r="C62" s="776"/>
      <c r="D62" s="1673" t="s">
        <v>555</v>
      </c>
      <c r="E62" s="1652">
        <f>'BS old'!D36</f>
        <v>0</v>
      </c>
      <c r="F62" s="1652"/>
      <c r="G62" s="1652"/>
      <c r="H62" s="771"/>
      <c r="I62" s="1649">
        <f>'BS old'!F36</f>
        <v>0</v>
      </c>
      <c r="J62" s="1650"/>
      <c r="K62" s="1651"/>
      <c r="L62" s="463"/>
    </row>
    <row r="63" spans="1:12" ht="27.95" customHeight="1" x14ac:dyDescent="0.25">
      <c r="A63" s="1669"/>
      <c r="B63" s="1671"/>
      <c r="C63" s="776"/>
      <c r="D63" s="1673"/>
      <c r="E63" s="1652">
        <f>'BS old'!E36</f>
        <v>0</v>
      </c>
      <c r="F63" s="1652"/>
      <c r="G63" s="1652"/>
      <c r="H63" s="779"/>
      <c r="I63" s="530"/>
      <c r="J63" s="1649">
        <f>'BS old'!G36</f>
        <v>0</v>
      </c>
      <c r="K63" s="1650"/>
      <c r="L63" s="1653"/>
    </row>
    <row r="64" spans="1:12" ht="11.25" customHeight="1" x14ac:dyDescent="0.25">
      <c r="A64" s="1666" t="s">
        <v>1029</v>
      </c>
      <c r="B64" s="1674" t="s">
        <v>1073</v>
      </c>
      <c r="C64" s="777"/>
      <c r="D64" s="1676" t="s">
        <v>1027</v>
      </c>
      <c r="E64" s="1656" t="s">
        <v>1</v>
      </c>
      <c r="F64" s="1678"/>
      <c r="G64" s="1678"/>
      <c r="H64" s="1678"/>
      <c r="I64" s="1678"/>
      <c r="J64" s="1659"/>
      <c r="K64" s="1660" t="s">
        <v>1072</v>
      </c>
      <c r="L64" s="1661"/>
    </row>
    <row r="65" spans="1:12" ht="11.25" customHeight="1" x14ac:dyDescent="0.15">
      <c r="A65" s="1667"/>
      <c r="B65" s="1675"/>
      <c r="C65" s="778"/>
      <c r="D65" s="1677"/>
      <c r="E65" s="1679">
        <v>1</v>
      </c>
      <c r="F65" s="1675" t="s">
        <v>1071</v>
      </c>
      <c r="G65" s="1675"/>
      <c r="H65" s="772"/>
      <c r="I65" s="1662" t="s">
        <v>1070</v>
      </c>
      <c r="J65" s="1663"/>
      <c r="K65" s="1656"/>
      <c r="L65" s="1657"/>
    </row>
    <row r="66" spans="1:12" ht="11.25" customHeight="1" x14ac:dyDescent="0.15">
      <c r="A66" s="1667"/>
      <c r="B66" s="1675"/>
      <c r="C66" s="778"/>
      <c r="D66" s="1677"/>
      <c r="E66" s="1679"/>
      <c r="F66" s="1675" t="s">
        <v>1069</v>
      </c>
      <c r="G66" s="1675"/>
      <c r="H66" s="773"/>
      <c r="I66" s="1691"/>
      <c r="J66" s="1692"/>
      <c r="K66" s="1689" t="s">
        <v>1068</v>
      </c>
      <c r="L66" s="1665"/>
    </row>
    <row r="67" spans="1:12" ht="27.95" customHeight="1" x14ac:dyDescent="0.25">
      <c r="A67" s="1669" t="s">
        <v>513</v>
      </c>
      <c r="B67" s="1671" t="s">
        <v>1098</v>
      </c>
      <c r="C67" s="776"/>
      <c r="D67" s="1673" t="s">
        <v>854</v>
      </c>
      <c r="E67" s="1652">
        <f>'BS old'!D37</f>
        <v>0</v>
      </c>
      <c r="F67" s="1652"/>
      <c r="G67" s="1652"/>
      <c r="H67" s="771"/>
      <c r="I67" s="1649">
        <f>'BS old'!F37</f>
        <v>0</v>
      </c>
      <c r="J67" s="1650"/>
      <c r="K67" s="1651"/>
      <c r="L67" s="463"/>
    </row>
    <row r="68" spans="1:12" ht="27.95" customHeight="1" x14ac:dyDescent="0.25">
      <c r="A68" s="1669"/>
      <c r="B68" s="1671"/>
      <c r="C68" s="776"/>
      <c r="D68" s="1673"/>
      <c r="E68" s="1652">
        <f>'BS old'!E37</f>
        <v>0</v>
      </c>
      <c r="F68" s="1652"/>
      <c r="G68" s="1652"/>
      <c r="H68" s="779"/>
      <c r="I68" s="530"/>
      <c r="J68" s="1649">
        <f>'BS old'!G37</f>
        <v>0</v>
      </c>
      <c r="K68" s="1650"/>
      <c r="L68" s="1653"/>
    </row>
    <row r="69" spans="1:12" ht="27.95" customHeight="1" x14ac:dyDescent="0.25">
      <c r="A69" s="1669" t="s">
        <v>534</v>
      </c>
      <c r="B69" s="1671" t="s">
        <v>1097</v>
      </c>
      <c r="C69" s="776"/>
      <c r="D69" s="1673" t="s">
        <v>857</v>
      </c>
      <c r="E69" s="1652">
        <f>'BS old'!D38</f>
        <v>0</v>
      </c>
      <c r="F69" s="1652"/>
      <c r="G69" s="1652"/>
      <c r="H69" s="771"/>
      <c r="I69" s="1649">
        <f>'BS old'!F38</f>
        <v>0</v>
      </c>
      <c r="J69" s="1650"/>
      <c r="K69" s="1651"/>
      <c r="L69" s="463"/>
    </row>
    <row r="70" spans="1:12" ht="27.95" customHeight="1" x14ac:dyDescent="0.25">
      <c r="A70" s="1669"/>
      <c r="B70" s="1671"/>
      <c r="C70" s="776"/>
      <c r="D70" s="1673"/>
      <c r="E70" s="1652">
        <f>'BS old'!E38</f>
        <v>0</v>
      </c>
      <c r="F70" s="1652"/>
      <c r="G70" s="1652"/>
      <c r="H70" s="779"/>
      <c r="I70" s="530"/>
      <c r="J70" s="1649">
        <f>'BS old'!G38</f>
        <v>0</v>
      </c>
      <c r="K70" s="1650"/>
      <c r="L70" s="1653"/>
    </row>
    <row r="71" spans="1:12" ht="27.95" customHeight="1" x14ac:dyDescent="0.25">
      <c r="A71" s="1681" t="s">
        <v>560</v>
      </c>
      <c r="B71" s="1688" t="s">
        <v>1096</v>
      </c>
      <c r="C71" s="782"/>
      <c r="D71" s="1673" t="s">
        <v>860</v>
      </c>
      <c r="E71" s="1652">
        <f>'BS old'!D39</f>
        <v>0</v>
      </c>
      <c r="F71" s="1652"/>
      <c r="G71" s="1652"/>
      <c r="H71" s="771"/>
      <c r="I71" s="1649">
        <f>'BS old'!F39</f>
        <v>0</v>
      </c>
      <c r="J71" s="1650"/>
      <c r="K71" s="1651"/>
      <c r="L71" s="463"/>
    </row>
    <row r="72" spans="1:12" ht="27.95" customHeight="1" x14ac:dyDescent="0.25">
      <c r="A72" s="1681"/>
      <c r="B72" s="1683"/>
      <c r="C72" s="780"/>
      <c r="D72" s="1673"/>
      <c r="E72" s="1652">
        <f>'BS old'!E39</f>
        <v>0</v>
      </c>
      <c r="F72" s="1652"/>
      <c r="G72" s="1652"/>
      <c r="H72" s="779"/>
      <c r="I72" s="530"/>
      <c r="J72" s="1649">
        <f>'BS old'!G39</f>
        <v>0</v>
      </c>
      <c r="K72" s="1650"/>
      <c r="L72" s="1653"/>
    </row>
    <row r="73" spans="1:12" s="393" customFormat="1" ht="27.95" customHeight="1" x14ac:dyDescent="0.25">
      <c r="A73" s="1694" t="s">
        <v>563</v>
      </c>
      <c r="B73" s="1688" t="s">
        <v>1095</v>
      </c>
      <c r="C73" s="782"/>
      <c r="D73" s="1673" t="s">
        <v>863</v>
      </c>
      <c r="E73" s="1652">
        <f>'BS old'!D40</f>
        <v>0</v>
      </c>
      <c r="F73" s="1652"/>
      <c r="G73" s="1652"/>
      <c r="H73" s="771"/>
      <c r="I73" s="1649">
        <f>'BS old'!F40</f>
        <v>0</v>
      </c>
      <c r="J73" s="1650"/>
      <c r="K73" s="1651"/>
      <c r="L73" s="463"/>
    </row>
    <row r="74" spans="1:12" s="393" customFormat="1" ht="27.95" customHeight="1" x14ac:dyDescent="0.25">
      <c r="A74" s="1681"/>
      <c r="B74" s="1683"/>
      <c r="C74" s="780"/>
      <c r="D74" s="1673"/>
      <c r="E74" s="1652">
        <f>'BS old'!E40</f>
        <v>0</v>
      </c>
      <c r="F74" s="1652"/>
      <c r="G74" s="1652"/>
      <c r="H74" s="779"/>
      <c r="I74" s="530"/>
      <c r="J74" s="1649">
        <f>'BS old'!G40</f>
        <v>0</v>
      </c>
      <c r="K74" s="1650"/>
      <c r="L74" s="1653"/>
    </row>
    <row r="75" spans="1:12" s="393" customFormat="1" ht="27.95" customHeight="1" x14ac:dyDescent="0.25">
      <c r="A75" s="1693" t="s">
        <v>566</v>
      </c>
      <c r="B75" s="1671" t="s">
        <v>1094</v>
      </c>
      <c r="C75" s="776"/>
      <c r="D75" s="1673" t="s">
        <v>866</v>
      </c>
      <c r="E75" s="1652">
        <f>'BS old'!D41</f>
        <v>0</v>
      </c>
      <c r="F75" s="1652"/>
      <c r="G75" s="1652"/>
      <c r="H75" s="771"/>
      <c r="I75" s="1649">
        <f>'BS old'!F41</f>
        <v>0</v>
      </c>
      <c r="J75" s="1650"/>
      <c r="K75" s="1651"/>
      <c r="L75" s="463"/>
    </row>
    <row r="76" spans="1:12" s="393" customFormat="1" ht="27.95" customHeight="1" x14ac:dyDescent="0.25">
      <c r="A76" s="1680"/>
      <c r="B76" s="1671"/>
      <c r="C76" s="776"/>
      <c r="D76" s="1673"/>
      <c r="E76" s="1652">
        <f>'BS old'!E41</f>
        <v>0</v>
      </c>
      <c r="F76" s="1652"/>
      <c r="G76" s="1652"/>
      <c r="H76" s="779"/>
      <c r="I76" s="530"/>
      <c r="J76" s="1649">
        <f>'BS old'!G41</f>
        <v>0</v>
      </c>
      <c r="K76" s="1650"/>
      <c r="L76" s="1653"/>
    </row>
    <row r="77" spans="1:12" ht="27.95" customHeight="1" x14ac:dyDescent="0.25">
      <c r="A77" s="1669" t="s">
        <v>498</v>
      </c>
      <c r="B77" s="1671" t="s">
        <v>1093</v>
      </c>
      <c r="C77" s="776"/>
      <c r="D77" s="1673" t="s">
        <v>869</v>
      </c>
      <c r="E77" s="1652">
        <f>'BS old'!D42</f>
        <v>0</v>
      </c>
      <c r="F77" s="1652"/>
      <c r="G77" s="1652"/>
      <c r="H77" s="771"/>
      <c r="I77" s="1649">
        <f>'BS old'!F42</f>
        <v>0</v>
      </c>
      <c r="J77" s="1650"/>
      <c r="K77" s="1651"/>
      <c r="L77" s="463"/>
    </row>
    <row r="78" spans="1:12" ht="27.95" customHeight="1" x14ac:dyDescent="0.25">
      <c r="A78" s="1669"/>
      <c r="B78" s="1671"/>
      <c r="C78" s="776"/>
      <c r="D78" s="1673"/>
      <c r="E78" s="1652">
        <f>'BS old'!E42</f>
        <v>0</v>
      </c>
      <c r="F78" s="1652"/>
      <c r="G78" s="1652"/>
      <c r="H78" s="779"/>
      <c r="I78" s="530"/>
      <c r="J78" s="1649">
        <f>'BS old'!G42</f>
        <v>0</v>
      </c>
      <c r="K78" s="1650"/>
      <c r="L78" s="1653"/>
    </row>
    <row r="79" spans="1:12" ht="27.95" customHeight="1" x14ac:dyDescent="0.25">
      <c r="A79" s="1669" t="s">
        <v>501</v>
      </c>
      <c r="B79" s="1671" t="s">
        <v>1092</v>
      </c>
      <c r="C79" s="776"/>
      <c r="D79" s="1673" t="s">
        <v>872</v>
      </c>
      <c r="E79" s="1652">
        <f>'BS old'!D43</f>
        <v>0</v>
      </c>
      <c r="F79" s="1652"/>
      <c r="G79" s="1652"/>
      <c r="H79" s="771"/>
      <c r="I79" s="1649">
        <f>'BS old'!F43</f>
        <v>0</v>
      </c>
      <c r="J79" s="1650"/>
      <c r="K79" s="1651"/>
      <c r="L79" s="463"/>
    </row>
    <row r="80" spans="1:12" ht="27.95" customHeight="1" x14ac:dyDescent="0.25">
      <c r="A80" s="1669"/>
      <c r="B80" s="1671"/>
      <c r="C80" s="776"/>
      <c r="D80" s="1673"/>
      <c r="E80" s="1652">
        <f>'BS old'!E43</f>
        <v>0</v>
      </c>
      <c r="F80" s="1652"/>
      <c r="G80" s="1652"/>
      <c r="H80" s="779"/>
      <c r="I80" s="530"/>
      <c r="J80" s="1649">
        <f>'BS old'!G43</f>
        <v>0</v>
      </c>
      <c r="K80" s="1650"/>
      <c r="L80" s="1653"/>
    </row>
    <row r="81" spans="1:12" ht="27.95" customHeight="1" x14ac:dyDescent="0.25">
      <c r="A81" s="1669" t="s">
        <v>504</v>
      </c>
      <c r="B81" s="1671" t="s">
        <v>1091</v>
      </c>
      <c r="C81" s="776"/>
      <c r="D81" s="1673" t="s">
        <v>875</v>
      </c>
      <c r="E81" s="1652">
        <f>'BS old'!D44</f>
        <v>0</v>
      </c>
      <c r="F81" s="1652"/>
      <c r="G81" s="1652"/>
      <c r="H81" s="771"/>
      <c r="I81" s="1649">
        <f>'BS old'!F44</f>
        <v>0</v>
      </c>
      <c r="J81" s="1650"/>
      <c r="K81" s="1651"/>
      <c r="L81" s="463"/>
    </row>
    <row r="82" spans="1:12" ht="27.95" customHeight="1" x14ac:dyDescent="0.25">
      <c r="A82" s="1669"/>
      <c r="B82" s="1671"/>
      <c r="C82" s="776"/>
      <c r="D82" s="1673"/>
      <c r="E82" s="1652">
        <f>'BS old'!E44</f>
        <v>0</v>
      </c>
      <c r="F82" s="1652"/>
      <c r="G82" s="1652"/>
      <c r="H82" s="779"/>
      <c r="I82" s="530"/>
      <c r="J82" s="1649">
        <f>'BS old'!G44</f>
        <v>0</v>
      </c>
      <c r="K82" s="1650"/>
      <c r="L82" s="1653"/>
    </row>
    <row r="83" spans="1:12" ht="27.95" customHeight="1" x14ac:dyDescent="0.25">
      <c r="A83" s="1669" t="s">
        <v>507</v>
      </c>
      <c r="B83" s="1671" t="s">
        <v>1090</v>
      </c>
      <c r="C83" s="776"/>
      <c r="D83" s="1673" t="s">
        <v>878</v>
      </c>
      <c r="E83" s="1652">
        <f>'BS old'!D45</f>
        <v>0</v>
      </c>
      <c r="F83" s="1652"/>
      <c r="G83" s="1652"/>
      <c r="H83" s="771"/>
      <c r="I83" s="1649">
        <f>'BS old'!F45</f>
        <v>0</v>
      </c>
      <c r="J83" s="1650"/>
      <c r="K83" s="1651"/>
      <c r="L83" s="463"/>
    </row>
    <row r="84" spans="1:12" ht="27.95" customHeight="1" x14ac:dyDescent="0.25">
      <c r="A84" s="1669"/>
      <c r="B84" s="1671"/>
      <c r="C84" s="776"/>
      <c r="D84" s="1673"/>
      <c r="E84" s="1652">
        <f>'BS old'!E45</f>
        <v>0</v>
      </c>
      <c r="F84" s="1652"/>
      <c r="G84" s="1652"/>
      <c r="H84" s="779"/>
      <c r="I84" s="530"/>
      <c r="J84" s="1649">
        <f>'BS old'!G45</f>
        <v>0</v>
      </c>
      <c r="K84" s="1650"/>
      <c r="L84" s="1653"/>
    </row>
    <row r="85" spans="1:12" ht="27.95" customHeight="1" x14ac:dyDescent="0.25">
      <c r="A85" s="1669" t="s">
        <v>510</v>
      </c>
      <c r="B85" s="1671" t="s">
        <v>1089</v>
      </c>
      <c r="C85" s="776"/>
      <c r="D85" s="1673" t="s">
        <v>881</v>
      </c>
      <c r="E85" s="1652">
        <f>'BS old'!D46</f>
        <v>0</v>
      </c>
      <c r="F85" s="1652"/>
      <c r="G85" s="1652"/>
      <c r="H85" s="771"/>
      <c r="I85" s="1649">
        <f>'BS old'!F46</f>
        <v>0</v>
      </c>
      <c r="J85" s="1650"/>
      <c r="K85" s="1651"/>
      <c r="L85" s="463"/>
    </row>
    <row r="86" spans="1:12" ht="27.95" customHeight="1" x14ac:dyDescent="0.25">
      <c r="A86" s="1669"/>
      <c r="B86" s="1671"/>
      <c r="C86" s="776"/>
      <c r="D86" s="1673"/>
      <c r="E86" s="1652">
        <f>'BS old'!E46</f>
        <v>0</v>
      </c>
      <c r="F86" s="1652"/>
      <c r="G86" s="1652"/>
      <c r="H86" s="779"/>
      <c r="I86" s="530"/>
      <c r="J86" s="1649">
        <f>'BS old'!G46</f>
        <v>0</v>
      </c>
      <c r="K86" s="1650"/>
      <c r="L86" s="1653"/>
    </row>
    <row r="87" spans="1:12" ht="27.95" customHeight="1" x14ac:dyDescent="0.25">
      <c r="A87" s="1694" t="s">
        <v>579</v>
      </c>
      <c r="B87" s="1683" t="s">
        <v>1088</v>
      </c>
      <c r="C87" s="780"/>
      <c r="D87" s="1673" t="s">
        <v>884</v>
      </c>
      <c r="E87" s="1652">
        <f>'BS old'!D47</f>
        <v>0</v>
      </c>
      <c r="F87" s="1652"/>
      <c r="G87" s="1652"/>
      <c r="H87" s="771"/>
      <c r="I87" s="1649">
        <f>'BS old'!F47</f>
        <v>0</v>
      </c>
      <c r="J87" s="1650"/>
      <c r="K87" s="1651"/>
      <c r="L87" s="463"/>
    </row>
    <row r="88" spans="1:12" ht="27.95" customHeight="1" x14ac:dyDescent="0.25">
      <c r="A88" s="1681"/>
      <c r="B88" s="1683"/>
      <c r="C88" s="780"/>
      <c r="D88" s="1673"/>
      <c r="E88" s="1652">
        <f>'BS old'!E47</f>
        <v>0</v>
      </c>
      <c r="F88" s="1652"/>
      <c r="G88" s="1652"/>
      <c r="H88" s="779"/>
      <c r="I88" s="530"/>
      <c r="J88" s="1649">
        <f>'BS old'!G47</f>
        <v>0</v>
      </c>
      <c r="K88" s="1650"/>
      <c r="L88" s="1653"/>
    </row>
    <row r="89" spans="1:12" s="393" customFormat="1" ht="27.95" customHeight="1" x14ac:dyDescent="0.25">
      <c r="A89" s="1693" t="s">
        <v>582</v>
      </c>
      <c r="B89" s="1671" t="s">
        <v>1087</v>
      </c>
      <c r="C89" s="776"/>
      <c r="D89" s="1673" t="s">
        <v>887</v>
      </c>
      <c r="E89" s="1652">
        <f>'BS old'!D48</f>
        <v>0</v>
      </c>
      <c r="F89" s="1652"/>
      <c r="G89" s="1652"/>
      <c r="H89" s="771"/>
      <c r="I89" s="1649">
        <f>'BS old'!F48</f>
        <v>0</v>
      </c>
      <c r="J89" s="1650"/>
      <c r="K89" s="1651"/>
      <c r="L89" s="463"/>
    </row>
    <row r="90" spans="1:12" s="393" customFormat="1" ht="27.95" customHeight="1" x14ac:dyDescent="0.25">
      <c r="A90" s="1680"/>
      <c r="B90" s="1671"/>
      <c r="C90" s="776"/>
      <c r="D90" s="1673"/>
      <c r="E90" s="1652">
        <f>'BS old'!E48</f>
        <v>0</v>
      </c>
      <c r="F90" s="1652"/>
      <c r="G90" s="1652"/>
      <c r="H90" s="779"/>
      <c r="I90" s="530"/>
      <c r="J90" s="1649">
        <f>'BS old'!G48</f>
        <v>0</v>
      </c>
      <c r="K90" s="1650"/>
      <c r="L90" s="1653"/>
    </row>
    <row r="91" spans="1:12" s="393" customFormat="1" ht="27.95" customHeight="1" x14ac:dyDescent="0.25">
      <c r="A91" s="1669" t="s">
        <v>498</v>
      </c>
      <c r="B91" s="1671" t="s">
        <v>1082</v>
      </c>
      <c r="C91" s="776"/>
      <c r="D91" s="1673" t="s">
        <v>890</v>
      </c>
      <c r="E91" s="1652">
        <f>'BS old'!D49</f>
        <v>0</v>
      </c>
      <c r="F91" s="1652"/>
      <c r="G91" s="1652"/>
      <c r="H91" s="771"/>
      <c r="I91" s="1649">
        <f>'BS old'!F49</f>
        <v>0</v>
      </c>
      <c r="J91" s="1650"/>
      <c r="K91" s="1651"/>
      <c r="L91" s="463"/>
    </row>
    <row r="92" spans="1:12" s="393" customFormat="1" ht="27.95" customHeight="1" x14ac:dyDescent="0.25">
      <c r="A92" s="1669"/>
      <c r="B92" s="1671"/>
      <c r="C92" s="776"/>
      <c r="D92" s="1673"/>
      <c r="E92" s="1652">
        <f>'BS old'!E49</f>
        <v>0</v>
      </c>
      <c r="F92" s="1652"/>
      <c r="G92" s="1652"/>
      <c r="H92" s="779"/>
      <c r="I92" s="530"/>
      <c r="J92" s="1649">
        <f>'BS old'!G49</f>
        <v>0</v>
      </c>
      <c r="K92" s="1650"/>
      <c r="L92" s="1653"/>
    </row>
    <row r="93" spans="1:12" ht="27.95" customHeight="1" x14ac:dyDescent="0.25">
      <c r="A93" s="1669" t="s">
        <v>501</v>
      </c>
      <c r="B93" s="1671" t="s">
        <v>1081</v>
      </c>
      <c r="C93" s="776"/>
      <c r="D93" s="1673" t="s">
        <v>893</v>
      </c>
      <c r="E93" s="1652">
        <f>'BS old'!D50</f>
        <v>0</v>
      </c>
      <c r="F93" s="1652"/>
      <c r="G93" s="1652"/>
      <c r="H93" s="771"/>
      <c r="I93" s="1649">
        <f>'BS old'!F50</f>
        <v>0</v>
      </c>
      <c r="J93" s="1650"/>
      <c r="K93" s="1651"/>
      <c r="L93" s="463"/>
    </row>
    <row r="94" spans="1:12" ht="27.95" customHeight="1" x14ac:dyDescent="0.25">
      <c r="A94" s="1669"/>
      <c r="B94" s="1671"/>
      <c r="C94" s="776"/>
      <c r="D94" s="1673"/>
      <c r="E94" s="1652">
        <f>'BS old'!E50</f>
        <v>0</v>
      </c>
      <c r="F94" s="1652"/>
      <c r="G94" s="1652"/>
      <c r="H94" s="779"/>
      <c r="I94" s="530"/>
      <c r="J94" s="1649">
        <f>'BS old'!G50</f>
        <v>0</v>
      </c>
      <c r="K94" s="1650"/>
      <c r="L94" s="1653"/>
    </row>
    <row r="95" spans="1:12" ht="11.25" customHeight="1" x14ac:dyDescent="0.25">
      <c r="A95" s="1666" t="s">
        <v>1029</v>
      </c>
      <c r="B95" s="1674" t="s">
        <v>1073</v>
      </c>
      <c r="C95" s="777"/>
      <c r="D95" s="1676" t="s">
        <v>1027</v>
      </c>
      <c r="E95" s="1656" t="s">
        <v>1</v>
      </c>
      <c r="F95" s="1678"/>
      <c r="G95" s="1678"/>
      <c r="H95" s="1678"/>
      <c r="I95" s="1678"/>
      <c r="J95" s="1659"/>
      <c r="K95" s="1660" t="s">
        <v>1072</v>
      </c>
      <c r="L95" s="1661"/>
    </row>
    <row r="96" spans="1:12" ht="11.25" customHeight="1" x14ac:dyDescent="0.15">
      <c r="A96" s="1667"/>
      <c r="B96" s="1675"/>
      <c r="C96" s="778"/>
      <c r="D96" s="1677"/>
      <c r="E96" s="1679">
        <v>1</v>
      </c>
      <c r="F96" s="1675" t="s">
        <v>1071</v>
      </c>
      <c r="G96" s="1675"/>
      <c r="H96" s="772"/>
      <c r="I96" s="1662" t="s">
        <v>1070</v>
      </c>
      <c r="J96" s="1663"/>
      <c r="K96" s="1656"/>
      <c r="L96" s="1657"/>
    </row>
    <row r="97" spans="1:14" ht="12" customHeight="1" x14ac:dyDescent="0.15">
      <c r="A97" s="1695"/>
      <c r="B97" s="1690"/>
      <c r="C97" s="783"/>
      <c r="D97" s="1677"/>
      <c r="E97" s="1696"/>
      <c r="F97" s="1690" t="s">
        <v>1069</v>
      </c>
      <c r="G97" s="1690"/>
      <c r="H97" s="773"/>
      <c r="I97" s="1691"/>
      <c r="J97" s="1692"/>
      <c r="K97" s="1689" t="s">
        <v>1068</v>
      </c>
      <c r="L97" s="1665"/>
    </row>
    <row r="98" spans="1:14" ht="27.95" customHeight="1" x14ac:dyDescent="0.25">
      <c r="A98" s="1669" t="s">
        <v>504</v>
      </c>
      <c r="B98" s="1671" t="s">
        <v>1080</v>
      </c>
      <c r="C98" s="775"/>
      <c r="D98" s="1672" t="s">
        <v>896</v>
      </c>
      <c r="E98" s="1652">
        <f>'BS old'!D51</f>
        <v>0</v>
      </c>
      <c r="F98" s="1652"/>
      <c r="G98" s="1652"/>
      <c r="H98" s="771"/>
      <c r="I98" s="1649">
        <f>'BS old'!F51</f>
        <v>0</v>
      </c>
      <c r="J98" s="1650"/>
      <c r="K98" s="1651"/>
      <c r="L98" s="463"/>
      <c r="N98" s="445" t="s">
        <v>985</v>
      </c>
    </row>
    <row r="99" spans="1:14" ht="27.95" customHeight="1" x14ac:dyDescent="0.25">
      <c r="A99" s="1669"/>
      <c r="B99" s="1671"/>
      <c r="C99" s="776"/>
      <c r="D99" s="1673"/>
      <c r="E99" s="1652">
        <f>'BS old'!E51</f>
        <v>0</v>
      </c>
      <c r="F99" s="1652"/>
      <c r="G99" s="1652"/>
      <c r="H99" s="779"/>
      <c r="I99" s="530"/>
      <c r="J99" s="1649">
        <f>'BS old'!G51</f>
        <v>0</v>
      </c>
      <c r="K99" s="1650"/>
      <c r="L99" s="1653"/>
    </row>
    <row r="100" spans="1:14" ht="27.95" customHeight="1" x14ac:dyDescent="0.25">
      <c r="A100" s="1669" t="s">
        <v>507</v>
      </c>
      <c r="B100" s="1671" t="s">
        <v>1086</v>
      </c>
      <c r="C100" s="776"/>
      <c r="D100" s="1673" t="s">
        <v>899</v>
      </c>
      <c r="E100" s="1652">
        <f>'BS old'!D52</f>
        <v>0</v>
      </c>
      <c r="F100" s="1652"/>
      <c r="G100" s="1652"/>
      <c r="H100" s="771"/>
      <c r="I100" s="1649">
        <f>'BS old'!F52</f>
        <v>0</v>
      </c>
      <c r="J100" s="1650"/>
      <c r="K100" s="1651"/>
      <c r="L100" s="463"/>
    </row>
    <row r="101" spans="1:14" ht="27.95" customHeight="1" x14ac:dyDescent="0.25">
      <c r="A101" s="1669"/>
      <c r="B101" s="1671"/>
      <c r="C101" s="776"/>
      <c r="D101" s="1673"/>
      <c r="E101" s="1652">
        <f>'BS old'!E52</f>
        <v>0</v>
      </c>
      <c r="F101" s="1652"/>
      <c r="G101" s="1652"/>
      <c r="H101" s="779"/>
      <c r="I101" s="530"/>
      <c r="J101" s="1649">
        <f>'BS old'!G52</f>
        <v>0</v>
      </c>
      <c r="K101" s="1650"/>
      <c r="L101" s="1653"/>
    </row>
    <row r="102" spans="1:14" ht="27.95" customHeight="1" x14ac:dyDescent="0.25">
      <c r="A102" s="1669" t="s">
        <v>510</v>
      </c>
      <c r="B102" s="1671" t="s">
        <v>1076</v>
      </c>
      <c r="C102" s="775"/>
      <c r="D102" s="1672" t="s">
        <v>902</v>
      </c>
      <c r="E102" s="1652">
        <f>'BS old'!D53</f>
        <v>0</v>
      </c>
      <c r="F102" s="1652"/>
      <c r="G102" s="1652"/>
      <c r="H102" s="771"/>
      <c r="I102" s="1649">
        <f>'BS old'!F53</f>
        <v>0</v>
      </c>
      <c r="J102" s="1650"/>
      <c r="K102" s="1651"/>
      <c r="L102" s="463"/>
    </row>
    <row r="103" spans="1:14" ht="27.95" customHeight="1" x14ac:dyDescent="0.25">
      <c r="A103" s="1669"/>
      <c r="B103" s="1671"/>
      <c r="C103" s="776"/>
      <c r="D103" s="1673"/>
      <c r="E103" s="1652">
        <f>'BS old'!E53</f>
        <v>0</v>
      </c>
      <c r="F103" s="1652"/>
      <c r="G103" s="1652"/>
      <c r="H103" s="779"/>
      <c r="I103" s="530"/>
      <c r="J103" s="1649">
        <f>'BS old'!G53</f>
        <v>0</v>
      </c>
      <c r="K103" s="1650"/>
      <c r="L103" s="1653"/>
    </row>
    <row r="104" spans="1:14" ht="27.95" customHeight="1" x14ac:dyDescent="0.25">
      <c r="A104" s="1669" t="s">
        <v>513</v>
      </c>
      <c r="B104" s="1671" t="s">
        <v>1085</v>
      </c>
      <c r="C104" s="776"/>
      <c r="D104" s="1673" t="s">
        <v>905</v>
      </c>
      <c r="E104" s="1652">
        <f>'BS old'!D54</f>
        <v>0</v>
      </c>
      <c r="F104" s="1652"/>
      <c r="G104" s="1652"/>
      <c r="H104" s="771"/>
      <c r="I104" s="1649">
        <f>'BS old'!F54</f>
        <v>0</v>
      </c>
      <c r="J104" s="1650"/>
      <c r="K104" s="1651"/>
      <c r="L104" s="463"/>
    </row>
    <row r="105" spans="1:14" ht="27.95" customHeight="1" x14ac:dyDescent="0.25">
      <c r="A105" s="1669"/>
      <c r="B105" s="1671"/>
      <c r="C105" s="776"/>
      <c r="D105" s="1673"/>
      <c r="E105" s="1652">
        <f>'BS old'!E54</f>
        <v>0</v>
      </c>
      <c r="F105" s="1652"/>
      <c r="G105" s="1652"/>
      <c r="H105" s="779"/>
      <c r="I105" s="530"/>
      <c r="J105" s="1649">
        <f>'BS old'!G54</f>
        <v>0</v>
      </c>
      <c r="K105" s="1650"/>
      <c r="L105" s="1653"/>
    </row>
    <row r="106" spans="1:14" ht="27.95" customHeight="1" x14ac:dyDescent="0.25">
      <c r="A106" s="1687" t="s">
        <v>597</v>
      </c>
      <c r="B106" s="1688" t="s">
        <v>1084</v>
      </c>
      <c r="C106" s="781"/>
      <c r="D106" s="1672" t="s">
        <v>907</v>
      </c>
      <c r="E106" s="1652">
        <f>'BS old'!D55</f>
        <v>0</v>
      </c>
      <c r="F106" s="1652"/>
      <c r="G106" s="1652"/>
      <c r="H106" s="771"/>
      <c r="I106" s="1649">
        <f>'BS old'!F55</f>
        <v>0</v>
      </c>
      <c r="J106" s="1650"/>
      <c r="K106" s="1651"/>
      <c r="L106" s="463"/>
    </row>
    <row r="107" spans="1:14" ht="27.95" customHeight="1" x14ac:dyDescent="0.25">
      <c r="A107" s="1685"/>
      <c r="B107" s="1683"/>
      <c r="C107" s="780"/>
      <c r="D107" s="1673"/>
      <c r="E107" s="1652">
        <f>'BS old'!E55</f>
        <v>0</v>
      </c>
      <c r="F107" s="1652"/>
      <c r="G107" s="1652"/>
      <c r="H107" s="779"/>
      <c r="I107" s="530"/>
      <c r="J107" s="1649">
        <f>'BS old'!G55</f>
        <v>0</v>
      </c>
      <c r="K107" s="1650"/>
      <c r="L107" s="1653"/>
    </row>
    <row r="108" spans="1:14" s="393" customFormat="1" ht="27.95" customHeight="1" x14ac:dyDescent="0.25">
      <c r="A108" s="1697" t="s">
        <v>600</v>
      </c>
      <c r="B108" s="1671" t="s">
        <v>1083</v>
      </c>
      <c r="C108" s="776"/>
      <c r="D108" s="1673" t="s">
        <v>910</v>
      </c>
      <c r="E108" s="1652">
        <f>'BS old'!D56</f>
        <v>0</v>
      </c>
      <c r="F108" s="1652"/>
      <c r="G108" s="1652"/>
      <c r="H108" s="771"/>
      <c r="I108" s="1649">
        <f>'BS old'!F56</f>
        <v>0</v>
      </c>
      <c r="J108" s="1650"/>
      <c r="K108" s="1651"/>
      <c r="L108" s="463"/>
    </row>
    <row r="109" spans="1:14" s="393" customFormat="1" ht="27.95" customHeight="1" x14ac:dyDescent="0.25">
      <c r="A109" s="1697"/>
      <c r="B109" s="1671"/>
      <c r="C109" s="776"/>
      <c r="D109" s="1673"/>
      <c r="E109" s="1652">
        <f>'BS old'!E56</f>
        <v>0</v>
      </c>
      <c r="F109" s="1652"/>
      <c r="G109" s="1652"/>
      <c r="H109" s="779"/>
      <c r="I109" s="530"/>
      <c r="J109" s="1649">
        <f>'BS old'!G56</f>
        <v>0</v>
      </c>
      <c r="K109" s="1650"/>
      <c r="L109" s="1653"/>
    </row>
    <row r="110" spans="1:14" s="393" customFormat="1" ht="27.95" customHeight="1" x14ac:dyDescent="0.25">
      <c r="A110" s="1669" t="s">
        <v>498</v>
      </c>
      <c r="B110" s="1671" t="s">
        <v>1082</v>
      </c>
      <c r="C110" s="775"/>
      <c r="D110" s="1672" t="s">
        <v>913</v>
      </c>
      <c r="E110" s="1652">
        <f>'BS old'!D57</f>
        <v>0</v>
      </c>
      <c r="F110" s="1652"/>
      <c r="G110" s="1652"/>
      <c r="H110" s="771"/>
      <c r="I110" s="1649">
        <f>'BS old'!F57</f>
        <v>0</v>
      </c>
      <c r="J110" s="1650"/>
      <c r="K110" s="1651"/>
      <c r="L110" s="463"/>
    </row>
    <row r="111" spans="1:14" s="393" customFormat="1" ht="27.95" customHeight="1" x14ac:dyDescent="0.25">
      <c r="A111" s="1669"/>
      <c r="B111" s="1671"/>
      <c r="C111" s="776"/>
      <c r="D111" s="1673"/>
      <c r="E111" s="1652">
        <f>'BS old'!E57</f>
        <v>0</v>
      </c>
      <c r="F111" s="1652"/>
      <c r="G111" s="1652"/>
      <c r="H111" s="779"/>
      <c r="I111" s="530"/>
      <c r="J111" s="1649">
        <f>'BS old'!G57</f>
        <v>0</v>
      </c>
      <c r="K111" s="1650"/>
      <c r="L111" s="1653"/>
    </row>
    <row r="112" spans="1:14" ht="27.95" customHeight="1" x14ac:dyDescent="0.25">
      <c r="A112" s="1669" t="s">
        <v>501</v>
      </c>
      <c r="B112" s="1671" t="s">
        <v>1081</v>
      </c>
      <c r="C112" s="776"/>
      <c r="D112" s="1673" t="s">
        <v>916</v>
      </c>
      <c r="E112" s="1652">
        <f>'BS old'!D58</f>
        <v>0</v>
      </c>
      <c r="F112" s="1652"/>
      <c r="G112" s="1652"/>
      <c r="H112" s="771"/>
      <c r="I112" s="1649">
        <f>'BS old'!F58</f>
        <v>0</v>
      </c>
      <c r="J112" s="1650"/>
      <c r="K112" s="1651"/>
      <c r="L112" s="463"/>
    </row>
    <row r="113" spans="1:12" ht="27.95" customHeight="1" x14ac:dyDescent="0.25">
      <c r="A113" s="1669"/>
      <c r="B113" s="1671"/>
      <c r="C113" s="776"/>
      <c r="D113" s="1673"/>
      <c r="E113" s="1652">
        <f>'BS old'!E58</f>
        <v>0</v>
      </c>
      <c r="F113" s="1652"/>
      <c r="G113" s="1652"/>
      <c r="H113" s="779"/>
      <c r="I113" s="530"/>
      <c r="J113" s="1649">
        <f>'BS old'!G58</f>
        <v>0</v>
      </c>
      <c r="K113" s="1650"/>
      <c r="L113" s="1653"/>
    </row>
    <row r="114" spans="1:12" ht="27.95" customHeight="1" x14ac:dyDescent="0.25">
      <c r="A114" s="1669" t="s">
        <v>504</v>
      </c>
      <c r="B114" s="1671" t="s">
        <v>1080</v>
      </c>
      <c r="C114" s="775"/>
      <c r="D114" s="1672" t="s">
        <v>918</v>
      </c>
      <c r="E114" s="1652">
        <f>'BS old'!D59</f>
        <v>0</v>
      </c>
      <c r="F114" s="1652"/>
      <c r="G114" s="1652"/>
      <c r="H114" s="771"/>
      <c r="I114" s="1649">
        <f>'BS old'!F59</f>
        <v>0</v>
      </c>
      <c r="J114" s="1650"/>
      <c r="K114" s="1651"/>
      <c r="L114" s="463"/>
    </row>
    <row r="115" spans="1:12" ht="27.95" customHeight="1" x14ac:dyDescent="0.25">
      <c r="A115" s="1669"/>
      <c r="B115" s="1671"/>
      <c r="C115" s="776"/>
      <c r="D115" s="1673"/>
      <c r="E115" s="1652">
        <f>'BS old'!E59</f>
        <v>0</v>
      </c>
      <c r="F115" s="1652"/>
      <c r="G115" s="1652"/>
      <c r="H115" s="779"/>
      <c r="I115" s="530"/>
      <c r="J115" s="1649">
        <f>'BS old'!G59</f>
        <v>0</v>
      </c>
      <c r="K115" s="1650"/>
      <c r="L115" s="1653"/>
    </row>
    <row r="116" spans="1:12" ht="27.95" customHeight="1" x14ac:dyDescent="0.25">
      <c r="A116" s="1669" t="s">
        <v>507</v>
      </c>
      <c r="B116" s="1671" t="s">
        <v>1079</v>
      </c>
      <c r="C116" s="776"/>
      <c r="D116" s="1673" t="s">
        <v>920</v>
      </c>
      <c r="E116" s="1652">
        <f>'BS old'!D60</f>
        <v>0</v>
      </c>
      <c r="F116" s="1652"/>
      <c r="G116" s="1652"/>
      <c r="H116" s="771"/>
      <c r="I116" s="1649">
        <f>'BS old'!F60</f>
        <v>0</v>
      </c>
      <c r="J116" s="1650"/>
      <c r="K116" s="1651"/>
      <c r="L116" s="463"/>
    </row>
    <row r="117" spans="1:12" ht="27.95" customHeight="1" x14ac:dyDescent="0.25">
      <c r="A117" s="1669"/>
      <c r="B117" s="1671"/>
      <c r="C117" s="776"/>
      <c r="D117" s="1673"/>
      <c r="E117" s="1652">
        <f>'BS old'!E60</f>
        <v>0</v>
      </c>
      <c r="F117" s="1652"/>
      <c r="G117" s="1652"/>
      <c r="H117" s="779"/>
      <c r="I117" s="530"/>
      <c r="J117" s="1649">
        <f>'BS old'!G60</f>
        <v>0</v>
      </c>
      <c r="K117" s="1650"/>
      <c r="L117" s="1653"/>
    </row>
    <row r="118" spans="1:12" ht="27.95" customHeight="1" x14ac:dyDescent="0.25">
      <c r="A118" s="1669" t="s">
        <v>510</v>
      </c>
      <c r="B118" s="1671" t="s">
        <v>1078</v>
      </c>
      <c r="C118" s="775"/>
      <c r="D118" s="1672" t="s">
        <v>923</v>
      </c>
      <c r="E118" s="1652">
        <f>'BS old'!D61</f>
        <v>0</v>
      </c>
      <c r="F118" s="1652"/>
      <c r="G118" s="1652"/>
      <c r="H118" s="771"/>
      <c r="I118" s="1649">
        <f>'BS old'!F61</f>
        <v>0</v>
      </c>
      <c r="J118" s="1650"/>
      <c r="K118" s="1651"/>
      <c r="L118" s="463"/>
    </row>
    <row r="119" spans="1:12" ht="27.95" customHeight="1" x14ac:dyDescent="0.25">
      <c r="A119" s="1669"/>
      <c r="B119" s="1671"/>
      <c r="C119" s="776"/>
      <c r="D119" s="1673"/>
      <c r="E119" s="1652">
        <f>'BS old'!E61</f>
        <v>0</v>
      </c>
      <c r="F119" s="1652"/>
      <c r="G119" s="1652"/>
      <c r="H119" s="779"/>
      <c r="I119" s="530"/>
      <c r="J119" s="1649">
        <f>'BS old'!G61</f>
        <v>0</v>
      </c>
      <c r="K119" s="1650"/>
      <c r="L119" s="1653"/>
    </row>
    <row r="120" spans="1:12" ht="27.95" customHeight="1" x14ac:dyDescent="0.25">
      <c r="A120" s="1669" t="s">
        <v>513</v>
      </c>
      <c r="B120" s="1671" t="s">
        <v>1077</v>
      </c>
      <c r="C120" s="776"/>
      <c r="D120" s="1673" t="s">
        <v>926</v>
      </c>
      <c r="E120" s="1652">
        <f>'BS old'!D62</f>
        <v>0</v>
      </c>
      <c r="F120" s="1652"/>
      <c r="G120" s="1652"/>
      <c r="H120" s="771"/>
      <c r="I120" s="1649">
        <f>'BS old'!F62</f>
        <v>0</v>
      </c>
      <c r="J120" s="1650"/>
      <c r="K120" s="1651"/>
      <c r="L120" s="463"/>
    </row>
    <row r="121" spans="1:12" ht="27.95" customHeight="1" x14ac:dyDescent="0.25">
      <c r="A121" s="1669"/>
      <c r="B121" s="1671"/>
      <c r="C121" s="776"/>
      <c r="D121" s="1673"/>
      <c r="E121" s="1652">
        <f>'BS old'!E62</f>
        <v>0</v>
      </c>
      <c r="F121" s="1652"/>
      <c r="G121" s="1652"/>
      <c r="H121" s="779"/>
      <c r="I121" s="530"/>
      <c r="J121" s="1649">
        <f>'BS old'!G62</f>
        <v>0</v>
      </c>
      <c r="K121" s="1650"/>
      <c r="L121" s="1653"/>
    </row>
    <row r="122" spans="1:12" ht="27.95" customHeight="1" x14ac:dyDescent="0.25">
      <c r="A122" s="1669" t="s">
        <v>534</v>
      </c>
      <c r="B122" s="1671" t="s">
        <v>1076</v>
      </c>
      <c r="C122" s="775"/>
      <c r="D122" s="1672" t="s">
        <v>928</v>
      </c>
      <c r="E122" s="1652">
        <f>'BS old'!D63</f>
        <v>0</v>
      </c>
      <c r="F122" s="1652"/>
      <c r="G122" s="1652"/>
      <c r="H122" s="771"/>
      <c r="I122" s="1649">
        <f>'BS old'!F63</f>
        <v>0</v>
      </c>
      <c r="J122" s="1650"/>
      <c r="K122" s="1651"/>
      <c r="L122" s="463"/>
    </row>
    <row r="123" spans="1:12" ht="27.95" customHeight="1" x14ac:dyDescent="0.25">
      <c r="A123" s="1669"/>
      <c r="B123" s="1671"/>
      <c r="C123" s="776"/>
      <c r="D123" s="1673"/>
      <c r="E123" s="1652">
        <f>'BS old'!E63</f>
        <v>0</v>
      </c>
      <c r="F123" s="1652"/>
      <c r="G123" s="1652"/>
      <c r="H123" s="779"/>
      <c r="I123" s="530"/>
      <c r="J123" s="1649">
        <f>'BS old'!G63</f>
        <v>0</v>
      </c>
      <c r="K123" s="1650"/>
      <c r="L123" s="1653"/>
    </row>
    <row r="124" spans="1:12" ht="27.95" customHeight="1" x14ac:dyDescent="0.25">
      <c r="A124" s="1684" t="s">
        <v>615</v>
      </c>
      <c r="B124" s="1682" t="s">
        <v>1075</v>
      </c>
      <c r="C124" s="781"/>
      <c r="D124" s="1673" t="s">
        <v>931</v>
      </c>
      <c r="E124" s="1652">
        <f>'BS old'!D64</f>
        <v>0</v>
      </c>
      <c r="F124" s="1652"/>
      <c r="G124" s="1652"/>
      <c r="H124" s="771"/>
      <c r="I124" s="1649">
        <f>'BS old'!F64</f>
        <v>0</v>
      </c>
      <c r="J124" s="1650"/>
      <c r="K124" s="1651"/>
      <c r="L124" s="463"/>
    </row>
    <row r="125" spans="1:12" ht="27.95" customHeight="1" x14ac:dyDescent="0.25">
      <c r="A125" s="1685"/>
      <c r="B125" s="1683"/>
      <c r="C125" s="780"/>
      <c r="D125" s="1673"/>
      <c r="E125" s="1652">
        <f>'BS old'!E64</f>
        <v>0</v>
      </c>
      <c r="F125" s="1652"/>
      <c r="G125" s="1652"/>
      <c r="H125" s="779"/>
      <c r="I125" s="530"/>
      <c r="J125" s="1649">
        <f>'BS old'!G64</f>
        <v>0</v>
      </c>
      <c r="K125" s="1650"/>
      <c r="L125" s="1653"/>
    </row>
    <row r="126" spans="1:12" s="393" customFormat="1" ht="27.95" customHeight="1" x14ac:dyDescent="0.25">
      <c r="A126" s="1680" t="s">
        <v>618</v>
      </c>
      <c r="B126" s="1671" t="s">
        <v>1074</v>
      </c>
      <c r="C126" s="775"/>
      <c r="D126" s="1672" t="s">
        <v>934</v>
      </c>
      <c r="E126" s="1652">
        <f>'BS old'!D65</f>
        <v>0</v>
      </c>
      <c r="F126" s="1652"/>
      <c r="G126" s="1652"/>
      <c r="H126" s="771"/>
      <c r="I126" s="1649">
        <f>'BS old'!F65</f>
        <v>0</v>
      </c>
      <c r="J126" s="1650"/>
      <c r="K126" s="1651"/>
      <c r="L126" s="463"/>
    </row>
    <row r="127" spans="1:12" s="393" customFormat="1" ht="27.95" customHeight="1" x14ac:dyDescent="0.25">
      <c r="A127" s="1680"/>
      <c r="B127" s="1671"/>
      <c r="C127" s="776"/>
      <c r="D127" s="1673"/>
      <c r="E127" s="1652">
        <f>'BS old'!E65</f>
        <v>0</v>
      </c>
      <c r="F127" s="1652"/>
      <c r="G127" s="1652"/>
      <c r="H127" s="779"/>
      <c r="I127" s="530"/>
      <c r="J127" s="1649">
        <f>'BS old'!G65</f>
        <v>0</v>
      </c>
      <c r="K127" s="1650"/>
      <c r="L127" s="1653"/>
    </row>
    <row r="128" spans="1:12" ht="11.25" customHeight="1" x14ac:dyDescent="0.25">
      <c r="A128" s="1666" t="s">
        <v>1029</v>
      </c>
      <c r="B128" s="1674" t="s">
        <v>1073</v>
      </c>
      <c r="C128" s="777"/>
      <c r="D128" s="1676" t="s">
        <v>1027</v>
      </c>
      <c r="E128" s="1656" t="s">
        <v>1</v>
      </c>
      <c r="F128" s="1678"/>
      <c r="G128" s="1678"/>
      <c r="H128" s="1678"/>
      <c r="I128" s="1678"/>
      <c r="J128" s="1659"/>
      <c r="K128" s="1660" t="s">
        <v>1072</v>
      </c>
      <c r="L128" s="1661"/>
    </row>
    <row r="129" spans="1:12" ht="11.25" customHeight="1" x14ac:dyDescent="0.15">
      <c r="A129" s="1667"/>
      <c r="B129" s="1675"/>
      <c r="C129" s="778"/>
      <c r="D129" s="1677"/>
      <c r="E129" s="1679">
        <v>1</v>
      </c>
      <c r="F129" s="1675" t="s">
        <v>1071</v>
      </c>
      <c r="G129" s="1675"/>
      <c r="H129" s="772"/>
      <c r="I129" s="1662" t="s">
        <v>1070</v>
      </c>
      <c r="J129" s="1663"/>
      <c r="K129" s="1656"/>
      <c r="L129" s="1657"/>
    </row>
    <row r="130" spans="1:12" ht="11.25" customHeight="1" x14ac:dyDescent="0.15">
      <c r="A130" s="1667"/>
      <c r="B130" s="1675"/>
      <c r="C130" s="778"/>
      <c r="D130" s="1677"/>
      <c r="E130" s="1679"/>
      <c r="F130" s="1675" t="s">
        <v>1069</v>
      </c>
      <c r="G130" s="1675"/>
      <c r="H130" s="772"/>
      <c r="I130" s="1662"/>
      <c r="J130" s="1663"/>
      <c r="K130" s="1664" t="s">
        <v>1068</v>
      </c>
      <c r="L130" s="1665"/>
    </row>
    <row r="131" spans="1:12" s="462" customFormat="1" ht="27.95" customHeight="1" x14ac:dyDescent="0.25">
      <c r="A131" s="1669" t="s">
        <v>498</v>
      </c>
      <c r="B131" s="1671" t="s">
        <v>1067</v>
      </c>
      <c r="C131" s="776"/>
      <c r="D131" s="1673" t="s">
        <v>622</v>
      </c>
      <c r="E131" s="1652">
        <f>'BS old'!D66</f>
        <v>0</v>
      </c>
      <c r="F131" s="1652"/>
      <c r="G131" s="1652"/>
      <c r="H131" s="771"/>
      <c r="I131" s="1649">
        <f>'BS old'!F66</f>
        <v>0</v>
      </c>
      <c r="J131" s="1650"/>
      <c r="K131" s="1651"/>
      <c r="L131" s="463"/>
    </row>
    <row r="132" spans="1:12" s="462" customFormat="1" ht="27.95" customHeight="1" x14ac:dyDescent="0.25">
      <c r="A132" s="1669"/>
      <c r="B132" s="1671"/>
      <c r="C132" s="776"/>
      <c r="D132" s="1673"/>
      <c r="E132" s="1652">
        <f>'BS old'!E66</f>
        <v>0</v>
      </c>
      <c r="F132" s="1652"/>
      <c r="G132" s="1652"/>
      <c r="H132" s="779"/>
      <c r="I132" s="530"/>
      <c r="J132" s="1649">
        <f>'BS old'!G66</f>
        <v>0</v>
      </c>
      <c r="K132" s="1650"/>
      <c r="L132" s="1653"/>
    </row>
    <row r="133" spans="1:12" s="462" customFormat="1" ht="27.95" customHeight="1" x14ac:dyDescent="0.25">
      <c r="A133" s="1669" t="s">
        <v>501</v>
      </c>
      <c r="B133" s="1671" t="s">
        <v>1066</v>
      </c>
      <c r="C133" s="776"/>
      <c r="D133" s="1673" t="s">
        <v>624</v>
      </c>
      <c r="E133" s="1652">
        <f>'BS old'!D67</f>
        <v>0</v>
      </c>
      <c r="F133" s="1652"/>
      <c r="G133" s="1652"/>
      <c r="H133" s="771"/>
      <c r="I133" s="1649">
        <f>'BS old'!F67</f>
        <v>0</v>
      </c>
      <c r="J133" s="1650"/>
      <c r="K133" s="1651"/>
      <c r="L133" s="463"/>
    </row>
    <row r="134" spans="1:12" ht="27.95" customHeight="1" x14ac:dyDescent="0.25">
      <c r="A134" s="1669"/>
      <c r="B134" s="1671"/>
      <c r="C134" s="776"/>
      <c r="D134" s="1673"/>
      <c r="E134" s="1652">
        <f>'BS old'!E67</f>
        <v>0</v>
      </c>
      <c r="F134" s="1652"/>
      <c r="G134" s="1652"/>
      <c r="H134" s="779"/>
      <c r="I134" s="530"/>
      <c r="J134" s="1649">
        <f>'BS old'!G67</f>
        <v>0</v>
      </c>
      <c r="K134" s="1650"/>
      <c r="L134" s="1653"/>
    </row>
    <row r="135" spans="1:12" ht="27.95" customHeight="1" x14ac:dyDescent="0.25">
      <c r="A135" s="1669" t="s">
        <v>504</v>
      </c>
      <c r="B135" s="1671" t="s">
        <v>1065</v>
      </c>
      <c r="C135" s="776"/>
      <c r="D135" s="1673" t="s">
        <v>626</v>
      </c>
      <c r="E135" s="1652">
        <f>'BS old'!D68</f>
        <v>0</v>
      </c>
      <c r="F135" s="1652"/>
      <c r="G135" s="1652"/>
      <c r="H135" s="771"/>
      <c r="I135" s="1649">
        <f>'BS old'!F68</f>
        <v>0</v>
      </c>
      <c r="J135" s="1650"/>
      <c r="K135" s="1651"/>
      <c r="L135" s="463"/>
    </row>
    <row r="136" spans="1:12" ht="27.95" customHeight="1" x14ac:dyDescent="0.25">
      <c r="A136" s="1669"/>
      <c r="B136" s="1671"/>
      <c r="C136" s="776"/>
      <c r="D136" s="1673"/>
      <c r="E136" s="1652">
        <f>'BS old'!E68</f>
        <v>0</v>
      </c>
      <c r="F136" s="1652"/>
      <c r="G136" s="1652"/>
      <c r="H136" s="779"/>
      <c r="I136" s="530"/>
      <c r="J136" s="1649">
        <f>'BS old'!G68</f>
        <v>0</v>
      </c>
      <c r="K136" s="1650"/>
      <c r="L136" s="1653"/>
    </row>
    <row r="137" spans="1:12" ht="27.95" customHeight="1" x14ac:dyDescent="0.25">
      <c r="A137" s="1669" t="s">
        <v>507</v>
      </c>
      <c r="B137" s="1671" t="s">
        <v>1064</v>
      </c>
      <c r="C137" s="776"/>
      <c r="D137" s="1673" t="s">
        <v>628</v>
      </c>
      <c r="E137" s="1652">
        <f>'BS old'!D69</f>
        <v>0</v>
      </c>
      <c r="F137" s="1652"/>
      <c r="G137" s="1652"/>
      <c r="H137" s="771"/>
      <c r="I137" s="1649">
        <f>'BS old'!F69</f>
        <v>0</v>
      </c>
      <c r="J137" s="1650"/>
      <c r="K137" s="1651"/>
      <c r="L137" s="463"/>
    </row>
    <row r="138" spans="1:12" ht="27.95" customHeight="1" x14ac:dyDescent="0.25">
      <c r="A138" s="1669"/>
      <c r="B138" s="1671"/>
      <c r="C138" s="776"/>
      <c r="D138" s="1673"/>
      <c r="E138" s="1652">
        <f>'BS old'!E69</f>
        <v>0</v>
      </c>
      <c r="F138" s="1652"/>
      <c r="G138" s="1652"/>
      <c r="H138" s="779"/>
      <c r="I138" s="530"/>
      <c r="J138" s="1649">
        <f>'BS old'!G69</f>
        <v>0</v>
      </c>
      <c r="K138" s="1650"/>
      <c r="L138" s="1653"/>
    </row>
    <row r="139" spans="1:12" ht="27.95" customHeight="1" x14ac:dyDescent="0.25">
      <c r="A139" s="1681" t="s">
        <v>629</v>
      </c>
      <c r="B139" s="1683" t="s">
        <v>1063</v>
      </c>
      <c r="C139" s="780"/>
      <c r="D139" s="1686" t="s">
        <v>631</v>
      </c>
      <c r="E139" s="1652">
        <f>'BS old'!D70</f>
        <v>0</v>
      </c>
      <c r="F139" s="1652"/>
      <c r="G139" s="1652"/>
      <c r="H139" s="771"/>
      <c r="I139" s="1649">
        <f>'BS old'!F70</f>
        <v>0</v>
      </c>
      <c r="J139" s="1650"/>
      <c r="K139" s="1651"/>
      <c r="L139" s="463"/>
    </row>
    <row r="140" spans="1:12" ht="27.95" customHeight="1" x14ac:dyDescent="0.25">
      <c r="A140" s="1681"/>
      <c r="B140" s="1683"/>
      <c r="C140" s="780"/>
      <c r="D140" s="1686"/>
      <c r="E140" s="1652">
        <f>'BS old'!E70</f>
        <v>0</v>
      </c>
      <c r="F140" s="1652"/>
      <c r="G140" s="1652"/>
      <c r="H140" s="779"/>
      <c r="I140" s="530"/>
      <c r="J140" s="1649">
        <f>'BS old'!G70</f>
        <v>0</v>
      </c>
      <c r="K140" s="1650"/>
      <c r="L140" s="1653"/>
    </row>
    <row r="141" spans="1:12" ht="27.95" customHeight="1" x14ac:dyDescent="0.25">
      <c r="A141" s="1680" t="s">
        <v>632</v>
      </c>
      <c r="B141" s="1671" t="s">
        <v>1062</v>
      </c>
      <c r="C141" s="776"/>
      <c r="D141" s="1673" t="s">
        <v>634</v>
      </c>
      <c r="E141" s="1652">
        <f>'BS old'!D71</f>
        <v>0</v>
      </c>
      <c r="F141" s="1652"/>
      <c r="G141" s="1652"/>
      <c r="H141" s="771"/>
      <c r="I141" s="1649">
        <f>'BS old'!F71</f>
        <v>0</v>
      </c>
      <c r="J141" s="1650"/>
      <c r="K141" s="1651"/>
      <c r="L141" s="463"/>
    </row>
    <row r="142" spans="1:12" ht="27.95" customHeight="1" x14ac:dyDescent="0.25">
      <c r="A142" s="1680"/>
      <c r="B142" s="1671"/>
      <c r="C142" s="776"/>
      <c r="D142" s="1673"/>
      <c r="E142" s="1652">
        <f>'BS old'!E71</f>
        <v>0</v>
      </c>
      <c r="F142" s="1652"/>
      <c r="G142" s="1652"/>
      <c r="H142" s="779"/>
      <c r="I142" s="530"/>
      <c r="J142" s="1649">
        <f>'BS old'!G71</f>
        <v>0</v>
      </c>
      <c r="K142" s="1650"/>
      <c r="L142" s="1653"/>
    </row>
    <row r="143" spans="1:12" ht="27.95" customHeight="1" x14ac:dyDescent="0.25">
      <c r="A143" s="1669" t="s">
        <v>498</v>
      </c>
      <c r="B143" s="1671" t="s">
        <v>1061</v>
      </c>
      <c r="C143" s="776"/>
      <c r="D143" s="1673" t="s">
        <v>636</v>
      </c>
      <c r="E143" s="1652">
        <f>'BS old'!D72</f>
        <v>0</v>
      </c>
      <c r="F143" s="1652"/>
      <c r="G143" s="1652"/>
      <c r="H143" s="771"/>
      <c r="I143" s="1649">
        <f>'BS old'!F72</f>
        <v>0</v>
      </c>
      <c r="J143" s="1650"/>
      <c r="K143" s="1651"/>
      <c r="L143" s="463"/>
    </row>
    <row r="144" spans="1:12" s="393" customFormat="1" ht="27.95" customHeight="1" x14ac:dyDescent="0.25">
      <c r="A144" s="1669"/>
      <c r="B144" s="1671"/>
      <c r="C144" s="776"/>
      <c r="D144" s="1673"/>
      <c r="E144" s="1652">
        <f>'BS old'!E72</f>
        <v>0</v>
      </c>
      <c r="F144" s="1652"/>
      <c r="G144" s="1652"/>
      <c r="H144" s="779"/>
      <c r="I144" s="530"/>
      <c r="J144" s="1649">
        <f>'BS old'!G72</f>
        <v>0</v>
      </c>
      <c r="K144" s="1650"/>
      <c r="L144" s="1653"/>
    </row>
    <row r="145" spans="1:12" s="393" customFormat="1" ht="27.95" customHeight="1" x14ac:dyDescent="0.25">
      <c r="A145" s="1669" t="s">
        <v>501</v>
      </c>
      <c r="B145" s="1671" t="s">
        <v>1060</v>
      </c>
      <c r="C145" s="776"/>
      <c r="D145" s="1673" t="s">
        <v>638</v>
      </c>
      <c r="E145" s="1652">
        <f>'BS old'!D73</f>
        <v>0</v>
      </c>
      <c r="F145" s="1652"/>
      <c r="G145" s="1652"/>
      <c r="H145" s="771"/>
      <c r="I145" s="1649">
        <f>'BS old'!F73</f>
        <v>0</v>
      </c>
      <c r="J145" s="1650"/>
      <c r="K145" s="1651"/>
      <c r="L145" s="463"/>
    </row>
    <row r="146" spans="1:12" ht="27.95" customHeight="1" x14ac:dyDescent="0.25">
      <c r="A146" s="1669"/>
      <c r="B146" s="1671"/>
      <c r="C146" s="776"/>
      <c r="D146" s="1673"/>
      <c r="E146" s="1652">
        <f>'BS old'!E73</f>
        <v>0</v>
      </c>
      <c r="F146" s="1652"/>
      <c r="G146" s="1652"/>
      <c r="H146" s="779"/>
      <c r="I146" s="530"/>
      <c r="J146" s="1649">
        <f>'BS old'!G73</f>
        <v>0</v>
      </c>
      <c r="K146" s="1650"/>
      <c r="L146" s="1653"/>
    </row>
    <row r="147" spans="1:12" ht="27.95" customHeight="1" x14ac:dyDescent="0.25">
      <c r="A147" s="1669" t="s">
        <v>504</v>
      </c>
      <c r="B147" s="1671" t="s">
        <v>1059</v>
      </c>
      <c r="C147" s="776"/>
      <c r="D147" s="1673" t="s">
        <v>640</v>
      </c>
      <c r="E147" s="1652">
        <f>'BS old'!D74</f>
        <v>0</v>
      </c>
      <c r="F147" s="1652"/>
      <c r="G147" s="1652"/>
      <c r="H147" s="771"/>
      <c r="I147" s="1649">
        <f>'BS old'!F74</f>
        <v>0</v>
      </c>
      <c r="J147" s="1650"/>
      <c r="K147" s="1651"/>
      <c r="L147" s="463"/>
    </row>
    <row r="148" spans="1:12" s="458" customFormat="1" ht="27.95" customHeight="1" x14ac:dyDescent="0.2">
      <c r="A148" s="1669"/>
      <c r="B148" s="1671"/>
      <c r="C148" s="776"/>
      <c r="D148" s="1673"/>
      <c r="E148" s="1652">
        <f>'BS old'!E74</f>
        <v>0</v>
      </c>
      <c r="F148" s="1652"/>
      <c r="G148" s="1652"/>
      <c r="H148" s="779"/>
      <c r="I148" s="530"/>
      <c r="J148" s="1649">
        <f>'BS old'!G74</f>
        <v>0</v>
      </c>
      <c r="K148" s="1650"/>
      <c r="L148" s="1653"/>
    </row>
    <row r="149" spans="1:12" s="458" customFormat="1" ht="30" customHeight="1" x14ac:dyDescent="0.2">
      <c r="A149" s="461" t="s">
        <v>1029</v>
      </c>
      <c r="B149" s="1656" t="s">
        <v>1028</v>
      </c>
      <c r="C149" s="1678"/>
      <c r="D149" s="1678"/>
      <c r="E149" s="1678"/>
      <c r="F149" s="1659"/>
      <c r="G149" s="460" t="s">
        <v>1027</v>
      </c>
      <c r="H149" s="906"/>
      <c r="I149" s="1656" t="s">
        <v>1026</v>
      </c>
      <c r="J149" s="1659"/>
      <c r="K149" s="1656" t="s">
        <v>1025</v>
      </c>
      <c r="L149" s="1657"/>
    </row>
    <row r="150" spans="1:12" s="458" customFormat="1" ht="27.75" customHeight="1" x14ac:dyDescent="0.2">
      <c r="A150" s="459"/>
      <c r="B150" s="1683" t="s">
        <v>1058</v>
      </c>
      <c r="C150" s="1683"/>
      <c r="D150" s="1711"/>
      <c r="E150" s="1711"/>
      <c r="F150" s="1711"/>
      <c r="G150" s="456" t="s">
        <v>647</v>
      </c>
      <c r="H150" s="907"/>
      <c r="I150" s="1649">
        <f>'BS old'!D81</f>
        <v>0</v>
      </c>
      <c r="J150" s="1651"/>
      <c r="K150" s="1649">
        <f>'BS old'!E81</f>
        <v>0</v>
      </c>
      <c r="L150" s="1653"/>
    </row>
    <row r="151" spans="1:12" s="458" customFormat="1" ht="27.75" customHeight="1" x14ac:dyDescent="0.2">
      <c r="A151" s="450" t="s">
        <v>489</v>
      </c>
      <c r="B151" s="1683" t="s">
        <v>1057</v>
      </c>
      <c r="C151" s="1683"/>
      <c r="D151" s="1711"/>
      <c r="E151" s="1711"/>
      <c r="F151" s="1711"/>
      <c r="G151" s="456" t="s">
        <v>649</v>
      </c>
      <c r="H151" s="907"/>
      <c r="I151" s="1649">
        <f>'BS old'!D82</f>
        <v>0</v>
      </c>
      <c r="J151" s="1651"/>
      <c r="K151" s="1649">
        <f>'BS old'!E82</f>
        <v>0</v>
      </c>
      <c r="L151" s="1653"/>
    </row>
    <row r="152" spans="1:12" ht="27.75" customHeight="1" x14ac:dyDescent="0.25">
      <c r="A152" s="450" t="s">
        <v>492</v>
      </c>
      <c r="B152" s="1683" t="s">
        <v>1056</v>
      </c>
      <c r="C152" s="1683"/>
      <c r="D152" s="1711"/>
      <c r="E152" s="1711"/>
      <c r="F152" s="1711"/>
      <c r="G152" s="456" t="s">
        <v>651</v>
      </c>
      <c r="H152" s="907"/>
      <c r="I152" s="1649">
        <f>'BS old'!D83</f>
        <v>0</v>
      </c>
      <c r="J152" s="1651"/>
      <c r="K152" s="1649">
        <f>'BS old'!E83</f>
        <v>0</v>
      </c>
      <c r="L152" s="1653"/>
    </row>
    <row r="153" spans="1:12" s="393" customFormat="1" ht="27.75" customHeight="1" x14ac:dyDescent="0.25">
      <c r="A153" s="449" t="s">
        <v>495</v>
      </c>
      <c r="B153" s="1671" t="s">
        <v>1055</v>
      </c>
      <c r="C153" s="1671"/>
      <c r="D153" s="1710"/>
      <c r="E153" s="1710"/>
      <c r="F153" s="1710"/>
      <c r="G153" s="446" t="s">
        <v>653</v>
      </c>
      <c r="H153" s="908"/>
      <c r="I153" s="1649">
        <f>'BS old'!D84</f>
        <v>0</v>
      </c>
      <c r="J153" s="1651"/>
      <c r="K153" s="1649">
        <f>'BS old'!E84</f>
        <v>0</v>
      </c>
      <c r="L153" s="1653"/>
    </row>
    <row r="154" spans="1:12" s="393" customFormat="1" ht="27.75" customHeight="1" x14ac:dyDescent="0.25">
      <c r="A154" s="448" t="s">
        <v>498</v>
      </c>
      <c r="B154" s="1671" t="s">
        <v>1054</v>
      </c>
      <c r="C154" s="1671"/>
      <c r="D154" s="1710"/>
      <c r="E154" s="1710"/>
      <c r="F154" s="1710"/>
      <c r="G154" s="446" t="s">
        <v>655</v>
      </c>
      <c r="H154" s="908"/>
      <c r="I154" s="1649">
        <f>'BS old'!D85</f>
        <v>0</v>
      </c>
      <c r="J154" s="1651"/>
      <c r="K154" s="1649">
        <f>'BS old'!E85</f>
        <v>0</v>
      </c>
      <c r="L154" s="1653"/>
    </row>
    <row r="155" spans="1:12" s="393" customFormat="1" ht="27.75" customHeight="1" x14ac:dyDescent="0.25">
      <c r="A155" s="448" t="s">
        <v>501</v>
      </c>
      <c r="B155" s="1671" t="s">
        <v>1053</v>
      </c>
      <c r="C155" s="1671"/>
      <c r="D155" s="1710"/>
      <c r="E155" s="1710"/>
      <c r="F155" s="1710"/>
      <c r="G155" s="446" t="s">
        <v>657</v>
      </c>
      <c r="H155" s="908"/>
      <c r="I155" s="1649">
        <f>'BS old'!D86</f>
        <v>0</v>
      </c>
      <c r="J155" s="1651"/>
      <c r="K155" s="1649">
        <f>'BS old'!E86</f>
        <v>0</v>
      </c>
      <c r="L155" s="1653"/>
    </row>
    <row r="156" spans="1:12" ht="27.75" customHeight="1" x14ac:dyDescent="0.25">
      <c r="A156" s="448" t="s">
        <v>504</v>
      </c>
      <c r="B156" s="1671" t="s">
        <v>1052</v>
      </c>
      <c r="C156" s="1671"/>
      <c r="D156" s="1710"/>
      <c r="E156" s="1710"/>
      <c r="F156" s="1710"/>
      <c r="G156" s="446" t="s">
        <v>659</v>
      </c>
      <c r="H156" s="908"/>
      <c r="I156" s="1649">
        <f>'BS old'!D87</f>
        <v>0</v>
      </c>
      <c r="J156" s="1651"/>
      <c r="K156" s="1649">
        <f>'BS old'!E87</f>
        <v>0</v>
      </c>
      <c r="L156" s="1653"/>
    </row>
    <row r="157" spans="1:12" ht="27.75" customHeight="1" x14ac:dyDescent="0.25">
      <c r="A157" s="450" t="s">
        <v>516</v>
      </c>
      <c r="B157" s="1683" t="s">
        <v>1051</v>
      </c>
      <c r="C157" s="1683"/>
      <c r="D157" s="1711"/>
      <c r="E157" s="1711"/>
      <c r="F157" s="1711"/>
      <c r="G157" s="456" t="s">
        <v>661</v>
      </c>
      <c r="H157" s="907"/>
      <c r="I157" s="1649">
        <f>'BS old'!D88</f>
        <v>0</v>
      </c>
      <c r="J157" s="1651"/>
      <c r="K157" s="1649">
        <f>'BS old'!E88</f>
        <v>0</v>
      </c>
      <c r="L157" s="1653"/>
    </row>
    <row r="158" spans="1:12" ht="27.75" customHeight="1" x14ac:dyDescent="0.25">
      <c r="A158" s="449" t="s">
        <v>519</v>
      </c>
      <c r="B158" s="1671" t="s">
        <v>1050</v>
      </c>
      <c r="C158" s="1671"/>
      <c r="D158" s="1710"/>
      <c r="E158" s="1710"/>
      <c r="F158" s="1710"/>
      <c r="G158" s="446" t="s">
        <v>663</v>
      </c>
      <c r="H158" s="908"/>
      <c r="I158" s="1649">
        <f>'BS old'!D89</f>
        <v>0</v>
      </c>
      <c r="J158" s="1651"/>
      <c r="K158" s="1649">
        <f>'BS old'!E89</f>
        <v>0</v>
      </c>
      <c r="L158" s="1653"/>
    </row>
    <row r="159" spans="1:12" ht="27.75" customHeight="1" x14ac:dyDescent="0.25">
      <c r="A159" s="448" t="s">
        <v>498</v>
      </c>
      <c r="B159" s="1671" t="s">
        <v>1049</v>
      </c>
      <c r="C159" s="1671"/>
      <c r="D159" s="1710"/>
      <c r="E159" s="1710"/>
      <c r="F159" s="1710"/>
      <c r="G159" s="446" t="s">
        <v>665</v>
      </c>
      <c r="H159" s="908"/>
      <c r="I159" s="1649">
        <f>'BS old'!D90</f>
        <v>0</v>
      </c>
      <c r="J159" s="1651"/>
      <c r="K159" s="1649">
        <f>'BS old'!E90</f>
        <v>0</v>
      </c>
      <c r="L159" s="1653"/>
    </row>
    <row r="160" spans="1:12" s="393" customFormat="1" ht="27.75" customHeight="1" x14ac:dyDescent="0.25">
      <c r="A160" s="448" t="s">
        <v>501</v>
      </c>
      <c r="B160" s="1671" t="s">
        <v>1048</v>
      </c>
      <c r="C160" s="1671"/>
      <c r="D160" s="1710"/>
      <c r="E160" s="1710"/>
      <c r="F160" s="1710"/>
      <c r="G160" s="446" t="s">
        <v>667</v>
      </c>
      <c r="H160" s="908"/>
      <c r="I160" s="1649">
        <f>'BS old'!D91</f>
        <v>0</v>
      </c>
      <c r="J160" s="1651"/>
      <c r="K160" s="1649">
        <f>'BS old'!E91</f>
        <v>0</v>
      </c>
      <c r="L160" s="1653"/>
    </row>
    <row r="161" spans="1:12" ht="27.75" customHeight="1" x14ac:dyDescent="0.25">
      <c r="A161" s="448" t="s">
        <v>504</v>
      </c>
      <c r="B161" s="1671" t="s">
        <v>1047</v>
      </c>
      <c r="C161" s="1671"/>
      <c r="D161" s="1710"/>
      <c r="E161" s="1710"/>
      <c r="F161" s="1710"/>
      <c r="G161" s="446" t="s">
        <v>669</v>
      </c>
      <c r="H161" s="908"/>
      <c r="I161" s="1649">
        <f>'BS old'!D92</f>
        <v>0</v>
      </c>
      <c r="J161" s="1651"/>
      <c r="K161" s="1649">
        <f>'BS old'!E92</f>
        <v>0</v>
      </c>
      <c r="L161" s="1653"/>
    </row>
    <row r="162" spans="1:12" ht="27.75" customHeight="1" x14ac:dyDescent="0.25">
      <c r="A162" s="448" t="s">
        <v>507</v>
      </c>
      <c r="B162" s="1671" t="s">
        <v>1046</v>
      </c>
      <c r="C162" s="1671"/>
      <c r="D162" s="1710"/>
      <c r="E162" s="1710"/>
      <c r="F162" s="1710"/>
      <c r="G162" s="446" t="s">
        <v>671</v>
      </c>
      <c r="H162" s="908"/>
      <c r="I162" s="1649">
        <f>'BS old'!D93</f>
        <v>0</v>
      </c>
      <c r="J162" s="1651"/>
      <c r="K162" s="1649">
        <f>'BS old'!E93</f>
        <v>0</v>
      </c>
      <c r="L162" s="1653"/>
    </row>
    <row r="163" spans="1:12" ht="27.75" customHeight="1" x14ac:dyDescent="0.25">
      <c r="A163" s="448" t="s">
        <v>510</v>
      </c>
      <c r="B163" s="1671" t="s">
        <v>1045</v>
      </c>
      <c r="C163" s="1671"/>
      <c r="D163" s="1710"/>
      <c r="E163" s="1710"/>
      <c r="F163" s="1710"/>
      <c r="G163" s="446" t="s">
        <v>673</v>
      </c>
      <c r="H163" s="908"/>
      <c r="I163" s="1649">
        <f>'BS old'!D94</f>
        <v>0</v>
      </c>
      <c r="J163" s="1651"/>
      <c r="K163" s="1649">
        <f>'BS old'!E94</f>
        <v>0</v>
      </c>
      <c r="L163" s="1653"/>
    </row>
    <row r="164" spans="1:12" ht="27.75" customHeight="1" x14ac:dyDescent="0.25">
      <c r="A164" s="450" t="s">
        <v>540</v>
      </c>
      <c r="B164" s="1683" t="s">
        <v>1044</v>
      </c>
      <c r="C164" s="1683"/>
      <c r="D164" s="1711"/>
      <c r="E164" s="1711"/>
      <c r="F164" s="1711"/>
      <c r="G164" s="456" t="s">
        <v>675</v>
      </c>
      <c r="H164" s="907"/>
      <c r="I164" s="1649">
        <f>'BS old'!D95</f>
        <v>0</v>
      </c>
      <c r="J164" s="1651"/>
      <c r="K164" s="1649">
        <f>'BS old'!E95</f>
        <v>0</v>
      </c>
      <c r="L164" s="1653"/>
    </row>
    <row r="165" spans="1:12" ht="27.75" customHeight="1" x14ac:dyDescent="0.25">
      <c r="A165" s="448" t="s">
        <v>543</v>
      </c>
      <c r="B165" s="1671" t="s">
        <v>1043</v>
      </c>
      <c r="C165" s="1671"/>
      <c r="D165" s="1710"/>
      <c r="E165" s="1710"/>
      <c r="F165" s="1710"/>
      <c r="G165" s="446" t="s">
        <v>677</v>
      </c>
      <c r="H165" s="908"/>
      <c r="I165" s="1649">
        <f>'BS old'!D96</f>
        <v>0</v>
      </c>
      <c r="J165" s="1651"/>
      <c r="K165" s="1649">
        <f>'BS old'!E96</f>
        <v>0</v>
      </c>
      <c r="L165" s="1653"/>
    </row>
    <row r="166" spans="1:12" ht="27.75" customHeight="1" x14ac:dyDescent="0.25">
      <c r="A166" s="448" t="s">
        <v>498</v>
      </c>
      <c r="B166" s="1671" t="s">
        <v>1042</v>
      </c>
      <c r="C166" s="1671"/>
      <c r="D166" s="1710"/>
      <c r="E166" s="1710"/>
      <c r="F166" s="1710"/>
      <c r="G166" s="446" t="s">
        <v>679</v>
      </c>
      <c r="H166" s="908"/>
      <c r="I166" s="1649">
        <f>'BS old'!D97</f>
        <v>0</v>
      </c>
      <c r="J166" s="1651"/>
      <c r="K166" s="1649">
        <f>'BS old'!E97</f>
        <v>0</v>
      </c>
      <c r="L166" s="1653"/>
    </row>
    <row r="167" spans="1:12" s="393" customFormat="1" ht="27.75" customHeight="1" x14ac:dyDescent="0.25">
      <c r="A167" s="448" t="s">
        <v>501</v>
      </c>
      <c r="B167" s="1671" t="s">
        <v>1041</v>
      </c>
      <c r="C167" s="1671"/>
      <c r="D167" s="1710"/>
      <c r="E167" s="1710"/>
      <c r="F167" s="1710"/>
      <c r="G167" s="446" t="s">
        <v>681</v>
      </c>
      <c r="H167" s="908"/>
      <c r="I167" s="1649">
        <f>'BS old'!D98</f>
        <v>0</v>
      </c>
      <c r="J167" s="1651"/>
      <c r="K167" s="1649">
        <f>'BS old'!E98</f>
        <v>0</v>
      </c>
      <c r="L167" s="1653"/>
    </row>
    <row r="168" spans="1:12" ht="27.75" customHeight="1" x14ac:dyDescent="0.25">
      <c r="A168" s="450" t="s">
        <v>682</v>
      </c>
      <c r="B168" s="1683" t="s">
        <v>1040</v>
      </c>
      <c r="C168" s="1683"/>
      <c r="D168" s="1711"/>
      <c r="E168" s="1711"/>
      <c r="F168" s="1711"/>
      <c r="G168" s="456" t="s">
        <v>684</v>
      </c>
      <c r="H168" s="907"/>
      <c r="I168" s="1649">
        <f>'BS old'!D99</f>
        <v>0</v>
      </c>
      <c r="J168" s="1651"/>
      <c r="K168" s="1649">
        <f>'BS old'!E99</f>
        <v>0</v>
      </c>
      <c r="L168" s="1653"/>
    </row>
    <row r="169" spans="1:12" ht="27.75" customHeight="1" x14ac:dyDescent="0.25">
      <c r="A169" s="457" t="s">
        <v>685</v>
      </c>
      <c r="B169" s="1671" t="s">
        <v>1039</v>
      </c>
      <c r="C169" s="1671"/>
      <c r="D169" s="1710"/>
      <c r="E169" s="1710"/>
      <c r="F169" s="1710"/>
      <c r="G169" s="446" t="s">
        <v>687</v>
      </c>
      <c r="H169" s="908"/>
      <c r="I169" s="1649">
        <f>'BS old'!D100</f>
        <v>0</v>
      </c>
      <c r="J169" s="1651"/>
      <c r="K169" s="1649">
        <f>'BS old'!E100</f>
        <v>0</v>
      </c>
      <c r="L169" s="1653"/>
    </row>
    <row r="170" spans="1:12" ht="27.75" customHeight="1" x14ac:dyDescent="0.25">
      <c r="A170" s="448" t="s">
        <v>498</v>
      </c>
      <c r="B170" s="1671" t="s">
        <v>1038</v>
      </c>
      <c r="C170" s="1671"/>
      <c r="D170" s="1710"/>
      <c r="E170" s="1710"/>
      <c r="F170" s="1710"/>
      <c r="G170" s="446" t="s">
        <v>689</v>
      </c>
      <c r="H170" s="908"/>
      <c r="I170" s="1649">
        <f>'BS old'!D101</f>
        <v>0</v>
      </c>
      <c r="J170" s="1651"/>
      <c r="K170" s="1649">
        <f>'BS old'!E101</f>
        <v>0</v>
      </c>
      <c r="L170" s="1653"/>
    </row>
    <row r="171" spans="1:12" s="393" customFormat="1" ht="31.5" customHeight="1" x14ac:dyDescent="0.25">
      <c r="A171" s="450" t="s">
        <v>690</v>
      </c>
      <c r="B171" s="1683" t="s">
        <v>1037</v>
      </c>
      <c r="C171" s="1683"/>
      <c r="D171" s="1711"/>
      <c r="E171" s="1711"/>
      <c r="F171" s="1711"/>
      <c r="G171" s="456" t="s">
        <v>692</v>
      </c>
      <c r="H171" s="907"/>
      <c r="I171" s="1649">
        <f>'BS old'!D102</f>
        <v>0</v>
      </c>
      <c r="J171" s="1651"/>
      <c r="K171" s="1649">
        <f>'BS old'!E102</f>
        <v>0</v>
      </c>
      <c r="L171" s="1653"/>
    </row>
    <row r="172" spans="1:12" ht="27.75" customHeight="1" x14ac:dyDescent="0.25">
      <c r="A172" s="450" t="s">
        <v>560</v>
      </c>
      <c r="B172" s="1683" t="s">
        <v>1036</v>
      </c>
      <c r="C172" s="1683"/>
      <c r="D172" s="1711"/>
      <c r="E172" s="1711"/>
      <c r="F172" s="1711"/>
      <c r="G172" s="456" t="s">
        <v>694</v>
      </c>
      <c r="H172" s="907"/>
      <c r="I172" s="1649">
        <f>'BS old'!D103</f>
        <v>0</v>
      </c>
      <c r="J172" s="1651"/>
      <c r="K172" s="1649">
        <f>'BS old'!E103</f>
        <v>0</v>
      </c>
      <c r="L172" s="1653"/>
    </row>
    <row r="173" spans="1:12" ht="27.75" customHeight="1" x14ac:dyDescent="0.25">
      <c r="A173" s="450" t="s">
        <v>563</v>
      </c>
      <c r="B173" s="1683" t="s">
        <v>1035</v>
      </c>
      <c r="C173" s="1683"/>
      <c r="D173" s="1711"/>
      <c r="E173" s="1711"/>
      <c r="F173" s="1711"/>
      <c r="G173" s="456" t="s">
        <v>696</v>
      </c>
      <c r="H173" s="907"/>
      <c r="I173" s="1649">
        <f>'BS old'!D104</f>
        <v>0</v>
      </c>
      <c r="J173" s="1651"/>
      <c r="K173" s="1649">
        <f>'BS old'!E104</f>
        <v>0</v>
      </c>
      <c r="L173" s="1653"/>
    </row>
    <row r="174" spans="1:12" s="393" customFormat="1" ht="27.75" customHeight="1" x14ac:dyDescent="0.25">
      <c r="A174" s="449" t="s">
        <v>566</v>
      </c>
      <c r="B174" s="1671" t="s">
        <v>1034</v>
      </c>
      <c r="C174" s="1671"/>
      <c r="D174" s="1710"/>
      <c r="E174" s="1710"/>
      <c r="F174" s="1710"/>
      <c r="G174" s="446" t="s">
        <v>698</v>
      </c>
      <c r="H174" s="908"/>
      <c r="I174" s="1649">
        <f>'BS old'!D105</f>
        <v>0</v>
      </c>
      <c r="J174" s="1651"/>
      <c r="K174" s="1649">
        <f>'BS old'!E105</f>
        <v>0</v>
      </c>
      <c r="L174" s="1653"/>
    </row>
    <row r="175" spans="1:12" s="393" customFormat="1" ht="27.75" customHeight="1" x14ac:dyDescent="0.25">
      <c r="A175" s="448" t="s">
        <v>498</v>
      </c>
      <c r="B175" s="1671" t="s">
        <v>1033</v>
      </c>
      <c r="C175" s="1671"/>
      <c r="D175" s="1710"/>
      <c r="E175" s="1710"/>
      <c r="F175" s="1710"/>
      <c r="G175" s="446" t="s">
        <v>700</v>
      </c>
      <c r="H175" s="908"/>
      <c r="I175" s="1649">
        <f>'BS old'!D106</f>
        <v>0</v>
      </c>
      <c r="J175" s="1651"/>
      <c r="K175" s="1649">
        <f>'BS old'!E106</f>
        <v>0</v>
      </c>
      <c r="L175" s="1653"/>
    </row>
    <row r="176" spans="1:12" s="393" customFormat="1" ht="27.75" customHeight="1" x14ac:dyDescent="0.25">
      <c r="A176" s="448" t="s">
        <v>501</v>
      </c>
      <c r="B176" s="1671" t="s">
        <v>1032</v>
      </c>
      <c r="C176" s="1671"/>
      <c r="D176" s="1710"/>
      <c r="E176" s="1710"/>
      <c r="F176" s="1710"/>
      <c r="G176" s="446" t="s">
        <v>702</v>
      </c>
      <c r="H176" s="908"/>
      <c r="I176" s="1649">
        <f>'BS old'!D107</f>
        <v>0</v>
      </c>
      <c r="J176" s="1651"/>
      <c r="K176" s="1649">
        <f>'BS old'!E107</f>
        <v>0</v>
      </c>
      <c r="L176" s="1653"/>
    </row>
    <row r="177" spans="1:12" ht="27.75" customHeight="1" x14ac:dyDescent="0.25">
      <c r="A177" s="448" t="s">
        <v>504</v>
      </c>
      <c r="B177" s="1671" t="s">
        <v>1031</v>
      </c>
      <c r="C177" s="1671"/>
      <c r="D177" s="1710"/>
      <c r="E177" s="1710"/>
      <c r="F177" s="1710"/>
      <c r="G177" s="446" t="s">
        <v>704</v>
      </c>
      <c r="H177" s="908"/>
      <c r="I177" s="1649">
        <f>'BS old'!D108</f>
        <v>0</v>
      </c>
      <c r="J177" s="1651"/>
      <c r="K177" s="1649">
        <f>'BS old'!E108</f>
        <v>0</v>
      </c>
      <c r="L177" s="1653"/>
    </row>
    <row r="178" spans="1:12" ht="25.5" customHeight="1" thickBot="1" x14ac:dyDescent="0.3">
      <c r="A178" s="455" t="s">
        <v>579</v>
      </c>
      <c r="B178" s="1712" t="s">
        <v>1030</v>
      </c>
      <c r="C178" s="1712"/>
      <c r="D178" s="1713"/>
      <c r="E178" s="1713"/>
      <c r="F178" s="1713"/>
      <c r="G178" s="454" t="s">
        <v>706</v>
      </c>
      <c r="H178" s="909"/>
      <c r="I178" s="1649">
        <f>'BS old'!D109</f>
        <v>0</v>
      </c>
      <c r="J178" s="1651"/>
      <c r="K178" s="1649">
        <f>'BS old'!E109</f>
        <v>0</v>
      </c>
      <c r="L178" s="1653"/>
    </row>
    <row r="179" spans="1:12" ht="30" customHeight="1" x14ac:dyDescent="0.15">
      <c r="A179" s="453" t="s">
        <v>1029</v>
      </c>
      <c r="B179" s="1654" t="s">
        <v>1028</v>
      </c>
      <c r="C179" s="1716"/>
      <c r="D179" s="1717"/>
      <c r="E179" s="1717"/>
      <c r="F179" s="1718"/>
      <c r="G179" s="452" t="s">
        <v>1027</v>
      </c>
      <c r="H179" s="910"/>
      <c r="I179" s="1654" t="s">
        <v>1026</v>
      </c>
      <c r="J179" s="1658"/>
      <c r="K179" s="1654" t="s">
        <v>1025</v>
      </c>
      <c r="L179" s="1655"/>
    </row>
    <row r="180" spans="1:12" ht="27.75" customHeight="1" x14ac:dyDescent="0.25">
      <c r="A180" s="449" t="s">
        <v>582</v>
      </c>
      <c r="B180" s="1671" t="s">
        <v>1024</v>
      </c>
      <c r="C180" s="1671"/>
      <c r="D180" s="1710"/>
      <c r="E180" s="1710"/>
      <c r="F180" s="1710"/>
      <c r="G180" s="446" t="s">
        <v>708</v>
      </c>
      <c r="H180" s="908"/>
      <c r="I180" s="1649">
        <f>'BS old'!D110</f>
        <v>0</v>
      </c>
      <c r="J180" s="1651"/>
      <c r="K180" s="1649">
        <f>'BS old'!E110</f>
        <v>0</v>
      </c>
      <c r="L180" s="1653"/>
    </row>
    <row r="181" spans="1:12" ht="27.75" customHeight="1" x14ac:dyDescent="0.25">
      <c r="A181" s="448" t="s">
        <v>498</v>
      </c>
      <c r="B181" s="1671" t="s">
        <v>1012</v>
      </c>
      <c r="C181" s="1671"/>
      <c r="D181" s="1710"/>
      <c r="E181" s="1710"/>
      <c r="F181" s="1710"/>
      <c r="G181" s="446" t="s">
        <v>709</v>
      </c>
      <c r="H181" s="908"/>
      <c r="I181" s="1649">
        <f>'BS old'!D111</f>
        <v>0</v>
      </c>
      <c r="J181" s="1651"/>
      <c r="K181" s="1649">
        <f>'BS old'!E111</f>
        <v>0</v>
      </c>
      <c r="L181" s="1653"/>
    </row>
    <row r="182" spans="1:12" s="393" customFormat="1" ht="27.75" customHeight="1" x14ac:dyDescent="0.25">
      <c r="A182" s="448" t="s">
        <v>501</v>
      </c>
      <c r="B182" s="1671" t="s">
        <v>1023</v>
      </c>
      <c r="C182" s="1671"/>
      <c r="D182" s="1710"/>
      <c r="E182" s="1710"/>
      <c r="F182" s="1710"/>
      <c r="G182" s="446" t="s">
        <v>711</v>
      </c>
      <c r="H182" s="908"/>
      <c r="I182" s="1649">
        <f>'BS old'!D112</f>
        <v>0</v>
      </c>
      <c r="J182" s="1651"/>
      <c r="K182" s="1649">
        <f>'BS old'!E112</f>
        <v>0</v>
      </c>
      <c r="L182" s="1653"/>
    </row>
    <row r="183" spans="1:12" ht="27.75" customHeight="1" x14ac:dyDescent="0.25">
      <c r="A183" s="448" t="s">
        <v>504</v>
      </c>
      <c r="B183" s="1671" t="s">
        <v>1022</v>
      </c>
      <c r="C183" s="1671"/>
      <c r="D183" s="1710"/>
      <c r="E183" s="1710"/>
      <c r="F183" s="1710"/>
      <c r="G183" s="446" t="s">
        <v>713</v>
      </c>
      <c r="H183" s="908"/>
      <c r="I183" s="1649">
        <f>'BS old'!D113</f>
        <v>0</v>
      </c>
      <c r="J183" s="1651"/>
      <c r="K183" s="1649">
        <f>'BS old'!E113</f>
        <v>0</v>
      </c>
      <c r="L183" s="1653"/>
    </row>
    <row r="184" spans="1:12" ht="27.75" customHeight="1" x14ac:dyDescent="0.25">
      <c r="A184" s="448" t="s">
        <v>507</v>
      </c>
      <c r="B184" s="1671" t="s">
        <v>1021</v>
      </c>
      <c r="C184" s="1671"/>
      <c r="D184" s="1710"/>
      <c r="E184" s="1710"/>
      <c r="F184" s="1710"/>
      <c r="G184" s="446" t="s">
        <v>715</v>
      </c>
      <c r="H184" s="908"/>
      <c r="I184" s="1649">
        <f>'BS old'!D114</f>
        <v>0</v>
      </c>
      <c r="J184" s="1651"/>
      <c r="K184" s="1649">
        <f>'BS old'!E114</f>
        <v>0</v>
      </c>
      <c r="L184" s="1653"/>
    </row>
    <row r="185" spans="1:12" ht="27.75" customHeight="1" x14ac:dyDescent="0.25">
      <c r="A185" s="448" t="s">
        <v>510</v>
      </c>
      <c r="B185" s="1671" t="s">
        <v>1020</v>
      </c>
      <c r="C185" s="1671"/>
      <c r="D185" s="1710"/>
      <c r="E185" s="1710"/>
      <c r="F185" s="1710"/>
      <c r="G185" s="446" t="s">
        <v>717</v>
      </c>
      <c r="H185" s="908"/>
      <c r="I185" s="1649">
        <f>'BS old'!D115</f>
        <v>0</v>
      </c>
      <c r="J185" s="1651"/>
      <c r="K185" s="1649">
        <f>'BS old'!E115</f>
        <v>0</v>
      </c>
      <c r="L185" s="1653"/>
    </row>
    <row r="186" spans="1:12" ht="27.75" customHeight="1" x14ac:dyDescent="0.25">
      <c r="A186" s="448" t="s">
        <v>513</v>
      </c>
      <c r="B186" s="1671" t="s">
        <v>1019</v>
      </c>
      <c r="C186" s="1671"/>
      <c r="D186" s="1710"/>
      <c r="E186" s="1710"/>
      <c r="F186" s="1710"/>
      <c r="G186" s="446" t="s">
        <v>719</v>
      </c>
      <c r="H186" s="908"/>
      <c r="I186" s="1649">
        <f>'BS old'!D116</f>
        <v>0</v>
      </c>
      <c r="J186" s="1651"/>
      <c r="K186" s="1649">
        <f>'BS old'!E116</f>
        <v>0</v>
      </c>
      <c r="L186" s="1653"/>
    </row>
    <row r="187" spans="1:12" ht="27.75" customHeight="1" x14ac:dyDescent="0.25">
      <c r="A187" s="448" t="s">
        <v>534</v>
      </c>
      <c r="B187" s="1671" t="s">
        <v>1018</v>
      </c>
      <c r="C187" s="1671"/>
      <c r="D187" s="1710"/>
      <c r="E187" s="1710"/>
      <c r="F187" s="1710"/>
      <c r="G187" s="446" t="s">
        <v>721</v>
      </c>
      <c r="H187" s="908"/>
      <c r="I187" s="1649">
        <f>'BS old'!D117</f>
        <v>0</v>
      </c>
      <c r="J187" s="1651"/>
      <c r="K187" s="1649">
        <f>'BS old'!E117</f>
        <v>0</v>
      </c>
      <c r="L187" s="1653"/>
    </row>
    <row r="188" spans="1:12" ht="27.75" customHeight="1" x14ac:dyDescent="0.25">
      <c r="A188" s="448" t="s">
        <v>537</v>
      </c>
      <c r="B188" s="1671" t="s">
        <v>1017</v>
      </c>
      <c r="C188" s="1671"/>
      <c r="D188" s="1710"/>
      <c r="E188" s="1710"/>
      <c r="F188" s="1710"/>
      <c r="G188" s="446" t="s">
        <v>723</v>
      </c>
      <c r="H188" s="908"/>
      <c r="I188" s="1649">
        <f>'BS old'!D118</f>
        <v>0</v>
      </c>
      <c r="J188" s="1651"/>
      <c r="K188" s="1649">
        <f>'BS old'!E118</f>
        <v>0</v>
      </c>
      <c r="L188" s="1653"/>
    </row>
    <row r="189" spans="1:12" ht="27.75" customHeight="1" x14ac:dyDescent="0.25">
      <c r="A189" s="448" t="s">
        <v>724</v>
      </c>
      <c r="B189" s="1671" t="s">
        <v>1016</v>
      </c>
      <c r="C189" s="1671"/>
      <c r="D189" s="1710"/>
      <c r="E189" s="1710"/>
      <c r="F189" s="1710"/>
      <c r="G189" s="446" t="s">
        <v>726</v>
      </c>
      <c r="H189" s="908"/>
      <c r="I189" s="1649">
        <f>'BS old'!D119</f>
        <v>0</v>
      </c>
      <c r="J189" s="1651"/>
      <c r="K189" s="1649">
        <f>'BS old'!E119</f>
        <v>0</v>
      </c>
      <c r="L189" s="1653"/>
    </row>
    <row r="190" spans="1:12" ht="27.75" customHeight="1" x14ac:dyDescent="0.25">
      <c r="A190" s="448" t="s">
        <v>727</v>
      </c>
      <c r="B190" s="1671" t="s">
        <v>1015</v>
      </c>
      <c r="C190" s="1671"/>
      <c r="D190" s="1710"/>
      <c r="E190" s="1710"/>
      <c r="F190" s="1710"/>
      <c r="G190" s="446" t="s">
        <v>729</v>
      </c>
      <c r="H190" s="908"/>
      <c r="I190" s="1649">
        <f>'BS old'!D120</f>
        <v>0</v>
      </c>
      <c r="J190" s="1651"/>
      <c r="K190" s="1649">
        <f>'BS old'!E120</f>
        <v>0</v>
      </c>
      <c r="L190" s="1653"/>
    </row>
    <row r="191" spans="1:12" ht="27.75" customHeight="1" x14ac:dyDescent="0.25">
      <c r="A191" s="450" t="s">
        <v>597</v>
      </c>
      <c r="B191" s="1683" t="s">
        <v>1014</v>
      </c>
      <c r="C191" s="1683"/>
      <c r="D191" s="1711"/>
      <c r="E191" s="1711"/>
      <c r="F191" s="1711"/>
      <c r="G191" s="446" t="s">
        <v>731</v>
      </c>
      <c r="H191" s="908"/>
      <c r="I191" s="1649">
        <f>'BS old'!D121</f>
        <v>0</v>
      </c>
      <c r="J191" s="1651"/>
      <c r="K191" s="1649">
        <f>'BS old'!E121</f>
        <v>0</v>
      </c>
      <c r="L191" s="1653"/>
    </row>
    <row r="192" spans="1:12" ht="27.75" customHeight="1" x14ac:dyDescent="0.25">
      <c r="A192" s="448" t="s">
        <v>600</v>
      </c>
      <c r="B192" s="1671" t="s">
        <v>1013</v>
      </c>
      <c r="C192" s="1671"/>
      <c r="D192" s="1710"/>
      <c r="E192" s="1710"/>
      <c r="F192" s="1710"/>
      <c r="G192" s="446" t="s">
        <v>733</v>
      </c>
      <c r="H192" s="908"/>
      <c r="I192" s="1649">
        <f>'BS old'!D122</f>
        <v>0</v>
      </c>
      <c r="J192" s="1651"/>
      <c r="K192" s="1649">
        <f>'BS old'!E122</f>
        <v>0</v>
      </c>
      <c r="L192" s="1653"/>
    </row>
    <row r="193" spans="1:12" ht="27.75" customHeight="1" x14ac:dyDescent="0.25">
      <c r="A193" s="448" t="s">
        <v>498</v>
      </c>
      <c r="B193" s="1671" t="s">
        <v>1012</v>
      </c>
      <c r="C193" s="1671"/>
      <c r="D193" s="1710"/>
      <c r="E193" s="1710"/>
      <c r="F193" s="1710"/>
      <c r="G193" s="446" t="s">
        <v>734</v>
      </c>
      <c r="H193" s="908"/>
      <c r="I193" s="1649">
        <f>'BS old'!D123</f>
        <v>0</v>
      </c>
      <c r="J193" s="1651"/>
      <c r="K193" s="1649">
        <f>'BS old'!E123</f>
        <v>0</v>
      </c>
      <c r="L193" s="1653"/>
    </row>
    <row r="194" spans="1:12" ht="27.75" customHeight="1" x14ac:dyDescent="0.25">
      <c r="A194" s="448" t="s">
        <v>501</v>
      </c>
      <c r="B194" s="1671" t="s">
        <v>1011</v>
      </c>
      <c r="C194" s="1671"/>
      <c r="D194" s="1710"/>
      <c r="E194" s="1710"/>
      <c r="F194" s="1710"/>
      <c r="G194" s="446" t="s">
        <v>736</v>
      </c>
      <c r="H194" s="908"/>
      <c r="I194" s="1649">
        <f>'BS old'!D124</f>
        <v>0</v>
      </c>
      <c r="J194" s="1651"/>
      <c r="K194" s="1649">
        <f>'BS old'!E124</f>
        <v>0</v>
      </c>
      <c r="L194" s="1653"/>
    </row>
    <row r="195" spans="1:12" s="393" customFormat="1" ht="27.75" customHeight="1" x14ac:dyDescent="0.25">
      <c r="A195" s="448" t="s">
        <v>504</v>
      </c>
      <c r="B195" s="1671" t="s">
        <v>1010</v>
      </c>
      <c r="C195" s="1671"/>
      <c r="D195" s="1710"/>
      <c r="E195" s="1710"/>
      <c r="F195" s="1710"/>
      <c r="G195" s="446" t="s">
        <v>738</v>
      </c>
      <c r="H195" s="908"/>
      <c r="I195" s="1649">
        <f>'BS old'!D125</f>
        <v>0</v>
      </c>
      <c r="J195" s="1651"/>
      <c r="K195" s="1649">
        <f>'BS old'!E125</f>
        <v>0</v>
      </c>
      <c r="L195" s="1653"/>
    </row>
    <row r="196" spans="1:12" ht="27.75" customHeight="1" x14ac:dyDescent="0.25">
      <c r="A196" s="448" t="s">
        <v>507</v>
      </c>
      <c r="B196" s="1671" t="s">
        <v>1009</v>
      </c>
      <c r="C196" s="1671"/>
      <c r="D196" s="1710"/>
      <c r="E196" s="1710"/>
      <c r="F196" s="1710"/>
      <c r="G196" s="446" t="s">
        <v>740</v>
      </c>
      <c r="H196" s="908"/>
      <c r="I196" s="1649">
        <f>'BS old'!D126</f>
        <v>0</v>
      </c>
      <c r="J196" s="1651"/>
      <c r="K196" s="1649">
        <f>'BS old'!E126</f>
        <v>0</v>
      </c>
      <c r="L196" s="1653"/>
    </row>
    <row r="197" spans="1:12" ht="27.75" customHeight="1" x14ac:dyDescent="0.25">
      <c r="A197" s="448" t="s">
        <v>510</v>
      </c>
      <c r="B197" s="1671" t="s">
        <v>1008</v>
      </c>
      <c r="C197" s="1671"/>
      <c r="D197" s="1710"/>
      <c r="E197" s="1710"/>
      <c r="F197" s="1710"/>
      <c r="G197" s="446" t="s">
        <v>742</v>
      </c>
      <c r="H197" s="908"/>
      <c r="I197" s="1649">
        <f>'BS old'!D127</f>
        <v>0</v>
      </c>
      <c r="J197" s="1651"/>
      <c r="K197" s="1649">
        <f>'BS old'!E127</f>
        <v>0</v>
      </c>
      <c r="L197" s="1653"/>
    </row>
    <row r="198" spans="1:12" ht="27.75" customHeight="1" x14ac:dyDescent="0.25">
      <c r="A198" s="448" t="s">
        <v>513</v>
      </c>
      <c r="B198" s="1671" t="s">
        <v>1007</v>
      </c>
      <c r="C198" s="1671"/>
      <c r="D198" s="1710"/>
      <c r="E198" s="1710"/>
      <c r="F198" s="1710"/>
      <c r="G198" s="446" t="s">
        <v>744</v>
      </c>
      <c r="H198" s="908"/>
      <c r="I198" s="1649">
        <f>'BS old'!D128</f>
        <v>0</v>
      </c>
      <c r="J198" s="1651"/>
      <c r="K198" s="1649">
        <f>'BS old'!E128</f>
        <v>0</v>
      </c>
      <c r="L198" s="1653"/>
    </row>
    <row r="199" spans="1:12" ht="27.75" customHeight="1" x14ac:dyDescent="0.25">
      <c r="A199" s="448" t="s">
        <v>534</v>
      </c>
      <c r="B199" s="1671" t="s">
        <v>1006</v>
      </c>
      <c r="C199" s="1671"/>
      <c r="D199" s="1710"/>
      <c r="E199" s="1710"/>
      <c r="F199" s="1710"/>
      <c r="G199" s="446" t="s">
        <v>746</v>
      </c>
      <c r="H199" s="908"/>
      <c r="I199" s="1649">
        <f>'BS old'!D129</f>
        <v>0</v>
      </c>
      <c r="J199" s="1651"/>
      <c r="K199" s="1649">
        <f>'BS old'!E129</f>
        <v>0</v>
      </c>
      <c r="L199" s="1653"/>
    </row>
    <row r="200" spans="1:12" ht="27.75" customHeight="1" x14ac:dyDescent="0.25">
      <c r="A200" s="448" t="s">
        <v>537</v>
      </c>
      <c r="B200" s="1671" t="s">
        <v>1005</v>
      </c>
      <c r="C200" s="1671"/>
      <c r="D200" s="1710"/>
      <c r="E200" s="1710"/>
      <c r="F200" s="1710"/>
      <c r="G200" s="446" t="s">
        <v>748</v>
      </c>
      <c r="H200" s="908"/>
      <c r="I200" s="1649">
        <f>'BS old'!D130</f>
        <v>0</v>
      </c>
      <c r="J200" s="1651"/>
      <c r="K200" s="1649">
        <f>'BS old'!E130</f>
        <v>0</v>
      </c>
      <c r="L200" s="1653"/>
    </row>
    <row r="201" spans="1:12" ht="27.75" customHeight="1" x14ac:dyDescent="0.25">
      <c r="A201" s="448" t="s">
        <v>724</v>
      </c>
      <c r="B201" s="1671" t="s">
        <v>1004</v>
      </c>
      <c r="C201" s="1671"/>
      <c r="D201" s="1710"/>
      <c r="E201" s="1710"/>
      <c r="F201" s="1710"/>
      <c r="G201" s="446" t="s">
        <v>750</v>
      </c>
      <c r="H201" s="908"/>
      <c r="I201" s="1649">
        <f>'BS old'!D131</f>
        <v>0</v>
      </c>
      <c r="J201" s="1651"/>
      <c r="K201" s="1649">
        <f>'BS old'!E131</f>
        <v>0</v>
      </c>
      <c r="L201" s="1653"/>
    </row>
    <row r="202" spans="1:12" ht="27.75" customHeight="1" x14ac:dyDescent="0.25">
      <c r="A202" s="450" t="s">
        <v>615</v>
      </c>
      <c r="B202" s="1683" t="s">
        <v>1003</v>
      </c>
      <c r="C202" s="1683"/>
      <c r="D202" s="1711"/>
      <c r="E202" s="1711"/>
      <c r="F202" s="1711"/>
      <c r="G202" s="446" t="s">
        <v>752</v>
      </c>
      <c r="H202" s="908"/>
      <c r="I202" s="1649">
        <f>'BS old'!D132</f>
        <v>0</v>
      </c>
      <c r="J202" s="1651"/>
      <c r="K202" s="1649">
        <f>'BS old'!E132</f>
        <v>0</v>
      </c>
      <c r="L202" s="1653"/>
    </row>
    <row r="203" spans="1:12" ht="27.75" customHeight="1" x14ac:dyDescent="0.25">
      <c r="A203" s="451" t="s">
        <v>753</v>
      </c>
      <c r="B203" s="1683" t="s">
        <v>1002</v>
      </c>
      <c r="C203" s="1683"/>
      <c r="D203" s="1711"/>
      <c r="E203" s="1711"/>
      <c r="F203" s="1711"/>
      <c r="G203" s="446" t="s">
        <v>755</v>
      </c>
      <c r="H203" s="908"/>
      <c r="I203" s="1649">
        <f>'BS old'!D133</f>
        <v>0</v>
      </c>
      <c r="J203" s="1651"/>
      <c r="K203" s="1649">
        <f>'BS old'!E133</f>
        <v>0</v>
      </c>
      <c r="L203" s="1653"/>
    </row>
    <row r="204" spans="1:12" ht="27.75" customHeight="1" x14ac:dyDescent="0.25">
      <c r="A204" s="448" t="s">
        <v>756</v>
      </c>
      <c r="B204" s="1683" t="s">
        <v>1001</v>
      </c>
      <c r="C204" s="1683"/>
      <c r="D204" s="1711"/>
      <c r="E204" s="1711"/>
      <c r="F204" s="1711"/>
      <c r="G204" s="446" t="s">
        <v>758</v>
      </c>
      <c r="H204" s="908"/>
      <c r="I204" s="1649">
        <f>'BS old'!D134</f>
        <v>0</v>
      </c>
      <c r="J204" s="1651"/>
      <c r="K204" s="1649">
        <f>'BS old'!E134</f>
        <v>0</v>
      </c>
      <c r="L204" s="1653"/>
    </row>
    <row r="205" spans="1:12" s="393" customFormat="1" ht="27.75" customHeight="1" x14ac:dyDescent="0.25">
      <c r="A205" s="448" t="s">
        <v>498</v>
      </c>
      <c r="B205" s="1671" t="s">
        <v>1000</v>
      </c>
      <c r="C205" s="1671"/>
      <c r="D205" s="1710"/>
      <c r="E205" s="1710"/>
      <c r="F205" s="1710"/>
      <c r="G205" s="446" t="s">
        <v>760</v>
      </c>
      <c r="H205" s="908"/>
      <c r="I205" s="1649">
        <f>'BS old'!D135</f>
        <v>0</v>
      </c>
      <c r="J205" s="1651"/>
      <c r="K205" s="1649">
        <f>'BS old'!E135</f>
        <v>0</v>
      </c>
      <c r="L205" s="1653"/>
    </row>
    <row r="206" spans="1:12" ht="27.75" customHeight="1" x14ac:dyDescent="0.25">
      <c r="A206" s="450" t="s">
        <v>629</v>
      </c>
      <c r="B206" s="1683" t="s">
        <v>999</v>
      </c>
      <c r="C206" s="1683"/>
      <c r="D206" s="1711"/>
      <c r="E206" s="1711"/>
      <c r="F206" s="1711"/>
      <c r="G206" s="446" t="s">
        <v>762</v>
      </c>
      <c r="H206" s="908"/>
      <c r="I206" s="1649">
        <f>'BS old'!D136</f>
        <v>0</v>
      </c>
      <c r="J206" s="1651"/>
      <c r="K206" s="1649">
        <f>'BS old'!E136</f>
        <v>0</v>
      </c>
      <c r="L206" s="1653"/>
    </row>
    <row r="207" spans="1:12" ht="27.75" customHeight="1" x14ac:dyDescent="0.25">
      <c r="A207" s="449" t="s">
        <v>632</v>
      </c>
      <c r="B207" s="1671" t="s">
        <v>998</v>
      </c>
      <c r="C207" s="1671"/>
      <c r="D207" s="1710"/>
      <c r="E207" s="1710"/>
      <c r="F207" s="1710"/>
      <c r="G207" s="446" t="s">
        <v>764</v>
      </c>
      <c r="H207" s="908"/>
      <c r="I207" s="1649">
        <f>'BS old'!D137</f>
        <v>0</v>
      </c>
      <c r="J207" s="1651"/>
      <c r="K207" s="1649">
        <f>'BS old'!E137</f>
        <v>0</v>
      </c>
      <c r="L207" s="1653"/>
    </row>
    <row r="208" spans="1:12" ht="27.75" customHeight="1" x14ac:dyDescent="0.25">
      <c r="A208" s="448" t="s">
        <v>498</v>
      </c>
      <c r="B208" s="1671" t="s">
        <v>997</v>
      </c>
      <c r="C208" s="1671"/>
      <c r="D208" s="1710"/>
      <c r="E208" s="1710"/>
      <c r="F208" s="1710"/>
      <c r="G208" s="446" t="s">
        <v>766</v>
      </c>
      <c r="H208" s="908"/>
      <c r="I208" s="1649">
        <f>'BS old'!D138</f>
        <v>0</v>
      </c>
      <c r="J208" s="1651"/>
      <c r="K208" s="1649">
        <f>'BS old'!E138</f>
        <v>0</v>
      </c>
      <c r="L208" s="1653"/>
    </row>
    <row r="209" spans="1:12" s="393" customFormat="1" ht="27.75" customHeight="1" x14ac:dyDescent="0.25">
      <c r="A209" s="448" t="s">
        <v>501</v>
      </c>
      <c r="B209" s="1671" t="s">
        <v>996</v>
      </c>
      <c r="C209" s="1671"/>
      <c r="D209" s="1710"/>
      <c r="E209" s="1710"/>
      <c r="F209" s="1710"/>
      <c r="G209" s="446" t="s">
        <v>768</v>
      </c>
      <c r="H209" s="908"/>
      <c r="I209" s="1649">
        <f>'BS old'!D139</f>
        <v>0</v>
      </c>
      <c r="J209" s="1651"/>
      <c r="K209" s="1649">
        <f>'BS old'!E139</f>
        <v>0</v>
      </c>
      <c r="L209" s="1653"/>
    </row>
    <row r="210" spans="1:12" ht="27.75" customHeight="1" thickBot="1" x14ac:dyDescent="0.3">
      <c r="A210" s="447" t="s">
        <v>504</v>
      </c>
      <c r="B210" s="1714" t="s">
        <v>995</v>
      </c>
      <c r="C210" s="1714"/>
      <c r="D210" s="1715"/>
      <c r="E210" s="1715"/>
      <c r="F210" s="1715"/>
      <c r="G210" s="446" t="s">
        <v>770</v>
      </c>
      <c r="H210" s="908"/>
      <c r="I210" s="1649">
        <f>'BS old'!D140</f>
        <v>0</v>
      </c>
      <c r="J210" s="1651"/>
      <c r="K210" s="1649">
        <f>'BS old'!E140</f>
        <v>0</v>
      </c>
      <c r="L210" s="1653"/>
    </row>
    <row r="211" spans="1:12" ht="24.75" customHeight="1" x14ac:dyDescent="0.25"/>
    <row r="212" spans="1:12" ht="24.75" customHeight="1" x14ac:dyDescent="0.25"/>
    <row r="213" spans="1:12" ht="24.75" customHeight="1" x14ac:dyDescent="0.25"/>
  </sheetData>
  <mergeCells count="700">
    <mergeCell ref="H32:I32"/>
    <mergeCell ref="J10:L10"/>
    <mergeCell ref="J12:L12"/>
    <mergeCell ref="E19:G19"/>
    <mergeCell ref="E44:G44"/>
    <mergeCell ref="E45:G45"/>
    <mergeCell ref="I48:K48"/>
    <mergeCell ref="J47:L47"/>
    <mergeCell ref="J16:L16"/>
    <mergeCell ref="K35:L35"/>
    <mergeCell ref="E33:J33"/>
    <mergeCell ref="I40:K40"/>
    <mergeCell ref="J39:L39"/>
    <mergeCell ref="E41:G41"/>
    <mergeCell ref="E20:G20"/>
    <mergeCell ref="E42:G42"/>
    <mergeCell ref="E43:G43"/>
    <mergeCell ref="I38:K38"/>
    <mergeCell ref="I42:K42"/>
    <mergeCell ref="I35:J35"/>
    <mergeCell ref="J24:L24"/>
    <mergeCell ref="E39:G39"/>
    <mergeCell ref="E11:G11"/>
    <mergeCell ref="E12:G12"/>
    <mergeCell ref="K4:L5"/>
    <mergeCell ref="J8:L8"/>
    <mergeCell ref="E4:J4"/>
    <mergeCell ref="F5:G5"/>
    <mergeCell ref="F6:G6"/>
    <mergeCell ref="E5:E6"/>
    <mergeCell ref="E9:G9"/>
    <mergeCell ref="K6:L6"/>
    <mergeCell ref="H5:J5"/>
    <mergeCell ref="H6:J6"/>
    <mergeCell ref="H7:K7"/>
    <mergeCell ref="H8:I8"/>
    <mergeCell ref="H9:K9"/>
    <mergeCell ref="E7:G7"/>
    <mergeCell ref="E8:G8"/>
    <mergeCell ref="J49:L49"/>
    <mergeCell ref="E47:G47"/>
    <mergeCell ref="I44:K44"/>
    <mergeCell ref="J43:L43"/>
    <mergeCell ref="E14:G14"/>
    <mergeCell ref="E13:G13"/>
    <mergeCell ref="I36:K36"/>
    <mergeCell ref="J63:L63"/>
    <mergeCell ref="J32:L32"/>
    <mergeCell ref="E48:G48"/>
    <mergeCell ref="I54:K54"/>
    <mergeCell ref="I50:K50"/>
    <mergeCell ref="I52:K52"/>
    <mergeCell ref="J20:L20"/>
    <mergeCell ref="J18:L18"/>
    <mergeCell ref="J26:L26"/>
    <mergeCell ref="I34:J34"/>
    <mergeCell ref="J22:L22"/>
    <mergeCell ref="J30:L30"/>
    <mergeCell ref="J28:L28"/>
    <mergeCell ref="K33:L34"/>
    <mergeCell ref="E21:G21"/>
    <mergeCell ref="H21:K21"/>
    <mergeCell ref="H23:K23"/>
    <mergeCell ref="I81:K81"/>
    <mergeCell ref="J80:L80"/>
    <mergeCell ref="I87:K87"/>
    <mergeCell ref="J86:L86"/>
    <mergeCell ref="I85:K85"/>
    <mergeCell ref="J84:L84"/>
    <mergeCell ref="E68:G68"/>
    <mergeCell ref="E89:G89"/>
    <mergeCell ref="I91:K91"/>
    <mergeCell ref="I77:K77"/>
    <mergeCell ref="J76:L76"/>
    <mergeCell ref="I75:K75"/>
    <mergeCell ref="B187:F187"/>
    <mergeCell ref="B168:F168"/>
    <mergeCell ref="B169:F169"/>
    <mergeCell ref="B179:F179"/>
    <mergeCell ref="I66:J66"/>
    <mergeCell ref="I96:J96"/>
    <mergeCell ref="B188:F188"/>
    <mergeCell ref="B166:F166"/>
    <mergeCell ref="E80:G80"/>
    <mergeCell ref="E79:G79"/>
    <mergeCell ref="E91:G91"/>
    <mergeCell ref="E92:G92"/>
    <mergeCell ref="B91:B92"/>
    <mergeCell ref="E65:E66"/>
    <mergeCell ref="E69:G69"/>
    <mergeCell ref="B177:F177"/>
    <mergeCell ref="B170:F170"/>
    <mergeCell ref="B171:F171"/>
    <mergeCell ref="B174:F174"/>
    <mergeCell ref="B175:F175"/>
    <mergeCell ref="B110:B111"/>
    <mergeCell ref="B150:F150"/>
    <mergeCell ref="B151:F151"/>
    <mergeCell ref="B152:F152"/>
    <mergeCell ref="B210:F210"/>
    <mergeCell ref="B200:F200"/>
    <mergeCell ref="B201:F201"/>
    <mergeCell ref="B202:F202"/>
    <mergeCell ref="B203:F203"/>
    <mergeCell ref="B204:F204"/>
    <mergeCell ref="B199:F199"/>
    <mergeCell ref="B207:F207"/>
    <mergeCell ref="B189:F189"/>
    <mergeCell ref="B190:F190"/>
    <mergeCell ref="B192:F192"/>
    <mergeCell ref="B197:F197"/>
    <mergeCell ref="B194:F194"/>
    <mergeCell ref="B195:F195"/>
    <mergeCell ref="B196:F196"/>
    <mergeCell ref="B193:F193"/>
    <mergeCell ref="B198:F198"/>
    <mergeCell ref="B191:F191"/>
    <mergeCell ref="B209:F209"/>
    <mergeCell ref="B205:F205"/>
    <mergeCell ref="B206:F206"/>
    <mergeCell ref="B208:F208"/>
    <mergeCell ref="B186:F186"/>
    <mergeCell ref="E62:G62"/>
    <mergeCell ref="E51:G51"/>
    <mergeCell ref="E60:G60"/>
    <mergeCell ref="E55:G55"/>
    <mergeCell ref="B164:F164"/>
    <mergeCell ref="B165:F165"/>
    <mergeCell ref="B156:F156"/>
    <mergeCell ref="B157:F157"/>
    <mergeCell ref="B162:F162"/>
    <mergeCell ref="B163:F163"/>
    <mergeCell ref="B62:B63"/>
    <mergeCell ref="B87:B88"/>
    <mergeCell ref="D87:D88"/>
    <mergeCell ref="B160:F160"/>
    <mergeCell ref="B161:F161"/>
    <mergeCell ref="E74:G74"/>
    <mergeCell ref="E84:G84"/>
    <mergeCell ref="B178:F178"/>
    <mergeCell ref="B172:F172"/>
    <mergeCell ref="B173:F173"/>
    <mergeCell ref="B149:F149"/>
    <mergeCell ref="E83:G83"/>
    <mergeCell ref="D106:D107"/>
    <mergeCell ref="C4:D6"/>
    <mergeCell ref="C7:D8"/>
    <mergeCell ref="C9:D10"/>
    <mergeCell ref="B185:F185"/>
    <mergeCell ref="B184:F184"/>
    <mergeCell ref="K66:L66"/>
    <mergeCell ref="E26:G26"/>
    <mergeCell ref="E30:G30"/>
    <mergeCell ref="B38:B39"/>
    <mergeCell ref="B180:F180"/>
    <mergeCell ref="B182:F182"/>
    <mergeCell ref="B183:F183"/>
    <mergeCell ref="B167:F167"/>
    <mergeCell ref="B176:F176"/>
    <mergeCell ref="B181:F181"/>
    <mergeCell ref="E46:G46"/>
    <mergeCell ref="E54:G54"/>
    <mergeCell ref="B153:F153"/>
    <mergeCell ref="B158:F158"/>
    <mergeCell ref="B159:F159"/>
    <mergeCell ref="B154:F154"/>
    <mergeCell ref="B155:F155"/>
    <mergeCell ref="B98:B99"/>
    <mergeCell ref="J82:L82"/>
    <mergeCell ref="A15:A16"/>
    <mergeCell ref="B15:B16"/>
    <mergeCell ref="A13:A14"/>
    <mergeCell ref="B13:B14"/>
    <mergeCell ref="A11:A12"/>
    <mergeCell ref="B11:B12"/>
    <mergeCell ref="A4:A6"/>
    <mergeCell ref="B4:B6"/>
    <mergeCell ref="A7:A8"/>
    <mergeCell ref="B7:B8"/>
    <mergeCell ref="A9:A10"/>
    <mergeCell ref="B9:B10"/>
    <mergeCell ref="A31:A32"/>
    <mergeCell ref="A29:A30"/>
    <mergeCell ref="B29:B30"/>
    <mergeCell ref="B31:B32"/>
    <mergeCell ref="A23:A24"/>
    <mergeCell ref="E24:G24"/>
    <mergeCell ref="E23:G23"/>
    <mergeCell ref="B21:B22"/>
    <mergeCell ref="B19:B20"/>
    <mergeCell ref="E22:G22"/>
    <mergeCell ref="B23:B24"/>
    <mergeCell ref="C21:D22"/>
    <mergeCell ref="C23:D24"/>
    <mergeCell ref="A17:A18"/>
    <mergeCell ref="B17:B18"/>
    <mergeCell ref="A19:A20"/>
    <mergeCell ref="A21:A22"/>
    <mergeCell ref="E27:G27"/>
    <mergeCell ref="E29:G29"/>
    <mergeCell ref="A27:A28"/>
    <mergeCell ref="B27:B28"/>
    <mergeCell ref="A25:A26"/>
    <mergeCell ref="B25:B26"/>
    <mergeCell ref="E25:G25"/>
    <mergeCell ref="E28:G28"/>
    <mergeCell ref="C25:D26"/>
    <mergeCell ref="E17:G17"/>
    <mergeCell ref="A50:A51"/>
    <mergeCell ref="A60:A61"/>
    <mergeCell ref="B60:B61"/>
    <mergeCell ref="D42:D43"/>
    <mergeCell ref="A42:A43"/>
    <mergeCell ref="A40:A41"/>
    <mergeCell ref="D48:D49"/>
    <mergeCell ref="A44:A45"/>
    <mergeCell ref="B48:B49"/>
    <mergeCell ref="B50:B51"/>
    <mergeCell ref="B52:B53"/>
    <mergeCell ref="A52:A53"/>
    <mergeCell ref="D44:D45"/>
    <mergeCell ref="D50:D51"/>
    <mergeCell ref="B40:B41"/>
    <mergeCell ref="B46:B47"/>
    <mergeCell ref="A62:A63"/>
    <mergeCell ref="A56:A57"/>
    <mergeCell ref="B56:B57"/>
    <mergeCell ref="B44:B45"/>
    <mergeCell ref="A58:A59"/>
    <mergeCell ref="A67:A68"/>
    <mergeCell ref="F65:G65"/>
    <mergeCell ref="E73:G73"/>
    <mergeCell ref="B67:B68"/>
    <mergeCell ref="A69:A70"/>
    <mergeCell ref="D67:D68"/>
    <mergeCell ref="A71:A72"/>
    <mergeCell ref="B71:B72"/>
    <mergeCell ref="D71:D72"/>
    <mergeCell ref="D69:D70"/>
    <mergeCell ref="E72:G72"/>
    <mergeCell ref="D46:D47"/>
    <mergeCell ref="B58:B59"/>
    <mergeCell ref="D56:D57"/>
    <mergeCell ref="D58:D59"/>
    <mergeCell ref="A73:A74"/>
    <mergeCell ref="B73:B74"/>
    <mergeCell ref="B64:B66"/>
    <mergeCell ref="A64:A66"/>
    <mergeCell ref="A77:A78"/>
    <mergeCell ref="B77:B78"/>
    <mergeCell ref="D77:D78"/>
    <mergeCell ref="E77:G77"/>
    <mergeCell ref="E78:G78"/>
    <mergeCell ref="A75:A76"/>
    <mergeCell ref="B75:B76"/>
    <mergeCell ref="D75:D76"/>
    <mergeCell ref="E75:G75"/>
    <mergeCell ref="E76:G76"/>
    <mergeCell ref="A87:A88"/>
    <mergeCell ref="A110:A111"/>
    <mergeCell ref="D110:D111"/>
    <mergeCell ref="E110:G110"/>
    <mergeCell ref="A81:A82"/>
    <mergeCell ref="B81:B82"/>
    <mergeCell ref="D81:D82"/>
    <mergeCell ref="E82:G82"/>
    <mergeCell ref="E111:G111"/>
    <mergeCell ref="D91:D92"/>
    <mergeCell ref="A83:A84"/>
    <mergeCell ref="A100:A101"/>
    <mergeCell ref="A95:A97"/>
    <mergeCell ref="A104:A105"/>
    <mergeCell ref="E106:G106"/>
    <mergeCell ref="E105:G105"/>
    <mergeCell ref="B102:B103"/>
    <mergeCell ref="D102:D103"/>
    <mergeCell ref="A102:A103"/>
    <mergeCell ref="B100:B101"/>
    <mergeCell ref="E96:E97"/>
    <mergeCell ref="A108:A109"/>
    <mergeCell ref="B108:B109"/>
    <mergeCell ref="D108:D109"/>
    <mergeCell ref="A79:A80"/>
    <mergeCell ref="B79:B80"/>
    <mergeCell ref="D79:D80"/>
    <mergeCell ref="E87:G87"/>
    <mergeCell ref="E86:G86"/>
    <mergeCell ref="A98:A99"/>
    <mergeCell ref="A93:A94"/>
    <mergeCell ref="B93:B94"/>
    <mergeCell ref="D93:D94"/>
    <mergeCell ref="B95:B97"/>
    <mergeCell ref="E94:G94"/>
    <mergeCell ref="E95:J95"/>
    <mergeCell ref="F96:G96"/>
    <mergeCell ref="F97:G97"/>
    <mergeCell ref="I97:J97"/>
    <mergeCell ref="A85:A86"/>
    <mergeCell ref="B85:B86"/>
    <mergeCell ref="D85:D86"/>
    <mergeCell ref="A89:A90"/>
    <mergeCell ref="B89:B90"/>
    <mergeCell ref="A91:A92"/>
    <mergeCell ref="E81:G81"/>
    <mergeCell ref="B83:B84"/>
    <mergeCell ref="D83:D84"/>
    <mergeCell ref="A106:A107"/>
    <mergeCell ref="B106:B107"/>
    <mergeCell ref="I98:K98"/>
    <mergeCell ref="K97:L97"/>
    <mergeCell ref="E90:G90"/>
    <mergeCell ref="K95:L96"/>
    <mergeCell ref="J94:L94"/>
    <mergeCell ref="J92:L92"/>
    <mergeCell ref="A114:A115"/>
    <mergeCell ref="B114:B115"/>
    <mergeCell ref="D114:D115"/>
    <mergeCell ref="A112:A113"/>
    <mergeCell ref="B112:B113"/>
    <mergeCell ref="D112:D113"/>
    <mergeCell ref="D98:D99"/>
    <mergeCell ref="E93:G93"/>
    <mergeCell ref="B104:B105"/>
    <mergeCell ref="J115:L115"/>
    <mergeCell ref="A116:A117"/>
    <mergeCell ref="B116:B117"/>
    <mergeCell ref="D116:D117"/>
    <mergeCell ref="A137:A138"/>
    <mergeCell ref="B137:B138"/>
    <mergeCell ref="A131:A132"/>
    <mergeCell ref="B135:B136"/>
    <mergeCell ref="B139:B140"/>
    <mergeCell ref="D139:D140"/>
    <mergeCell ref="B120:B121"/>
    <mergeCell ref="A126:A127"/>
    <mergeCell ref="A135:A136"/>
    <mergeCell ref="E124:G124"/>
    <mergeCell ref="E123:G123"/>
    <mergeCell ref="I122:K122"/>
    <mergeCell ref="A139:A140"/>
    <mergeCell ref="E139:G139"/>
    <mergeCell ref="D122:D123"/>
    <mergeCell ref="E125:G125"/>
    <mergeCell ref="F129:G129"/>
    <mergeCell ref="E131:G131"/>
    <mergeCell ref="E132:G132"/>
    <mergeCell ref="E128:J128"/>
    <mergeCell ref="F130:G130"/>
    <mergeCell ref="D128:D130"/>
    <mergeCell ref="D135:D136"/>
    <mergeCell ref="E136:G136"/>
    <mergeCell ref="E129:E130"/>
    <mergeCell ref="B124:B125"/>
    <mergeCell ref="D124:D125"/>
    <mergeCell ref="A133:A134"/>
    <mergeCell ref="B133:B134"/>
    <mergeCell ref="D133:D134"/>
    <mergeCell ref="B128:B130"/>
    <mergeCell ref="A128:A130"/>
    <mergeCell ref="A124:A125"/>
    <mergeCell ref="A143:A144"/>
    <mergeCell ref="D131:D132"/>
    <mergeCell ref="D89:D90"/>
    <mergeCell ref="D95:D97"/>
    <mergeCell ref="E115:G115"/>
    <mergeCell ref="E117:G117"/>
    <mergeCell ref="E133:G133"/>
    <mergeCell ref="E114:G114"/>
    <mergeCell ref="E126:G126"/>
    <mergeCell ref="E127:G127"/>
    <mergeCell ref="D120:D121"/>
    <mergeCell ref="D126:D127"/>
    <mergeCell ref="E118:G118"/>
    <mergeCell ref="E120:G120"/>
    <mergeCell ref="E121:G121"/>
    <mergeCell ref="A118:A119"/>
    <mergeCell ref="B118:B119"/>
    <mergeCell ref="B122:B123"/>
    <mergeCell ref="A122:A123"/>
    <mergeCell ref="A120:A121"/>
    <mergeCell ref="B126:B127"/>
    <mergeCell ref="B131:B132"/>
    <mergeCell ref="A141:A142"/>
    <mergeCell ref="B141:B142"/>
    <mergeCell ref="D33:D35"/>
    <mergeCell ref="E38:G38"/>
    <mergeCell ref="D38:D39"/>
    <mergeCell ref="E40:G40"/>
    <mergeCell ref="E141:G141"/>
    <mergeCell ref="E122:G122"/>
    <mergeCell ref="D141:D142"/>
    <mergeCell ref="D118:D119"/>
    <mergeCell ref="E107:G107"/>
    <mergeCell ref="D104:D105"/>
    <mergeCell ref="E102:G102"/>
    <mergeCell ref="E103:G103"/>
    <mergeCell ref="D100:D101"/>
    <mergeCell ref="E100:G100"/>
    <mergeCell ref="E85:G85"/>
    <mergeCell ref="E50:G50"/>
    <mergeCell ref="E116:G116"/>
    <mergeCell ref="E88:G88"/>
    <mergeCell ref="E113:G113"/>
    <mergeCell ref="E112:G112"/>
    <mergeCell ref="E104:G104"/>
    <mergeCell ref="E36:G36"/>
    <mergeCell ref="E37:G37"/>
    <mergeCell ref="E34:E35"/>
    <mergeCell ref="B143:B144"/>
    <mergeCell ref="D143:D144"/>
    <mergeCell ref="E140:G140"/>
    <mergeCell ref="E144:G144"/>
    <mergeCell ref="E143:G143"/>
    <mergeCell ref="E134:G134"/>
    <mergeCell ref="E135:G135"/>
    <mergeCell ref="E138:G138"/>
    <mergeCell ref="D137:D138"/>
    <mergeCell ref="E137:G137"/>
    <mergeCell ref="E142:G142"/>
    <mergeCell ref="F34:G34"/>
    <mergeCell ref="F35:G35"/>
    <mergeCell ref="E119:G119"/>
    <mergeCell ref="E18:G18"/>
    <mergeCell ref="E15:G15"/>
    <mergeCell ref="E49:G49"/>
    <mergeCell ref="E56:G56"/>
    <mergeCell ref="E108:G108"/>
    <mergeCell ref="E109:G109"/>
    <mergeCell ref="E101:G101"/>
    <mergeCell ref="E98:G98"/>
    <mergeCell ref="E99:G99"/>
    <mergeCell ref="E58:G58"/>
    <mergeCell ref="E52:G52"/>
    <mergeCell ref="E53:G53"/>
    <mergeCell ref="E147:G147"/>
    <mergeCell ref="E145:G145"/>
    <mergeCell ref="A145:A146"/>
    <mergeCell ref="B145:B146"/>
    <mergeCell ref="D145:D146"/>
    <mergeCell ref="A147:A148"/>
    <mergeCell ref="B147:B148"/>
    <mergeCell ref="D147:D148"/>
    <mergeCell ref="E148:G148"/>
    <mergeCell ref="E146:G146"/>
    <mergeCell ref="B69:B70"/>
    <mergeCell ref="D64:D66"/>
    <mergeCell ref="E71:G71"/>
    <mergeCell ref="D73:D74"/>
    <mergeCell ref="E63:G63"/>
    <mergeCell ref="D62:D63"/>
    <mergeCell ref="E57:G57"/>
    <mergeCell ref="E70:G70"/>
    <mergeCell ref="D60:D61"/>
    <mergeCell ref="E61:G61"/>
    <mergeCell ref="E59:G59"/>
    <mergeCell ref="F66:G66"/>
    <mergeCell ref="E64:J64"/>
    <mergeCell ref="E67:G67"/>
    <mergeCell ref="I62:K62"/>
    <mergeCell ref="J61:L61"/>
    <mergeCell ref="I60:K60"/>
    <mergeCell ref="J74:L74"/>
    <mergeCell ref="I69:K69"/>
    <mergeCell ref="J68:L68"/>
    <mergeCell ref="I73:K73"/>
    <mergeCell ref="J72:L72"/>
    <mergeCell ref="I71:K71"/>
    <mergeCell ref="J70:L70"/>
    <mergeCell ref="A33:A35"/>
    <mergeCell ref="A36:A37"/>
    <mergeCell ref="B36:B37"/>
    <mergeCell ref="D36:D37"/>
    <mergeCell ref="B33:B35"/>
    <mergeCell ref="A38:A39"/>
    <mergeCell ref="D40:D41"/>
    <mergeCell ref="B42:B43"/>
    <mergeCell ref="J59:L59"/>
    <mergeCell ref="I58:K58"/>
    <mergeCell ref="J57:L57"/>
    <mergeCell ref="J37:L37"/>
    <mergeCell ref="J53:L53"/>
    <mergeCell ref="J51:L51"/>
    <mergeCell ref="I56:K56"/>
    <mergeCell ref="J55:L55"/>
    <mergeCell ref="I46:K46"/>
    <mergeCell ref="J45:L45"/>
    <mergeCell ref="A54:A55"/>
    <mergeCell ref="B54:B55"/>
    <mergeCell ref="D54:D55"/>
    <mergeCell ref="A48:A49"/>
    <mergeCell ref="D52:D53"/>
    <mergeCell ref="A46:A47"/>
    <mergeCell ref="I67:K67"/>
    <mergeCell ref="K64:L65"/>
    <mergeCell ref="I65:J65"/>
    <mergeCell ref="J148:L148"/>
    <mergeCell ref="I147:K147"/>
    <mergeCell ref="J146:L146"/>
    <mergeCell ref="I145:K145"/>
    <mergeCell ref="I93:K93"/>
    <mergeCell ref="J90:L90"/>
    <mergeCell ref="I89:K89"/>
    <mergeCell ref="J88:L88"/>
    <mergeCell ref="J144:L144"/>
    <mergeCell ref="I143:K143"/>
    <mergeCell ref="J142:L142"/>
    <mergeCell ref="I141:K141"/>
    <mergeCell ref="I110:K110"/>
    <mergeCell ref="J111:L111"/>
    <mergeCell ref="J138:L138"/>
    <mergeCell ref="I137:K137"/>
    <mergeCell ref="J134:L134"/>
    <mergeCell ref="I133:K133"/>
    <mergeCell ref="J105:L105"/>
    <mergeCell ref="I106:K106"/>
    <mergeCell ref="I116:K116"/>
    <mergeCell ref="J41:L41"/>
    <mergeCell ref="I79:K79"/>
    <mergeCell ref="J78:L78"/>
    <mergeCell ref="I83:K83"/>
    <mergeCell ref="J140:L140"/>
    <mergeCell ref="I139:K139"/>
    <mergeCell ref="K128:L129"/>
    <mergeCell ref="I129:J129"/>
    <mergeCell ref="I130:J130"/>
    <mergeCell ref="J136:L136"/>
    <mergeCell ref="I135:K135"/>
    <mergeCell ref="K130:L130"/>
    <mergeCell ref="J99:L99"/>
    <mergeCell ref="I112:K112"/>
    <mergeCell ref="J109:L109"/>
    <mergeCell ref="I108:K108"/>
    <mergeCell ref="J107:L107"/>
    <mergeCell ref="J103:L103"/>
    <mergeCell ref="I102:K102"/>
    <mergeCell ref="J101:L101"/>
    <mergeCell ref="I100:K100"/>
    <mergeCell ref="I104:K104"/>
    <mergeCell ref="I114:K114"/>
    <mergeCell ref="J113:L113"/>
    <mergeCell ref="I120:K120"/>
    <mergeCell ref="J119:L119"/>
    <mergeCell ref="I118:K118"/>
    <mergeCell ref="J117:L117"/>
    <mergeCell ref="J132:L132"/>
    <mergeCell ref="I131:K131"/>
    <mergeCell ref="J123:L123"/>
    <mergeCell ref="I153:J153"/>
    <mergeCell ref="J121:L121"/>
    <mergeCell ref="J127:L127"/>
    <mergeCell ref="I126:K126"/>
    <mergeCell ref="J125:L125"/>
    <mergeCell ref="I124:K124"/>
    <mergeCell ref="I154:J154"/>
    <mergeCell ref="I155:J155"/>
    <mergeCell ref="I156:J156"/>
    <mergeCell ref="I149:J149"/>
    <mergeCell ref="I150:J150"/>
    <mergeCell ref="I151:J151"/>
    <mergeCell ref="I152:J152"/>
    <mergeCell ref="I161:J161"/>
    <mergeCell ref="I162:J162"/>
    <mergeCell ref="I163:J163"/>
    <mergeCell ref="I164:J164"/>
    <mergeCell ref="I157:J157"/>
    <mergeCell ref="I158:J158"/>
    <mergeCell ref="I159:J159"/>
    <mergeCell ref="I160:J160"/>
    <mergeCell ref="I181:J181"/>
    <mergeCell ref="I169:J169"/>
    <mergeCell ref="I170:J170"/>
    <mergeCell ref="I171:J171"/>
    <mergeCell ref="I172:J172"/>
    <mergeCell ref="I165:J165"/>
    <mergeCell ref="I166:J166"/>
    <mergeCell ref="I167:J167"/>
    <mergeCell ref="I168:J168"/>
    <mergeCell ref="I177:J177"/>
    <mergeCell ref="I178:J178"/>
    <mergeCell ref="I179:J179"/>
    <mergeCell ref="I180:J180"/>
    <mergeCell ref="I173:J173"/>
    <mergeCell ref="I174:J174"/>
    <mergeCell ref="I175:J175"/>
    <mergeCell ref="I176:J176"/>
    <mergeCell ref="I186:J186"/>
    <mergeCell ref="I187:J187"/>
    <mergeCell ref="I188:J188"/>
    <mergeCell ref="I189:J189"/>
    <mergeCell ref="I193:J193"/>
    <mergeCell ref="I182:J182"/>
    <mergeCell ref="I183:J183"/>
    <mergeCell ref="I184:J184"/>
    <mergeCell ref="I185:J185"/>
    <mergeCell ref="I195:J195"/>
    <mergeCell ref="I196:J196"/>
    <mergeCell ref="I197:J197"/>
    <mergeCell ref="I198:J198"/>
    <mergeCell ref="I190:J190"/>
    <mergeCell ref="I191:J191"/>
    <mergeCell ref="I192:J192"/>
    <mergeCell ref="I194:J194"/>
    <mergeCell ref="I209:J209"/>
    <mergeCell ref="I210:J210"/>
    <mergeCell ref="I203:J203"/>
    <mergeCell ref="I204:J204"/>
    <mergeCell ref="I205:J205"/>
    <mergeCell ref="I206:J206"/>
    <mergeCell ref="K149:L149"/>
    <mergeCell ref="K150:L150"/>
    <mergeCell ref="K151:L151"/>
    <mergeCell ref="K152:L152"/>
    <mergeCell ref="I207:J207"/>
    <mergeCell ref="I208:J208"/>
    <mergeCell ref="I199:J199"/>
    <mergeCell ref="I200:J200"/>
    <mergeCell ref="I201:J201"/>
    <mergeCell ref="I202:J202"/>
    <mergeCell ref="K157:L157"/>
    <mergeCell ref="K158:L158"/>
    <mergeCell ref="K159:L159"/>
    <mergeCell ref="K160:L160"/>
    <mergeCell ref="K153:L153"/>
    <mergeCell ref="K154:L154"/>
    <mergeCell ref="K155:L155"/>
    <mergeCell ref="K156:L156"/>
    <mergeCell ref="K165:L165"/>
    <mergeCell ref="K166:L166"/>
    <mergeCell ref="K167:L167"/>
    <mergeCell ref="K168:L168"/>
    <mergeCell ref="K161:L161"/>
    <mergeCell ref="K162:L162"/>
    <mergeCell ref="K163:L163"/>
    <mergeCell ref="K164:L164"/>
    <mergeCell ref="K173:L173"/>
    <mergeCell ref="K174:L174"/>
    <mergeCell ref="K175:L175"/>
    <mergeCell ref="K176:L176"/>
    <mergeCell ref="K181:L181"/>
    <mergeCell ref="K169:L169"/>
    <mergeCell ref="K170:L170"/>
    <mergeCell ref="K171:L171"/>
    <mergeCell ref="K172:L172"/>
    <mergeCell ref="K182:L182"/>
    <mergeCell ref="K183:L183"/>
    <mergeCell ref="K184:L184"/>
    <mergeCell ref="K185:L185"/>
    <mergeCell ref="K177:L177"/>
    <mergeCell ref="K178:L178"/>
    <mergeCell ref="K179:L179"/>
    <mergeCell ref="K180:L180"/>
    <mergeCell ref="K190:L190"/>
    <mergeCell ref="K191:L191"/>
    <mergeCell ref="K192:L192"/>
    <mergeCell ref="K194:L194"/>
    <mergeCell ref="K186:L186"/>
    <mergeCell ref="K187:L187"/>
    <mergeCell ref="K188:L188"/>
    <mergeCell ref="K189:L189"/>
    <mergeCell ref="K193:L193"/>
    <mergeCell ref="K199:L199"/>
    <mergeCell ref="K200:L200"/>
    <mergeCell ref="K207:L207"/>
    <mergeCell ref="K208:L208"/>
    <mergeCell ref="K195:L195"/>
    <mergeCell ref="K196:L196"/>
    <mergeCell ref="K197:L197"/>
    <mergeCell ref="K198:L198"/>
    <mergeCell ref="K209:L209"/>
    <mergeCell ref="K210:L210"/>
    <mergeCell ref="K201:L201"/>
    <mergeCell ref="K202:L202"/>
    <mergeCell ref="K203:L203"/>
    <mergeCell ref="K204:L204"/>
    <mergeCell ref="K205:L205"/>
    <mergeCell ref="K206:L206"/>
    <mergeCell ref="H27:K27"/>
    <mergeCell ref="C27:D28"/>
    <mergeCell ref="C29:D30"/>
    <mergeCell ref="H28:I28"/>
    <mergeCell ref="H29:K29"/>
    <mergeCell ref="H31:K31"/>
    <mergeCell ref="C31:D32"/>
    <mergeCell ref="H10:I10"/>
    <mergeCell ref="H11:K11"/>
    <mergeCell ref="H13:K13"/>
    <mergeCell ref="C11:D12"/>
    <mergeCell ref="C13:D14"/>
    <mergeCell ref="C15:D16"/>
    <mergeCell ref="C17:D18"/>
    <mergeCell ref="C19:D20"/>
    <mergeCell ref="H15:K15"/>
    <mergeCell ref="H17:K17"/>
    <mergeCell ref="H19:K19"/>
    <mergeCell ref="E10:G10"/>
    <mergeCell ref="E31:G31"/>
    <mergeCell ref="E32:G32"/>
    <mergeCell ref="E16:G16"/>
    <mergeCell ref="J14:L14"/>
    <mergeCell ref="H25:K25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18009/2014&amp;RStrana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showGridLines="0" zoomScaleNormal="100" workbookViewId="0">
      <selection activeCell="F19" sqref="F19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" t="s">
        <v>31</v>
      </c>
    </row>
    <row r="2" spans="1:6" ht="16.5" thickTop="1" thickBot="1" x14ac:dyDescent="0.3">
      <c r="A2" s="1171" t="s">
        <v>32</v>
      </c>
      <c r="B2" s="1176" t="s">
        <v>1</v>
      </c>
      <c r="C2" s="1177"/>
      <c r="D2" s="1177"/>
      <c r="E2" s="1177"/>
      <c r="F2" s="1178"/>
    </row>
    <row r="3" spans="1:6" ht="70.5" customHeight="1" thickBot="1" x14ac:dyDescent="0.3">
      <c r="A3" s="1172"/>
      <c r="B3" s="46" t="s">
        <v>33</v>
      </c>
      <c r="C3" s="46" t="s">
        <v>34</v>
      </c>
      <c r="D3" s="29" t="s">
        <v>415</v>
      </c>
      <c r="E3" s="46" t="s">
        <v>416</v>
      </c>
      <c r="F3" s="46" t="s">
        <v>36</v>
      </c>
    </row>
    <row r="4" spans="1:6" ht="16.5" thickTop="1" thickBot="1" x14ac:dyDescent="0.3">
      <c r="A4" s="127" t="s">
        <v>37</v>
      </c>
      <c r="B4" s="42"/>
      <c r="C4" s="42"/>
      <c r="D4" s="42"/>
      <c r="E4" s="42"/>
      <c r="F4" s="43"/>
    </row>
    <row r="5" spans="1:6" ht="16.5" thickTop="1" thickBot="1" x14ac:dyDescent="0.3">
      <c r="A5" s="128"/>
      <c r="B5" s="44"/>
      <c r="C5" s="44"/>
      <c r="D5" s="22"/>
      <c r="E5" s="22"/>
      <c r="F5" s="15"/>
    </row>
    <row r="6" spans="1:6" ht="15.75" thickBot="1" x14ac:dyDescent="0.3">
      <c r="A6" s="128"/>
      <c r="B6" s="44"/>
      <c r="C6" s="44"/>
      <c r="D6" s="22"/>
      <c r="E6" s="22"/>
      <c r="F6" s="15"/>
    </row>
    <row r="7" spans="1:6" ht="15.75" thickBot="1" x14ac:dyDescent="0.3">
      <c r="A7" s="129"/>
      <c r="B7" s="45"/>
      <c r="C7" s="45"/>
      <c r="D7" s="24"/>
      <c r="E7" s="24"/>
      <c r="F7" s="17"/>
    </row>
    <row r="8" spans="1:6" ht="16.5" thickTop="1" thickBot="1" x14ac:dyDescent="0.3">
      <c r="A8" s="127" t="s">
        <v>38</v>
      </c>
      <c r="B8" s="42"/>
      <c r="C8" s="42"/>
      <c r="D8" s="42"/>
      <c r="E8" s="42"/>
      <c r="F8" s="43"/>
    </row>
    <row r="9" spans="1:6" ht="16.5" thickTop="1" thickBot="1" x14ac:dyDescent="0.3">
      <c r="A9" s="128"/>
      <c r="B9" s="44"/>
      <c r="C9" s="44"/>
      <c r="D9" s="22"/>
      <c r="E9" s="22"/>
      <c r="F9" s="15"/>
    </row>
    <row r="10" spans="1:6" ht="15.75" thickBot="1" x14ac:dyDescent="0.3">
      <c r="A10" s="128"/>
      <c r="B10" s="44"/>
      <c r="C10" s="44"/>
      <c r="D10" s="22"/>
      <c r="E10" s="22"/>
      <c r="F10" s="15"/>
    </row>
    <row r="11" spans="1:6" ht="15.75" thickBot="1" x14ac:dyDescent="0.3">
      <c r="A11" s="129"/>
      <c r="B11" s="45"/>
      <c r="C11" s="45"/>
      <c r="D11" s="24"/>
      <c r="E11" s="24"/>
      <c r="F11" s="17"/>
    </row>
    <row r="12" spans="1:6" ht="16.5" thickTop="1" thickBot="1" x14ac:dyDescent="0.3">
      <c r="A12" s="127" t="s">
        <v>39</v>
      </c>
      <c r="B12" s="42"/>
      <c r="C12" s="42"/>
      <c r="D12" s="42"/>
      <c r="E12" s="42"/>
      <c r="F12" s="43"/>
    </row>
    <row r="13" spans="1:6" ht="16.5" thickTop="1" thickBot="1" x14ac:dyDescent="0.3">
      <c r="A13" s="128"/>
      <c r="B13" s="44"/>
      <c r="C13" s="44"/>
      <c r="D13" s="22"/>
      <c r="E13" s="22"/>
      <c r="F13" s="15"/>
    </row>
    <row r="14" spans="1:6" ht="15.75" thickBot="1" x14ac:dyDescent="0.3">
      <c r="A14" s="128"/>
      <c r="B14" s="44"/>
      <c r="C14" s="44"/>
      <c r="D14" s="22"/>
      <c r="E14" s="22"/>
      <c r="F14" s="15"/>
    </row>
    <row r="15" spans="1:6" ht="15.75" thickBot="1" x14ac:dyDescent="0.3">
      <c r="A15" s="129"/>
      <c r="B15" s="45"/>
      <c r="C15" s="45"/>
      <c r="D15" s="24"/>
      <c r="E15" s="24"/>
      <c r="F15" s="17"/>
    </row>
    <row r="16" spans="1:6" ht="16.5" thickTop="1" thickBot="1" x14ac:dyDescent="0.3">
      <c r="A16" s="127" t="s">
        <v>40</v>
      </c>
      <c r="B16" s="42"/>
      <c r="C16" s="42"/>
      <c r="D16" s="42"/>
      <c r="E16" s="42"/>
      <c r="F16" s="43"/>
    </row>
    <row r="17" spans="1:6" ht="16.5" thickTop="1" thickBot="1" x14ac:dyDescent="0.3">
      <c r="A17" s="130"/>
      <c r="B17" s="44"/>
      <c r="C17" s="44"/>
      <c r="D17" s="22"/>
      <c r="E17" s="22"/>
      <c r="F17" s="15"/>
    </row>
    <row r="18" spans="1:6" ht="15.75" thickBot="1" x14ac:dyDescent="0.3">
      <c r="A18" s="75"/>
      <c r="B18" s="45"/>
      <c r="C18" s="45"/>
      <c r="D18" s="162"/>
      <c r="E18" s="36"/>
      <c r="F18" s="163"/>
    </row>
    <row r="19" spans="1:6" ht="24" thickTop="1" thickBot="1" x14ac:dyDescent="0.3">
      <c r="A19" s="23" t="s">
        <v>41</v>
      </c>
      <c r="B19" s="26" t="s">
        <v>6</v>
      </c>
      <c r="C19" s="26" t="s">
        <v>6</v>
      </c>
      <c r="D19" s="26" t="s">
        <v>6</v>
      </c>
      <c r="E19" s="26" t="s">
        <v>6</v>
      </c>
      <c r="F19" s="17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J66"/>
  <sheetViews>
    <sheetView view="pageBreakPreview" topLeftCell="A52" zoomScaleNormal="100" zoomScaleSheetLayoutView="100" workbookViewId="0">
      <selection activeCell="H62" sqref="H62"/>
    </sheetView>
  </sheetViews>
  <sheetFormatPr defaultColWidth="9.140625" defaultRowHeight="10.5" x14ac:dyDescent="0.25"/>
  <cols>
    <col min="1" max="1" width="4.42578125" style="478" customWidth="1"/>
    <col min="2" max="2" width="37.5703125" style="478" customWidth="1"/>
    <col min="3" max="3" width="1.42578125" style="478" customWidth="1"/>
    <col min="4" max="4" width="6.42578125" style="478" customWidth="1"/>
    <col min="5" max="6" width="29.5703125" style="478" customWidth="1"/>
    <col min="7" max="16384" width="9.140625" style="478"/>
  </cols>
  <sheetData>
    <row r="1" spans="1:10" s="445" customFormat="1" ht="7.5" customHeight="1" x14ac:dyDescent="0.25">
      <c r="A1" s="444"/>
      <c r="G1" s="388"/>
      <c r="H1" s="388"/>
    </row>
    <row r="2" spans="1:10" s="445" customFormat="1" ht="17.25" customHeight="1" x14ac:dyDescent="0.25">
      <c r="A2" s="444"/>
      <c r="B2" s="469" t="s">
        <v>1124</v>
      </c>
      <c r="C2" s="388"/>
      <c r="D2" s="468" t="s">
        <v>1123</v>
      </c>
      <c r="E2" s="524" t="e">
        <f>" "&amp;#REF!&amp;"  "&amp;#REF!&amp;"  "&amp;#REF!&amp;"  "&amp;#REF!&amp;"  "&amp;#REF!&amp;"  "&amp;#REF!&amp;"  "&amp;#REF!&amp;"  "&amp;#REF!&amp;"  "&amp;#REF!&amp;"  "&amp;#REF!</f>
        <v>#REF!</v>
      </c>
    </row>
    <row r="3" spans="1:10" s="445" customFormat="1" ht="7.5" customHeight="1" thickBot="1" x14ac:dyDescent="0.3">
      <c r="A3" s="444"/>
      <c r="B3" s="523"/>
      <c r="C3" s="388"/>
    </row>
    <row r="4" spans="1:10" s="503" customFormat="1" ht="11.25" customHeight="1" x14ac:dyDescent="0.25">
      <c r="A4" s="522"/>
      <c r="B4" s="521"/>
      <c r="C4" s="520"/>
      <c r="D4" s="519"/>
      <c r="E4" s="1703" t="s">
        <v>1191</v>
      </c>
      <c r="F4" s="1728"/>
    </row>
    <row r="5" spans="1:10" s="503" customFormat="1" ht="33.75" customHeight="1" x14ac:dyDescent="0.15">
      <c r="A5" s="518" t="s">
        <v>1029</v>
      </c>
      <c r="B5" s="517" t="s">
        <v>1190</v>
      </c>
      <c r="C5" s="516"/>
      <c r="D5" s="515" t="s">
        <v>1027</v>
      </c>
      <c r="E5" s="514" t="s">
        <v>1189</v>
      </c>
      <c r="F5" s="513" t="s">
        <v>1188</v>
      </c>
    </row>
    <row r="6" spans="1:10" s="503" customFormat="1" ht="29.65" customHeight="1" x14ac:dyDescent="0.25">
      <c r="A6" s="449" t="s">
        <v>779</v>
      </c>
      <c r="B6" s="484" t="s">
        <v>1187</v>
      </c>
      <c r="C6" s="483"/>
      <c r="D6" s="446" t="s">
        <v>780</v>
      </c>
      <c r="E6" s="482">
        <f>'P&amp;L old'!D9</f>
        <v>0</v>
      </c>
      <c r="F6" s="482">
        <f>'P&amp;L old'!E9</f>
        <v>0</v>
      </c>
    </row>
    <row r="7" spans="1:10" s="503" customFormat="1" ht="29.65" customHeight="1" x14ac:dyDescent="0.25">
      <c r="A7" s="449" t="s">
        <v>781</v>
      </c>
      <c r="B7" s="484" t="s">
        <v>1186</v>
      </c>
      <c r="C7" s="483"/>
      <c r="D7" s="446" t="s">
        <v>783</v>
      </c>
      <c r="E7" s="530">
        <f>'P&amp;L old'!D10</f>
        <v>0</v>
      </c>
      <c r="F7" s="482">
        <f>'P&amp;L old'!E10</f>
        <v>0</v>
      </c>
    </row>
    <row r="8" spans="1:10" s="508" customFormat="1" ht="29.65" customHeight="1" x14ac:dyDescent="0.25">
      <c r="A8" s="450" t="s">
        <v>784</v>
      </c>
      <c r="B8" s="486" t="s">
        <v>1185</v>
      </c>
      <c r="C8" s="485"/>
      <c r="D8" s="456" t="s">
        <v>786</v>
      </c>
      <c r="E8" s="530">
        <f>'P&amp;L old'!D11</f>
        <v>0</v>
      </c>
      <c r="F8" s="482">
        <f>'P&amp;L old'!E11</f>
        <v>0</v>
      </c>
    </row>
    <row r="9" spans="1:10" s="508" customFormat="1" ht="29.65" customHeight="1" x14ac:dyDescent="0.25">
      <c r="A9" s="450" t="s">
        <v>787</v>
      </c>
      <c r="B9" s="486" t="s">
        <v>1184</v>
      </c>
      <c r="C9" s="485"/>
      <c r="D9" s="456" t="s">
        <v>789</v>
      </c>
      <c r="E9" s="530">
        <f>'P&amp;L old'!D12</f>
        <v>0</v>
      </c>
      <c r="F9" s="482">
        <f>'P&amp;L old'!E12</f>
        <v>0</v>
      </c>
    </row>
    <row r="10" spans="1:10" s="503" customFormat="1" ht="29.65" customHeight="1" x14ac:dyDescent="0.25">
      <c r="A10" s="448" t="s">
        <v>790</v>
      </c>
      <c r="B10" s="484" t="s">
        <v>1183</v>
      </c>
      <c r="C10" s="483"/>
      <c r="D10" s="446" t="s">
        <v>792</v>
      </c>
      <c r="E10" s="530">
        <f>'P&amp;L old'!D13</f>
        <v>0</v>
      </c>
      <c r="F10" s="482">
        <f>'P&amp;L old'!E13</f>
        <v>0</v>
      </c>
    </row>
    <row r="11" spans="1:10" s="503" customFormat="1" ht="29.65" customHeight="1" x14ac:dyDescent="0.25">
      <c r="A11" s="448" t="s">
        <v>498</v>
      </c>
      <c r="B11" s="484" t="s">
        <v>1182</v>
      </c>
      <c r="C11" s="483"/>
      <c r="D11" s="446" t="s">
        <v>794</v>
      </c>
      <c r="E11" s="530">
        <f>'P&amp;L old'!D14</f>
        <v>0</v>
      </c>
      <c r="F11" s="482">
        <f>'P&amp;L old'!E14</f>
        <v>0</v>
      </c>
    </row>
    <row r="12" spans="1:10" s="503" customFormat="1" ht="29.65" customHeight="1" x14ac:dyDescent="0.25">
      <c r="A12" s="448" t="s">
        <v>501</v>
      </c>
      <c r="B12" s="484" t="s">
        <v>1181</v>
      </c>
      <c r="C12" s="483"/>
      <c r="D12" s="446" t="s">
        <v>796</v>
      </c>
      <c r="E12" s="530">
        <f>'P&amp;L old'!D15</f>
        <v>0</v>
      </c>
      <c r="F12" s="482">
        <f>'P&amp;L old'!E15</f>
        <v>0</v>
      </c>
    </row>
    <row r="13" spans="1:10" s="508" customFormat="1" ht="29.65" customHeight="1" x14ac:dyDescent="0.25">
      <c r="A13" s="450" t="s">
        <v>560</v>
      </c>
      <c r="B13" s="486" t="s">
        <v>1180</v>
      </c>
      <c r="C13" s="485"/>
      <c r="D13" s="456" t="s">
        <v>798</v>
      </c>
      <c r="E13" s="530">
        <f>'P&amp;L old'!D16</f>
        <v>0</v>
      </c>
      <c r="F13" s="482">
        <f>'P&amp;L old'!E16</f>
        <v>0</v>
      </c>
      <c r="J13" s="503"/>
    </row>
    <row r="14" spans="1:10" s="503" customFormat="1" ht="29.65" customHeight="1" x14ac:dyDescent="0.25">
      <c r="A14" s="449" t="s">
        <v>799</v>
      </c>
      <c r="B14" s="484" t="s">
        <v>1179</v>
      </c>
      <c r="C14" s="483"/>
      <c r="D14" s="446" t="s">
        <v>801</v>
      </c>
      <c r="E14" s="530">
        <f>'P&amp;L old'!D17</f>
        <v>0</v>
      </c>
      <c r="F14" s="482">
        <f>'P&amp;L old'!E17</f>
        <v>0</v>
      </c>
    </row>
    <row r="15" spans="1:10" s="503" customFormat="1" ht="29.65" customHeight="1" x14ac:dyDescent="0.25">
      <c r="A15" s="449" t="s">
        <v>802</v>
      </c>
      <c r="B15" s="484" t="s">
        <v>1178</v>
      </c>
      <c r="C15" s="483"/>
      <c r="D15" s="446" t="s">
        <v>804</v>
      </c>
      <c r="E15" s="530">
        <f>'P&amp;L old'!D18</f>
        <v>0</v>
      </c>
      <c r="F15" s="482">
        <f>'P&amp;L old'!E18</f>
        <v>0</v>
      </c>
    </row>
    <row r="16" spans="1:10" s="508" customFormat="1" ht="29.65" customHeight="1" x14ac:dyDescent="0.25">
      <c r="A16" s="450" t="s">
        <v>784</v>
      </c>
      <c r="B16" s="486" t="s">
        <v>1177</v>
      </c>
      <c r="C16" s="485"/>
      <c r="D16" s="456" t="s">
        <v>806</v>
      </c>
      <c r="E16" s="530">
        <f>'P&amp;L old'!D19</f>
        <v>0</v>
      </c>
      <c r="F16" s="482">
        <f>'P&amp;L old'!E19</f>
        <v>0</v>
      </c>
    </row>
    <row r="17" spans="1:6" s="503" customFormat="1" ht="29.65" customHeight="1" x14ac:dyDescent="0.25">
      <c r="A17" s="449" t="s">
        <v>629</v>
      </c>
      <c r="B17" s="484" t="s">
        <v>1176</v>
      </c>
      <c r="C17" s="483"/>
      <c r="D17" s="446" t="s">
        <v>808</v>
      </c>
      <c r="E17" s="530">
        <f>'P&amp;L old'!D20</f>
        <v>0</v>
      </c>
      <c r="F17" s="482">
        <f>'P&amp;L old'!E20</f>
        <v>0</v>
      </c>
    </row>
    <row r="18" spans="1:6" s="503" customFormat="1" ht="29.65" customHeight="1" x14ac:dyDescent="0.25">
      <c r="A18" s="449" t="s">
        <v>632</v>
      </c>
      <c r="B18" s="484" t="s">
        <v>1175</v>
      </c>
      <c r="C18" s="483"/>
      <c r="D18" s="446" t="s">
        <v>810</v>
      </c>
      <c r="E18" s="530">
        <f>'P&amp;L old'!D21</f>
        <v>0</v>
      </c>
      <c r="F18" s="482">
        <f>'P&amp;L old'!E21</f>
        <v>0</v>
      </c>
    </row>
    <row r="19" spans="1:6" s="503" customFormat="1" ht="29.65" customHeight="1" x14ac:dyDescent="0.25">
      <c r="A19" s="449" t="s">
        <v>802</v>
      </c>
      <c r="B19" s="484" t="s">
        <v>1174</v>
      </c>
      <c r="C19" s="483"/>
      <c r="D19" s="446" t="s">
        <v>812</v>
      </c>
      <c r="E19" s="530">
        <f>'P&amp;L old'!D22</f>
        <v>0</v>
      </c>
      <c r="F19" s="482">
        <f>'P&amp;L old'!E22</f>
        <v>0</v>
      </c>
    </row>
    <row r="20" spans="1:6" s="503" customFormat="1" ht="29.65" customHeight="1" x14ac:dyDescent="0.25">
      <c r="A20" s="449" t="s">
        <v>813</v>
      </c>
      <c r="B20" s="484" t="s">
        <v>1173</v>
      </c>
      <c r="C20" s="483"/>
      <c r="D20" s="446" t="s">
        <v>815</v>
      </c>
      <c r="E20" s="530">
        <f>'P&amp;L old'!D23</f>
        <v>0</v>
      </c>
      <c r="F20" s="482">
        <f>'P&amp;L old'!E23</f>
        <v>0</v>
      </c>
    </row>
    <row r="21" spans="1:6" s="503" customFormat="1" ht="29.65" customHeight="1" x14ac:dyDescent="0.25">
      <c r="A21" s="449" t="s">
        <v>816</v>
      </c>
      <c r="B21" s="484" t="s">
        <v>1172</v>
      </c>
      <c r="C21" s="483"/>
      <c r="D21" s="446" t="s">
        <v>818</v>
      </c>
      <c r="E21" s="530">
        <f>'P&amp;L old'!D24</f>
        <v>0</v>
      </c>
      <c r="F21" s="482">
        <f>'P&amp;L old'!E24</f>
        <v>0</v>
      </c>
    </row>
    <row r="22" spans="1:6" s="503" customFormat="1" ht="29.65" customHeight="1" x14ac:dyDescent="0.25">
      <c r="A22" s="449" t="s">
        <v>819</v>
      </c>
      <c r="B22" s="484" t="s">
        <v>1171</v>
      </c>
      <c r="C22" s="483"/>
      <c r="D22" s="446" t="s">
        <v>821</v>
      </c>
      <c r="E22" s="530">
        <f>'P&amp;L old'!D25</f>
        <v>0</v>
      </c>
      <c r="F22" s="482">
        <f>'P&amp;L old'!E25</f>
        <v>0</v>
      </c>
    </row>
    <row r="23" spans="1:6" s="503" customFormat="1" ht="29.65" customHeight="1" x14ac:dyDescent="0.25">
      <c r="A23" s="449" t="s">
        <v>822</v>
      </c>
      <c r="B23" s="484" t="s">
        <v>1170</v>
      </c>
      <c r="C23" s="483"/>
      <c r="D23" s="446" t="s">
        <v>824</v>
      </c>
      <c r="E23" s="530">
        <f>'P&amp;L old'!D26</f>
        <v>0</v>
      </c>
      <c r="F23" s="482">
        <f>'P&amp;L old'!E26</f>
        <v>0</v>
      </c>
    </row>
    <row r="24" spans="1:6" s="503" customFormat="1" ht="29.65" customHeight="1" x14ac:dyDescent="0.25">
      <c r="A24" s="449" t="s">
        <v>825</v>
      </c>
      <c r="B24" s="484" t="s">
        <v>1169</v>
      </c>
      <c r="C24" s="483"/>
      <c r="D24" s="446" t="s">
        <v>827</v>
      </c>
      <c r="E24" s="530">
        <f>'P&amp;L old'!D27</f>
        <v>0</v>
      </c>
      <c r="F24" s="482">
        <f>'P&amp;L old'!E27</f>
        <v>0</v>
      </c>
    </row>
    <row r="25" spans="1:6" s="503" customFormat="1" ht="29.65" customHeight="1" x14ac:dyDescent="0.25">
      <c r="A25" s="449" t="s">
        <v>828</v>
      </c>
      <c r="B25" s="484" t="s">
        <v>1168</v>
      </c>
      <c r="C25" s="483"/>
      <c r="D25" s="446" t="s">
        <v>830</v>
      </c>
      <c r="E25" s="530">
        <f>'P&amp;L old'!D28</f>
        <v>0</v>
      </c>
      <c r="F25" s="482">
        <f>'P&amp;L old'!E28</f>
        <v>0</v>
      </c>
    </row>
    <row r="26" spans="1:6" s="503" customFormat="1" ht="29.65" customHeight="1" x14ac:dyDescent="0.25">
      <c r="A26" s="449" t="s">
        <v>831</v>
      </c>
      <c r="B26" s="512" t="s">
        <v>1167</v>
      </c>
      <c r="C26" s="511"/>
      <c r="D26" s="446" t="s">
        <v>833</v>
      </c>
      <c r="E26" s="530">
        <f>'P&amp;L old'!D29</f>
        <v>0</v>
      </c>
      <c r="F26" s="482">
        <f>'P&amp;L old'!E29</f>
        <v>0</v>
      </c>
    </row>
    <row r="27" spans="1:6" s="503" customFormat="1" ht="29.65" customHeight="1" x14ac:dyDescent="0.25">
      <c r="A27" s="449" t="s">
        <v>834</v>
      </c>
      <c r="B27" s="484" t="s">
        <v>1166</v>
      </c>
      <c r="C27" s="483"/>
      <c r="D27" s="446" t="s">
        <v>836</v>
      </c>
      <c r="E27" s="530">
        <f>'P&amp;L old'!D30</f>
        <v>0</v>
      </c>
      <c r="F27" s="482">
        <f>'P&amp;L old'!E30</f>
        <v>0</v>
      </c>
    </row>
    <row r="28" spans="1:6" s="503" customFormat="1" ht="29.65" customHeight="1" x14ac:dyDescent="0.25">
      <c r="A28" s="449" t="s">
        <v>837</v>
      </c>
      <c r="B28" s="512" t="s">
        <v>1165</v>
      </c>
      <c r="C28" s="511"/>
      <c r="D28" s="446" t="s">
        <v>839</v>
      </c>
      <c r="E28" s="530">
        <f>'P&amp;L old'!D31</f>
        <v>0</v>
      </c>
      <c r="F28" s="482">
        <f>'P&amp;L old'!E31</f>
        <v>0</v>
      </c>
    </row>
    <row r="29" spans="1:6" s="503" customFormat="1" ht="29.65" customHeight="1" x14ac:dyDescent="0.25">
      <c r="A29" s="449" t="s">
        <v>840</v>
      </c>
      <c r="B29" s="484" t="s">
        <v>1164</v>
      </c>
      <c r="C29" s="483"/>
      <c r="D29" s="446" t="s">
        <v>842</v>
      </c>
      <c r="E29" s="530">
        <f>'P&amp;L old'!D32</f>
        <v>0</v>
      </c>
      <c r="F29" s="482">
        <f>'P&amp;L old'!E32</f>
        <v>0</v>
      </c>
    </row>
    <row r="30" spans="1:6" s="503" customFormat="1" ht="29.65" customHeight="1" x14ac:dyDescent="0.25">
      <c r="A30" s="449" t="s">
        <v>843</v>
      </c>
      <c r="B30" s="484" t="s">
        <v>1163</v>
      </c>
      <c r="C30" s="483"/>
      <c r="D30" s="446" t="s">
        <v>845</v>
      </c>
      <c r="E30" s="530">
        <f>'P&amp;L old'!D33</f>
        <v>0</v>
      </c>
      <c r="F30" s="482">
        <f>'P&amp;L old'!E33</f>
        <v>0</v>
      </c>
    </row>
    <row r="31" spans="1:6" s="508" customFormat="1" ht="33.75" customHeight="1" x14ac:dyDescent="0.25">
      <c r="A31" s="450" t="s">
        <v>846</v>
      </c>
      <c r="B31" s="510" t="s">
        <v>1162</v>
      </c>
      <c r="C31" s="509"/>
      <c r="D31" s="456" t="s">
        <v>848</v>
      </c>
      <c r="E31" s="530">
        <f>'P&amp;L old'!D34</f>
        <v>0</v>
      </c>
      <c r="F31" s="482">
        <f>'P&amp;L old'!E34</f>
        <v>0</v>
      </c>
    </row>
    <row r="32" spans="1:6" s="503" customFormat="1" ht="29.65" customHeight="1" thickBot="1" x14ac:dyDescent="0.3">
      <c r="A32" s="507" t="s">
        <v>849</v>
      </c>
      <c r="B32" s="506" t="s">
        <v>1161</v>
      </c>
      <c r="C32" s="505"/>
      <c r="D32" s="504" t="s">
        <v>851</v>
      </c>
      <c r="E32" s="530">
        <f>'P&amp;L old'!D35</f>
        <v>0</v>
      </c>
      <c r="F32" s="482">
        <f>'P&amp;L old'!E35</f>
        <v>0</v>
      </c>
    </row>
    <row r="33" spans="1:6" ht="24.75" customHeight="1" x14ac:dyDescent="0.25">
      <c r="A33" s="495" t="s">
        <v>852</v>
      </c>
      <c r="B33" s="494" t="s">
        <v>1160</v>
      </c>
      <c r="C33" s="493"/>
      <c r="D33" s="492" t="s">
        <v>854</v>
      </c>
      <c r="E33" s="530">
        <f>'P&amp;L old'!D36</f>
        <v>0</v>
      </c>
      <c r="F33" s="482">
        <f>'P&amp;L old'!E36</f>
        <v>0</v>
      </c>
    </row>
    <row r="34" spans="1:6" ht="30.75" customHeight="1" x14ac:dyDescent="0.25">
      <c r="A34" s="495" t="s">
        <v>855</v>
      </c>
      <c r="B34" s="502" t="s">
        <v>1159</v>
      </c>
      <c r="C34" s="501"/>
      <c r="D34" s="492" t="s">
        <v>857</v>
      </c>
      <c r="E34" s="530">
        <f>'P&amp;L old'!D37</f>
        <v>0</v>
      </c>
      <c r="F34" s="482">
        <f>'P&amp;L old'!E37</f>
        <v>0</v>
      </c>
    </row>
    <row r="35" spans="1:6" ht="36.75" customHeight="1" x14ac:dyDescent="0.25">
      <c r="A35" s="449" t="s">
        <v>858</v>
      </c>
      <c r="B35" s="484" t="s">
        <v>1158</v>
      </c>
      <c r="C35" s="483"/>
      <c r="D35" s="446" t="s">
        <v>860</v>
      </c>
      <c r="E35" s="530">
        <f>'P&amp;L old'!D38</f>
        <v>0</v>
      </c>
      <c r="F35" s="482">
        <f>'P&amp;L old'!E38</f>
        <v>0</v>
      </c>
    </row>
    <row r="36" spans="1:6" ht="30.75" customHeight="1" x14ac:dyDescent="0.25">
      <c r="A36" s="449" t="s">
        <v>861</v>
      </c>
      <c r="B36" s="484" t="s">
        <v>1157</v>
      </c>
      <c r="C36" s="483"/>
      <c r="D36" s="446" t="s">
        <v>863</v>
      </c>
      <c r="E36" s="530">
        <f>'P&amp;L old'!D39</f>
        <v>0</v>
      </c>
      <c r="F36" s="482">
        <f>'P&amp;L old'!E39</f>
        <v>0</v>
      </c>
    </row>
    <row r="37" spans="1:6" ht="30" customHeight="1" x14ac:dyDescent="0.25">
      <c r="A37" s="449" t="s">
        <v>864</v>
      </c>
      <c r="B37" s="484" t="s">
        <v>1156</v>
      </c>
      <c r="C37" s="483"/>
      <c r="D37" s="446" t="s">
        <v>866</v>
      </c>
      <c r="E37" s="530">
        <f>'P&amp;L old'!D40</f>
        <v>0</v>
      </c>
      <c r="F37" s="482">
        <f>'P&amp;L old'!E40</f>
        <v>0</v>
      </c>
    </row>
    <row r="38" spans="1:6" ht="26.25" customHeight="1" x14ac:dyDescent="0.25">
      <c r="A38" s="449" t="s">
        <v>867</v>
      </c>
      <c r="B38" s="484" t="s">
        <v>1155</v>
      </c>
      <c r="C38" s="483"/>
      <c r="D38" s="446" t="s">
        <v>869</v>
      </c>
      <c r="E38" s="530">
        <f>'P&amp;L old'!D41</f>
        <v>0</v>
      </c>
      <c r="F38" s="482">
        <f>'P&amp;L old'!E41</f>
        <v>0</v>
      </c>
    </row>
    <row r="39" spans="1:6" ht="22.5" customHeight="1" x14ac:dyDescent="0.25">
      <c r="A39" s="449" t="s">
        <v>870</v>
      </c>
      <c r="B39" s="484" t="s">
        <v>1154</v>
      </c>
      <c r="C39" s="483"/>
      <c r="D39" s="446" t="s">
        <v>872</v>
      </c>
      <c r="E39" s="530">
        <f>'P&amp;L old'!D42</f>
        <v>0</v>
      </c>
      <c r="F39" s="482">
        <f>'P&amp;L old'!E42</f>
        <v>0</v>
      </c>
    </row>
    <row r="40" spans="1:6" ht="30.75" customHeight="1" x14ac:dyDescent="0.25">
      <c r="A40" s="449" t="s">
        <v>873</v>
      </c>
      <c r="B40" s="484" t="s">
        <v>1153</v>
      </c>
      <c r="C40" s="483"/>
      <c r="D40" s="446" t="s">
        <v>875</v>
      </c>
      <c r="E40" s="530">
        <f>'P&amp;L old'!D43</f>
        <v>0</v>
      </c>
      <c r="F40" s="482">
        <f>'P&amp;L old'!E43</f>
        <v>0</v>
      </c>
    </row>
    <row r="41" spans="1:6" ht="30" customHeight="1" x14ac:dyDescent="0.25">
      <c r="A41" s="449" t="s">
        <v>876</v>
      </c>
      <c r="B41" s="484" t="s">
        <v>1152</v>
      </c>
      <c r="C41" s="483"/>
      <c r="D41" s="446" t="s">
        <v>878</v>
      </c>
      <c r="E41" s="530">
        <f>'P&amp;L old'!D44</f>
        <v>0</v>
      </c>
      <c r="F41" s="482">
        <f>'P&amp;L old'!E44</f>
        <v>0</v>
      </c>
    </row>
    <row r="42" spans="1:6" ht="32.25" customHeight="1" x14ac:dyDescent="0.25">
      <c r="A42" s="449" t="s">
        <v>879</v>
      </c>
      <c r="B42" s="484" t="s">
        <v>1151</v>
      </c>
      <c r="C42" s="483"/>
      <c r="D42" s="446" t="s">
        <v>881</v>
      </c>
      <c r="E42" s="530">
        <f>'P&amp;L old'!D45</f>
        <v>0</v>
      </c>
      <c r="F42" s="482">
        <f>'P&amp;L old'!E45</f>
        <v>0</v>
      </c>
    </row>
    <row r="43" spans="1:6" ht="24" customHeight="1" x14ac:dyDescent="0.25">
      <c r="A43" s="449" t="s">
        <v>882</v>
      </c>
      <c r="B43" s="484" t="s">
        <v>1150</v>
      </c>
      <c r="C43" s="483"/>
      <c r="D43" s="446" t="s">
        <v>884</v>
      </c>
      <c r="E43" s="530">
        <f>'P&amp;L old'!D46</f>
        <v>0</v>
      </c>
      <c r="F43" s="482">
        <f>'P&amp;L old'!E46</f>
        <v>0</v>
      </c>
    </row>
    <row r="44" spans="1:6" ht="26.25" customHeight="1" x14ac:dyDescent="0.25">
      <c r="A44" s="449" t="s">
        <v>885</v>
      </c>
      <c r="B44" s="484" t="s">
        <v>1149</v>
      </c>
      <c r="C44" s="483"/>
      <c r="D44" s="446" t="s">
        <v>887</v>
      </c>
      <c r="E44" s="530">
        <f>'P&amp;L old'!D47</f>
        <v>0</v>
      </c>
      <c r="F44" s="482">
        <f>'P&amp;L old'!E47</f>
        <v>0</v>
      </c>
    </row>
    <row r="45" spans="1:6" ht="24.75" customHeight="1" x14ac:dyDescent="0.25">
      <c r="A45" s="449" t="s">
        <v>888</v>
      </c>
      <c r="B45" s="484" t="s">
        <v>1148</v>
      </c>
      <c r="C45" s="483"/>
      <c r="D45" s="446" t="s">
        <v>890</v>
      </c>
      <c r="E45" s="530">
        <f>'P&amp;L old'!D48</f>
        <v>0</v>
      </c>
      <c r="F45" s="482">
        <f>'P&amp;L old'!E48</f>
        <v>0</v>
      </c>
    </row>
    <row r="46" spans="1:6" ht="27" customHeight="1" x14ac:dyDescent="0.25">
      <c r="A46" s="449" t="s">
        <v>891</v>
      </c>
      <c r="B46" s="484" t="s">
        <v>1147</v>
      </c>
      <c r="C46" s="483"/>
      <c r="D46" s="446" t="s">
        <v>893</v>
      </c>
      <c r="E46" s="530">
        <f>'P&amp;L old'!D49</f>
        <v>0</v>
      </c>
      <c r="F46" s="482">
        <f>'P&amp;L old'!E49</f>
        <v>0</v>
      </c>
    </row>
    <row r="47" spans="1:6" ht="29.25" customHeight="1" x14ac:dyDescent="0.25">
      <c r="A47" s="449" t="s">
        <v>894</v>
      </c>
      <c r="B47" s="484" t="s">
        <v>1146</v>
      </c>
      <c r="C47" s="483"/>
      <c r="D47" s="446" t="s">
        <v>896</v>
      </c>
      <c r="E47" s="530">
        <f>'P&amp;L old'!D50</f>
        <v>0</v>
      </c>
      <c r="F47" s="482">
        <f>'P&amp;L old'!E50</f>
        <v>0</v>
      </c>
    </row>
    <row r="48" spans="1:6" ht="27.75" customHeight="1" x14ac:dyDescent="0.25">
      <c r="A48" s="449" t="s">
        <v>897</v>
      </c>
      <c r="B48" s="484" t="s">
        <v>1145</v>
      </c>
      <c r="C48" s="483"/>
      <c r="D48" s="446" t="s">
        <v>899</v>
      </c>
      <c r="E48" s="530">
        <f>'P&amp;L old'!D51</f>
        <v>0</v>
      </c>
      <c r="F48" s="482">
        <f>'P&amp;L old'!E51</f>
        <v>0</v>
      </c>
    </row>
    <row r="49" spans="1:6" ht="27.75" customHeight="1" x14ac:dyDescent="0.25">
      <c r="A49" s="449" t="s">
        <v>900</v>
      </c>
      <c r="B49" s="484" t="s">
        <v>1144</v>
      </c>
      <c r="C49" s="483"/>
      <c r="D49" s="446" t="s">
        <v>902</v>
      </c>
      <c r="E49" s="530">
        <f>'P&amp;L old'!D52</f>
        <v>0</v>
      </c>
      <c r="F49" s="482">
        <f>'P&amp;L old'!E52</f>
        <v>0</v>
      </c>
    </row>
    <row r="50" spans="1:6" ht="27.75" customHeight="1" x14ac:dyDescent="0.25">
      <c r="A50" s="449" t="s">
        <v>903</v>
      </c>
      <c r="B50" s="484" t="s">
        <v>1143</v>
      </c>
      <c r="C50" s="483"/>
      <c r="D50" s="446" t="s">
        <v>905</v>
      </c>
      <c r="E50" s="530">
        <f>'P&amp;L old'!D53</f>
        <v>0</v>
      </c>
      <c r="F50" s="482">
        <f>'P&amp;L old'!E53</f>
        <v>0</v>
      </c>
    </row>
    <row r="51" spans="1:6" s="479" customFormat="1" ht="44.25" customHeight="1" x14ac:dyDescent="0.25">
      <c r="A51" s="498" t="s">
        <v>846</v>
      </c>
      <c r="B51" s="500" t="s">
        <v>1142</v>
      </c>
      <c r="C51" s="499"/>
      <c r="D51" s="456" t="s">
        <v>907</v>
      </c>
      <c r="E51" s="530">
        <f>'P&amp;L old'!D54</f>
        <v>0</v>
      </c>
      <c r="F51" s="482">
        <f>'P&amp;L old'!E54</f>
        <v>0</v>
      </c>
    </row>
    <row r="52" spans="1:6" s="479" customFormat="1" ht="29.25" customHeight="1" x14ac:dyDescent="0.25">
      <c r="A52" s="498" t="s">
        <v>908</v>
      </c>
      <c r="B52" s="497" t="s">
        <v>1141</v>
      </c>
      <c r="C52" s="496"/>
      <c r="D52" s="456" t="s">
        <v>910</v>
      </c>
      <c r="E52" s="530">
        <f>'P&amp;L old'!D55</f>
        <v>0</v>
      </c>
      <c r="F52" s="482">
        <f>'P&amp;L old'!E55</f>
        <v>0</v>
      </c>
    </row>
    <row r="53" spans="1:6" ht="30.75" customHeight="1" x14ac:dyDescent="0.25">
      <c r="A53" s="449" t="s">
        <v>911</v>
      </c>
      <c r="B53" s="484" t="s">
        <v>1140</v>
      </c>
      <c r="C53" s="483"/>
      <c r="D53" s="446" t="s">
        <v>913</v>
      </c>
      <c r="E53" s="530">
        <f>'P&amp;L old'!D56</f>
        <v>0</v>
      </c>
      <c r="F53" s="482">
        <f>'P&amp;L old'!E56</f>
        <v>0</v>
      </c>
    </row>
    <row r="54" spans="1:6" ht="28.5" customHeight="1" x14ac:dyDescent="0.25">
      <c r="A54" s="491" t="s">
        <v>914</v>
      </c>
      <c r="B54" s="484" t="s">
        <v>1139</v>
      </c>
      <c r="C54" s="483"/>
      <c r="D54" s="446" t="s">
        <v>916</v>
      </c>
      <c r="E54" s="530">
        <f>'P&amp;L old'!D57</f>
        <v>0</v>
      </c>
      <c r="F54" s="482">
        <f>'P&amp;L old'!E57</f>
        <v>0</v>
      </c>
    </row>
    <row r="55" spans="1:6" ht="28.5" customHeight="1" x14ac:dyDescent="0.25">
      <c r="A55" s="449" t="s">
        <v>802</v>
      </c>
      <c r="B55" s="484" t="s">
        <v>1138</v>
      </c>
      <c r="C55" s="483"/>
      <c r="D55" s="446" t="s">
        <v>918</v>
      </c>
      <c r="E55" s="530">
        <f>'P&amp;L old'!D58</f>
        <v>0</v>
      </c>
      <c r="F55" s="482">
        <f>'P&amp;L old'!E58</f>
        <v>0</v>
      </c>
    </row>
    <row r="56" spans="1:6" s="479" customFormat="1" ht="31.5" customHeight="1" x14ac:dyDescent="0.25">
      <c r="A56" s="498" t="s">
        <v>908</v>
      </c>
      <c r="B56" s="497" t="s">
        <v>1137</v>
      </c>
      <c r="C56" s="496"/>
      <c r="D56" s="456" t="s">
        <v>920</v>
      </c>
      <c r="E56" s="530">
        <f>'P&amp;L old'!D59</f>
        <v>0</v>
      </c>
      <c r="F56" s="482">
        <f>'P&amp;L old'!E59</f>
        <v>0</v>
      </c>
    </row>
    <row r="57" spans="1:6" ht="29.25" customHeight="1" x14ac:dyDescent="0.25">
      <c r="A57" s="449" t="s">
        <v>921</v>
      </c>
      <c r="B57" s="484" t="s">
        <v>1136</v>
      </c>
      <c r="C57" s="483"/>
      <c r="D57" s="446" t="s">
        <v>923</v>
      </c>
      <c r="E57" s="530">
        <f>'P&amp;L old'!D60</f>
        <v>0</v>
      </c>
      <c r="F57" s="482">
        <f>'P&amp;L old'!E60</f>
        <v>0</v>
      </c>
    </row>
    <row r="58" spans="1:6" ht="28.5" customHeight="1" x14ac:dyDescent="0.25">
      <c r="A58" s="449" t="s">
        <v>924</v>
      </c>
      <c r="B58" s="484" t="s">
        <v>1135</v>
      </c>
      <c r="C58" s="483"/>
      <c r="D58" s="446" t="s">
        <v>926</v>
      </c>
      <c r="E58" s="530">
        <f>'P&amp;L old'!D61</f>
        <v>0</v>
      </c>
      <c r="F58" s="482">
        <f>'P&amp;L old'!E61</f>
        <v>0</v>
      </c>
    </row>
    <row r="59" spans="1:6" ht="30.75" customHeight="1" thickBot="1" x14ac:dyDescent="0.3">
      <c r="A59" s="455" t="s">
        <v>846</v>
      </c>
      <c r="B59" s="481" t="s">
        <v>1134</v>
      </c>
      <c r="C59" s="480"/>
      <c r="D59" s="454" t="s">
        <v>928</v>
      </c>
      <c r="E59" s="530">
        <f>'P&amp;L old'!D62</f>
        <v>0</v>
      </c>
      <c r="F59" s="482">
        <f>'P&amp;L old'!E62</f>
        <v>0</v>
      </c>
    </row>
    <row r="60" spans="1:6" ht="27.75" customHeight="1" x14ac:dyDescent="0.25">
      <c r="A60" s="495" t="s">
        <v>929</v>
      </c>
      <c r="B60" s="494" t="s">
        <v>1133</v>
      </c>
      <c r="C60" s="493"/>
      <c r="D60" s="492" t="s">
        <v>931</v>
      </c>
      <c r="E60" s="530">
        <f>'P&amp;L old'!D63</f>
        <v>0</v>
      </c>
      <c r="F60" s="482">
        <f>'P&amp;L old'!E63</f>
        <v>0</v>
      </c>
    </row>
    <row r="61" spans="1:6" ht="27.75" customHeight="1" x14ac:dyDescent="0.25">
      <c r="A61" s="491" t="s">
        <v>932</v>
      </c>
      <c r="B61" s="484" t="s">
        <v>1132</v>
      </c>
      <c r="C61" s="483"/>
      <c r="D61" s="446" t="s">
        <v>934</v>
      </c>
      <c r="E61" s="530">
        <f>'P&amp;L old'!D64</f>
        <v>0</v>
      </c>
      <c r="F61" s="482">
        <f>'P&amp;L old'!E64</f>
        <v>0</v>
      </c>
    </row>
    <row r="62" spans="1:6" ht="27.75" customHeight="1" x14ac:dyDescent="0.25">
      <c r="A62" s="449" t="s">
        <v>802</v>
      </c>
      <c r="B62" s="484" t="s">
        <v>1131</v>
      </c>
      <c r="C62" s="483"/>
      <c r="D62" s="446" t="s">
        <v>936</v>
      </c>
      <c r="E62" s="530">
        <f>'P&amp;L old'!D65</f>
        <v>0</v>
      </c>
      <c r="F62" s="482">
        <f>'P&amp;L old'!E65</f>
        <v>0</v>
      </c>
    </row>
    <row r="63" spans="1:6" s="479" customFormat="1" ht="27.75" customHeight="1" x14ac:dyDescent="0.25">
      <c r="A63" s="490" t="s">
        <v>846</v>
      </c>
      <c r="B63" s="489" t="s">
        <v>1130</v>
      </c>
      <c r="C63" s="488"/>
      <c r="D63" s="487" t="s">
        <v>938</v>
      </c>
      <c r="E63" s="530">
        <f>'P&amp;L old'!D66</f>
        <v>0</v>
      </c>
      <c r="F63" s="482">
        <f>'P&amp;L old'!E66</f>
        <v>0</v>
      </c>
    </row>
    <row r="64" spans="1:6" s="479" customFormat="1" ht="27.75" customHeight="1" x14ac:dyDescent="0.25">
      <c r="A64" s="450" t="s">
        <v>939</v>
      </c>
      <c r="B64" s="486" t="s">
        <v>1129</v>
      </c>
      <c r="C64" s="485"/>
      <c r="D64" s="456" t="s">
        <v>941</v>
      </c>
      <c r="E64" s="530">
        <f>'P&amp;L old'!D67</f>
        <v>0</v>
      </c>
      <c r="F64" s="482">
        <f>'P&amp;L old'!E67</f>
        <v>0</v>
      </c>
    </row>
    <row r="65" spans="1:6" ht="27.75" customHeight="1" x14ac:dyDescent="0.25">
      <c r="A65" s="449" t="s">
        <v>942</v>
      </c>
      <c r="B65" s="484" t="s">
        <v>1128</v>
      </c>
      <c r="C65" s="483"/>
      <c r="D65" s="446" t="s">
        <v>944</v>
      </c>
      <c r="E65" s="530">
        <f>'P&amp;L old'!D68</f>
        <v>0</v>
      </c>
      <c r="F65" s="482">
        <f>'P&amp;L old'!E68</f>
        <v>0</v>
      </c>
    </row>
    <row r="66" spans="1:6" s="479" customFormat="1" ht="27.75" customHeight="1" thickBot="1" x14ac:dyDescent="0.3">
      <c r="A66" s="455" t="s">
        <v>939</v>
      </c>
      <c r="B66" s="481" t="s">
        <v>1127</v>
      </c>
      <c r="C66" s="480"/>
      <c r="D66" s="454" t="s">
        <v>946</v>
      </c>
      <c r="E66" s="530">
        <f>'P&amp;L old'!D69</f>
        <v>0</v>
      </c>
      <c r="F66" s="482">
        <f>'P&amp;L old'!E69</f>
        <v>0</v>
      </c>
    </row>
  </sheetData>
  <mergeCells count="1">
    <mergeCell ref="E4:F4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Footer>&amp;LMF SR č. 24219/3/2008/1&amp;RStrana &amp;P</oddFooter>
  </headerFooter>
  <rowBreaks count="2" manualBreakCount="2">
    <brk id="32" max="4" man="1"/>
    <brk id="59" max="4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O55"/>
  <sheetViews>
    <sheetView showGridLines="0" view="pageBreakPreview" zoomScaleNormal="100" zoomScaleSheetLayoutView="100" workbookViewId="0"/>
  </sheetViews>
  <sheetFormatPr defaultColWidth="9.140625" defaultRowHeight="12.75" x14ac:dyDescent="0.25"/>
  <cols>
    <col min="1" max="38" width="2.5703125" style="333" customWidth="1"/>
    <col min="39" max="39" width="0.85546875" style="333" customWidth="1"/>
    <col min="40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9" s="443" customFormat="1" ht="10.5" customHeight="1" x14ac:dyDescent="0.25">
      <c r="B1" s="444" t="s">
        <v>1126</v>
      </c>
      <c r="N1" s="1729" t="s">
        <v>1125</v>
      </c>
      <c r="O1" s="1729"/>
      <c r="P1" s="1729"/>
      <c r="Q1" s="1729"/>
      <c r="R1" s="1729"/>
      <c r="S1" s="1729"/>
      <c r="T1" s="1729"/>
      <c r="U1" s="1729"/>
      <c r="V1" s="1729"/>
      <c r="W1" s="1729"/>
      <c r="AM1" s="444"/>
    </row>
    <row r="2" spans="1:39" s="340" customFormat="1" ht="21" customHeight="1" x14ac:dyDescent="0.25">
      <c r="B2" s="442" t="s">
        <v>1124</v>
      </c>
      <c r="C2" s="441"/>
      <c r="D2" s="441"/>
      <c r="E2" s="441"/>
      <c r="F2" s="441"/>
      <c r="G2" s="441"/>
      <c r="H2" s="441"/>
      <c r="I2" s="441"/>
      <c r="J2" s="477"/>
      <c r="K2" s="441"/>
      <c r="L2" s="441"/>
      <c r="M2" s="476"/>
      <c r="N2" s="1729"/>
      <c r="O2" s="1729"/>
      <c r="P2" s="1729"/>
      <c r="Q2" s="1729"/>
      <c r="R2" s="1729"/>
      <c r="S2" s="1729"/>
      <c r="T2" s="1729"/>
      <c r="U2" s="1729"/>
      <c r="V2" s="1729"/>
      <c r="W2" s="1729"/>
      <c r="AM2" s="475"/>
    </row>
    <row r="3" spans="1:39" ht="13.5" customHeight="1" thickBot="1" x14ac:dyDescent="0.3">
      <c r="N3" s="1730"/>
      <c r="O3" s="1730"/>
      <c r="P3" s="1730"/>
      <c r="Q3" s="1730"/>
      <c r="R3" s="1730"/>
      <c r="S3" s="1730"/>
      <c r="T3" s="1730"/>
      <c r="U3" s="1730"/>
      <c r="V3" s="1730"/>
      <c r="W3" s="1730"/>
    </row>
    <row r="4" spans="1:39" ht="28.5" customHeight="1" thickBot="1" x14ac:dyDescent="0.3">
      <c r="K4" s="438" t="s">
        <v>954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436" t="s">
        <v>956</v>
      </c>
      <c r="W4" s="435"/>
      <c r="X4" s="435"/>
      <c r="Y4" s="435"/>
      <c r="Z4" s="434"/>
    </row>
    <row r="5" spans="1:39" ht="7.5" customHeight="1" thickBot="1" x14ac:dyDescent="0.3"/>
    <row r="6" spans="1:39" s="430" customFormat="1" ht="14.25" customHeight="1" x14ac:dyDescent="0.25">
      <c r="A6" s="433" t="s">
        <v>957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9" s="334" customFormat="1" ht="15" customHeight="1" x14ac:dyDescent="0.25">
      <c r="A7" s="346" t="s">
        <v>958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9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9" s="405" customFormat="1" ht="3.75" customHeight="1" thickBot="1" x14ac:dyDescent="0.3"/>
    <row r="10" spans="1:39" s="405" customFormat="1" ht="14.25" customHeight="1" x14ac:dyDescent="0.25">
      <c r="A10" s="407" t="s">
        <v>960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961</v>
      </c>
      <c r="L10" s="406"/>
      <c r="M10" s="424"/>
      <c r="N10" s="424"/>
      <c r="O10" s="424"/>
      <c r="P10" s="406"/>
      <c r="Q10" s="423" t="s">
        <v>961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962</v>
      </c>
      <c r="AE10" s="423"/>
      <c r="AF10" s="423"/>
      <c r="AG10" s="423" t="s">
        <v>963</v>
      </c>
      <c r="AH10" s="406"/>
      <c r="AI10" s="406"/>
      <c r="AJ10" s="406"/>
      <c r="AK10" s="422"/>
    </row>
    <row r="11" spans="1:39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414"/>
      <c r="W11" s="413" t="s">
        <v>964</v>
      </c>
      <c r="X11" s="408"/>
      <c r="Y11" s="408"/>
      <c r="Z11" s="408"/>
      <c r="AA11" s="408"/>
      <c r="AB11" s="413" t="s">
        <v>965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9" s="405" customFormat="1" ht="19.5" customHeight="1" thickBot="1" x14ac:dyDescent="0.3">
      <c r="A12" s="346" t="s">
        <v>966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21" t="str">
        <f>IF('Input data'!D7="x","x"," ")</f>
        <v xml:space="preserve"> </v>
      </c>
      <c r="M12" s="413" t="s">
        <v>967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968</v>
      </c>
      <c r="T12" s="408"/>
      <c r="U12" s="408"/>
      <c r="V12" s="414"/>
      <c r="W12" s="420"/>
      <c r="X12" s="410"/>
      <c r="Y12" s="410"/>
      <c r="Z12" s="410"/>
      <c r="AA12" s="410"/>
      <c r="AB12" s="409" t="s">
        <v>969</v>
      </c>
      <c r="AC12" s="410"/>
      <c r="AD12" s="382" t="str">
        <f>MID('Input data'!$B$13,1,1)</f>
        <v>1</v>
      </c>
      <c r="AE12" s="382" t="str">
        <f>MID('Input data'!$B$13,2,1)</f>
        <v>2</v>
      </c>
      <c r="AF12" s="382"/>
      <c r="AG12" s="382" t="str">
        <f>MID('Input data'!$B$14,1,1)</f>
        <v>2</v>
      </c>
      <c r="AH12" s="382" t="str">
        <f>MID('Input data'!$B$14,2,1)</f>
        <v>0</v>
      </c>
      <c r="AI12" s="382" t="str">
        <f>MID('Input data'!$B$14,3,1)</f>
        <v>1</v>
      </c>
      <c r="AJ12" s="382" t="str">
        <f>MID('Input data'!$B$14,4,1)</f>
        <v>4</v>
      </c>
      <c r="AK12" s="411"/>
    </row>
    <row r="13" spans="1:39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342"/>
      <c r="L13" s="417" t="str">
        <f>IF('Input data'!D8="x","x", "")</f>
        <v/>
      </c>
      <c r="M13" s="413" t="s">
        <v>970</v>
      </c>
      <c r="N13" s="415"/>
      <c r="O13" s="415"/>
      <c r="P13" s="415"/>
      <c r="Q13" s="415"/>
      <c r="R13" s="418" t="str">
        <f>IF('Input data'!D18="x","x"," ")</f>
        <v xml:space="preserve"> </v>
      </c>
      <c r="S13" s="413" t="s">
        <v>971</v>
      </c>
      <c r="T13" s="408"/>
      <c r="U13" s="408"/>
      <c r="V13" s="414"/>
      <c r="W13" s="413" t="s">
        <v>972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9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342"/>
      <c r="M14" s="413"/>
      <c r="N14" s="415"/>
      <c r="O14" s="415"/>
      <c r="P14" s="415"/>
      <c r="Q14" s="415"/>
      <c r="R14" s="416" t="s">
        <v>974</v>
      </c>
      <c r="S14" s="415"/>
      <c r="T14" s="408"/>
      <c r="U14" s="408"/>
      <c r="V14" s="414"/>
      <c r="W14" s="413" t="s">
        <v>947</v>
      </c>
      <c r="X14" s="408"/>
      <c r="Y14" s="345"/>
      <c r="Z14" s="342"/>
      <c r="AA14" s="342"/>
      <c r="AB14" s="413" t="s">
        <v>965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9" s="405" customFormat="1" ht="19.5" customHeight="1" thickBot="1" x14ac:dyDescent="0.25">
      <c r="A15" s="412" t="str">
        <f>LEFT('Input data'!$F$7,1)</f>
        <v>5</v>
      </c>
      <c r="B15" s="337" t="str">
        <f>MID('Input data'!$F$7,2,1)</f>
        <v>9</v>
      </c>
      <c r="C15" s="410" t="s">
        <v>955</v>
      </c>
      <c r="D15" s="337" t="str">
        <f>MID('Input data'!$F$7,3,1)</f>
        <v>1</v>
      </c>
      <c r="E15" s="337" t="str">
        <f>MID('Input data'!$F$7,4,1)</f>
        <v>2</v>
      </c>
      <c r="F15" s="361" t="s">
        <v>955</v>
      </c>
      <c r="G15" s="337" t="str">
        <f>MID('Input data'!$F$7,5,1)</f>
        <v>0</v>
      </c>
      <c r="H15" s="337"/>
      <c r="I15" s="337"/>
      <c r="J15" s="336"/>
      <c r="K15" s="337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411"/>
      <c r="W15" s="409" t="s">
        <v>975</v>
      </c>
      <c r="X15" s="410"/>
      <c r="Y15" s="338"/>
      <c r="Z15" s="337"/>
      <c r="AA15" s="337"/>
      <c r="AB15" s="409" t="s">
        <v>969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9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39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39" s="405" customFormat="1" ht="16.5" x14ac:dyDescent="0.25">
      <c r="A18" s="407" t="s">
        <v>976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9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</row>
    <row r="20" spans="1:39" s="473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</row>
    <row r="21" spans="1:39" ht="12.7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39" s="474" customFormat="1" ht="19.5" hidden="1" customHeight="1" x14ac:dyDescent="0.25">
      <c r="A22" s="400"/>
      <c r="B22" s="399"/>
      <c r="C22" s="399"/>
      <c r="D22" s="399"/>
      <c r="E22" s="399"/>
      <c r="F22" s="399"/>
      <c r="G22" s="399" t="e">
        <f>+MID('Input data'!#REF!,7,1)</f>
        <v>#REF!</v>
      </c>
      <c r="H22" s="399" t="e">
        <f>+MID('Input data'!#REF!,8,1)</f>
        <v>#REF!</v>
      </c>
      <c r="I22" s="399" t="e">
        <f>+MID('Input data'!#REF!,9,1)</f>
        <v>#REF!</v>
      </c>
      <c r="J22" s="399" t="e">
        <f>+MID('Input data'!#REF!,10,1)</f>
        <v>#REF!</v>
      </c>
      <c r="K22" s="399" t="e">
        <f>+MID('Input data'!#REF!,11,1)</f>
        <v>#REF!</v>
      </c>
      <c r="L22" s="399" t="e">
        <f>+MID('Input data'!#REF!,12,1)</f>
        <v>#REF!</v>
      </c>
      <c r="M22" s="399" t="e">
        <f>+MID('Input data'!#REF!,13,1)</f>
        <v>#REF!</v>
      </c>
      <c r="N22" s="399" t="e">
        <f>+MID('Input data'!#REF!,14,1)</f>
        <v>#REF!</v>
      </c>
      <c r="O22" s="399" t="e">
        <f>+MID('Input data'!#REF!,15,1)</f>
        <v>#REF!</v>
      </c>
      <c r="P22" s="399" t="e">
        <f>+MID('Input data'!#REF!,16,1)</f>
        <v>#REF!</v>
      </c>
      <c r="Q22" s="399" t="e">
        <f>+MID('Input data'!#REF!,17,1)</f>
        <v>#REF!</v>
      </c>
      <c r="R22" s="399" t="e">
        <f>+MID('Input data'!#REF!,18,1)</f>
        <v>#REF!</v>
      </c>
      <c r="S22" s="399" t="e">
        <f>+MID('Input data'!#REF!,19,1)</f>
        <v>#REF!</v>
      </c>
      <c r="T22" s="399" t="e">
        <f>+MID('Input data'!#REF!,20,1)</f>
        <v>#REF!</v>
      </c>
      <c r="U22" s="399" t="e">
        <f>+MID('Input data'!#REF!,21,1)</f>
        <v>#REF!</v>
      </c>
      <c r="V22" s="399" t="e">
        <f>+MID('Input data'!#REF!,22,1)</f>
        <v>#REF!</v>
      </c>
      <c r="W22" s="399" t="e">
        <f>+MID('Input data'!#REF!,23,1)</f>
        <v>#REF!</v>
      </c>
      <c r="X22" s="399" t="e">
        <f>+MID('Input data'!#REF!,24,1)</f>
        <v>#REF!</v>
      </c>
      <c r="Y22" s="399" t="e">
        <f>+MID('Input data'!#REF!,25,1)</f>
        <v>#REF!</v>
      </c>
      <c r="Z22" s="399" t="e">
        <f>+MID('Input data'!#REF!,26,1)</f>
        <v>#REF!</v>
      </c>
      <c r="AA22" s="399" t="e">
        <f>+MID('Input data'!#REF!,27,1)</f>
        <v>#REF!</v>
      </c>
      <c r="AB22" s="399" t="e">
        <f>+MID('Input data'!#REF!,28,1)</f>
        <v>#REF!</v>
      </c>
      <c r="AC22" s="399" t="e">
        <f>+MID('Input data'!#REF!,29,1)</f>
        <v>#REF!</v>
      </c>
      <c r="AD22" s="399" t="e">
        <f>+MID('Input data'!#REF!,30,1)</f>
        <v>#REF!</v>
      </c>
      <c r="AE22" s="399" t="e">
        <f>+MID('Input data'!#REF!,31,1)</f>
        <v>#REF!</v>
      </c>
      <c r="AF22" s="399" t="e">
        <f>+MID('Input data'!#REF!,32,1)</f>
        <v>#REF!</v>
      </c>
      <c r="AG22" s="399" t="e">
        <f>+MID('Input data'!#REF!,33,1)</f>
        <v>#REF!</v>
      </c>
      <c r="AH22" s="399" t="e">
        <f>+MID('Input data'!#REF!,34,1)</f>
        <v>#REF!</v>
      </c>
      <c r="AI22" s="399" t="e">
        <f>+MID('Input data'!#REF!,35,1)</f>
        <v>#REF!</v>
      </c>
      <c r="AJ22" s="399" t="e">
        <f>+MID('Input data'!#REF!,36,1)</f>
        <v>#REF!</v>
      </c>
      <c r="AK22" s="398" t="e">
        <f>+MID('Input data'!#REF!,37,1)</f>
        <v>#REF!</v>
      </c>
      <c r="AL22" s="333"/>
      <c r="AM22" s="333"/>
    </row>
    <row r="23" spans="1:39" s="393" customFormat="1" ht="14.25" customHeight="1" x14ac:dyDescent="0.25">
      <c r="A23" s="397" t="s">
        <v>977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39" x14ac:dyDescent="0.25">
      <c r="A24" s="389" t="s">
        <v>978</v>
      </c>
      <c r="B24" s="347"/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/>
      <c r="T24" s="347"/>
      <c r="U24" s="347"/>
      <c r="V24" s="347"/>
      <c r="W24" s="342"/>
      <c r="X24" s="342"/>
      <c r="Y24" s="342"/>
      <c r="Z24" s="342"/>
      <c r="AA24" s="342"/>
      <c r="AB24" s="347"/>
      <c r="AC24" s="342"/>
      <c r="AD24" s="345" t="s">
        <v>979</v>
      </c>
      <c r="AE24" s="342"/>
      <c r="AF24" s="342"/>
      <c r="AG24" s="342"/>
      <c r="AH24" s="342"/>
      <c r="AI24" s="342"/>
      <c r="AJ24" s="342"/>
      <c r="AK24" s="341"/>
    </row>
    <row r="25" spans="1:39" s="473" customFormat="1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91" t="str">
        <f>+MID('Input data'!$C$30,8,1)</f>
        <v/>
      </c>
    </row>
    <row r="26" spans="1:39" x14ac:dyDescent="0.25">
      <c r="A26" s="389" t="s">
        <v>980</v>
      </c>
      <c r="B26" s="347"/>
      <c r="C26" s="347"/>
      <c r="D26" s="347"/>
      <c r="E26" s="347"/>
      <c r="F26" s="347"/>
      <c r="G26" s="388" t="s">
        <v>981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39" s="473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91" t="str">
        <f>+MID('Input data'!$C$34,31,1)</f>
        <v/>
      </c>
    </row>
    <row r="28" spans="1:39" x14ac:dyDescent="0.25">
      <c r="A28" s="389" t="s">
        <v>982</v>
      </c>
      <c r="B28" s="347"/>
      <c r="C28" s="347"/>
      <c r="D28" s="347"/>
      <c r="E28" s="347"/>
      <c r="F28" s="347"/>
      <c r="G28" s="388"/>
      <c r="H28" s="388"/>
      <c r="I28" s="388"/>
      <c r="J28" s="388"/>
      <c r="K28" s="388"/>
      <c r="L28" s="388"/>
      <c r="M28" s="388"/>
      <c r="N28" s="347"/>
      <c r="O28" s="388" t="s">
        <v>983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39" s="473" customFormat="1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/>
      <c r="AH29" s="342"/>
      <c r="AI29" s="342"/>
      <c r="AJ29" s="342"/>
      <c r="AK29" s="341"/>
    </row>
    <row r="30" spans="1:39" s="334" customFormat="1" x14ac:dyDescent="0.25">
      <c r="A30" s="346" t="s">
        <v>986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39" s="473" customFormat="1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1" t="str">
        <f>+MID('Input data'!$B$42,37,1)</f>
        <v/>
      </c>
    </row>
    <row r="32" spans="1:39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41" s="377" customFormat="1" ht="12.75" customHeight="1" x14ac:dyDescent="0.25">
      <c r="A33" s="380" t="s">
        <v>987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731" t="s">
        <v>990</v>
      </c>
      <c r="M33" s="1732"/>
      <c r="N33" s="1732"/>
      <c r="O33" s="1732"/>
      <c r="P33" s="1732"/>
      <c r="Q33" s="1732"/>
      <c r="R33" s="1732"/>
      <c r="S33" s="1732"/>
      <c r="T33" s="1733"/>
      <c r="U33" s="1626" t="s">
        <v>989</v>
      </c>
      <c r="V33" s="1626"/>
      <c r="W33" s="1626"/>
      <c r="X33" s="1626"/>
      <c r="Y33" s="1626"/>
      <c r="Z33" s="1626"/>
      <c r="AA33" s="1626"/>
      <c r="AB33" s="1627"/>
      <c r="AC33" s="1731" t="s">
        <v>988</v>
      </c>
      <c r="AD33" s="1732"/>
      <c r="AE33" s="1732"/>
      <c r="AF33" s="1732"/>
      <c r="AG33" s="1732"/>
      <c r="AH33" s="1732"/>
      <c r="AI33" s="1732"/>
      <c r="AJ33" s="1732"/>
      <c r="AK33" s="1737"/>
    </row>
    <row r="34" spans="1:41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0" t="str">
        <f>MID(TEXT('Input data'!$F$34,"dd.mm.yyyy"),7,1)</f>
        <v>1</v>
      </c>
      <c r="H34" s="360" t="str">
        <f>MID(TEXT('Input data'!$F$34,"dd.mm.yyyy"),8,1)</f>
        <v>9</v>
      </c>
      <c r="I34" s="360" t="str">
        <f>MID(TEXT('Input data'!$F$34,"dd.mm.yyyy"),9,1)</f>
        <v>0</v>
      </c>
      <c r="J34" s="360" t="str">
        <f>MID(TEXT('Input data'!$F$34,"dd.mm.yyyy"),10,1)</f>
        <v>0</v>
      </c>
      <c r="K34" s="376"/>
      <c r="L34" s="1734"/>
      <c r="M34" s="1735"/>
      <c r="N34" s="1735"/>
      <c r="O34" s="1735"/>
      <c r="P34" s="1735"/>
      <c r="Q34" s="1735"/>
      <c r="R34" s="1735"/>
      <c r="S34" s="1735"/>
      <c r="T34" s="1736"/>
      <c r="U34" s="1629"/>
      <c r="V34" s="1629"/>
      <c r="W34" s="1629"/>
      <c r="X34" s="1629"/>
      <c r="Y34" s="1629"/>
      <c r="Z34" s="1629"/>
      <c r="AA34" s="1629"/>
      <c r="AB34" s="1630"/>
      <c r="AC34" s="1734"/>
      <c r="AD34" s="1735"/>
      <c r="AE34" s="1735"/>
      <c r="AF34" s="1735"/>
      <c r="AG34" s="1735"/>
      <c r="AH34" s="1735"/>
      <c r="AI34" s="1735"/>
      <c r="AJ34" s="1735"/>
      <c r="AK34" s="1738"/>
      <c r="AO34" s="472"/>
    </row>
    <row r="35" spans="1:41" s="334" customFormat="1" ht="13.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734"/>
      <c r="M35" s="1735"/>
      <c r="N35" s="1735"/>
      <c r="O35" s="1735"/>
      <c r="P35" s="1735"/>
      <c r="Q35" s="1735"/>
      <c r="R35" s="1735"/>
      <c r="S35" s="1735"/>
      <c r="T35" s="1736"/>
      <c r="U35" s="1629"/>
      <c r="V35" s="1629"/>
      <c r="W35" s="1629"/>
      <c r="X35" s="1629"/>
      <c r="Y35" s="1629"/>
      <c r="Z35" s="1629"/>
      <c r="AA35" s="1629"/>
      <c r="AB35" s="1630"/>
      <c r="AC35" s="1734"/>
      <c r="AD35" s="1735"/>
      <c r="AE35" s="1735"/>
      <c r="AF35" s="1735"/>
      <c r="AG35" s="1735"/>
      <c r="AH35" s="1735"/>
      <c r="AI35" s="1735"/>
      <c r="AJ35" s="1735"/>
      <c r="AK35" s="1738"/>
    </row>
    <row r="36" spans="1:41" s="334" customFormat="1" x14ac:dyDescent="0.2">
      <c r="A36" s="346" t="s">
        <v>991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5"/>
      <c r="AE36" s="365"/>
      <c r="AF36" s="365"/>
      <c r="AG36" s="365"/>
      <c r="AH36" s="365"/>
      <c r="AI36" s="365"/>
      <c r="AJ36" s="365"/>
      <c r="AK36" s="364"/>
    </row>
    <row r="37" spans="1:41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359"/>
      <c r="L37" s="345"/>
      <c r="M37" s="345"/>
      <c r="N37" s="345"/>
      <c r="O37" s="345"/>
      <c r="P37" s="345"/>
      <c r="Q37" s="345"/>
      <c r="R37" s="345"/>
      <c r="S37" s="345"/>
      <c r="T37" s="471"/>
      <c r="U37" s="345"/>
      <c r="V37" s="342"/>
      <c r="W37" s="342"/>
      <c r="X37" s="342"/>
      <c r="Y37" s="342"/>
      <c r="Z37" s="342"/>
      <c r="AA37" s="342"/>
      <c r="AB37" s="470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41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'Input data'!F40</f>
        <v>0</v>
      </c>
      <c r="M38" s="1634"/>
      <c r="N38" s="1634"/>
      <c r="O38" s="1634"/>
      <c r="P38" s="1634"/>
      <c r="Q38" s="1634"/>
      <c r="R38" s="1634"/>
      <c r="S38" s="1634"/>
      <c r="T38" s="1635"/>
      <c r="U38" s="1633" t="e">
        <f>'Input data'!#REF!</f>
        <v>#REF!</v>
      </c>
      <c r="V38" s="1634"/>
      <c r="W38" s="1634"/>
      <c r="X38" s="1634"/>
      <c r="Y38" s="1634"/>
      <c r="Z38" s="1634"/>
      <c r="AA38" s="1634"/>
      <c r="AB38" s="1635"/>
      <c r="AC38" s="1636" t="e">
        <f>'Input data'!#REF!</f>
        <v>#REF!</v>
      </c>
      <c r="AD38" s="1634"/>
      <c r="AE38" s="1634"/>
      <c r="AF38" s="1634"/>
      <c r="AG38" s="1634"/>
      <c r="AH38" s="1634"/>
      <c r="AI38" s="1634"/>
      <c r="AJ38" s="1634"/>
      <c r="AK38" s="1637"/>
    </row>
    <row r="39" spans="1:41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41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41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41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41" s="340" customFormat="1" x14ac:dyDescent="0.25">
      <c r="B43" s="352" t="s">
        <v>992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41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41" x14ac:dyDescent="0.25">
      <c r="B45" s="348"/>
      <c r="C45" s="347"/>
      <c r="D45" s="347"/>
      <c r="E45" s="347"/>
      <c r="F45" s="347"/>
      <c r="G45" s="347"/>
      <c r="H45" s="347"/>
      <c r="I45" s="347"/>
      <c r="J45" s="347"/>
      <c r="K45" s="347"/>
      <c r="L45" s="347"/>
      <c r="M45" s="347"/>
      <c r="N45" s="347"/>
      <c r="O45" s="347"/>
      <c r="P45" s="347"/>
      <c r="Q45" s="347"/>
      <c r="R45" s="347"/>
      <c r="S45" s="347"/>
      <c r="T45" s="347"/>
      <c r="U45" s="347"/>
      <c r="V45" s="347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41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41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41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1:39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1:39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1:39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1:39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1:39" s="334" customFormat="1" ht="13.5" thickBot="1" x14ac:dyDescent="0.3">
      <c r="B53" s="339"/>
      <c r="C53" s="338"/>
      <c r="D53" s="338"/>
      <c r="E53" s="338"/>
      <c r="F53" s="338"/>
      <c r="G53" s="338" t="s">
        <v>993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994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  <row r="55" spans="1:39" x14ac:dyDescent="0.25">
      <c r="A55" s="443"/>
      <c r="B55" s="443"/>
      <c r="C55" s="444"/>
      <c r="D55" s="443"/>
      <c r="E55" s="443"/>
      <c r="F55" s="443"/>
      <c r="G55" s="443"/>
      <c r="H55" s="443"/>
      <c r="I55" s="443"/>
      <c r="J55" s="443"/>
      <c r="K55" s="443"/>
      <c r="L55" s="443"/>
      <c r="M55" s="443"/>
      <c r="N55" s="443"/>
      <c r="O55" s="443"/>
      <c r="P55" s="443"/>
      <c r="Q55" s="443"/>
      <c r="R55" s="443"/>
      <c r="S55" s="443"/>
      <c r="T55" s="443"/>
      <c r="U55" s="443"/>
      <c r="V55" s="443"/>
      <c r="W55" s="443"/>
      <c r="X55" s="443"/>
      <c r="Y55" s="443"/>
      <c r="Z55" s="443"/>
      <c r="AA55" s="443"/>
      <c r="AB55" s="443"/>
      <c r="AC55" s="443"/>
      <c r="AD55" s="443"/>
      <c r="AE55" s="443"/>
      <c r="AF55" s="443"/>
      <c r="AG55" s="443"/>
      <c r="AH55" s="443"/>
      <c r="AI55" s="443"/>
      <c r="AJ55" s="443"/>
      <c r="AK55" s="443"/>
      <c r="AL55" s="443"/>
      <c r="AM55" s="443"/>
    </row>
  </sheetData>
  <mergeCells count="7">
    <mergeCell ref="L38:T38"/>
    <mergeCell ref="U38:AB38"/>
    <mergeCell ref="AC38:AK38"/>
    <mergeCell ref="U33:AB35"/>
    <mergeCell ref="N1:W3"/>
    <mergeCell ref="L33:T35"/>
    <mergeCell ref="AC33:AK35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24219/3/2008/1&amp;RStrana 1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X51"/>
  <sheetViews>
    <sheetView showGridLines="0" view="pageBreakPreview" topLeftCell="A25" zoomScaleNormal="100" zoomScaleSheetLayoutView="100" workbookViewId="0">
      <selection activeCell="U51" sqref="U51"/>
    </sheetView>
  </sheetViews>
  <sheetFormatPr defaultColWidth="9.140625" defaultRowHeight="12.75" x14ac:dyDescent="0.25"/>
  <cols>
    <col min="1" max="37" width="2.5703125" style="333" customWidth="1"/>
    <col min="38" max="38" width="0.140625" style="333" customWidth="1"/>
    <col min="39" max="39" width="2" style="333" customWidth="1"/>
    <col min="40" max="40" width="0.42578125" style="333" customWidth="1"/>
    <col min="41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7" s="443" customFormat="1" ht="10.5" customHeight="1" thickBot="1" x14ac:dyDescent="0.3">
      <c r="B1" s="651"/>
      <c r="C1" s="651" t="s">
        <v>953</v>
      </c>
      <c r="N1" s="1729" t="s">
        <v>1228</v>
      </c>
      <c r="O1" s="1729"/>
      <c r="P1" s="1729"/>
      <c r="Q1" s="1729"/>
      <c r="R1" s="1729"/>
      <c r="S1" s="1729"/>
      <c r="T1" s="1729"/>
      <c r="U1" s="1729"/>
      <c r="V1" s="1729"/>
      <c r="W1" s="1729"/>
      <c r="X1" s="1739"/>
    </row>
    <row r="2" spans="1:37" s="340" customFormat="1" ht="21" customHeight="1" thickBot="1" x14ac:dyDescent="0.3">
      <c r="B2" s="653"/>
      <c r="C2" s="654" t="s">
        <v>1229</v>
      </c>
      <c r="D2" s="654"/>
      <c r="E2" s="654"/>
      <c r="F2" s="654"/>
      <c r="G2" s="654"/>
      <c r="H2" s="654"/>
      <c r="I2" s="654"/>
      <c r="J2" s="655"/>
      <c r="K2" s="654"/>
      <c r="L2" s="654"/>
      <c r="M2" s="656"/>
      <c r="N2" s="1729"/>
      <c r="O2" s="1729"/>
      <c r="P2" s="1729"/>
      <c r="Q2" s="1729" t="s">
        <v>1228</v>
      </c>
      <c r="R2" s="1729"/>
      <c r="S2" s="1729"/>
      <c r="T2" s="1729"/>
      <c r="U2" s="1729"/>
      <c r="V2" s="1729"/>
      <c r="W2" s="1729"/>
      <c r="X2" s="1739"/>
    </row>
    <row r="3" spans="1:37" ht="13.5" customHeight="1" thickBot="1" x14ac:dyDescent="0.3">
      <c r="N3" s="1740"/>
      <c r="O3" s="1740"/>
      <c r="P3" s="1740"/>
      <c r="Q3" s="1740"/>
      <c r="R3" s="1740"/>
      <c r="S3" s="1740"/>
      <c r="T3" s="1740"/>
      <c r="U3" s="1740"/>
      <c r="V3" s="1740"/>
      <c r="W3" s="1740"/>
      <c r="X3" s="1741"/>
    </row>
    <row r="4" spans="1:37" ht="28.5" customHeight="1" thickBot="1" x14ac:dyDescent="0.3">
      <c r="J4" s="1742" t="s">
        <v>1230</v>
      </c>
      <c r="K4" s="1743"/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658"/>
      <c r="W4" s="435" t="s">
        <v>1231</v>
      </c>
      <c r="X4" s="435"/>
      <c r="Y4" s="435"/>
      <c r="Z4" s="435"/>
      <c r="AA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1232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>
      <c r="AF9" s="408"/>
      <c r="AG9" s="408"/>
    </row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414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x14ac:dyDescent="0.25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21" t="str">
        <f>IF('Input data'!D7="x","x"," ")</f>
        <v xml:space="preserve"> </v>
      </c>
      <c r="M12" s="413" t="s">
        <v>1240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1241</v>
      </c>
      <c r="T12" s="408"/>
      <c r="U12" s="408"/>
      <c r="V12" s="414"/>
      <c r="W12" s="659"/>
      <c r="X12" s="660"/>
      <c r="Y12" s="660"/>
      <c r="Z12" s="660"/>
      <c r="AA12" s="660"/>
      <c r="AB12" s="661" t="s">
        <v>1242</v>
      </c>
      <c r="AC12" s="660"/>
      <c r="AD12" s="662" t="str">
        <f>MID('Input data'!$B$13,1,1)</f>
        <v>1</v>
      </c>
      <c r="AE12" s="662" t="str">
        <f>MID('Input data'!$B$13,2,1)</f>
        <v>2</v>
      </c>
      <c r="AF12" s="662"/>
      <c r="AG12" s="662" t="str">
        <f>MID('Input data'!$B$14,1,1)</f>
        <v>2</v>
      </c>
      <c r="AH12" s="662" t="str">
        <f>MID('Input data'!$B$14,2,1)</f>
        <v>0</v>
      </c>
      <c r="AI12" s="662" t="str">
        <f>MID('Input data'!$B$14,3,1)</f>
        <v>1</v>
      </c>
      <c r="AJ12" s="662" t="str">
        <f>MID('Input data'!$B$14,4,1)</f>
        <v>4</v>
      </c>
      <c r="AK12" s="663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342"/>
      <c r="L13" s="417" t="str">
        <f>IF('Input data'!D8="x","x", "")</f>
        <v/>
      </c>
      <c r="M13" s="413" t="s">
        <v>1243</v>
      </c>
      <c r="N13" s="415"/>
      <c r="O13" s="415"/>
      <c r="P13" s="415"/>
      <c r="Q13" s="415"/>
      <c r="R13" s="418" t="str">
        <f>IF('Input data'!D18="x","x"," ")</f>
        <v xml:space="preserve"> </v>
      </c>
      <c r="S13" s="413" t="s">
        <v>1244</v>
      </c>
      <c r="T13" s="408"/>
      <c r="U13" s="408"/>
      <c r="V13" s="414"/>
      <c r="W13" s="1744" t="s">
        <v>1245</v>
      </c>
      <c r="X13" s="1745"/>
      <c r="Y13" s="1745"/>
      <c r="Z13" s="1745"/>
      <c r="AA13" s="1745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342"/>
      <c r="M14" s="413"/>
      <c r="N14" s="415"/>
      <c r="O14" s="415"/>
      <c r="P14" s="415"/>
      <c r="Q14" s="415"/>
      <c r="R14" s="416" t="s">
        <v>1246</v>
      </c>
      <c r="S14" s="415"/>
      <c r="T14" s="408"/>
      <c r="U14" s="408"/>
      <c r="V14" s="414"/>
      <c r="W14" s="1746"/>
      <c r="X14" s="1747"/>
      <c r="Y14" s="1747"/>
      <c r="Z14" s="1747"/>
      <c r="AA14" s="1747"/>
      <c r="AB14" s="413" t="s">
        <v>1238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e">
        <f>#REF!</f>
        <v>#REF!</v>
      </c>
      <c r="B15" s="337" t="e">
        <f>#REF!</f>
        <v>#REF!</v>
      </c>
      <c r="C15" s="410" t="s">
        <v>955</v>
      </c>
      <c r="D15" s="337" t="e">
        <f>#REF!</f>
        <v>#REF!</v>
      </c>
      <c r="E15" s="337" t="e">
        <f>#REF!</f>
        <v>#REF!</v>
      </c>
      <c r="F15" s="410" t="s">
        <v>955</v>
      </c>
      <c r="G15" s="337" t="e">
        <f>#REF!</f>
        <v>#REF!</v>
      </c>
      <c r="H15" s="337"/>
      <c r="I15" s="337"/>
      <c r="J15" s="336"/>
      <c r="K15" s="337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411"/>
      <c r="W15" s="1748"/>
      <c r="X15" s="1749"/>
      <c r="Y15" s="1749"/>
      <c r="Z15" s="1749"/>
      <c r="AA15" s="1749"/>
      <c r="AB15" s="409" t="s">
        <v>1242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8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50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50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50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  <c r="AN19" s="405"/>
    </row>
    <row r="20" spans="1:50" s="474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  <c r="AL20" s="333"/>
      <c r="AM20" s="333"/>
      <c r="AN20" s="333"/>
    </row>
    <row r="21" spans="1:50" s="393" customFormat="1" ht="14.25" customHeight="1" x14ac:dyDescent="0.25">
      <c r="A21" s="397" t="s">
        <v>1248</v>
      </c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5"/>
      <c r="AI21" s="395"/>
      <c r="AJ21" s="395"/>
      <c r="AK21" s="394"/>
    </row>
    <row r="22" spans="1:50" x14ac:dyDescent="0.25">
      <c r="A22" s="389" t="s">
        <v>1249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2"/>
      <c r="X22" s="342"/>
      <c r="Y22" s="342"/>
      <c r="Z22" s="342"/>
      <c r="AA22" s="342"/>
      <c r="AB22" s="347"/>
      <c r="AC22" s="342"/>
      <c r="AD22" s="345" t="s">
        <v>1250</v>
      </c>
      <c r="AE22" s="342"/>
      <c r="AF22" s="342"/>
      <c r="AG22" s="342"/>
      <c r="AH22" s="342"/>
      <c r="AI22" s="342"/>
      <c r="AJ22" s="342"/>
      <c r="AK22" s="341"/>
    </row>
    <row r="23" spans="1:50" s="473" customFormat="1" ht="19.5" customHeight="1" x14ac:dyDescent="0.25">
      <c r="A23" s="392" t="str">
        <f>+LEFT('Input data'!$C$28,1)</f>
        <v>B</v>
      </c>
      <c r="B23" s="384" t="str">
        <f>+MID('Input data'!$C$28,2,1)</f>
        <v>u</v>
      </c>
      <c r="C23" s="384" t="str">
        <f>+MID('Input data'!$C$28,3,1)</f>
        <v>l</v>
      </c>
      <c r="D23" s="384" t="str">
        <f>+MID('Input data'!$C$28,4,1)</f>
        <v>l</v>
      </c>
      <c r="E23" s="384" t="str">
        <f>+MID('Input data'!$C$28,5,1)</f>
        <v>o</v>
      </c>
      <c r="F23" s="384" t="str">
        <f>+MID('Input data'!$C$28,6,1)</f>
        <v>v</v>
      </c>
      <c r="G23" s="384" t="str">
        <f>+MID('Input data'!$C$28,7,1)</f>
        <v>a</v>
      </c>
      <c r="H23" s="384" t="str">
        <f>+MID('Input data'!$C$28,8,1)</f>
        <v/>
      </c>
      <c r="I23" s="384" t="str">
        <f>+MID('Input data'!$C$28,9,1)</f>
        <v/>
      </c>
      <c r="J23" s="384" t="str">
        <f>+MID('Input data'!$C$28,10,1)</f>
        <v/>
      </c>
      <c r="K23" s="384" t="str">
        <f>+MID('Input data'!$C$28,11,1)</f>
        <v/>
      </c>
      <c r="L23" s="384" t="str">
        <f>+MID('Input data'!$C$28,12,1)</f>
        <v/>
      </c>
      <c r="M23" s="384" t="str">
        <f>+MID('Input data'!$C$28,13,1)</f>
        <v/>
      </c>
      <c r="N23" s="384" t="str">
        <f>+MID('Input data'!$C$28,14,1)</f>
        <v/>
      </c>
      <c r="O23" s="384" t="str">
        <f>+MID('Input data'!$C$28,15,1)</f>
        <v/>
      </c>
      <c r="P23" s="384" t="str">
        <f>+MID('Input data'!$C$28,16,1)</f>
        <v/>
      </c>
      <c r="Q23" s="384" t="str">
        <f>+MID('Input data'!$C$28,17,1)</f>
        <v/>
      </c>
      <c r="R23" s="384" t="str">
        <f>+MID('Input data'!$C$28,18,1)</f>
        <v/>
      </c>
      <c r="S23" s="384" t="str">
        <f>+MID('Input data'!$C$28,19,1)</f>
        <v/>
      </c>
      <c r="T23" s="384" t="str">
        <f>+MID('Input data'!$C$28,20,1)</f>
        <v/>
      </c>
      <c r="U23" s="384" t="str">
        <f>+MID('Input data'!$C$28,21,1)</f>
        <v/>
      </c>
      <c r="V23" s="384" t="str">
        <f>+MID('Input data'!$C$28,22,1)</f>
        <v/>
      </c>
      <c r="W23" s="384" t="str">
        <f>+MID('Input data'!$C$28,23,1)</f>
        <v/>
      </c>
      <c r="X23" s="384" t="str">
        <f>+MID('Input data'!$C$28,24,1)</f>
        <v/>
      </c>
      <c r="Y23" s="384" t="str">
        <f>+MID('Input data'!$C$28,25,1)</f>
        <v/>
      </c>
      <c r="Z23" s="384" t="str">
        <f>+MID('Input data'!$C$28,26,1)</f>
        <v/>
      </c>
      <c r="AA23" s="384" t="str">
        <f>+MID('Input data'!$C$28,27,1)</f>
        <v/>
      </c>
      <c r="AB23" s="384" t="str">
        <f>+MID('Input data'!$C$28,28,1)</f>
        <v/>
      </c>
      <c r="AC23" s="386"/>
      <c r="AD23" s="384" t="str">
        <f>+LEFT('Input data'!$C$30,1)</f>
        <v>1</v>
      </c>
      <c r="AE23" s="384" t="str">
        <f>+MID('Input data'!$C$30,2,1)</f>
        <v/>
      </c>
      <c r="AF23" s="384" t="str">
        <f>+MID('Input data'!$C$30,3,1)</f>
        <v/>
      </c>
      <c r="AG23" s="384" t="str">
        <f>+MID('Input data'!$C$30,4,1)</f>
        <v/>
      </c>
      <c r="AH23" s="384" t="str">
        <f>+MID('Input data'!$C$30,5,1)</f>
        <v/>
      </c>
      <c r="AI23" s="384" t="str">
        <f>+MID('Input data'!$C$30,6,1)</f>
        <v/>
      </c>
      <c r="AJ23" s="384" t="str">
        <f>+MID('Input data'!$C$30,7,1)</f>
        <v/>
      </c>
      <c r="AK23" s="391" t="str">
        <f>+MID('Input data'!$C$30,8,1)</f>
        <v/>
      </c>
    </row>
    <row r="24" spans="1:50" x14ac:dyDescent="0.25">
      <c r="A24" s="389" t="s">
        <v>1251</v>
      </c>
      <c r="B24" s="347"/>
      <c r="C24" s="347"/>
      <c r="D24" s="347"/>
      <c r="E24" s="347"/>
      <c r="F24" s="347"/>
      <c r="G24" s="388" t="s">
        <v>1252</v>
      </c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  <c r="S24" s="388"/>
      <c r="T24" s="388"/>
      <c r="U24" s="388"/>
      <c r="V24" s="388"/>
      <c r="W24" s="388"/>
      <c r="X24" s="388"/>
      <c r="Y24" s="388"/>
      <c r="Z24" s="388"/>
      <c r="AA24" s="388"/>
      <c r="AB24" s="388"/>
      <c r="AC24" s="388"/>
      <c r="AD24" s="388"/>
      <c r="AE24" s="342"/>
      <c r="AF24" s="342"/>
      <c r="AG24" s="342"/>
      <c r="AH24" s="342"/>
      <c r="AI24" s="342"/>
      <c r="AJ24" s="342"/>
      <c r="AK24" s="341"/>
    </row>
    <row r="25" spans="1:50" s="473" customFormat="1" ht="19.5" customHeight="1" x14ac:dyDescent="0.25">
      <c r="A25" s="392" t="str">
        <f>+LEFT('Input data'!$C$32,1)</f>
        <v>8</v>
      </c>
      <c r="B25" s="384" t="str">
        <f>+MID('Input data'!$C$32,2,1)</f>
        <v>4</v>
      </c>
      <c r="C25" s="384" t="str">
        <f>+MID('Input data'!$C$32,3,1)</f>
        <v>1</v>
      </c>
      <c r="D25" s="384" t="str">
        <f>+MID('Input data'!$C$32,4,1)</f>
        <v xml:space="preserve"> </v>
      </c>
      <c r="E25" s="384" t="str">
        <f>+MID('Input data'!$C$32,5,1)</f>
        <v>0</v>
      </c>
      <c r="F25" s="384"/>
      <c r="G25" s="384" t="str">
        <f>+LEFT('Input data'!$C$34,1)</f>
        <v>B</v>
      </c>
      <c r="H25" s="384" t="str">
        <f>+MID('Input data'!$C$34,2,1)</f>
        <v>r</v>
      </c>
      <c r="I25" s="384" t="str">
        <f>+MID('Input data'!$C$34,3,1)</f>
        <v>a</v>
      </c>
      <c r="J25" s="384" t="str">
        <f>+MID('Input data'!$C$34,4,1)</f>
        <v>t</v>
      </c>
      <c r="K25" s="384" t="str">
        <f>+MID('Input data'!$C$34,5,1)</f>
        <v>i</v>
      </c>
      <c r="L25" s="384" t="str">
        <f>+MID('Input data'!$C$34,6,1)</f>
        <v>s</v>
      </c>
      <c r="M25" s="384" t="str">
        <f>+MID('Input data'!$C$34,7,1)</f>
        <v>l</v>
      </c>
      <c r="N25" s="384" t="str">
        <f>+MID('Input data'!$C$34,8,1)</f>
        <v>a</v>
      </c>
      <c r="O25" s="384" t="str">
        <f>+MID('Input data'!$C$34,9,1)</f>
        <v>v</v>
      </c>
      <c r="P25" s="384" t="str">
        <f>+MID('Input data'!$C$34,10,1)</f>
        <v>a</v>
      </c>
      <c r="Q25" s="384" t="str">
        <f>+MID('Input data'!$C$34,11,1)</f>
        <v/>
      </c>
      <c r="R25" s="384" t="str">
        <f>+MID('Input data'!$C$34,12,1)</f>
        <v/>
      </c>
      <c r="S25" s="384" t="str">
        <f>+MID('Input data'!$C$34,13,1)</f>
        <v/>
      </c>
      <c r="T25" s="384" t="str">
        <f>+MID('Input data'!$C$34,14,1)</f>
        <v/>
      </c>
      <c r="U25" s="384" t="str">
        <f>+MID('Input data'!$C$34,15,1)</f>
        <v/>
      </c>
      <c r="V25" s="384" t="str">
        <f>+MID('Input data'!$C$34,16,1)</f>
        <v/>
      </c>
      <c r="W25" s="384" t="str">
        <f>+MID('Input data'!$C$34,17,1)</f>
        <v/>
      </c>
      <c r="X25" s="384" t="str">
        <f>+MID('Input data'!$C$34,18,1)</f>
        <v/>
      </c>
      <c r="Y25" s="384" t="str">
        <f>+MID('Input data'!$C$34,19,1)</f>
        <v/>
      </c>
      <c r="Z25" s="384" t="str">
        <f>+MID('Input data'!$C$34,20,1)</f>
        <v/>
      </c>
      <c r="AA25" s="384" t="str">
        <f>+MID('Input data'!$C$34,21,1)</f>
        <v/>
      </c>
      <c r="AB25" s="384" t="str">
        <f>+MID('Input data'!$C$34,22,1)</f>
        <v/>
      </c>
      <c r="AC25" s="384" t="str">
        <f>+MID('Input data'!$C$34,23,1)</f>
        <v/>
      </c>
      <c r="AD25" s="384" t="str">
        <f>+MID('Input data'!$C$34,24,1)</f>
        <v/>
      </c>
      <c r="AE25" s="384" t="str">
        <f>+MID('Input data'!$C$34,25,1)</f>
        <v/>
      </c>
      <c r="AF25" s="384" t="str">
        <f>+MID('Input data'!$C$34,26,1)</f>
        <v/>
      </c>
      <c r="AG25" s="384" t="str">
        <f>+MID('Input data'!$C$34,27,1)</f>
        <v/>
      </c>
      <c r="AH25" s="384" t="str">
        <f>+MID('Input data'!$C$34,28,1)</f>
        <v/>
      </c>
      <c r="AI25" s="384" t="str">
        <f>+MID('Input data'!$C$34,29,1)</f>
        <v/>
      </c>
      <c r="AJ25" s="384" t="str">
        <f>+MID('Input data'!$C$34,30,1)</f>
        <v/>
      </c>
      <c r="AK25" s="391" t="str">
        <f>+MID('Input data'!$C$34,31,1)</f>
        <v/>
      </c>
    </row>
    <row r="26" spans="1:50" x14ac:dyDescent="0.25">
      <c r="A26" s="389" t="s">
        <v>1253</v>
      </c>
      <c r="B26" s="347"/>
      <c r="C26" s="347"/>
      <c r="D26" s="347"/>
      <c r="E26" s="347"/>
      <c r="F26" s="347"/>
      <c r="G26" s="388"/>
      <c r="H26" s="388"/>
      <c r="I26" s="388"/>
      <c r="J26" s="388"/>
      <c r="K26" s="388"/>
      <c r="L26" s="388"/>
      <c r="M26" s="388"/>
      <c r="N26" s="347"/>
      <c r="O26" s="388" t="s">
        <v>1254</v>
      </c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50" s="473" customFormat="1" ht="19.5" customHeight="1" x14ac:dyDescent="0.25">
      <c r="A27" s="387">
        <v>0</v>
      </c>
      <c r="B27" s="384" t="str">
        <f>+LEFT('Input data'!$C$36,1)</f>
        <v/>
      </c>
      <c r="C27" s="384" t="str">
        <f>+MID('Input data'!$C$36,2,1)</f>
        <v/>
      </c>
      <c r="D27" s="384" t="str">
        <f>+MID('Input data'!$C$36,3,1)</f>
        <v/>
      </c>
      <c r="E27" s="384" t="s">
        <v>984</v>
      </c>
      <c r="F27" s="384" t="str">
        <f>+LEFT('Input data'!$C$38,1)</f>
        <v/>
      </c>
      <c r="G27" s="384" t="str">
        <f>+MID('Input data'!$C$38,2,1)</f>
        <v/>
      </c>
      <c r="H27" s="384" t="str">
        <f>+MID('Input data'!$C$38,3,1)</f>
        <v/>
      </c>
      <c r="I27" s="384" t="str">
        <f>+MID('Input data'!$C$38,4,1)</f>
        <v/>
      </c>
      <c r="J27" s="384" t="str">
        <f>+MID('Input data'!$C$38,5,1)</f>
        <v/>
      </c>
      <c r="K27" s="384" t="str">
        <f>+MID('Input data'!$C$38,6,1)</f>
        <v/>
      </c>
      <c r="L27" s="384" t="str">
        <f>+MID('Input data'!$C$38,7,1)</f>
        <v/>
      </c>
      <c r="M27" s="384" t="str">
        <f>+MID('Input data'!$C$38,8,1)</f>
        <v/>
      </c>
      <c r="N27" s="386"/>
      <c r="O27" s="385">
        <v>0</v>
      </c>
      <c r="P27" s="384" t="str">
        <f>+LEFT('Input data'!$C$36,1)</f>
        <v/>
      </c>
      <c r="Q27" s="384" t="str">
        <f>+MID('Input data'!$C$36,2,1)</f>
        <v/>
      </c>
      <c r="R27" s="384" t="str">
        <f>+MID('Input data'!$C$36,3,1)</f>
        <v/>
      </c>
      <c r="S27" s="384" t="s">
        <v>984</v>
      </c>
      <c r="T27" s="384" t="str">
        <f>+LEFT('Input data'!$C$40,1)</f>
        <v/>
      </c>
      <c r="U27" s="384" t="str">
        <f>+MID('Input data'!$C$40,2,1)</f>
        <v/>
      </c>
      <c r="V27" s="384" t="str">
        <f>+MID('Input data'!$C$40,3,1)</f>
        <v/>
      </c>
      <c r="W27" s="384" t="str">
        <f>+MID('Input data'!$C$40,4,1)</f>
        <v/>
      </c>
      <c r="X27" s="384" t="str">
        <f>+MID('Input data'!$C$40,5,1)</f>
        <v/>
      </c>
      <c r="Y27" s="384" t="str">
        <f>+MID('Input data'!$C$40,6,1)</f>
        <v/>
      </c>
      <c r="Z27" s="384" t="str">
        <f>+MID('Input data'!$C$40,7,1)</f>
        <v/>
      </c>
      <c r="AA27" s="384" t="str">
        <f>+MID('Input data'!$C$40,8,1)</f>
        <v/>
      </c>
      <c r="AB27" s="384"/>
      <c r="AC27" s="384"/>
      <c r="AD27" s="384"/>
      <c r="AE27" s="342"/>
      <c r="AF27" s="342"/>
      <c r="AG27" s="342"/>
      <c r="AH27" s="342"/>
      <c r="AI27" s="342"/>
      <c r="AJ27" s="342"/>
      <c r="AK27" s="341"/>
    </row>
    <row r="28" spans="1:50" s="334" customFormat="1" x14ac:dyDescent="0.25">
      <c r="A28" s="346" t="s">
        <v>1255</v>
      </c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1"/>
    </row>
    <row r="29" spans="1:50" s="473" customFormat="1" ht="19.5" customHeight="1" thickBot="1" x14ac:dyDescent="0.3">
      <c r="A29" s="383" t="str">
        <f>+LEFT('Input data'!$B$42,1)</f>
        <v/>
      </c>
      <c r="B29" s="382" t="str">
        <f>+MID('Input data'!$B$42,2,1)</f>
        <v/>
      </c>
      <c r="C29" s="382" t="str">
        <f>+MID('Input data'!$B$42,3,1)</f>
        <v/>
      </c>
      <c r="D29" s="382" t="str">
        <f>+MID('Input data'!$B$42,4,1)</f>
        <v/>
      </c>
      <c r="E29" s="382" t="str">
        <f>+MID('Input data'!$B$42,5,1)</f>
        <v/>
      </c>
      <c r="F29" s="382" t="str">
        <f>+MID('Input data'!$B$42,6,1)</f>
        <v/>
      </c>
      <c r="G29" s="382" t="str">
        <f>+MID('Input data'!$B$42,7,1)</f>
        <v/>
      </c>
      <c r="H29" s="382" t="str">
        <f>+MID('Input data'!$B$42,8,1)</f>
        <v/>
      </c>
      <c r="I29" s="382" t="str">
        <f>+MID('Input data'!$B$42,9,1)</f>
        <v/>
      </c>
      <c r="J29" s="382" t="str">
        <f>+MID('Input data'!$B$42,10,1)</f>
        <v/>
      </c>
      <c r="K29" s="382" t="str">
        <f>+MID('Input data'!$B$42,11,1)</f>
        <v/>
      </c>
      <c r="L29" s="382" t="str">
        <f>+MID('Input data'!$B$42,12,1)</f>
        <v/>
      </c>
      <c r="M29" s="382" t="str">
        <f>+MID('Input data'!$B$42,13,1)</f>
        <v/>
      </c>
      <c r="N29" s="382" t="str">
        <f>+MID('Input data'!$B$42,14,1)</f>
        <v/>
      </c>
      <c r="O29" s="382" t="str">
        <f>+MID('Input data'!$B$42,15,1)</f>
        <v/>
      </c>
      <c r="P29" s="382" t="str">
        <f>+MID('Input data'!$B$42,16,1)</f>
        <v/>
      </c>
      <c r="Q29" s="382" t="str">
        <f>+MID('Input data'!$B$42,17,1)</f>
        <v/>
      </c>
      <c r="R29" s="382" t="str">
        <f>+MID('Input data'!$B$42,18,1)</f>
        <v/>
      </c>
      <c r="S29" s="382" t="str">
        <f>+MID('Input data'!$B$42,19,1)</f>
        <v/>
      </c>
      <c r="T29" s="382" t="str">
        <f>+MID('Input data'!$B$42,20,1)</f>
        <v/>
      </c>
      <c r="U29" s="382" t="str">
        <f>+MID('Input data'!$B$42,21,1)</f>
        <v/>
      </c>
      <c r="V29" s="382" t="str">
        <f>+MID('Input data'!$B$42,22,1)</f>
        <v/>
      </c>
      <c r="W29" s="382" t="str">
        <f>+MID('Input data'!$B$42,23,1)</f>
        <v/>
      </c>
      <c r="X29" s="382" t="str">
        <f>+MID('Input data'!$B$42,24,1)</f>
        <v/>
      </c>
      <c r="Y29" s="382" t="str">
        <f>+MID('Input data'!$B$42,25,1)</f>
        <v/>
      </c>
      <c r="Z29" s="382" t="str">
        <f>+MID('Input data'!$B$42,26,1)</f>
        <v/>
      </c>
      <c r="AA29" s="382" t="str">
        <f>+MID('Input data'!$B$42,27,1)</f>
        <v/>
      </c>
      <c r="AB29" s="382" t="str">
        <f>+MID('Input data'!$B$42,28,1)</f>
        <v/>
      </c>
      <c r="AC29" s="382" t="str">
        <f>+MID('Input data'!$B$42,29,1)</f>
        <v/>
      </c>
      <c r="AD29" s="382" t="str">
        <f>+MID('Input data'!$B$42,30,1)</f>
        <v/>
      </c>
      <c r="AE29" s="382" t="str">
        <f>+MID('Input data'!$B$42,31,1)</f>
        <v/>
      </c>
      <c r="AF29" s="382" t="str">
        <f>+MID('Input data'!$B$42,32,1)</f>
        <v/>
      </c>
      <c r="AG29" s="382" t="str">
        <f>+MID('Input data'!$B$42,33,1)</f>
        <v/>
      </c>
      <c r="AH29" s="382" t="str">
        <f>+MID('Input data'!$B$42,34,1)</f>
        <v/>
      </c>
      <c r="AI29" s="382" t="str">
        <f>+MID('Input data'!$B$42,35,1)</f>
        <v/>
      </c>
      <c r="AJ29" s="382" t="str">
        <f>+MID('Input data'!$B$42,36,1)</f>
        <v/>
      </c>
      <c r="AK29" s="381" t="str">
        <f>+MID('Input data'!$B$42,37,1)</f>
        <v/>
      </c>
    </row>
    <row r="30" spans="1:50" s="334" customFormat="1" ht="4.5" customHeight="1" thickBot="1" x14ac:dyDescent="0.3"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</row>
    <row r="31" spans="1:50" s="377" customFormat="1" ht="12.75" customHeight="1" x14ac:dyDescent="0.25">
      <c r="A31" s="380" t="s">
        <v>1203</v>
      </c>
      <c r="B31" s="379"/>
      <c r="C31" s="379"/>
      <c r="D31" s="379"/>
      <c r="E31" s="379"/>
      <c r="F31" s="379"/>
      <c r="G31" s="379"/>
      <c r="H31" s="379"/>
      <c r="I31" s="379"/>
      <c r="J31" s="379"/>
      <c r="K31" s="664"/>
      <c r="L31" s="664"/>
      <c r="M31" s="1731" t="s">
        <v>1256</v>
      </c>
      <c r="N31" s="1732"/>
      <c r="O31" s="1732"/>
      <c r="P31" s="1732"/>
      <c r="Q31" s="1732"/>
      <c r="R31" s="1732"/>
      <c r="S31" s="1732"/>
      <c r="T31" s="1732"/>
      <c r="U31" s="1733"/>
      <c r="V31" s="1731" t="s">
        <v>1257</v>
      </c>
      <c r="W31" s="1732"/>
      <c r="X31" s="1732"/>
      <c r="Y31" s="1732"/>
      <c r="Z31" s="1732"/>
      <c r="AA31" s="1732"/>
      <c r="AB31" s="1732"/>
      <c r="AC31" s="1733"/>
      <c r="AD31" s="1731" t="s">
        <v>1258</v>
      </c>
      <c r="AE31" s="1732"/>
      <c r="AF31" s="1732"/>
      <c r="AG31" s="1732"/>
      <c r="AH31" s="1732"/>
      <c r="AI31" s="1732"/>
      <c r="AJ31" s="1732"/>
      <c r="AK31" s="1732"/>
      <c r="AL31" s="1737"/>
    </row>
    <row r="32" spans="1:50" s="334" customFormat="1" ht="19.5" customHeight="1" x14ac:dyDescent="0.25">
      <c r="A32" s="363" t="str">
        <f>LEFT(TEXT('Input data'!F34,"dd.m.yyyy"),1)</f>
        <v>0</v>
      </c>
      <c r="B32" s="362" t="str">
        <f>MID(TEXT('Input data'!$F$34,"dd.mm.yyyy"),2,1)</f>
        <v>0</v>
      </c>
      <c r="C32" s="361" t="s">
        <v>955</v>
      </c>
      <c r="D32" s="362" t="str">
        <f>MID(TEXT('Input data'!$F$34,"dd.mm.yyyy"),4,1)</f>
        <v>0</v>
      </c>
      <c r="E32" s="362" t="str">
        <f>MID(TEXT('Input data'!$F$34,"dd.mm.yyyy"),5,1)</f>
        <v>1</v>
      </c>
      <c r="F32" s="361" t="s">
        <v>955</v>
      </c>
      <c r="G32" s="362" t="str">
        <f>MID(TEXT('Input data'!$F$34,"dd.mm.yyyy"),7,1)</f>
        <v>1</v>
      </c>
      <c r="H32" s="362" t="str">
        <f>MID(TEXT('Input data'!$F$34,"dd.mm.yyyy"),8,1)</f>
        <v>9</v>
      </c>
      <c r="I32" s="362" t="str">
        <f>MID(TEXT('Input data'!$F$34,"dd.mm.yyyy"),9,1)</f>
        <v>0</v>
      </c>
      <c r="J32" s="362" t="str">
        <f>MID(TEXT('Input data'!$F$34,"dd.mm.yyyy"),10,1)</f>
        <v>0</v>
      </c>
      <c r="K32" s="665"/>
      <c r="L32" s="369"/>
      <c r="M32" s="1734"/>
      <c r="N32" s="1735"/>
      <c r="O32" s="1735"/>
      <c r="P32" s="1735"/>
      <c r="Q32" s="1735"/>
      <c r="R32" s="1735"/>
      <c r="S32" s="1735"/>
      <c r="T32" s="1735"/>
      <c r="U32" s="1736"/>
      <c r="V32" s="1734"/>
      <c r="W32" s="1735"/>
      <c r="X32" s="1735"/>
      <c r="Y32" s="1735"/>
      <c r="Z32" s="1735"/>
      <c r="AA32" s="1735"/>
      <c r="AB32" s="1735"/>
      <c r="AC32" s="1736"/>
      <c r="AD32" s="1734"/>
      <c r="AE32" s="1735"/>
      <c r="AF32" s="1735"/>
      <c r="AG32" s="1735"/>
      <c r="AH32" s="1735"/>
      <c r="AI32" s="1735"/>
      <c r="AJ32" s="1735"/>
      <c r="AK32" s="1735"/>
      <c r="AL32" s="1738"/>
      <c r="AP32" s="472"/>
      <c r="AX32" s="334" t="s">
        <v>985</v>
      </c>
    </row>
    <row r="33" spans="1:38" s="334" customFormat="1" ht="12.75" customHeight="1" x14ac:dyDescent="0.25">
      <c r="A33" s="375"/>
      <c r="B33" s="374"/>
      <c r="C33" s="374"/>
      <c r="D33" s="374"/>
      <c r="E33" s="374"/>
      <c r="F33" s="374"/>
      <c r="G33" s="374"/>
      <c r="H33" s="374"/>
      <c r="I33" s="374"/>
      <c r="J33" s="374"/>
      <c r="K33" s="666"/>
      <c r="L33" s="666"/>
      <c r="M33" s="1734"/>
      <c r="N33" s="1735"/>
      <c r="O33" s="1735"/>
      <c r="P33" s="1735"/>
      <c r="Q33" s="1735"/>
      <c r="R33" s="1735"/>
      <c r="S33" s="1735"/>
      <c r="T33" s="1735"/>
      <c r="U33" s="1736"/>
      <c r="V33" s="1734"/>
      <c r="W33" s="1735"/>
      <c r="X33" s="1735"/>
      <c r="Y33" s="1735"/>
      <c r="Z33" s="1735"/>
      <c r="AA33" s="1735"/>
      <c r="AB33" s="1735"/>
      <c r="AC33" s="1736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x14ac:dyDescent="0.2">
      <c r="A34" s="346" t="s">
        <v>1201</v>
      </c>
      <c r="B34" s="345"/>
      <c r="C34" s="345"/>
      <c r="D34" s="345"/>
      <c r="E34" s="345"/>
      <c r="F34" s="345"/>
      <c r="G34" s="345"/>
      <c r="H34" s="345"/>
      <c r="I34" s="345"/>
      <c r="J34" s="345"/>
      <c r="K34" s="369"/>
      <c r="L34" s="667"/>
      <c r="M34" s="369"/>
      <c r="N34" s="369"/>
      <c r="O34" s="369"/>
      <c r="P34" s="369"/>
      <c r="Q34" s="369"/>
      <c r="R34" s="369"/>
      <c r="S34" s="369"/>
      <c r="T34" s="345"/>
      <c r="U34" s="367"/>
      <c r="V34" s="368"/>
      <c r="W34" s="368"/>
      <c r="X34" s="368"/>
      <c r="Y34" s="368"/>
      <c r="Z34" s="368"/>
      <c r="AA34" s="342"/>
      <c r="AB34" s="368"/>
      <c r="AC34" s="367"/>
      <c r="AD34" s="366"/>
      <c r="AE34" s="365"/>
      <c r="AF34" s="365"/>
      <c r="AG34" s="365"/>
      <c r="AH34" s="365"/>
      <c r="AI34" s="365"/>
      <c r="AJ34" s="365"/>
      <c r="AK34" s="365"/>
      <c r="AL34" s="364"/>
    </row>
    <row r="35" spans="1:38" s="334" customFormat="1" ht="19.5" customHeight="1" x14ac:dyDescent="0.25">
      <c r="A35" s="363" t="str">
        <f>IF('Input data'!$F$36="","",LEFT(TEXT('Input data'!$F$36,"dd.mm.yyyy"),1))</f>
        <v/>
      </c>
      <c r="B35" s="362" t="str">
        <f>IF('Input data'!$F$36="","",MID(TEXT('Input data'!$F$36,"dd.mm.yyyy"),2,1))</f>
        <v/>
      </c>
      <c r="C35" s="361" t="s">
        <v>955</v>
      </c>
      <c r="D35" s="362" t="str">
        <f>IF('Input data'!$F$36="","",MID(TEXT('Input data'!$F$36,"dd.mm.yyyy"),4,1))</f>
        <v/>
      </c>
      <c r="E35" s="362" t="str">
        <f>IF('Input data'!$F$36="","",MID(TEXT('Input data'!$F$36,"dd.mm.yyyy"),5,1))</f>
        <v/>
      </c>
      <c r="F35" s="361" t="s">
        <v>955</v>
      </c>
      <c r="G35" s="360" t="str">
        <f>IF('Input data'!$F$36="","",MID(TEXT('Input data'!$F$36,"dd.mm.yyyy"),7,1))</f>
        <v/>
      </c>
      <c r="H35" s="360" t="str">
        <f>IF('Input data'!$F$36="","",MID(TEXT('Input data'!$F$36,"dd.mm.yyyy"),8,1))</f>
        <v/>
      </c>
      <c r="I35" s="360" t="str">
        <f>IF('Input data'!$F$36="","",MID(TEXT('Input data'!$F$36,"dd.mm.yyyy"),9,1))</f>
        <v/>
      </c>
      <c r="J35" s="360" t="str">
        <f>IF('Input data'!$F$36="","",MID(TEXT('Input data'!$F$36,"dd.mm.yyyy"),10,1))</f>
        <v/>
      </c>
      <c r="K35" s="668"/>
      <c r="L35" s="471"/>
      <c r="M35" s="345"/>
      <c r="N35" s="345"/>
      <c r="O35" s="345"/>
      <c r="P35" s="345"/>
      <c r="Q35" s="345"/>
      <c r="R35" s="345"/>
      <c r="S35" s="345"/>
      <c r="T35" s="345"/>
      <c r="U35" s="471"/>
      <c r="V35" s="345"/>
      <c r="W35" s="342"/>
      <c r="X35" s="342"/>
      <c r="Y35" s="342"/>
      <c r="Z35" s="342"/>
      <c r="AA35" s="342"/>
      <c r="AB35" s="342"/>
      <c r="AC35" s="470"/>
      <c r="AD35" s="342"/>
      <c r="AE35" s="342"/>
      <c r="AF35" s="342"/>
      <c r="AG35" s="342"/>
      <c r="AH35" s="342"/>
      <c r="AI35" s="342"/>
      <c r="AJ35" s="342"/>
      <c r="AK35" s="342"/>
      <c r="AL35" s="341"/>
    </row>
    <row r="36" spans="1:38" s="340" customFormat="1" thickBot="1" x14ac:dyDescent="0.3">
      <c r="A36" s="355"/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3"/>
      <c r="M36" s="1633">
        <f>'Input data'!F40</f>
        <v>0</v>
      </c>
      <c r="N36" s="1634"/>
      <c r="O36" s="1634"/>
      <c r="P36" s="1634"/>
      <c r="Q36" s="1634"/>
      <c r="R36" s="1634"/>
      <c r="S36" s="1634"/>
      <c r="T36" s="1634"/>
      <c r="U36" s="1635"/>
      <c r="V36" s="1633" t="e">
        <f>'Input data'!#REF!</f>
        <v>#REF!</v>
      </c>
      <c r="W36" s="1634"/>
      <c r="X36" s="1634"/>
      <c r="Y36" s="1634"/>
      <c r="Z36" s="1634"/>
      <c r="AA36" s="1634"/>
      <c r="AB36" s="1634"/>
      <c r="AC36" s="1635"/>
      <c r="AD36" s="1636" t="e">
        <f>'Input data'!#REF!</f>
        <v>#REF!</v>
      </c>
      <c r="AE36" s="1634"/>
      <c r="AF36" s="1634"/>
      <c r="AG36" s="1634"/>
      <c r="AH36" s="1634"/>
      <c r="AI36" s="1634"/>
      <c r="AJ36" s="1634"/>
      <c r="AK36" s="1634"/>
      <c r="AL36" s="1637"/>
    </row>
    <row r="37" spans="1:38" s="340" customFormat="1" x14ac:dyDescent="0.25"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</row>
    <row r="38" spans="1:38" s="340" customFormat="1" x14ac:dyDescent="0.25"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</row>
    <row r="39" spans="1:38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8" ht="13.5" thickBot="1" x14ac:dyDescent="0.3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s="340" customFormat="1" x14ac:dyDescent="0.25">
      <c r="B41" s="352" t="s">
        <v>1259</v>
      </c>
      <c r="C41" s="351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T41" s="351"/>
      <c r="U41" s="351"/>
      <c r="V41" s="351"/>
      <c r="W41" s="350"/>
      <c r="X41" s="350"/>
      <c r="Y41" s="350"/>
      <c r="Z41" s="350"/>
      <c r="AA41" s="350"/>
      <c r="AB41" s="350"/>
      <c r="AC41" s="350"/>
      <c r="AD41" s="350"/>
      <c r="AE41" s="350"/>
      <c r="AF41" s="350"/>
      <c r="AG41" s="350"/>
      <c r="AH41" s="350"/>
      <c r="AI41" s="350"/>
      <c r="AJ41" s="349"/>
      <c r="AK41" s="335"/>
    </row>
    <row r="42" spans="1:38" s="340" customFormat="1" x14ac:dyDescent="0.25">
      <c r="B42" s="344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43"/>
      <c r="W42" s="342"/>
      <c r="X42" s="342"/>
      <c r="Y42" s="342"/>
      <c r="Z42" s="342"/>
      <c r="AA42" s="342"/>
      <c r="AB42" s="342"/>
      <c r="AC42" s="342"/>
      <c r="AD42" s="342"/>
      <c r="AE42" s="342"/>
      <c r="AF42" s="342"/>
      <c r="AG42" s="342"/>
      <c r="AH42" s="342"/>
      <c r="AI42" s="342"/>
      <c r="AJ42" s="341"/>
      <c r="AK42" s="335"/>
    </row>
    <row r="43" spans="1:38" x14ac:dyDescent="0.25">
      <c r="B43" s="348"/>
      <c r="C43" s="347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  <c r="R43" s="347"/>
      <c r="S43" s="347"/>
      <c r="T43" s="347"/>
      <c r="U43" s="347"/>
      <c r="V43" s="347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34" customFormat="1" x14ac:dyDescent="0.25">
      <c r="B45" s="346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40" customFormat="1" x14ac:dyDescent="0.25">
      <c r="B47" s="344"/>
      <c r="C47" s="343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43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34" customFormat="1" ht="13.5" thickBot="1" x14ac:dyDescent="0.3">
      <c r="B51" s="339"/>
      <c r="C51" s="338"/>
      <c r="D51" s="338"/>
      <c r="E51" s="338"/>
      <c r="F51" s="338"/>
      <c r="G51" s="338" t="s">
        <v>1260</v>
      </c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 t="s">
        <v>1261</v>
      </c>
      <c r="V51" s="338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6"/>
      <c r="AK51" s="335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25947/1/2010&amp;RPage 1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13"/>
  <sheetViews>
    <sheetView zoomScaleNormal="100" zoomScaleSheetLayoutView="100" workbookViewId="0">
      <selection activeCell="B211" sqref="B211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3.7109375" style="445" customWidth="1"/>
    <col min="4" max="4" width="3.5703125" style="445" customWidth="1"/>
    <col min="5" max="5" width="12.42578125" style="445" customWidth="1"/>
    <col min="6" max="6" width="12.140625" style="445" customWidth="1"/>
    <col min="7" max="7" width="14.7109375" style="445" customWidth="1"/>
    <col min="8" max="8" width="3.5703125" style="445" customWidth="1"/>
    <col min="9" max="9" width="10.5703125" style="445" customWidth="1"/>
    <col min="10" max="10" width="14.42578125" style="445" customWidth="1"/>
    <col min="11" max="16384" width="9.140625" style="445"/>
  </cols>
  <sheetData>
    <row r="1" spans="1:13" ht="7.5" customHeight="1" x14ac:dyDescent="0.25">
      <c r="A1" s="444"/>
      <c r="F1" s="388"/>
      <c r="G1" s="388"/>
      <c r="H1" s="388"/>
      <c r="I1" s="388"/>
    </row>
    <row r="2" spans="1:13" ht="17.25" customHeight="1" x14ac:dyDescent="0.25">
      <c r="A2" s="444"/>
      <c r="B2" s="1797" t="s">
        <v>1229</v>
      </c>
      <c r="C2" s="1798"/>
      <c r="E2" s="388"/>
      <c r="F2" s="468" t="s">
        <v>1262</v>
      </c>
      <c r="G2" s="1799" t="e">
        <f>"  "&amp;#REF!&amp;"  "&amp;#REF!&amp;"  "&amp;#REF!&amp;"  "&amp;#REF!&amp;"  "&amp;#REF!&amp;"  "&amp;#REF!&amp;"  "&amp;#REF!&amp;"  "&amp;#REF!&amp;"  "&amp;#REF!&amp;"  "&amp;#REF!</f>
        <v>#REF!</v>
      </c>
      <c r="H2" s="1800"/>
      <c r="I2" s="1801"/>
    </row>
    <row r="3" spans="1:13" ht="7.5" customHeight="1" thickBot="1" x14ac:dyDescent="0.3">
      <c r="A3" s="444"/>
    </row>
    <row r="4" spans="1:13" s="462" customFormat="1" ht="11.25" customHeight="1" x14ac:dyDescent="0.25">
      <c r="A4" s="1802" t="s">
        <v>1263</v>
      </c>
      <c r="B4" s="1803" t="s">
        <v>1264</v>
      </c>
      <c r="C4" s="1804" t="s">
        <v>1265</v>
      </c>
      <c r="D4" s="1654" t="s">
        <v>1266</v>
      </c>
      <c r="E4" s="1716"/>
      <c r="F4" s="1716"/>
      <c r="G4" s="1716"/>
      <c r="H4" s="1658"/>
      <c r="I4" s="1719" t="s">
        <v>1267</v>
      </c>
      <c r="J4" s="1720"/>
    </row>
    <row r="5" spans="1:13" s="462" customFormat="1" ht="11.25" customHeight="1" x14ac:dyDescent="0.15">
      <c r="A5" s="1771"/>
      <c r="B5" s="1772"/>
      <c r="C5" s="1773"/>
      <c r="D5" s="1696">
        <v>1</v>
      </c>
      <c r="E5" s="1664" t="s">
        <v>1268</v>
      </c>
      <c r="F5" s="1727"/>
      <c r="G5" s="1723" t="s">
        <v>1269</v>
      </c>
      <c r="H5" s="1725"/>
      <c r="I5" s="1656"/>
      <c r="J5" s="1657"/>
    </row>
    <row r="6" spans="1:13" s="462" customFormat="1" ht="12" customHeight="1" x14ac:dyDescent="0.25">
      <c r="A6" s="1666"/>
      <c r="B6" s="1674"/>
      <c r="C6" s="1676"/>
      <c r="D6" s="1774"/>
      <c r="E6" s="1664" t="s">
        <v>1270</v>
      </c>
      <c r="F6" s="1727"/>
      <c r="G6" s="1656"/>
      <c r="H6" s="1659"/>
      <c r="I6" s="1664" t="s">
        <v>1271</v>
      </c>
      <c r="J6" s="1665"/>
    </row>
    <row r="7" spans="1:13" s="464" customFormat="1" ht="27.95" customHeight="1" x14ac:dyDescent="0.25">
      <c r="A7" s="1794"/>
      <c r="B7" s="1796" t="s">
        <v>1272</v>
      </c>
      <c r="C7" s="1686" t="s">
        <v>488</v>
      </c>
      <c r="D7" s="1652">
        <f>'BS old'!D10</f>
        <v>0</v>
      </c>
      <c r="E7" s="1652"/>
      <c r="F7" s="1652"/>
      <c r="G7" s="1649">
        <f>'BS old'!F10</f>
        <v>0</v>
      </c>
      <c r="H7" s="1650"/>
      <c r="I7" s="1651"/>
      <c r="J7" s="463"/>
    </row>
    <row r="8" spans="1:13" s="464" customFormat="1" ht="27.95" customHeight="1" x14ac:dyDescent="0.25">
      <c r="A8" s="1795"/>
      <c r="B8" s="1683"/>
      <c r="C8" s="1686"/>
      <c r="D8" s="1652">
        <f>'BS old'!E10</f>
        <v>0</v>
      </c>
      <c r="E8" s="1652"/>
      <c r="F8" s="1652"/>
      <c r="G8" s="636"/>
      <c r="H8" s="1649">
        <f>'BS old'!G10</f>
        <v>0</v>
      </c>
      <c r="I8" s="1650"/>
      <c r="J8" s="1653"/>
      <c r="M8" s="464" t="s">
        <v>985</v>
      </c>
    </row>
    <row r="9" spans="1:13" s="464" customFormat="1" ht="27.95" customHeight="1" x14ac:dyDescent="0.25">
      <c r="A9" s="1769" t="s">
        <v>489</v>
      </c>
      <c r="B9" s="1683" t="s">
        <v>1273</v>
      </c>
      <c r="C9" s="1686" t="s">
        <v>491</v>
      </c>
      <c r="D9" s="1652">
        <f>'BS old'!D11</f>
        <v>0</v>
      </c>
      <c r="E9" s="1652"/>
      <c r="F9" s="1652"/>
      <c r="G9" s="1649">
        <f>'BS old'!F11</f>
        <v>0</v>
      </c>
      <c r="H9" s="1650"/>
      <c r="I9" s="1651"/>
      <c r="J9" s="463"/>
    </row>
    <row r="10" spans="1:13" s="464" customFormat="1" ht="27.95" customHeight="1" x14ac:dyDescent="0.25">
      <c r="A10" s="1770"/>
      <c r="B10" s="1683"/>
      <c r="C10" s="1686"/>
      <c r="D10" s="1652">
        <f>'BS old'!E11</f>
        <v>0</v>
      </c>
      <c r="E10" s="1652"/>
      <c r="F10" s="1652"/>
      <c r="G10" s="636"/>
      <c r="H10" s="1649">
        <f>'BS old'!G11</f>
        <v>0</v>
      </c>
      <c r="I10" s="1650"/>
      <c r="J10" s="1653"/>
    </row>
    <row r="11" spans="1:13" s="464" customFormat="1" ht="27.95" customHeight="1" x14ac:dyDescent="0.25">
      <c r="A11" s="1769" t="s">
        <v>492</v>
      </c>
      <c r="B11" s="1683" t="s">
        <v>1274</v>
      </c>
      <c r="C11" s="1686" t="s">
        <v>494</v>
      </c>
      <c r="D11" s="1652">
        <f>'BS old'!D12</f>
        <v>0</v>
      </c>
      <c r="E11" s="1652"/>
      <c r="F11" s="1652"/>
      <c r="G11" s="1649">
        <f>'BS old'!F12</f>
        <v>0</v>
      </c>
      <c r="H11" s="1650"/>
      <c r="I11" s="1651"/>
      <c r="J11" s="670"/>
    </row>
    <row r="12" spans="1:13" s="464" customFormat="1" ht="27.95" customHeight="1" x14ac:dyDescent="0.25">
      <c r="A12" s="1770"/>
      <c r="B12" s="1683"/>
      <c r="C12" s="1686"/>
      <c r="D12" s="1652">
        <f>'BS old'!E12</f>
        <v>0</v>
      </c>
      <c r="E12" s="1652"/>
      <c r="F12" s="1652"/>
      <c r="G12" s="636"/>
      <c r="H12" s="1649">
        <f>'BS old'!G12</f>
        <v>0</v>
      </c>
      <c r="I12" s="1650"/>
      <c r="J12" s="1653"/>
    </row>
    <row r="13" spans="1:13" s="462" customFormat="1" ht="27.95" customHeight="1" x14ac:dyDescent="0.25">
      <c r="A13" s="1781" t="s">
        <v>495</v>
      </c>
      <c r="B13" s="1671" t="s">
        <v>1275</v>
      </c>
      <c r="C13" s="1788" t="s">
        <v>497</v>
      </c>
      <c r="D13" s="1652">
        <f>'BS old'!D13</f>
        <v>0</v>
      </c>
      <c r="E13" s="1652"/>
      <c r="F13" s="1652"/>
      <c r="G13" s="1649">
        <f>'BS old'!F13</f>
        <v>0</v>
      </c>
      <c r="H13" s="1650"/>
      <c r="I13" s="1651"/>
      <c r="J13" s="463"/>
    </row>
    <row r="14" spans="1:13" s="462" customFormat="1" ht="27.95" customHeight="1" x14ac:dyDescent="0.25">
      <c r="A14" s="1782"/>
      <c r="B14" s="1671"/>
      <c r="C14" s="1672"/>
      <c r="D14" s="1652">
        <f>'BS old'!E13</f>
        <v>0</v>
      </c>
      <c r="E14" s="1652"/>
      <c r="F14" s="1652"/>
      <c r="G14" s="636"/>
      <c r="H14" s="1649">
        <f>'BS old'!G13</f>
        <v>0</v>
      </c>
      <c r="I14" s="1650"/>
      <c r="J14" s="1653"/>
    </row>
    <row r="15" spans="1:13" s="462" customFormat="1" ht="27.95" customHeight="1" x14ac:dyDescent="0.25">
      <c r="A15" s="1765" t="s">
        <v>498</v>
      </c>
      <c r="B15" s="1671" t="s">
        <v>1276</v>
      </c>
      <c r="C15" s="1788" t="s">
        <v>500</v>
      </c>
      <c r="D15" s="1652">
        <f>'BS old'!D14</f>
        <v>0</v>
      </c>
      <c r="E15" s="1652"/>
      <c r="F15" s="1652"/>
      <c r="G15" s="1649">
        <f>'BS old'!F14</f>
        <v>0</v>
      </c>
      <c r="H15" s="1650"/>
      <c r="I15" s="1651"/>
      <c r="J15" s="463"/>
    </row>
    <row r="16" spans="1:13" s="462" customFormat="1" ht="27.95" customHeight="1" x14ac:dyDescent="0.25">
      <c r="A16" s="1668"/>
      <c r="B16" s="1671"/>
      <c r="C16" s="1672"/>
      <c r="D16" s="1652">
        <f>'BS old'!E14</f>
        <v>0</v>
      </c>
      <c r="E16" s="1652"/>
      <c r="F16" s="1652"/>
      <c r="G16" s="636"/>
      <c r="H16" s="1649">
        <f>'BS old'!G14</f>
        <v>0</v>
      </c>
      <c r="I16" s="1650"/>
      <c r="J16" s="1653"/>
    </row>
    <row r="17" spans="1:10" s="462" customFormat="1" ht="27.95" customHeight="1" x14ac:dyDescent="0.25">
      <c r="A17" s="1765" t="s">
        <v>501</v>
      </c>
      <c r="B17" s="1671" t="s">
        <v>1277</v>
      </c>
      <c r="C17" s="1788" t="s">
        <v>503</v>
      </c>
      <c r="D17" s="1652">
        <f>'BS old'!D15</f>
        <v>0</v>
      </c>
      <c r="E17" s="1652"/>
      <c r="F17" s="1652"/>
      <c r="G17" s="1649">
        <f>'BS old'!F15</f>
        <v>0</v>
      </c>
      <c r="H17" s="1650"/>
      <c r="I17" s="1651"/>
      <c r="J17" s="463"/>
    </row>
    <row r="18" spans="1:10" s="462" customFormat="1" ht="27.95" customHeight="1" x14ac:dyDescent="0.25">
      <c r="A18" s="1668"/>
      <c r="B18" s="1671"/>
      <c r="C18" s="1672"/>
      <c r="D18" s="1652">
        <f>'BS old'!E15</f>
        <v>0</v>
      </c>
      <c r="E18" s="1652"/>
      <c r="F18" s="1652"/>
      <c r="G18" s="636"/>
      <c r="H18" s="1649">
        <f>'BS old'!G15</f>
        <v>0</v>
      </c>
      <c r="I18" s="1650"/>
      <c r="J18" s="1653"/>
    </row>
    <row r="19" spans="1:10" s="462" customFormat="1" ht="27.95" customHeight="1" x14ac:dyDescent="0.25">
      <c r="A19" s="1765" t="s">
        <v>504</v>
      </c>
      <c r="B19" s="1671" t="s">
        <v>1119</v>
      </c>
      <c r="C19" s="1788" t="s">
        <v>506</v>
      </c>
      <c r="D19" s="1652">
        <f>'BS old'!D16</f>
        <v>0</v>
      </c>
      <c r="E19" s="1652"/>
      <c r="F19" s="1652"/>
      <c r="G19" s="1649">
        <f>'BS old'!F16</f>
        <v>0</v>
      </c>
      <c r="H19" s="1650"/>
      <c r="I19" s="1651"/>
      <c r="J19" s="463"/>
    </row>
    <row r="20" spans="1:10" s="462" customFormat="1" ht="27.95" customHeight="1" x14ac:dyDescent="0.25">
      <c r="A20" s="1668"/>
      <c r="B20" s="1671"/>
      <c r="C20" s="1672"/>
      <c r="D20" s="1652">
        <f>'BS old'!E16</f>
        <v>0</v>
      </c>
      <c r="E20" s="1652"/>
      <c r="F20" s="1652"/>
      <c r="G20" s="636"/>
      <c r="H20" s="1649">
        <f>'BS old'!G16</f>
        <v>0</v>
      </c>
      <c r="I20" s="1650"/>
      <c r="J20" s="1653"/>
    </row>
    <row r="21" spans="1:10" s="462" customFormat="1" ht="27.95" customHeight="1" x14ac:dyDescent="0.25">
      <c r="A21" s="1765" t="s">
        <v>507</v>
      </c>
      <c r="B21" s="1671" t="s">
        <v>1278</v>
      </c>
      <c r="C21" s="1788" t="s">
        <v>509</v>
      </c>
      <c r="D21" s="1652">
        <f>'BS old'!D17</f>
        <v>0</v>
      </c>
      <c r="E21" s="1652"/>
      <c r="F21" s="1652"/>
      <c r="G21" s="1649">
        <f>'BS old'!F17</f>
        <v>0</v>
      </c>
      <c r="H21" s="1650"/>
      <c r="I21" s="1651"/>
      <c r="J21" s="463"/>
    </row>
    <row r="22" spans="1:10" s="462" customFormat="1" ht="27.95" customHeight="1" x14ac:dyDescent="0.25">
      <c r="A22" s="1668"/>
      <c r="B22" s="1671"/>
      <c r="C22" s="1672"/>
      <c r="D22" s="1652">
        <f>'BS old'!E17</f>
        <v>0</v>
      </c>
      <c r="E22" s="1652"/>
      <c r="F22" s="1652"/>
      <c r="G22" s="636"/>
      <c r="H22" s="1649">
        <f>'BS old'!G17</f>
        <v>0</v>
      </c>
      <c r="I22" s="1650"/>
      <c r="J22" s="1653"/>
    </row>
    <row r="23" spans="1:10" s="462" customFormat="1" ht="27.95" customHeight="1" x14ac:dyDescent="0.25">
      <c r="A23" s="1765" t="s">
        <v>510</v>
      </c>
      <c r="B23" s="1671" t="s">
        <v>1279</v>
      </c>
      <c r="C23" s="1788" t="s">
        <v>512</v>
      </c>
      <c r="D23" s="1652">
        <f>'BS old'!D18</f>
        <v>0</v>
      </c>
      <c r="E23" s="1652"/>
      <c r="F23" s="1652"/>
      <c r="G23" s="1649">
        <f>'BS old'!F18</f>
        <v>0</v>
      </c>
      <c r="H23" s="1650"/>
      <c r="I23" s="1651"/>
      <c r="J23" s="463"/>
    </row>
    <row r="24" spans="1:10" s="462" customFormat="1" ht="27.95" customHeight="1" x14ac:dyDescent="0.25">
      <c r="A24" s="1668"/>
      <c r="B24" s="1671"/>
      <c r="C24" s="1672"/>
      <c r="D24" s="1652">
        <f>'BS old'!E18</f>
        <v>0</v>
      </c>
      <c r="E24" s="1652"/>
      <c r="F24" s="1652"/>
      <c r="G24" s="636"/>
      <c r="H24" s="1649">
        <f>'BS old'!G18</f>
        <v>0</v>
      </c>
      <c r="I24" s="1650"/>
      <c r="J24" s="1653"/>
    </row>
    <row r="25" spans="1:10" s="462" customFormat="1" ht="27.95" customHeight="1" x14ac:dyDescent="0.25">
      <c r="A25" s="1765" t="s">
        <v>513</v>
      </c>
      <c r="B25" s="1671" t="s">
        <v>1280</v>
      </c>
      <c r="C25" s="1788" t="s">
        <v>515</v>
      </c>
      <c r="D25" s="1652">
        <f>'BS old'!D19</f>
        <v>0</v>
      </c>
      <c r="E25" s="1652"/>
      <c r="F25" s="1652"/>
      <c r="G25" s="1649">
        <f>'BS old'!F19</f>
        <v>0</v>
      </c>
      <c r="H25" s="1650"/>
      <c r="I25" s="1651"/>
      <c r="J25" s="463"/>
    </row>
    <row r="26" spans="1:10" s="462" customFormat="1" ht="27.95" customHeight="1" x14ac:dyDescent="0.25">
      <c r="A26" s="1668"/>
      <c r="B26" s="1671"/>
      <c r="C26" s="1672"/>
      <c r="D26" s="1652">
        <f>'BS old'!E19</f>
        <v>0</v>
      </c>
      <c r="E26" s="1652"/>
      <c r="F26" s="1652"/>
      <c r="G26" s="636"/>
      <c r="H26" s="1649">
        <f>'BS old'!G19</f>
        <v>0</v>
      </c>
      <c r="I26" s="1650"/>
      <c r="J26" s="1653"/>
    </row>
    <row r="27" spans="1:10" s="464" customFormat="1" ht="27.95" customHeight="1" x14ac:dyDescent="0.25">
      <c r="A27" s="1783" t="s">
        <v>516</v>
      </c>
      <c r="B27" s="1683" t="s">
        <v>517</v>
      </c>
      <c r="C27" s="1792" t="s">
        <v>518</v>
      </c>
      <c r="D27" s="1652">
        <f>'BS old'!D20</f>
        <v>0</v>
      </c>
      <c r="E27" s="1652"/>
      <c r="F27" s="1652"/>
      <c r="G27" s="1649">
        <f>'BS old'!F20</f>
        <v>0</v>
      </c>
      <c r="H27" s="1650"/>
      <c r="I27" s="1651"/>
      <c r="J27" s="463"/>
    </row>
    <row r="28" spans="1:10" s="464" customFormat="1" ht="27.95" customHeight="1" x14ac:dyDescent="0.25">
      <c r="A28" s="1784"/>
      <c r="B28" s="1683"/>
      <c r="C28" s="1793"/>
      <c r="D28" s="1652">
        <f>'BS old'!E20</f>
        <v>0</v>
      </c>
      <c r="E28" s="1652"/>
      <c r="F28" s="1652"/>
      <c r="G28" s="636"/>
      <c r="H28" s="1649">
        <f>'BS old'!G20</f>
        <v>0</v>
      </c>
      <c r="I28" s="1650"/>
      <c r="J28" s="1653"/>
    </row>
    <row r="29" spans="1:10" s="462" customFormat="1" ht="27.95" customHeight="1" x14ac:dyDescent="0.25">
      <c r="A29" s="1781" t="s">
        <v>519</v>
      </c>
      <c r="B29" s="1671" t="s">
        <v>1281</v>
      </c>
      <c r="C29" s="1788" t="s">
        <v>521</v>
      </c>
      <c r="D29" s="1652">
        <f>'BS old'!D21</f>
        <v>0</v>
      </c>
      <c r="E29" s="1652"/>
      <c r="F29" s="1652"/>
      <c r="G29" s="1649">
        <f>'BS old'!F21</f>
        <v>0</v>
      </c>
      <c r="H29" s="1650"/>
      <c r="I29" s="1651"/>
      <c r="J29" s="463"/>
    </row>
    <row r="30" spans="1:10" s="462" customFormat="1" ht="27.95" customHeight="1" x14ac:dyDescent="0.25">
      <c r="A30" s="1782"/>
      <c r="B30" s="1671"/>
      <c r="C30" s="1672"/>
      <c r="D30" s="1652">
        <f>'BS old'!E21</f>
        <v>0</v>
      </c>
      <c r="E30" s="1652"/>
      <c r="F30" s="1652"/>
      <c r="G30" s="636"/>
      <c r="H30" s="1649">
        <f>'BS old'!G21</f>
        <v>0</v>
      </c>
      <c r="I30" s="1650"/>
      <c r="J30" s="1653"/>
    </row>
    <row r="31" spans="1:10" s="462" customFormat="1" ht="27.95" customHeight="1" x14ac:dyDescent="0.25">
      <c r="A31" s="1765" t="s">
        <v>498</v>
      </c>
      <c r="B31" s="1671" t="s">
        <v>1282</v>
      </c>
      <c r="C31" s="1788" t="s">
        <v>523</v>
      </c>
      <c r="D31" s="1652">
        <f>'BS old'!D22</f>
        <v>0</v>
      </c>
      <c r="E31" s="1652"/>
      <c r="F31" s="1652"/>
      <c r="G31" s="1789">
        <f>'BS old'!F22</f>
        <v>0</v>
      </c>
      <c r="H31" s="1790"/>
      <c r="I31" s="1791"/>
      <c r="J31" s="463"/>
    </row>
    <row r="32" spans="1:10" s="462" customFormat="1" ht="27.95" customHeight="1" thickBot="1" x14ac:dyDescent="0.3">
      <c r="A32" s="1668"/>
      <c r="B32" s="1671"/>
      <c r="C32" s="1672"/>
      <c r="D32" s="1652">
        <f>'BS old'!E22</f>
        <v>0</v>
      </c>
      <c r="E32" s="1652"/>
      <c r="F32" s="1652"/>
      <c r="G32" s="636"/>
      <c r="H32" s="1649">
        <f>'BS old'!G22</f>
        <v>0</v>
      </c>
      <c r="I32" s="1650"/>
      <c r="J32" s="1653"/>
    </row>
    <row r="33" spans="1:10" s="462" customFormat="1" ht="11.25" customHeight="1" x14ac:dyDescent="0.25">
      <c r="A33" s="1771" t="s">
        <v>1263</v>
      </c>
      <c r="B33" s="1772" t="s">
        <v>1264</v>
      </c>
      <c r="C33" s="1773" t="s">
        <v>1265</v>
      </c>
      <c r="D33" s="1654" t="s">
        <v>1266</v>
      </c>
      <c r="E33" s="1716"/>
      <c r="F33" s="1716"/>
      <c r="G33" s="1716"/>
      <c r="H33" s="1658"/>
      <c r="I33" s="1719" t="s">
        <v>1267</v>
      </c>
      <c r="J33" s="1720"/>
    </row>
    <row r="34" spans="1:10" s="462" customFormat="1" ht="11.25" customHeight="1" x14ac:dyDescent="0.15">
      <c r="A34" s="1771"/>
      <c r="B34" s="1772"/>
      <c r="C34" s="1773"/>
      <c r="D34" s="1696">
        <v>1</v>
      </c>
      <c r="E34" s="1664" t="s">
        <v>1268</v>
      </c>
      <c r="F34" s="1727"/>
      <c r="G34" s="1723" t="s">
        <v>1269</v>
      </c>
      <c r="H34" s="1725"/>
      <c r="I34" s="1656"/>
      <c r="J34" s="1657"/>
    </row>
    <row r="35" spans="1:10" s="462" customFormat="1" ht="12" customHeight="1" x14ac:dyDescent="0.25">
      <c r="A35" s="1666"/>
      <c r="B35" s="1674"/>
      <c r="C35" s="1676"/>
      <c r="D35" s="1774"/>
      <c r="E35" s="1664" t="s">
        <v>1270</v>
      </c>
      <c r="F35" s="1727"/>
      <c r="G35" s="1656"/>
      <c r="H35" s="1659"/>
      <c r="I35" s="1664" t="s">
        <v>1271</v>
      </c>
      <c r="J35" s="1665"/>
    </row>
    <row r="36" spans="1:10" ht="27.95" customHeight="1" x14ac:dyDescent="0.25">
      <c r="A36" s="1765" t="s">
        <v>501</v>
      </c>
      <c r="B36" s="1670" t="s">
        <v>1283</v>
      </c>
      <c r="C36" s="1672" t="s">
        <v>525</v>
      </c>
      <c r="D36" s="1776">
        <f>'BS old'!D23</f>
        <v>0</v>
      </c>
      <c r="E36" s="1776"/>
      <c r="F36" s="1776"/>
      <c r="G36" s="1721">
        <f>'BS old'!F23</f>
        <v>0</v>
      </c>
      <c r="H36" s="1722"/>
      <c r="I36" s="1787"/>
      <c r="J36" s="671"/>
    </row>
    <row r="37" spans="1:10" ht="27.95" customHeight="1" x14ac:dyDescent="0.25">
      <c r="A37" s="1668"/>
      <c r="B37" s="1671"/>
      <c r="C37" s="1673"/>
      <c r="D37" s="1652">
        <f>'BS old'!E23</f>
        <v>0</v>
      </c>
      <c r="E37" s="1652"/>
      <c r="F37" s="1652"/>
      <c r="G37" s="672"/>
      <c r="H37" s="1649">
        <f>'BS old'!G23</f>
        <v>0</v>
      </c>
      <c r="I37" s="1650"/>
      <c r="J37" s="1653"/>
    </row>
    <row r="38" spans="1:10" ht="27.95" customHeight="1" x14ac:dyDescent="0.25">
      <c r="A38" s="1765" t="s">
        <v>504</v>
      </c>
      <c r="B38" s="1671" t="s">
        <v>1284</v>
      </c>
      <c r="C38" s="1673" t="s">
        <v>527</v>
      </c>
      <c r="D38" s="1652">
        <f>'BS old'!D24</f>
        <v>0</v>
      </c>
      <c r="E38" s="1652"/>
      <c r="F38" s="1652"/>
      <c r="G38" s="1649">
        <f>'BS old'!F24</f>
        <v>0</v>
      </c>
      <c r="H38" s="1650"/>
      <c r="I38" s="1651"/>
      <c r="J38" s="671"/>
    </row>
    <row r="39" spans="1:10" ht="27.95" customHeight="1" x14ac:dyDescent="0.25">
      <c r="A39" s="1668"/>
      <c r="B39" s="1671"/>
      <c r="C39" s="1673"/>
      <c r="D39" s="1652">
        <f>'BS old'!E24</f>
        <v>0</v>
      </c>
      <c r="E39" s="1652"/>
      <c r="F39" s="1652"/>
      <c r="G39" s="672"/>
      <c r="H39" s="1649">
        <f>'BS old'!G24</f>
        <v>0</v>
      </c>
      <c r="I39" s="1650"/>
      <c r="J39" s="1653"/>
    </row>
    <row r="40" spans="1:10" ht="27.95" customHeight="1" x14ac:dyDescent="0.25">
      <c r="A40" s="1765" t="s">
        <v>507</v>
      </c>
      <c r="B40" s="1671" t="s">
        <v>1285</v>
      </c>
      <c r="C40" s="1672" t="s">
        <v>529</v>
      </c>
      <c r="D40" s="1652">
        <f>'BS old'!D25</f>
        <v>0</v>
      </c>
      <c r="E40" s="1652"/>
      <c r="F40" s="1652"/>
      <c r="G40" s="1649">
        <f>'BS old'!F25</f>
        <v>0</v>
      </c>
      <c r="H40" s="1650"/>
      <c r="I40" s="1651"/>
      <c r="J40" s="671"/>
    </row>
    <row r="41" spans="1:10" ht="27.95" customHeight="1" x14ac:dyDescent="0.25">
      <c r="A41" s="1668"/>
      <c r="B41" s="1671"/>
      <c r="C41" s="1673"/>
      <c r="D41" s="1652">
        <f>'BS old'!E25</f>
        <v>0</v>
      </c>
      <c r="E41" s="1652"/>
      <c r="F41" s="1652"/>
      <c r="G41" s="672"/>
      <c r="H41" s="1649">
        <f>'BS old'!G25</f>
        <v>0</v>
      </c>
      <c r="I41" s="1650"/>
      <c r="J41" s="1653"/>
    </row>
    <row r="42" spans="1:10" ht="27.95" customHeight="1" x14ac:dyDescent="0.25">
      <c r="A42" s="1765" t="s">
        <v>510</v>
      </c>
      <c r="B42" s="1671" t="s">
        <v>1286</v>
      </c>
      <c r="C42" s="1673" t="s">
        <v>531</v>
      </c>
      <c r="D42" s="1652">
        <f>'BS old'!D26</f>
        <v>0</v>
      </c>
      <c r="E42" s="1652"/>
      <c r="F42" s="1652"/>
      <c r="G42" s="1649">
        <f>'BS old'!F26</f>
        <v>0</v>
      </c>
      <c r="H42" s="1650"/>
      <c r="I42" s="1651"/>
      <c r="J42" s="671"/>
    </row>
    <row r="43" spans="1:10" ht="27.95" customHeight="1" x14ac:dyDescent="0.25">
      <c r="A43" s="1668"/>
      <c r="B43" s="1671"/>
      <c r="C43" s="1673"/>
      <c r="D43" s="1652">
        <f>'BS old'!E26</f>
        <v>0</v>
      </c>
      <c r="E43" s="1652"/>
      <c r="F43" s="1652"/>
      <c r="G43" s="672"/>
      <c r="H43" s="1649">
        <f>'BS old'!G26</f>
        <v>0</v>
      </c>
      <c r="I43" s="1650"/>
      <c r="J43" s="1653"/>
    </row>
    <row r="44" spans="1:10" ht="27.95" customHeight="1" x14ac:dyDescent="0.25">
      <c r="A44" s="1765" t="s">
        <v>513</v>
      </c>
      <c r="B44" s="1671" t="s">
        <v>1287</v>
      </c>
      <c r="C44" s="1672" t="s">
        <v>533</v>
      </c>
      <c r="D44" s="1652">
        <f>'BS old'!D27</f>
        <v>0</v>
      </c>
      <c r="E44" s="1652"/>
      <c r="F44" s="1652"/>
      <c r="G44" s="1649">
        <f>'BS old'!F27</f>
        <v>0</v>
      </c>
      <c r="H44" s="1650"/>
      <c r="I44" s="1651"/>
      <c r="J44" s="671"/>
    </row>
    <row r="45" spans="1:10" ht="27.95" customHeight="1" x14ac:dyDescent="0.25">
      <c r="A45" s="1668"/>
      <c r="B45" s="1671"/>
      <c r="C45" s="1673"/>
      <c r="D45" s="1652">
        <f>'BS old'!E27</f>
        <v>0</v>
      </c>
      <c r="E45" s="1652"/>
      <c r="F45" s="1652"/>
      <c r="G45" s="672"/>
      <c r="H45" s="1649">
        <f>'BS old'!G27</f>
        <v>0</v>
      </c>
      <c r="I45" s="1650"/>
      <c r="J45" s="1653"/>
    </row>
    <row r="46" spans="1:10" ht="27.95" customHeight="1" x14ac:dyDescent="0.25">
      <c r="A46" s="1765" t="s">
        <v>534</v>
      </c>
      <c r="B46" s="1671" t="s">
        <v>1288</v>
      </c>
      <c r="C46" s="1673" t="s">
        <v>536</v>
      </c>
      <c r="D46" s="1652">
        <f>'BS old'!D28</f>
        <v>0</v>
      </c>
      <c r="E46" s="1652"/>
      <c r="F46" s="1652"/>
      <c r="G46" s="1649">
        <f>'BS old'!F28</f>
        <v>0</v>
      </c>
      <c r="H46" s="1650"/>
      <c r="I46" s="1651"/>
      <c r="J46" s="671"/>
    </row>
    <row r="47" spans="1:10" ht="27.95" customHeight="1" x14ac:dyDescent="0.25">
      <c r="A47" s="1668"/>
      <c r="B47" s="1671"/>
      <c r="C47" s="1673"/>
      <c r="D47" s="1652">
        <f>'BS old'!E28</f>
        <v>0</v>
      </c>
      <c r="E47" s="1652"/>
      <c r="F47" s="1652"/>
      <c r="G47" s="672"/>
      <c r="H47" s="1649">
        <f>'BS old'!G28</f>
        <v>0</v>
      </c>
      <c r="I47" s="1650"/>
      <c r="J47" s="1653"/>
    </row>
    <row r="48" spans="1:10" ht="27.95" customHeight="1" x14ac:dyDescent="0.25">
      <c r="A48" s="1765" t="s">
        <v>537</v>
      </c>
      <c r="B48" s="1671" t="s">
        <v>1289</v>
      </c>
      <c r="C48" s="1672" t="s">
        <v>539</v>
      </c>
      <c r="D48" s="1652">
        <f>'BS old'!D29</f>
        <v>0</v>
      </c>
      <c r="E48" s="1652"/>
      <c r="F48" s="1652"/>
      <c r="G48" s="1649">
        <f>'BS old'!F29</f>
        <v>0</v>
      </c>
      <c r="H48" s="1650"/>
      <c r="I48" s="1651"/>
      <c r="J48" s="671"/>
    </row>
    <row r="49" spans="1:10" ht="27.95" customHeight="1" x14ac:dyDescent="0.25">
      <c r="A49" s="1668"/>
      <c r="B49" s="1671"/>
      <c r="C49" s="1673"/>
      <c r="D49" s="1652">
        <f>'BS old'!E29</f>
        <v>0</v>
      </c>
      <c r="E49" s="1652"/>
      <c r="F49" s="1652"/>
      <c r="G49" s="673"/>
      <c r="H49" s="1649">
        <f>'BS old'!G29</f>
        <v>0</v>
      </c>
      <c r="I49" s="1650"/>
      <c r="J49" s="1653"/>
    </row>
    <row r="50" spans="1:10" ht="27.95" customHeight="1" x14ac:dyDescent="0.25">
      <c r="A50" s="1783" t="s">
        <v>540</v>
      </c>
      <c r="B50" s="1683" t="s">
        <v>1290</v>
      </c>
      <c r="C50" s="1673" t="s">
        <v>542</v>
      </c>
      <c r="D50" s="1652">
        <f>'BS old'!D30</f>
        <v>0</v>
      </c>
      <c r="E50" s="1652"/>
      <c r="F50" s="1652"/>
      <c r="G50" s="1649">
        <f>'BS old'!F30</f>
        <v>0</v>
      </c>
      <c r="H50" s="1650"/>
      <c r="I50" s="1651"/>
      <c r="J50" s="671"/>
    </row>
    <row r="51" spans="1:10" ht="27.95" customHeight="1" x14ac:dyDescent="0.25">
      <c r="A51" s="1784"/>
      <c r="B51" s="1683"/>
      <c r="C51" s="1673"/>
      <c r="D51" s="1652">
        <f>'BS old'!E30</f>
        <v>0</v>
      </c>
      <c r="E51" s="1652"/>
      <c r="F51" s="1652"/>
      <c r="G51" s="673"/>
      <c r="H51" s="1649">
        <f>'BS old'!G30</f>
        <v>0</v>
      </c>
      <c r="I51" s="1650"/>
      <c r="J51" s="1653"/>
    </row>
    <row r="52" spans="1:10" s="393" customFormat="1" ht="27.95" customHeight="1" x14ac:dyDescent="0.25">
      <c r="A52" s="1785" t="s">
        <v>543</v>
      </c>
      <c r="B52" s="1671" t="s">
        <v>1291</v>
      </c>
      <c r="C52" s="1672" t="s">
        <v>545</v>
      </c>
      <c r="D52" s="1652">
        <f>'BS old'!D31</f>
        <v>0</v>
      </c>
      <c r="E52" s="1652"/>
      <c r="F52" s="1652"/>
      <c r="G52" s="1649">
        <f>'BS old'!F31</f>
        <v>0</v>
      </c>
      <c r="H52" s="1650"/>
      <c r="I52" s="1651"/>
      <c r="J52" s="671"/>
    </row>
    <row r="53" spans="1:10" s="393" customFormat="1" ht="27.95" customHeight="1" x14ac:dyDescent="0.25">
      <c r="A53" s="1786"/>
      <c r="B53" s="1671"/>
      <c r="C53" s="1673"/>
      <c r="D53" s="1652">
        <f>'BS old'!E31</f>
        <v>0</v>
      </c>
      <c r="E53" s="1652"/>
      <c r="F53" s="1652"/>
      <c r="G53" s="673"/>
      <c r="H53" s="1649">
        <f>'BS old'!G31</f>
        <v>0</v>
      </c>
      <c r="I53" s="1650"/>
      <c r="J53" s="1653"/>
    </row>
    <row r="54" spans="1:10" ht="27.95" customHeight="1" x14ac:dyDescent="0.25">
      <c r="A54" s="1765" t="s">
        <v>498</v>
      </c>
      <c r="B54" s="1671" t="s">
        <v>1292</v>
      </c>
      <c r="C54" s="1673" t="s">
        <v>547</v>
      </c>
      <c r="D54" s="1652">
        <f>'BS old'!D32</f>
        <v>0</v>
      </c>
      <c r="E54" s="1652"/>
      <c r="F54" s="1652"/>
      <c r="G54" s="1649">
        <f>'BS old'!F32</f>
        <v>0</v>
      </c>
      <c r="H54" s="1650"/>
      <c r="I54" s="1651"/>
      <c r="J54" s="671"/>
    </row>
    <row r="55" spans="1:10" ht="27.95" customHeight="1" x14ac:dyDescent="0.25">
      <c r="A55" s="1668"/>
      <c r="B55" s="1671"/>
      <c r="C55" s="1673"/>
      <c r="D55" s="1652">
        <f>'BS old'!E32</f>
        <v>0</v>
      </c>
      <c r="E55" s="1652"/>
      <c r="F55" s="1652"/>
      <c r="G55" s="673"/>
      <c r="H55" s="1649">
        <f>'BS old'!G32</f>
        <v>0</v>
      </c>
      <c r="I55" s="1650"/>
      <c r="J55" s="1653"/>
    </row>
    <row r="56" spans="1:10" ht="27.95" customHeight="1" x14ac:dyDescent="0.25">
      <c r="A56" s="1765" t="s">
        <v>501</v>
      </c>
      <c r="B56" s="1671" t="s">
        <v>1293</v>
      </c>
      <c r="C56" s="1672" t="s">
        <v>549</v>
      </c>
      <c r="D56" s="1652">
        <f>'BS old'!D33</f>
        <v>0</v>
      </c>
      <c r="E56" s="1652"/>
      <c r="F56" s="1652"/>
      <c r="G56" s="1649">
        <f>'BS old'!F33</f>
        <v>0</v>
      </c>
      <c r="H56" s="1650"/>
      <c r="I56" s="1651"/>
      <c r="J56" s="671"/>
    </row>
    <row r="57" spans="1:10" ht="27.95" customHeight="1" x14ac:dyDescent="0.25">
      <c r="A57" s="1668"/>
      <c r="B57" s="1671"/>
      <c r="C57" s="1673"/>
      <c r="D57" s="1652">
        <f>'BS old'!E33</f>
        <v>0</v>
      </c>
      <c r="E57" s="1652"/>
      <c r="F57" s="1652"/>
      <c r="G57" s="673"/>
      <c r="H57" s="1649">
        <f>'BS old'!G33</f>
        <v>0</v>
      </c>
      <c r="I57" s="1650"/>
      <c r="J57" s="1653"/>
    </row>
    <row r="58" spans="1:10" ht="27.95" customHeight="1" x14ac:dyDescent="0.25">
      <c r="A58" s="1765" t="s">
        <v>504</v>
      </c>
      <c r="B58" s="1671" t="s">
        <v>1294</v>
      </c>
      <c r="C58" s="1673" t="s">
        <v>551</v>
      </c>
      <c r="D58" s="1652">
        <f>'BS old'!D34</f>
        <v>0</v>
      </c>
      <c r="E58" s="1652"/>
      <c r="F58" s="1652"/>
      <c r="G58" s="1649">
        <f>'BS old'!F34</f>
        <v>0</v>
      </c>
      <c r="H58" s="1650"/>
      <c r="I58" s="1651"/>
      <c r="J58" s="671"/>
    </row>
    <row r="59" spans="1:10" ht="27.95" customHeight="1" x14ac:dyDescent="0.25">
      <c r="A59" s="1668"/>
      <c r="B59" s="1777"/>
      <c r="C59" s="1673"/>
      <c r="D59" s="1652">
        <f>'BS old'!E34</f>
        <v>0</v>
      </c>
      <c r="E59" s="1652"/>
      <c r="F59" s="1652"/>
      <c r="G59" s="673"/>
      <c r="H59" s="1649">
        <f>'BS old'!G34</f>
        <v>0</v>
      </c>
      <c r="I59" s="1650"/>
      <c r="J59" s="1653"/>
    </row>
    <row r="60" spans="1:10" ht="27.95" customHeight="1" x14ac:dyDescent="0.25">
      <c r="A60" s="1765" t="s">
        <v>507</v>
      </c>
      <c r="B60" s="1671" t="s">
        <v>1295</v>
      </c>
      <c r="C60" s="1672" t="s">
        <v>553</v>
      </c>
      <c r="D60" s="1652">
        <f>'BS old'!D35</f>
        <v>0</v>
      </c>
      <c r="E60" s="1652"/>
      <c r="F60" s="1652"/>
      <c r="G60" s="1649">
        <f>'BS old'!F35</f>
        <v>0</v>
      </c>
      <c r="H60" s="1650"/>
      <c r="I60" s="1651"/>
      <c r="J60" s="671"/>
    </row>
    <row r="61" spans="1:10" ht="27.95" customHeight="1" x14ac:dyDescent="0.25">
      <c r="A61" s="1668"/>
      <c r="B61" s="1671"/>
      <c r="C61" s="1673"/>
      <c r="D61" s="1652">
        <f>'BS old'!E35</f>
        <v>0</v>
      </c>
      <c r="E61" s="1652"/>
      <c r="F61" s="1652"/>
      <c r="G61" s="673"/>
      <c r="H61" s="1649">
        <f>'BS old'!G35</f>
        <v>0</v>
      </c>
      <c r="I61" s="1650"/>
      <c r="J61" s="1653"/>
    </row>
    <row r="62" spans="1:10" ht="27.95" customHeight="1" x14ac:dyDescent="0.25">
      <c r="A62" s="1765" t="s">
        <v>510</v>
      </c>
      <c r="B62" s="1671" t="s">
        <v>1296</v>
      </c>
      <c r="C62" s="1673" t="s">
        <v>555</v>
      </c>
      <c r="D62" s="1652">
        <f>'BS old'!D36</f>
        <v>0</v>
      </c>
      <c r="E62" s="1652"/>
      <c r="F62" s="1652"/>
      <c r="G62" s="1649">
        <f>'BS old'!F36</f>
        <v>0</v>
      </c>
      <c r="H62" s="1650"/>
      <c r="I62" s="1651"/>
      <c r="J62" s="671"/>
    </row>
    <row r="63" spans="1:10" ht="27.95" customHeight="1" x14ac:dyDescent="0.25">
      <c r="A63" s="1668"/>
      <c r="B63" s="1671"/>
      <c r="C63" s="1673"/>
      <c r="D63" s="1652">
        <f>'BS old'!E36</f>
        <v>0</v>
      </c>
      <c r="E63" s="1652"/>
      <c r="F63" s="1652"/>
      <c r="G63" s="636"/>
      <c r="H63" s="1649">
        <f>'BS old'!G36</f>
        <v>0</v>
      </c>
      <c r="I63" s="1650"/>
      <c r="J63" s="1653"/>
    </row>
    <row r="64" spans="1:10" ht="11.25" customHeight="1" x14ac:dyDescent="0.25">
      <c r="A64" s="1771" t="s">
        <v>1263</v>
      </c>
      <c r="B64" s="1772" t="s">
        <v>1264</v>
      </c>
      <c r="C64" s="1773" t="s">
        <v>1265</v>
      </c>
      <c r="D64" s="1656" t="s">
        <v>1266</v>
      </c>
      <c r="E64" s="1678"/>
      <c r="F64" s="1678"/>
      <c r="G64" s="1678"/>
      <c r="H64" s="1659"/>
      <c r="I64" s="1660" t="s">
        <v>1267</v>
      </c>
      <c r="J64" s="1661"/>
    </row>
    <row r="65" spans="1:10" ht="11.25" customHeight="1" x14ac:dyDescent="0.15">
      <c r="A65" s="1771"/>
      <c r="B65" s="1772"/>
      <c r="C65" s="1773"/>
      <c r="D65" s="1696">
        <v>1</v>
      </c>
      <c r="E65" s="1664" t="s">
        <v>1268</v>
      </c>
      <c r="F65" s="1727"/>
      <c r="G65" s="1723" t="s">
        <v>1269</v>
      </c>
      <c r="H65" s="1725"/>
      <c r="I65" s="1656"/>
      <c r="J65" s="1657"/>
    </row>
    <row r="66" spans="1:10" ht="11.25" customHeight="1" x14ac:dyDescent="0.25">
      <c r="A66" s="1666"/>
      <c r="B66" s="1674"/>
      <c r="C66" s="1676"/>
      <c r="D66" s="1774"/>
      <c r="E66" s="1664" t="s">
        <v>1270</v>
      </c>
      <c r="F66" s="1727"/>
      <c r="G66" s="1656"/>
      <c r="H66" s="1659"/>
      <c r="I66" s="1664" t="s">
        <v>1271</v>
      </c>
      <c r="J66" s="1665"/>
    </row>
    <row r="67" spans="1:10" ht="27.95" customHeight="1" x14ac:dyDescent="0.25">
      <c r="A67" s="1765" t="s">
        <v>513</v>
      </c>
      <c r="B67" s="1670" t="s">
        <v>1297</v>
      </c>
      <c r="C67" s="1673" t="s">
        <v>854</v>
      </c>
      <c r="D67" s="1652">
        <f>'BS old'!D37</f>
        <v>0</v>
      </c>
      <c r="E67" s="1652"/>
      <c r="F67" s="1649"/>
      <c r="G67" s="1649">
        <f>'BS old'!F37</f>
        <v>0</v>
      </c>
      <c r="H67" s="1650"/>
      <c r="I67" s="1651"/>
      <c r="J67" s="671"/>
    </row>
    <row r="68" spans="1:10" ht="27.95" customHeight="1" x14ac:dyDescent="0.25">
      <c r="A68" s="1668"/>
      <c r="B68" s="1671"/>
      <c r="C68" s="1673"/>
      <c r="D68" s="1652">
        <f>'BS old'!E37</f>
        <v>0</v>
      </c>
      <c r="E68" s="1652"/>
      <c r="F68" s="1652"/>
      <c r="G68" s="674"/>
      <c r="H68" s="1649">
        <f>'BS old'!G37</f>
        <v>0</v>
      </c>
      <c r="I68" s="1650"/>
      <c r="J68" s="1653"/>
    </row>
    <row r="69" spans="1:10" ht="27.95" customHeight="1" x14ac:dyDescent="0.25">
      <c r="A69" s="1765" t="s">
        <v>534</v>
      </c>
      <c r="B69" s="1671" t="s">
        <v>1298</v>
      </c>
      <c r="C69" s="1673" t="s">
        <v>857</v>
      </c>
      <c r="D69" s="1652">
        <f>'BS old'!D38</f>
        <v>0</v>
      </c>
      <c r="E69" s="1652"/>
      <c r="F69" s="1649"/>
      <c r="G69" s="1649">
        <f>'BS old'!F38</f>
        <v>0</v>
      </c>
      <c r="H69" s="1650"/>
      <c r="I69" s="1651"/>
      <c r="J69" s="671"/>
    </row>
    <row r="70" spans="1:10" ht="27.95" customHeight="1" x14ac:dyDescent="0.25">
      <c r="A70" s="1668"/>
      <c r="B70" s="1671"/>
      <c r="C70" s="1673"/>
      <c r="D70" s="1652">
        <f>'BS old'!E38</f>
        <v>0</v>
      </c>
      <c r="E70" s="1652"/>
      <c r="F70" s="1652"/>
      <c r="G70" s="674"/>
      <c r="H70" s="1649">
        <f>'BS old'!G38</f>
        <v>0</v>
      </c>
      <c r="I70" s="1650"/>
      <c r="J70" s="1653"/>
    </row>
    <row r="71" spans="1:10" ht="27.95" customHeight="1" x14ac:dyDescent="0.25">
      <c r="A71" s="1769" t="s">
        <v>560</v>
      </c>
      <c r="B71" s="1683" t="s">
        <v>1299</v>
      </c>
      <c r="C71" s="1673" t="s">
        <v>860</v>
      </c>
      <c r="D71" s="1652">
        <f>'BS old'!D39</f>
        <v>0</v>
      </c>
      <c r="E71" s="1652"/>
      <c r="F71" s="1649"/>
      <c r="G71" s="1649">
        <f>'BS old'!F39</f>
        <v>0</v>
      </c>
      <c r="H71" s="1650"/>
      <c r="I71" s="1651"/>
      <c r="J71" s="671"/>
    </row>
    <row r="72" spans="1:10" ht="27.95" customHeight="1" x14ac:dyDescent="0.25">
      <c r="A72" s="1770"/>
      <c r="B72" s="1683"/>
      <c r="C72" s="1673"/>
      <c r="D72" s="1652">
        <f>'BS old'!E39</f>
        <v>0</v>
      </c>
      <c r="E72" s="1652"/>
      <c r="F72" s="1652"/>
      <c r="G72" s="674"/>
      <c r="H72" s="1649">
        <f>'BS old'!G39</f>
        <v>0</v>
      </c>
      <c r="I72" s="1650"/>
      <c r="J72" s="1653"/>
    </row>
    <row r="73" spans="1:10" s="393" customFormat="1" ht="27.95" customHeight="1" x14ac:dyDescent="0.25">
      <c r="A73" s="1783" t="s">
        <v>563</v>
      </c>
      <c r="B73" s="1683" t="s">
        <v>564</v>
      </c>
      <c r="C73" s="1673" t="s">
        <v>863</v>
      </c>
      <c r="D73" s="1652">
        <f>'BS old'!D40</f>
        <v>0</v>
      </c>
      <c r="E73" s="1652"/>
      <c r="F73" s="1649"/>
      <c r="G73" s="1649">
        <f>'BS old'!F40</f>
        <v>0</v>
      </c>
      <c r="H73" s="1650"/>
      <c r="I73" s="1651"/>
      <c r="J73" s="671"/>
    </row>
    <row r="74" spans="1:10" s="393" customFormat="1" ht="27.95" customHeight="1" x14ac:dyDescent="0.25">
      <c r="A74" s="1784"/>
      <c r="B74" s="1683"/>
      <c r="C74" s="1673"/>
      <c r="D74" s="1652">
        <f>'BS old'!E40</f>
        <v>0</v>
      </c>
      <c r="E74" s="1652"/>
      <c r="F74" s="1652"/>
      <c r="G74" s="674"/>
      <c r="H74" s="1649">
        <f>'BS old'!G40</f>
        <v>0</v>
      </c>
      <c r="I74" s="1650"/>
      <c r="J74" s="1653"/>
    </row>
    <row r="75" spans="1:10" s="393" customFormat="1" ht="27.95" customHeight="1" x14ac:dyDescent="0.25">
      <c r="A75" s="1781" t="s">
        <v>566</v>
      </c>
      <c r="B75" s="1671" t="s">
        <v>1300</v>
      </c>
      <c r="C75" s="1673" t="s">
        <v>866</v>
      </c>
      <c r="D75" s="1652">
        <f>'BS old'!D41</f>
        <v>0</v>
      </c>
      <c r="E75" s="1652"/>
      <c r="F75" s="1649"/>
      <c r="G75" s="1649">
        <f>'BS old'!F41</f>
        <v>0</v>
      </c>
      <c r="H75" s="1650"/>
      <c r="I75" s="1651"/>
      <c r="J75" s="671"/>
    </row>
    <row r="76" spans="1:10" s="393" customFormat="1" ht="27.95" customHeight="1" x14ac:dyDescent="0.25">
      <c r="A76" s="1782"/>
      <c r="B76" s="1671"/>
      <c r="C76" s="1673"/>
      <c r="D76" s="1652">
        <f>'BS old'!E41</f>
        <v>0</v>
      </c>
      <c r="E76" s="1652"/>
      <c r="F76" s="1652"/>
      <c r="G76" s="674"/>
      <c r="H76" s="1649">
        <f>'BS old'!G41</f>
        <v>0</v>
      </c>
      <c r="I76" s="1650"/>
      <c r="J76" s="1653"/>
    </row>
    <row r="77" spans="1:10" ht="27.95" customHeight="1" x14ac:dyDescent="0.25">
      <c r="A77" s="1765" t="s">
        <v>498</v>
      </c>
      <c r="B77" s="1671" t="s">
        <v>1301</v>
      </c>
      <c r="C77" s="1673" t="s">
        <v>869</v>
      </c>
      <c r="D77" s="1652">
        <f>'BS old'!D42</f>
        <v>0</v>
      </c>
      <c r="E77" s="1652"/>
      <c r="F77" s="1649"/>
      <c r="G77" s="1649">
        <f>'BS old'!F42</f>
        <v>0</v>
      </c>
      <c r="H77" s="1650"/>
      <c r="I77" s="1651"/>
      <c r="J77" s="671"/>
    </row>
    <row r="78" spans="1:10" ht="27.95" customHeight="1" x14ac:dyDescent="0.25">
      <c r="A78" s="1668"/>
      <c r="B78" s="1671"/>
      <c r="C78" s="1673"/>
      <c r="D78" s="1652">
        <f>'BS old'!E42</f>
        <v>0</v>
      </c>
      <c r="E78" s="1652"/>
      <c r="F78" s="1652"/>
      <c r="G78" s="674"/>
      <c r="H78" s="1649">
        <f>'BS old'!G42</f>
        <v>0</v>
      </c>
      <c r="I78" s="1650"/>
      <c r="J78" s="1653"/>
    </row>
    <row r="79" spans="1:10" ht="27.95" customHeight="1" x14ac:dyDescent="0.25">
      <c r="A79" s="1765" t="s">
        <v>501</v>
      </c>
      <c r="B79" s="1671" t="s">
        <v>1302</v>
      </c>
      <c r="C79" s="1673" t="s">
        <v>872</v>
      </c>
      <c r="D79" s="1652">
        <f>'BS old'!D43</f>
        <v>0</v>
      </c>
      <c r="E79" s="1652"/>
      <c r="F79" s="1649"/>
      <c r="G79" s="1649">
        <f>'BS old'!F43</f>
        <v>0</v>
      </c>
      <c r="H79" s="1650"/>
      <c r="I79" s="1651"/>
      <c r="J79" s="671"/>
    </row>
    <row r="80" spans="1:10" ht="27.95" customHeight="1" x14ac:dyDescent="0.25">
      <c r="A80" s="1668"/>
      <c r="B80" s="1671"/>
      <c r="C80" s="1673"/>
      <c r="D80" s="1652">
        <f>'BS old'!E43</f>
        <v>0</v>
      </c>
      <c r="E80" s="1652"/>
      <c r="F80" s="1652"/>
      <c r="G80" s="674"/>
      <c r="H80" s="1649">
        <f>'BS old'!G43</f>
        <v>0</v>
      </c>
      <c r="I80" s="1650"/>
      <c r="J80" s="1653"/>
    </row>
    <row r="81" spans="1:10" ht="27.95" customHeight="1" x14ac:dyDescent="0.25">
      <c r="A81" s="1765" t="s">
        <v>504</v>
      </c>
      <c r="B81" s="1671" t="s">
        <v>1303</v>
      </c>
      <c r="C81" s="1673" t="s">
        <v>875</v>
      </c>
      <c r="D81" s="1652">
        <f>'BS old'!D44</f>
        <v>0</v>
      </c>
      <c r="E81" s="1652"/>
      <c r="F81" s="1649"/>
      <c r="G81" s="1649">
        <f>'BS old'!F44</f>
        <v>0</v>
      </c>
      <c r="H81" s="1650"/>
      <c r="I81" s="1651"/>
      <c r="J81" s="671"/>
    </row>
    <row r="82" spans="1:10" ht="27.95" customHeight="1" x14ac:dyDescent="0.25">
      <c r="A82" s="1668"/>
      <c r="B82" s="1671"/>
      <c r="C82" s="1673"/>
      <c r="D82" s="1652">
        <f>'BS old'!E44</f>
        <v>0</v>
      </c>
      <c r="E82" s="1652"/>
      <c r="F82" s="1652"/>
      <c r="G82" s="674"/>
      <c r="H82" s="1649">
        <f>'BS old'!G44</f>
        <v>0</v>
      </c>
      <c r="I82" s="1650"/>
      <c r="J82" s="1653"/>
    </row>
    <row r="83" spans="1:10" ht="27.95" customHeight="1" x14ac:dyDescent="0.25">
      <c r="A83" s="1765" t="s">
        <v>507</v>
      </c>
      <c r="B83" s="1671" t="s">
        <v>1304</v>
      </c>
      <c r="C83" s="1673" t="s">
        <v>878</v>
      </c>
      <c r="D83" s="1652">
        <f>'BS old'!D45</f>
        <v>0</v>
      </c>
      <c r="E83" s="1652"/>
      <c r="F83" s="1649"/>
      <c r="G83" s="1649">
        <f>'BS old'!F45</f>
        <v>0</v>
      </c>
      <c r="H83" s="1650"/>
      <c r="I83" s="1651"/>
      <c r="J83" s="671"/>
    </row>
    <row r="84" spans="1:10" ht="27.95" customHeight="1" x14ac:dyDescent="0.25">
      <c r="A84" s="1668"/>
      <c r="B84" s="1671"/>
      <c r="C84" s="1673"/>
      <c r="D84" s="1652">
        <f>'BS old'!E45</f>
        <v>0</v>
      </c>
      <c r="E84" s="1652"/>
      <c r="F84" s="1652"/>
      <c r="G84" s="674"/>
      <c r="H84" s="1649">
        <f>'BS old'!G45</f>
        <v>0</v>
      </c>
      <c r="I84" s="1650"/>
      <c r="J84" s="1653"/>
    </row>
    <row r="85" spans="1:10" ht="27.95" customHeight="1" x14ac:dyDescent="0.25">
      <c r="A85" s="1765" t="s">
        <v>510</v>
      </c>
      <c r="B85" s="1671" t="s">
        <v>1305</v>
      </c>
      <c r="C85" s="1673" t="s">
        <v>881</v>
      </c>
      <c r="D85" s="1652">
        <f>'BS old'!D46</f>
        <v>0</v>
      </c>
      <c r="E85" s="1652"/>
      <c r="F85" s="1649"/>
      <c r="G85" s="1649">
        <f>'BS old'!F46</f>
        <v>0</v>
      </c>
      <c r="H85" s="1650"/>
      <c r="I85" s="1651"/>
      <c r="J85" s="671"/>
    </row>
    <row r="86" spans="1:10" ht="27.95" customHeight="1" x14ac:dyDescent="0.25">
      <c r="A86" s="1668"/>
      <c r="B86" s="1671"/>
      <c r="C86" s="1673"/>
      <c r="D86" s="1652">
        <f>'BS old'!E46</f>
        <v>0</v>
      </c>
      <c r="E86" s="1652"/>
      <c r="F86" s="1652"/>
      <c r="G86" s="674"/>
      <c r="H86" s="1649">
        <f>'BS old'!G46</f>
        <v>0</v>
      </c>
      <c r="I86" s="1650"/>
      <c r="J86" s="1653"/>
    </row>
    <row r="87" spans="1:10" ht="27.95" customHeight="1" x14ac:dyDescent="0.25">
      <c r="A87" s="1783" t="s">
        <v>579</v>
      </c>
      <c r="B87" s="1683" t="s">
        <v>580</v>
      </c>
      <c r="C87" s="1673" t="s">
        <v>884</v>
      </c>
      <c r="D87" s="1652">
        <f>'BS old'!D47</f>
        <v>0</v>
      </c>
      <c r="E87" s="1652"/>
      <c r="F87" s="1649"/>
      <c r="G87" s="1649">
        <f>'BS old'!F47</f>
        <v>0</v>
      </c>
      <c r="H87" s="1650"/>
      <c r="I87" s="1651"/>
      <c r="J87" s="671"/>
    </row>
    <row r="88" spans="1:10" ht="27.95" customHeight="1" x14ac:dyDescent="0.25">
      <c r="A88" s="1784"/>
      <c r="B88" s="1683"/>
      <c r="C88" s="1673"/>
      <c r="D88" s="1652">
        <f>'BS old'!E47</f>
        <v>0</v>
      </c>
      <c r="E88" s="1652"/>
      <c r="F88" s="1652"/>
      <c r="G88" s="674"/>
      <c r="H88" s="1649">
        <f>'BS old'!G47</f>
        <v>0</v>
      </c>
      <c r="I88" s="1650"/>
      <c r="J88" s="1653"/>
    </row>
    <row r="89" spans="1:10" s="393" customFormat="1" ht="27.95" customHeight="1" x14ac:dyDescent="0.25">
      <c r="A89" s="1781" t="s">
        <v>582</v>
      </c>
      <c r="B89" s="1671" t="s">
        <v>1306</v>
      </c>
      <c r="C89" s="1673" t="s">
        <v>887</v>
      </c>
      <c r="D89" s="1652">
        <f>'BS old'!D48</f>
        <v>0</v>
      </c>
      <c r="E89" s="1652"/>
      <c r="F89" s="1649"/>
      <c r="G89" s="1649">
        <f>'BS old'!F48</f>
        <v>0</v>
      </c>
      <c r="H89" s="1650"/>
      <c r="I89" s="1651"/>
      <c r="J89" s="671"/>
    </row>
    <row r="90" spans="1:10" s="393" customFormat="1" ht="27.95" customHeight="1" x14ac:dyDescent="0.25">
      <c r="A90" s="1782"/>
      <c r="B90" s="1777"/>
      <c r="C90" s="1673"/>
      <c r="D90" s="1652">
        <f>'BS old'!E48</f>
        <v>0</v>
      </c>
      <c r="E90" s="1652"/>
      <c r="F90" s="1652"/>
      <c r="G90" s="674"/>
      <c r="H90" s="1649">
        <f>'BS old'!G48</f>
        <v>0</v>
      </c>
      <c r="I90" s="1650"/>
      <c r="J90" s="1653"/>
    </row>
    <row r="91" spans="1:10" s="393" customFormat="1" ht="27.95" customHeight="1" x14ac:dyDescent="0.25">
      <c r="A91" s="1765" t="s">
        <v>498</v>
      </c>
      <c r="B91" s="1777" t="s">
        <v>585</v>
      </c>
      <c r="C91" s="1673" t="s">
        <v>890</v>
      </c>
      <c r="D91" s="1652">
        <f>'BS old'!D49</f>
        <v>0</v>
      </c>
      <c r="E91" s="1652"/>
      <c r="F91" s="1649"/>
      <c r="G91" s="1649">
        <f>'BS old'!F49</f>
        <v>0</v>
      </c>
      <c r="H91" s="1650"/>
      <c r="I91" s="1651"/>
      <c r="J91" s="671"/>
    </row>
    <row r="92" spans="1:10" s="393" customFormat="1" ht="27.95" customHeight="1" x14ac:dyDescent="0.25">
      <c r="A92" s="1668"/>
      <c r="B92" s="1670"/>
      <c r="C92" s="1673"/>
      <c r="D92" s="1652">
        <f>'BS old'!E49</f>
        <v>0</v>
      </c>
      <c r="E92" s="1652"/>
      <c r="F92" s="1652"/>
      <c r="G92" s="674"/>
      <c r="H92" s="1649">
        <f>'BS old'!G49</f>
        <v>0</v>
      </c>
      <c r="I92" s="1650"/>
      <c r="J92" s="1653"/>
    </row>
    <row r="93" spans="1:10" ht="27.95" customHeight="1" x14ac:dyDescent="0.25">
      <c r="A93" s="1765" t="s">
        <v>501</v>
      </c>
      <c r="B93" s="1777" t="s">
        <v>1307</v>
      </c>
      <c r="C93" s="1673" t="s">
        <v>893</v>
      </c>
      <c r="D93" s="1652">
        <f>'BS old'!D50</f>
        <v>0</v>
      </c>
      <c r="E93" s="1652"/>
      <c r="F93" s="1649"/>
      <c r="G93" s="1649">
        <f>'BS old'!F50</f>
        <v>0</v>
      </c>
      <c r="H93" s="1650"/>
      <c r="I93" s="1651"/>
      <c r="J93" s="671"/>
    </row>
    <row r="94" spans="1:10" ht="27.95" customHeight="1" x14ac:dyDescent="0.25">
      <c r="A94" s="1668"/>
      <c r="B94" s="1670"/>
      <c r="C94" s="1673"/>
      <c r="D94" s="1652">
        <f>'BS old'!E50</f>
        <v>0</v>
      </c>
      <c r="E94" s="1652"/>
      <c r="F94" s="1652"/>
      <c r="G94" s="626"/>
      <c r="H94" s="1649">
        <f>'BS old'!G50</f>
        <v>0</v>
      </c>
      <c r="I94" s="1650"/>
      <c r="J94" s="1653"/>
    </row>
    <row r="95" spans="1:10" ht="11.25" customHeight="1" x14ac:dyDescent="0.25">
      <c r="A95" s="1771" t="s">
        <v>1263</v>
      </c>
      <c r="B95" s="1772" t="s">
        <v>1264</v>
      </c>
      <c r="C95" s="1773" t="s">
        <v>1265</v>
      </c>
      <c r="D95" s="1656" t="s">
        <v>1266</v>
      </c>
      <c r="E95" s="1678"/>
      <c r="F95" s="1678"/>
      <c r="G95" s="1678"/>
      <c r="H95" s="1659"/>
      <c r="I95" s="1660" t="s">
        <v>1267</v>
      </c>
      <c r="J95" s="1661"/>
    </row>
    <row r="96" spans="1:10" ht="11.25" customHeight="1" x14ac:dyDescent="0.15">
      <c r="A96" s="1771"/>
      <c r="B96" s="1772"/>
      <c r="C96" s="1773"/>
      <c r="D96" s="1696">
        <v>1</v>
      </c>
      <c r="E96" s="1664" t="s">
        <v>1268</v>
      </c>
      <c r="F96" s="1727"/>
      <c r="G96" s="1723" t="s">
        <v>1269</v>
      </c>
      <c r="H96" s="1725"/>
      <c r="I96" s="1656"/>
      <c r="J96" s="1657"/>
    </row>
    <row r="97" spans="1:12" ht="12" customHeight="1" x14ac:dyDescent="0.25">
      <c r="A97" s="1666"/>
      <c r="B97" s="1674"/>
      <c r="C97" s="1676"/>
      <c r="D97" s="1774"/>
      <c r="E97" s="1664" t="s">
        <v>1270</v>
      </c>
      <c r="F97" s="1727"/>
      <c r="G97" s="1656"/>
      <c r="H97" s="1659"/>
      <c r="I97" s="1664" t="s">
        <v>1271</v>
      </c>
      <c r="J97" s="1665"/>
    </row>
    <row r="98" spans="1:12" ht="27.95" customHeight="1" x14ac:dyDescent="0.25">
      <c r="A98" s="1765" t="s">
        <v>504</v>
      </c>
      <c r="B98" s="1780" t="s">
        <v>1308</v>
      </c>
      <c r="C98" s="1672" t="s">
        <v>896</v>
      </c>
      <c r="D98" s="1652">
        <f>'BS old'!D51</f>
        <v>0</v>
      </c>
      <c r="E98" s="1652"/>
      <c r="F98" s="1652"/>
      <c r="G98" s="1649">
        <f>'BS old'!F51</f>
        <v>0</v>
      </c>
      <c r="H98" s="1650"/>
      <c r="I98" s="1651"/>
      <c r="J98" s="671"/>
      <c r="L98" s="445" t="s">
        <v>985</v>
      </c>
    </row>
    <row r="99" spans="1:12" ht="27.95" customHeight="1" x14ac:dyDescent="0.25">
      <c r="A99" s="1668"/>
      <c r="B99" s="1670"/>
      <c r="C99" s="1673"/>
      <c r="D99" s="1652">
        <f>'BS old'!E51</f>
        <v>0</v>
      </c>
      <c r="E99" s="1652"/>
      <c r="F99" s="1652"/>
      <c r="G99" s="672"/>
      <c r="H99" s="1649">
        <f>'BS old'!G51</f>
        <v>0</v>
      </c>
      <c r="I99" s="1650"/>
      <c r="J99" s="1653"/>
    </row>
    <row r="100" spans="1:12" ht="27.95" customHeight="1" x14ac:dyDescent="0.25">
      <c r="A100" s="1765" t="s">
        <v>507</v>
      </c>
      <c r="B100" s="1671" t="s">
        <v>1309</v>
      </c>
      <c r="C100" s="1673" t="s">
        <v>899</v>
      </c>
      <c r="D100" s="1652">
        <f>'BS old'!D52</f>
        <v>0</v>
      </c>
      <c r="E100" s="1652"/>
      <c r="F100" s="1652"/>
      <c r="G100" s="1649">
        <f>'BS old'!F52</f>
        <v>0</v>
      </c>
      <c r="H100" s="1650"/>
      <c r="I100" s="1651"/>
      <c r="J100" s="671"/>
    </row>
    <row r="101" spans="1:12" ht="27.95" customHeight="1" x14ac:dyDescent="0.25">
      <c r="A101" s="1668"/>
      <c r="B101" s="1671"/>
      <c r="C101" s="1673"/>
      <c r="D101" s="1652">
        <f>'BS old'!E52</f>
        <v>0</v>
      </c>
      <c r="E101" s="1652"/>
      <c r="F101" s="1652"/>
      <c r="G101" s="672"/>
      <c r="H101" s="1649">
        <f>'BS old'!G52</f>
        <v>0</v>
      </c>
      <c r="I101" s="1650"/>
      <c r="J101" s="1653"/>
    </row>
    <row r="102" spans="1:12" ht="27.95" customHeight="1" x14ac:dyDescent="0.25">
      <c r="A102" s="1765" t="s">
        <v>510</v>
      </c>
      <c r="B102" s="1671" t="s">
        <v>1310</v>
      </c>
      <c r="C102" s="1672" t="s">
        <v>902</v>
      </c>
      <c r="D102" s="1652">
        <f>'BS old'!D53</f>
        <v>0</v>
      </c>
      <c r="E102" s="1652"/>
      <c r="F102" s="1652"/>
      <c r="G102" s="1649">
        <f>'BS old'!F53</f>
        <v>0</v>
      </c>
      <c r="H102" s="1650"/>
      <c r="I102" s="1651"/>
      <c r="J102" s="671"/>
    </row>
    <row r="103" spans="1:12" ht="27.95" customHeight="1" x14ac:dyDescent="0.25">
      <c r="A103" s="1668"/>
      <c r="B103" s="1671"/>
      <c r="C103" s="1673"/>
      <c r="D103" s="1652">
        <f>'BS old'!E53</f>
        <v>0</v>
      </c>
      <c r="E103" s="1652"/>
      <c r="F103" s="1652"/>
      <c r="G103" s="672"/>
      <c r="H103" s="1649">
        <f>'BS old'!G53</f>
        <v>0</v>
      </c>
      <c r="I103" s="1650"/>
      <c r="J103" s="1653"/>
    </row>
    <row r="104" spans="1:12" ht="27.95" customHeight="1" x14ac:dyDescent="0.25">
      <c r="A104" s="1765" t="s">
        <v>513</v>
      </c>
      <c r="B104" s="1671" t="s">
        <v>1311</v>
      </c>
      <c r="C104" s="1673" t="s">
        <v>905</v>
      </c>
      <c r="D104" s="1652">
        <f>'BS old'!D54</f>
        <v>0</v>
      </c>
      <c r="E104" s="1652"/>
      <c r="F104" s="1652"/>
      <c r="G104" s="1649">
        <f>'BS old'!F54</f>
        <v>0</v>
      </c>
      <c r="H104" s="1650"/>
      <c r="I104" s="1651"/>
      <c r="J104" s="671"/>
    </row>
    <row r="105" spans="1:12" ht="27.95" customHeight="1" x14ac:dyDescent="0.25">
      <c r="A105" s="1668"/>
      <c r="B105" s="1671"/>
      <c r="C105" s="1673"/>
      <c r="D105" s="1652">
        <f>'BS old'!E54</f>
        <v>0</v>
      </c>
      <c r="E105" s="1652"/>
      <c r="F105" s="1652"/>
      <c r="G105" s="672"/>
      <c r="H105" s="1649">
        <f>'BS old'!G54</f>
        <v>0</v>
      </c>
      <c r="I105" s="1650"/>
      <c r="J105" s="1653"/>
    </row>
    <row r="106" spans="1:12" ht="27.95" customHeight="1" x14ac:dyDescent="0.25">
      <c r="A106" s="1775" t="s">
        <v>597</v>
      </c>
      <c r="B106" s="1683" t="s">
        <v>598</v>
      </c>
      <c r="C106" s="1672" t="s">
        <v>907</v>
      </c>
      <c r="D106" s="1652">
        <f>'BS old'!D55</f>
        <v>0</v>
      </c>
      <c r="E106" s="1652"/>
      <c r="F106" s="1652"/>
      <c r="G106" s="1649">
        <f>'BS old'!F55</f>
        <v>0</v>
      </c>
      <c r="H106" s="1650"/>
      <c r="I106" s="1651"/>
      <c r="J106" s="671"/>
    </row>
    <row r="107" spans="1:12" ht="27.95" customHeight="1" x14ac:dyDescent="0.25">
      <c r="A107" s="1684"/>
      <c r="B107" s="1683"/>
      <c r="C107" s="1673"/>
      <c r="D107" s="1652">
        <f>'BS old'!E55</f>
        <v>0</v>
      </c>
      <c r="E107" s="1652"/>
      <c r="F107" s="1652"/>
      <c r="G107" s="672"/>
      <c r="H107" s="1649">
        <f>'BS old'!G55</f>
        <v>0</v>
      </c>
      <c r="I107" s="1650"/>
      <c r="J107" s="1653"/>
    </row>
    <row r="108" spans="1:12" s="393" customFormat="1" ht="27.95" customHeight="1" x14ac:dyDescent="0.25">
      <c r="A108" s="1778" t="s">
        <v>600</v>
      </c>
      <c r="B108" s="1671" t="s">
        <v>1312</v>
      </c>
      <c r="C108" s="1673" t="s">
        <v>910</v>
      </c>
      <c r="D108" s="1652">
        <f>'BS old'!D56</f>
        <v>0</v>
      </c>
      <c r="E108" s="1652"/>
      <c r="F108" s="1652"/>
      <c r="G108" s="1649">
        <f>'BS old'!F56</f>
        <v>0</v>
      </c>
      <c r="H108" s="1650"/>
      <c r="I108" s="1651"/>
      <c r="J108" s="671"/>
    </row>
    <row r="109" spans="1:12" s="393" customFormat="1" ht="27.95" customHeight="1" x14ac:dyDescent="0.25">
      <c r="A109" s="1779"/>
      <c r="B109" s="1671"/>
      <c r="C109" s="1673"/>
      <c r="D109" s="1652">
        <f>'BS old'!E56</f>
        <v>0</v>
      </c>
      <c r="E109" s="1652"/>
      <c r="F109" s="1652"/>
      <c r="G109" s="672"/>
      <c r="H109" s="1649">
        <f>'BS old'!G56</f>
        <v>0</v>
      </c>
      <c r="I109" s="1650"/>
      <c r="J109" s="1653"/>
    </row>
    <row r="110" spans="1:12" s="393" customFormat="1" ht="27.95" customHeight="1" x14ac:dyDescent="0.25">
      <c r="A110" s="1765" t="s">
        <v>498</v>
      </c>
      <c r="B110" s="1671" t="s">
        <v>585</v>
      </c>
      <c r="C110" s="1672" t="s">
        <v>913</v>
      </c>
      <c r="D110" s="1652">
        <f>'BS old'!D57</f>
        <v>0</v>
      </c>
      <c r="E110" s="1652"/>
      <c r="F110" s="1652"/>
      <c r="G110" s="1649">
        <f>'BS old'!F57</f>
        <v>0</v>
      </c>
      <c r="H110" s="1650"/>
      <c r="I110" s="1651"/>
      <c r="J110" s="671"/>
    </row>
    <row r="111" spans="1:12" s="393" customFormat="1" ht="27.95" customHeight="1" x14ac:dyDescent="0.25">
      <c r="A111" s="1668"/>
      <c r="B111" s="1671"/>
      <c r="C111" s="1673"/>
      <c r="D111" s="1652">
        <f>'BS old'!E57</f>
        <v>0</v>
      </c>
      <c r="E111" s="1652"/>
      <c r="F111" s="1652"/>
      <c r="G111" s="672"/>
      <c r="H111" s="1649">
        <f>'BS old'!G57</f>
        <v>0</v>
      </c>
      <c r="I111" s="1650"/>
      <c r="J111" s="1653"/>
    </row>
    <row r="112" spans="1:12" ht="27.95" customHeight="1" x14ac:dyDescent="0.25">
      <c r="A112" s="1765" t="s">
        <v>501</v>
      </c>
      <c r="B112" s="1671" t="s">
        <v>1313</v>
      </c>
      <c r="C112" s="1673" t="s">
        <v>916</v>
      </c>
      <c r="D112" s="1652">
        <f>'BS old'!D58</f>
        <v>0</v>
      </c>
      <c r="E112" s="1652"/>
      <c r="F112" s="1652"/>
      <c r="G112" s="1649">
        <f>'BS old'!F58</f>
        <v>0</v>
      </c>
      <c r="H112" s="1650"/>
      <c r="I112" s="1651"/>
      <c r="J112" s="671"/>
    </row>
    <row r="113" spans="1:10" ht="27.95" customHeight="1" x14ac:dyDescent="0.25">
      <c r="A113" s="1668"/>
      <c r="B113" s="1671"/>
      <c r="C113" s="1673"/>
      <c r="D113" s="1652">
        <f>'BS old'!E58</f>
        <v>0</v>
      </c>
      <c r="E113" s="1652"/>
      <c r="F113" s="1652"/>
      <c r="G113" s="672"/>
      <c r="H113" s="1649">
        <f>'BS old'!G58</f>
        <v>0</v>
      </c>
      <c r="I113" s="1650"/>
      <c r="J113" s="1653"/>
    </row>
    <row r="114" spans="1:10" ht="27.95" customHeight="1" x14ac:dyDescent="0.25">
      <c r="A114" s="1765" t="s">
        <v>504</v>
      </c>
      <c r="B114" s="1671" t="s">
        <v>1308</v>
      </c>
      <c r="C114" s="1672" t="s">
        <v>918</v>
      </c>
      <c r="D114" s="1652">
        <f>'BS old'!D59</f>
        <v>0</v>
      </c>
      <c r="E114" s="1652"/>
      <c r="F114" s="1652"/>
      <c r="G114" s="1649">
        <f>'BS old'!F59</f>
        <v>0</v>
      </c>
      <c r="H114" s="1650"/>
      <c r="I114" s="1651"/>
      <c r="J114" s="671"/>
    </row>
    <row r="115" spans="1:10" ht="27.95" customHeight="1" x14ac:dyDescent="0.25">
      <c r="A115" s="1668"/>
      <c r="B115" s="1671"/>
      <c r="C115" s="1673"/>
      <c r="D115" s="1652">
        <f>'BS old'!E59</f>
        <v>0</v>
      </c>
      <c r="E115" s="1652"/>
      <c r="F115" s="1652"/>
      <c r="G115" s="672"/>
      <c r="H115" s="1649">
        <f>'BS old'!G59</f>
        <v>0</v>
      </c>
      <c r="I115" s="1650"/>
      <c r="J115" s="1653"/>
    </row>
    <row r="116" spans="1:10" ht="27.95" customHeight="1" x14ac:dyDescent="0.25">
      <c r="A116" s="1765" t="s">
        <v>507</v>
      </c>
      <c r="B116" s="1671" t="s">
        <v>1314</v>
      </c>
      <c r="C116" s="1673" t="s">
        <v>920</v>
      </c>
      <c r="D116" s="1652">
        <f>'BS old'!D60</f>
        <v>0</v>
      </c>
      <c r="E116" s="1652"/>
      <c r="F116" s="1652"/>
      <c r="G116" s="1649">
        <f>'BS old'!F60</f>
        <v>0</v>
      </c>
      <c r="H116" s="1650"/>
      <c r="I116" s="1651"/>
      <c r="J116" s="671"/>
    </row>
    <row r="117" spans="1:10" ht="27.95" customHeight="1" x14ac:dyDescent="0.25">
      <c r="A117" s="1668"/>
      <c r="B117" s="1671"/>
      <c r="C117" s="1673"/>
      <c r="D117" s="1652">
        <f>'BS old'!E60</f>
        <v>0</v>
      </c>
      <c r="E117" s="1652"/>
      <c r="F117" s="1652"/>
      <c r="G117" s="672"/>
      <c r="H117" s="1649">
        <f>'BS old'!G60</f>
        <v>0</v>
      </c>
      <c r="I117" s="1650"/>
      <c r="J117" s="1653"/>
    </row>
    <row r="118" spans="1:10" ht="27.95" customHeight="1" x14ac:dyDescent="0.25">
      <c r="A118" s="1765" t="s">
        <v>510</v>
      </c>
      <c r="B118" s="1671" t="s">
        <v>1315</v>
      </c>
      <c r="C118" s="1672" t="s">
        <v>923</v>
      </c>
      <c r="D118" s="1652">
        <f>'BS old'!D61</f>
        <v>0</v>
      </c>
      <c r="E118" s="1652"/>
      <c r="F118" s="1652"/>
      <c r="G118" s="1649">
        <f>'BS old'!F61</f>
        <v>0</v>
      </c>
      <c r="H118" s="1650"/>
      <c r="I118" s="1651"/>
      <c r="J118" s="671"/>
    </row>
    <row r="119" spans="1:10" ht="27.95" customHeight="1" x14ac:dyDescent="0.25">
      <c r="A119" s="1668"/>
      <c r="B119" s="1671"/>
      <c r="C119" s="1673"/>
      <c r="D119" s="1652">
        <f>'BS old'!E61</f>
        <v>0</v>
      </c>
      <c r="E119" s="1652"/>
      <c r="F119" s="1652"/>
      <c r="G119" s="672"/>
      <c r="H119" s="1649">
        <f>'BS old'!G61</f>
        <v>0</v>
      </c>
      <c r="I119" s="1650"/>
      <c r="J119" s="1653"/>
    </row>
    <row r="120" spans="1:10" ht="27.95" customHeight="1" x14ac:dyDescent="0.25">
      <c r="A120" s="1765" t="s">
        <v>513</v>
      </c>
      <c r="B120" s="1671" t="s">
        <v>1316</v>
      </c>
      <c r="C120" s="1673" t="s">
        <v>926</v>
      </c>
      <c r="D120" s="1652">
        <f>'BS old'!D62</f>
        <v>0</v>
      </c>
      <c r="E120" s="1652"/>
      <c r="F120" s="1652"/>
      <c r="G120" s="1649">
        <f>'BS old'!F62</f>
        <v>0</v>
      </c>
      <c r="H120" s="1650"/>
      <c r="I120" s="1651"/>
      <c r="J120" s="671"/>
    </row>
    <row r="121" spans="1:10" ht="27.95" customHeight="1" x14ac:dyDescent="0.25">
      <c r="A121" s="1668"/>
      <c r="B121" s="1671"/>
      <c r="C121" s="1673"/>
      <c r="D121" s="1652">
        <f>'BS old'!E62</f>
        <v>0</v>
      </c>
      <c r="E121" s="1652"/>
      <c r="F121" s="1652"/>
      <c r="G121" s="672"/>
      <c r="H121" s="1649">
        <f>'BS old'!G62</f>
        <v>0</v>
      </c>
      <c r="I121" s="1650"/>
      <c r="J121" s="1653"/>
    </row>
    <row r="122" spans="1:10" ht="27.95" customHeight="1" x14ac:dyDescent="0.25">
      <c r="A122" s="1765" t="s">
        <v>534</v>
      </c>
      <c r="B122" s="1671" t="s">
        <v>1310</v>
      </c>
      <c r="C122" s="1672" t="s">
        <v>928</v>
      </c>
      <c r="D122" s="1652">
        <f>'BS old'!D63</f>
        <v>0</v>
      </c>
      <c r="E122" s="1652"/>
      <c r="F122" s="1652"/>
      <c r="G122" s="1649">
        <f>'BS old'!F63</f>
        <v>0</v>
      </c>
      <c r="H122" s="1650"/>
      <c r="I122" s="1651"/>
      <c r="J122" s="671"/>
    </row>
    <row r="123" spans="1:10" ht="27.95" customHeight="1" x14ac:dyDescent="0.25">
      <c r="A123" s="1668"/>
      <c r="B123" s="1777"/>
      <c r="C123" s="1673"/>
      <c r="D123" s="1652">
        <f>'BS old'!E63</f>
        <v>0</v>
      </c>
      <c r="E123" s="1652"/>
      <c r="F123" s="1652"/>
      <c r="G123" s="672"/>
      <c r="H123" s="1649">
        <f>'BS old'!G63</f>
        <v>0</v>
      </c>
      <c r="I123" s="1650"/>
      <c r="J123" s="1653"/>
    </row>
    <row r="124" spans="1:10" ht="27.95" customHeight="1" x14ac:dyDescent="0.25">
      <c r="A124" s="1775" t="s">
        <v>615</v>
      </c>
      <c r="B124" s="1683" t="s">
        <v>616</v>
      </c>
      <c r="C124" s="1673" t="s">
        <v>931</v>
      </c>
      <c r="D124" s="1776">
        <f>'BS old'!D64</f>
        <v>0</v>
      </c>
      <c r="E124" s="1776"/>
      <c r="F124" s="1776"/>
      <c r="G124" s="1649">
        <f>'BS old'!F64</f>
        <v>0</v>
      </c>
      <c r="H124" s="1650"/>
      <c r="I124" s="1651"/>
      <c r="J124" s="671"/>
    </row>
    <row r="125" spans="1:10" ht="27.95" customHeight="1" x14ac:dyDescent="0.25">
      <c r="A125" s="1684"/>
      <c r="B125" s="1683"/>
      <c r="C125" s="1673"/>
      <c r="D125" s="1652">
        <f>'BS old'!E64</f>
        <v>0</v>
      </c>
      <c r="E125" s="1652"/>
      <c r="F125" s="1652"/>
      <c r="G125" s="672"/>
      <c r="H125" s="1649">
        <f>'BS old'!G64</f>
        <v>0</v>
      </c>
      <c r="I125" s="1650"/>
      <c r="J125" s="1653"/>
    </row>
    <row r="126" spans="1:10" s="393" customFormat="1" ht="27.95" customHeight="1" x14ac:dyDescent="0.25">
      <c r="A126" s="1767" t="s">
        <v>618</v>
      </c>
      <c r="B126" s="1671" t="s">
        <v>1317</v>
      </c>
      <c r="C126" s="1672" t="s">
        <v>934</v>
      </c>
      <c r="D126" s="1652">
        <f>'BS old'!D65</f>
        <v>0</v>
      </c>
      <c r="E126" s="1652"/>
      <c r="F126" s="1652"/>
      <c r="G126" s="1649">
        <f>'BS old'!F65</f>
        <v>0</v>
      </c>
      <c r="H126" s="1650"/>
      <c r="I126" s="1651"/>
      <c r="J126" s="671"/>
    </row>
    <row r="127" spans="1:10" s="393" customFormat="1" ht="27.95" customHeight="1" x14ac:dyDescent="0.25">
      <c r="A127" s="1768"/>
      <c r="B127" s="1671"/>
      <c r="C127" s="1673"/>
      <c r="D127" s="1652">
        <f>'BS old'!E65</f>
        <v>0</v>
      </c>
      <c r="E127" s="1652"/>
      <c r="F127" s="1652"/>
      <c r="G127" s="636"/>
      <c r="H127" s="1649">
        <f>'BS old'!G65</f>
        <v>0</v>
      </c>
      <c r="I127" s="1650"/>
      <c r="J127" s="1653"/>
    </row>
    <row r="128" spans="1:10" ht="11.25" customHeight="1" x14ac:dyDescent="0.25">
      <c r="A128" s="1771" t="s">
        <v>1263</v>
      </c>
      <c r="B128" s="1772" t="s">
        <v>1264</v>
      </c>
      <c r="C128" s="1773" t="s">
        <v>1265</v>
      </c>
      <c r="D128" s="1656" t="s">
        <v>1266</v>
      </c>
      <c r="E128" s="1678"/>
      <c r="F128" s="1678"/>
      <c r="G128" s="1678"/>
      <c r="H128" s="1659"/>
      <c r="I128" s="1660" t="s">
        <v>1267</v>
      </c>
      <c r="J128" s="1661"/>
    </row>
    <row r="129" spans="1:10" ht="11.25" customHeight="1" x14ac:dyDescent="0.15">
      <c r="A129" s="1771"/>
      <c r="B129" s="1772"/>
      <c r="C129" s="1773"/>
      <c r="D129" s="1696">
        <v>1</v>
      </c>
      <c r="E129" s="1664" t="s">
        <v>1268</v>
      </c>
      <c r="F129" s="1727"/>
      <c r="G129" s="1723" t="s">
        <v>1269</v>
      </c>
      <c r="H129" s="1725"/>
      <c r="I129" s="1656"/>
      <c r="J129" s="1657"/>
    </row>
    <row r="130" spans="1:10" ht="11.25" customHeight="1" x14ac:dyDescent="0.25">
      <c r="A130" s="1666"/>
      <c r="B130" s="1674"/>
      <c r="C130" s="1676"/>
      <c r="D130" s="1774"/>
      <c r="E130" s="1664" t="s">
        <v>1270</v>
      </c>
      <c r="F130" s="1727"/>
      <c r="G130" s="1656"/>
      <c r="H130" s="1659"/>
      <c r="I130" s="1664" t="s">
        <v>1271</v>
      </c>
      <c r="J130" s="1665"/>
    </row>
    <row r="131" spans="1:10" s="462" customFormat="1" ht="27.95" customHeight="1" x14ac:dyDescent="0.25">
      <c r="A131" s="1765" t="s">
        <v>498</v>
      </c>
      <c r="B131" s="1670" t="s">
        <v>1318</v>
      </c>
      <c r="C131" s="1673" t="s">
        <v>622</v>
      </c>
      <c r="D131" s="1652">
        <f>'BS old'!D66</f>
        <v>0</v>
      </c>
      <c r="E131" s="1652"/>
      <c r="F131" s="1652"/>
      <c r="G131" s="1649">
        <f>'BS old'!F66</f>
        <v>0</v>
      </c>
      <c r="H131" s="1650"/>
      <c r="I131" s="1651"/>
      <c r="J131" s="463"/>
    </row>
    <row r="132" spans="1:10" s="462" customFormat="1" ht="27.95" customHeight="1" x14ac:dyDescent="0.25">
      <c r="A132" s="1668"/>
      <c r="B132" s="1671"/>
      <c r="C132" s="1673"/>
      <c r="D132" s="1652">
        <f>'BS old'!E66</f>
        <v>0</v>
      </c>
      <c r="E132" s="1652"/>
      <c r="F132" s="1652"/>
      <c r="G132" s="673"/>
      <c r="H132" s="1649">
        <f>'BS old'!G66</f>
        <v>0</v>
      </c>
      <c r="I132" s="1650"/>
      <c r="J132" s="1653"/>
    </row>
    <row r="133" spans="1:10" s="462" customFormat="1" ht="27.95" customHeight="1" x14ac:dyDescent="0.25">
      <c r="A133" s="1765" t="s">
        <v>501</v>
      </c>
      <c r="B133" s="1671" t="s">
        <v>1319</v>
      </c>
      <c r="C133" s="1673" t="s">
        <v>624</v>
      </c>
      <c r="D133" s="1652">
        <f>'BS old'!D67</f>
        <v>0</v>
      </c>
      <c r="E133" s="1652"/>
      <c r="F133" s="1652"/>
      <c r="G133" s="1649">
        <f>'BS old'!F67</f>
        <v>0</v>
      </c>
      <c r="H133" s="1650"/>
      <c r="I133" s="1651"/>
      <c r="J133" s="463"/>
    </row>
    <row r="134" spans="1:10" ht="27.95" customHeight="1" x14ac:dyDescent="0.25">
      <c r="A134" s="1668"/>
      <c r="B134" s="1671"/>
      <c r="C134" s="1673"/>
      <c r="D134" s="1652">
        <f>'BS old'!E67</f>
        <v>0</v>
      </c>
      <c r="E134" s="1652"/>
      <c r="F134" s="1652"/>
      <c r="G134" s="673"/>
      <c r="H134" s="1649">
        <f>'BS old'!G67</f>
        <v>0</v>
      </c>
      <c r="I134" s="1650"/>
      <c r="J134" s="1653"/>
    </row>
    <row r="135" spans="1:10" ht="27.95" customHeight="1" x14ac:dyDescent="0.25">
      <c r="A135" s="1765" t="s">
        <v>504</v>
      </c>
      <c r="B135" s="1671" t="s">
        <v>1320</v>
      </c>
      <c r="C135" s="1673" t="s">
        <v>626</v>
      </c>
      <c r="D135" s="1652">
        <f>'BS old'!D68</f>
        <v>0</v>
      </c>
      <c r="E135" s="1652"/>
      <c r="F135" s="1652"/>
      <c r="G135" s="1649">
        <f>'BS old'!F68</f>
        <v>0</v>
      </c>
      <c r="H135" s="1650"/>
      <c r="I135" s="1651"/>
      <c r="J135" s="671"/>
    </row>
    <row r="136" spans="1:10" ht="27.95" customHeight="1" x14ac:dyDescent="0.25">
      <c r="A136" s="1668"/>
      <c r="B136" s="1671"/>
      <c r="C136" s="1673"/>
      <c r="D136" s="1652">
        <f>'BS old'!E68</f>
        <v>0</v>
      </c>
      <c r="E136" s="1652"/>
      <c r="F136" s="1652"/>
      <c r="G136" s="673"/>
      <c r="H136" s="1649">
        <f>'BS old'!G68</f>
        <v>0</v>
      </c>
      <c r="I136" s="1650"/>
      <c r="J136" s="1653"/>
    </row>
    <row r="137" spans="1:10" ht="27.95" customHeight="1" x14ac:dyDescent="0.25">
      <c r="A137" s="1765" t="s">
        <v>507</v>
      </c>
      <c r="B137" s="1671" t="s">
        <v>1321</v>
      </c>
      <c r="C137" s="1673" t="s">
        <v>628</v>
      </c>
      <c r="D137" s="1652">
        <f>'BS old'!D69</f>
        <v>0</v>
      </c>
      <c r="E137" s="1652"/>
      <c r="F137" s="1652"/>
      <c r="G137" s="1649">
        <f>'BS old'!F69</f>
        <v>0</v>
      </c>
      <c r="H137" s="1650"/>
      <c r="I137" s="1651"/>
      <c r="J137" s="671"/>
    </row>
    <row r="138" spans="1:10" ht="27.95" customHeight="1" x14ac:dyDescent="0.25">
      <c r="A138" s="1668"/>
      <c r="B138" s="1671"/>
      <c r="C138" s="1673"/>
      <c r="D138" s="1652">
        <f>'BS old'!E69</f>
        <v>0</v>
      </c>
      <c r="E138" s="1652"/>
      <c r="F138" s="1652"/>
      <c r="G138" s="673"/>
      <c r="H138" s="1649">
        <f>'BS old'!G69</f>
        <v>0</v>
      </c>
      <c r="I138" s="1650"/>
      <c r="J138" s="1653"/>
    </row>
    <row r="139" spans="1:10" ht="27.95" customHeight="1" x14ac:dyDescent="0.25">
      <c r="A139" s="1769" t="s">
        <v>629</v>
      </c>
      <c r="B139" s="1683" t="s">
        <v>1322</v>
      </c>
      <c r="C139" s="1686" t="s">
        <v>631</v>
      </c>
      <c r="D139" s="1652">
        <f>'BS old'!D70</f>
        <v>0</v>
      </c>
      <c r="E139" s="1652"/>
      <c r="F139" s="1652"/>
      <c r="G139" s="1649">
        <f>'BS old'!F70</f>
        <v>0</v>
      </c>
      <c r="H139" s="1650"/>
      <c r="I139" s="1651"/>
      <c r="J139" s="671"/>
    </row>
    <row r="140" spans="1:10" ht="27.95" customHeight="1" x14ac:dyDescent="0.25">
      <c r="A140" s="1770"/>
      <c r="B140" s="1683"/>
      <c r="C140" s="1686"/>
      <c r="D140" s="1652">
        <f>'BS old'!E70</f>
        <v>0</v>
      </c>
      <c r="E140" s="1652"/>
      <c r="F140" s="1652"/>
      <c r="G140" s="673"/>
      <c r="H140" s="1649">
        <f>'BS old'!G70</f>
        <v>0</v>
      </c>
      <c r="I140" s="1650"/>
      <c r="J140" s="1653"/>
    </row>
    <row r="141" spans="1:10" ht="27.95" customHeight="1" x14ac:dyDescent="0.25">
      <c r="A141" s="1767" t="s">
        <v>632</v>
      </c>
      <c r="B141" s="1766" t="s">
        <v>1323</v>
      </c>
      <c r="C141" s="1673" t="s">
        <v>634</v>
      </c>
      <c r="D141" s="1652">
        <f>'BS old'!D71</f>
        <v>0</v>
      </c>
      <c r="E141" s="1652"/>
      <c r="F141" s="1652"/>
      <c r="G141" s="1649">
        <f>'BS old'!F71</f>
        <v>0</v>
      </c>
      <c r="H141" s="1650"/>
      <c r="I141" s="1651"/>
      <c r="J141" s="671"/>
    </row>
    <row r="142" spans="1:10" ht="27.95" customHeight="1" x14ac:dyDescent="0.25">
      <c r="A142" s="1768"/>
      <c r="B142" s="1671"/>
      <c r="C142" s="1673"/>
      <c r="D142" s="1652">
        <f>'BS old'!E71</f>
        <v>0</v>
      </c>
      <c r="E142" s="1652"/>
      <c r="F142" s="1652"/>
      <c r="G142" s="673"/>
      <c r="H142" s="1649">
        <f>'BS old'!G71</f>
        <v>0</v>
      </c>
      <c r="I142" s="1650"/>
      <c r="J142" s="1653"/>
    </row>
    <row r="143" spans="1:10" ht="27.95" customHeight="1" x14ac:dyDescent="0.25">
      <c r="A143" s="1765" t="s">
        <v>498</v>
      </c>
      <c r="B143" s="1766" t="s">
        <v>1324</v>
      </c>
      <c r="C143" s="1673" t="s">
        <v>636</v>
      </c>
      <c r="D143" s="1652">
        <f>'BS old'!D72</f>
        <v>0</v>
      </c>
      <c r="E143" s="1652"/>
      <c r="F143" s="1652"/>
      <c r="G143" s="1649">
        <f>'BS old'!F72</f>
        <v>0</v>
      </c>
      <c r="H143" s="1650"/>
      <c r="I143" s="1651"/>
      <c r="J143" s="671"/>
    </row>
    <row r="144" spans="1:10" s="393" customFormat="1" ht="27.95" customHeight="1" x14ac:dyDescent="0.25">
      <c r="A144" s="1668"/>
      <c r="B144" s="1671"/>
      <c r="C144" s="1673"/>
      <c r="D144" s="1652">
        <f>'BS old'!E72</f>
        <v>0</v>
      </c>
      <c r="E144" s="1652"/>
      <c r="F144" s="1652"/>
      <c r="G144" s="673"/>
      <c r="H144" s="1649">
        <f>'BS old'!G72</f>
        <v>0</v>
      </c>
      <c r="I144" s="1650"/>
      <c r="J144" s="1653"/>
    </row>
    <row r="145" spans="1:10" s="393" customFormat="1" ht="27.95" customHeight="1" x14ac:dyDescent="0.25">
      <c r="A145" s="1765" t="s">
        <v>501</v>
      </c>
      <c r="B145" s="1766" t="s">
        <v>1325</v>
      </c>
      <c r="C145" s="1673" t="s">
        <v>638</v>
      </c>
      <c r="D145" s="1652">
        <f>'BS old'!D73</f>
        <v>0</v>
      </c>
      <c r="E145" s="1652"/>
      <c r="F145" s="1652"/>
      <c r="G145" s="1649">
        <f>'BS old'!F73</f>
        <v>0</v>
      </c>
      <c r="H145" s="1650"/>
      <c r="I145" s="1651"/>
      <c r="J145" s="671"/>
    </row>
    <row r="146" spans="1:10" ht="27.95" customHeight="1" x14ac:dyDescent="0.25">
      <c r="A146" s="1668"/>
      <c r="B146" s="1671"/>
      <c r="C146" s="1673"/>
      <c r="D146" s="1652">
        <f>'BS old'!E73</f>
        <v>0</v>
      </c>
      <c r="E146" s="1652"/>
      <c r="F146" s="1652"/>
      <c r="G146" s="673"/>
      <c r="H146" s="1649">
        <f>'BS old'!G73</f>
        <v>0</v>
      </c>
      <c r="I146" s="1650"/>
      <c r="J146" s="1653"/>
    </row>
    <row r="147" spans="1:10" ht="27.95" customHeight="1" x14ac:dyDescent="0.25">
      <c r="A147" s="1765" t="s">
        <v>504</v>
      </c>
      <c r="B147" s="1766" t="s">
        <v>1326</v>
      </c>
      <c r="C147" s="1673" t="s">
        <v>640</v>
      </c>
      <c r="D147" s="1652">
        <f>'BS old'!D74</f>
        <v>0</v>
      </c>
      <c r="E147" s="1652"/>
      <c r="F147" s="1652"/>
      <c r="G147" s="1649">
        <f>'BS old'!F74</f>
        <v>0</v>
      </c>
      <c r="H147" s="1650"/>
      <c r="I147" s="1651"/>
      <c r="J147" s="671"/>
    </row>
    <row r="148" spans="1:10" s="458" customFormat="1" ht="27.95" customHeight="1" x14ac:dyDescent="0.2">
      <c r="A148" s="1668"/>
      <c r="B148" s="1671"/>
      <c r="C148" s="1673"/>
      <c r="D148" s="1652">
        <f>'BS old'!E74</f>
        <v>0</v>
      </c>
      <c r="E148" s="1652"/>
      <c r="F148" s="1652"/>
      <c r="G148" s="636"/>
      <c r="H148" s="1649">
        <f>'BS old'!G74</f>
        <v>0</v>
      </c>
      <c r="I148" s="1650"/>
      <c r="J148" s="1653"/>
    </row>
    <row r="149" spans="1:10" s="458" customFormat="1" ht="30" customHeight="1" x14ac:dyDescent="0.2">
      <c r="A149" s="628" t="s">
        <v>1263</v>
      </c>
      <c r="B149" s="1762" t="s">
        <v>1327</v>
      </c>
      <c r="C149" s="1763"/>
      <c r="D149" s="1763"/>
      <c r="E149" s="1764"/>
      <c r="F149" s="634" t="s">
        <v>1265</v>
      </c>
      <c r="G149" s="1656" t="s">
        <v>1328</v>
      </c>
      <c r="H149" s="1659"/>
      <c r="I149" s="1656" t="s">
        <v>1329</v>
      </c>
      <c r="J149" s="1657"/>
    </row>
    <row r="150" spans="1:10" s="458" customFormat="1" ht="27.75" customHeight="1" x14ac:dyDescent="0.2">
      <c r="A150" s="459"/>
      <c r="B150" s="1759" t="s">
        <v>1330</v>
      </c>
      <c r="C150" s="1760"/>
      <c r="D150" s="1760"/>
      <c r="E150" s="1761"/>
      <c r="F150" s="638" t="s">
        <v>647</v>
      </c>
      <c r="G150" s="1649">
        <f>'BS old'!D81</f>
        <v>0</v>
      </c>
      <c r="H150" s="1651"/>
      <c r="I150" s="1649">
        <f>'BS old'!E81</f>
        <v>0</v>
      </c>
      <c r="J150" s="1653"/>
    </row>
    <row r="151" spans="1:10" s="458" customFormat="1" ht="27.75" customHeight="1" x14ac:dyDescent="0.2">
      <c r="A151" s="639" t="s">
        <v>489</v>
      </c>
      <c r="B151" s="1759" t="s">
        <v>1331</v>
      </c>
      <c r="C151" s="1760"/>
      <c r="D151" s="1760"/>
      <c r="E151" s="1761"/>
      <c r="F151" s="638" t="s">
        <v>649</v>
      </c>
      <c r="G151" s="1649">
        <f>'BS old'!D82</f>
        <v>0</v>
      </c>
      <c r="H151" s="1651"/>
      <c r="I151" s="1649">
        <f>'BS old'!E82</f>
        <v>0</v>
      </c>
      <c r="J151" s="1653"/>
    </row>
    <row r="152" spans="1:10" ht="27.75" customHeight="1" x14ac:dyDescent="0.25">
      <c r="A152" s="639" t="s">
        <v>492</v>
      </c>
      <c r="B152" s="1759" t="s">
        <v>650</v>
      </c>
      <c r="C152" s="1760"/>
      <c r="D152" s="1760"/>
      <c r="E152" s="1761"/>
      <c r="F152" s="638" t="s">
        <v>651</v>
      </c>
      <c r="G152" s="1649">
        <f>'BS old'!D83</f>
        <v>0</v>
      </c>
      <c r="H152" s="1651"/>
      <c r="I152" s="1649">
        <f>'BS old'!E83</f>
        <v>0</v>
      </c>
      <c r="J152" s="1653"/>
    </row>
    <row r="153" spans="1:10" s="393" customFormat="1" ht="27.75" customHeight="1" x14ac:dyDescent="0.25">
      <c r="A153" s="637" t="s">
        <v>495</v>
      </c>
      <c r="B153" s="1750" t="s">
        <v>652</v>
      </c>
      <c r="C153" s="1751"/>
      <c r="D153" s="1751"/>
      <c r="E153" s="1752"/>
      <c r="F153" s="632" t="s">
        <v>653</v>
      </c>
      <c r="G153" s="1649">
        <f>'BS old'!D84</f>
        <v>0</v>
      </c>
      <c r="H153" s="1651"/>
      <c r="I153" s="1649">
        <f>'BS old'!E84</f>
        <v>0</v>
      </c>
      <c r="J153" s="1653"/>
    </row>
    <row r="154" spans="1:10" s="393" customFormat="1" ht="27.75" customHeight="1" x14ac:dyDescent="0.25">
      <c r="A154" s="630" t="s">
        <v>498</v>
      </c>
      <c r="B154" s="1750" t="s">
        <v>654</v>
      </c>
      <c r="C154" s="1751"/>
      <c r="D154" s="1751"/>
      <c r="E154" s="1752"/>
      <c r="F154" s="632" t="s">
        <v>655</v>
      </c>
      <c r="G154" s="1649">
        <f>'BS old'!D85</f>
        <v>0</v>
      </c>
      <c r="H154" s="1651"/>
      <c r="I154" s="1649">
        <f>'BS old'!E85</f>
        <v>0</v>
      </c>
      <c r="J154" s="1653"/>
    </row>
    <row r="155" spans="1:10" s="393" customFormat="1" ht="27.75" customHeight="1" x14ac:dyDescent="0.25">
      <c r="A155" s="630" t="s">
        <v>501</v>
      </c>
      <c r="B155" s="1750" t="s">
        <v>656</v>
      </c>
      <c r="C155" s="1751"/>
      <c r="D155" s="1751"/>
      <c r="E155" s="1752"/>
      <c r="F155" s="632" t="s">
        <v>657</v>
      </c>
      <c r="G155" s="1649">
        <f>'BS old'!D86</f>
        <v>0</v>
      </c>
      <c r="H155" s="1651"/>
      <c r="I155" s="1649">
        <f>'BS old'!E86</f>
        <v>0</v>
      </c>
      <c r="J155" s="1653"/>
    </row>
    <row r="156" spans="1:10" ht="27.75" customHeight="1" x14ac:dyDescent="0.25">
      <c r="A156" s="630" t="s">
        <v>504</v>
      </c>
      <c r="B156" s="1750" t="s">
        <v>658</v>
      </c>
      <c r="C156" s="1751"/>
      <c r="D156" s="1751"/>
      <c r="E156" s="1752"/>
      <c r="F156" s="632" t="s">
        <v>659</v>
      </c>
      <c r="G156" s="1649">
        <f>'BS old'!D87</f>
        <v>0</v>
      </c>
      <c r="H156" s="1651"/>
      <c r="I156" s="1649">
        <f>'BS old'!E87</f>
        <v>0</v>
      </c>
      <c r="J156" s="1653"/>
    </row>
    <row r="157" spans="1:10" ht="27.75" customHeight="1" x14ac:dyDescent="0.25">
      <c r="A157" s="639" t="s">
        <v>516</v>
      </c>
      <c r="B157" s="1759" t="s">
        <v>660</v>
      </c>
      <c r="C157" s="1760"/>
      <c r="D157" s="1760"/>
      <c r="E157" s="1761"/>
      <c r="F157" s="638" t="s">
        <v>661</v>
      </c>
      <c r="G157" s="1649">
        <f>'BS old'!D88</f>
        <v>0</v>
      </c>
      <c r="H157" s="1651"/>
      <c r="I157" s="1649">
        <f>'BS old'!E88</f>
        <v>0</v>
      </c>
      <c r="J157" s="1653"/>
    </row>
    <row r="158" spans="1:10" ht="27.75" customHeight="1" x14ac:dyDescent="0.25">
      <c r="A158" s="637" t="s">
        <v>519</v>
      </c>
      <c r="B158" s="1750" t="s">
        <v>662</v>
      </c>
      <c r="C158" s="1751"/>
      <c r="D158" s="1751"/>
      <c r="E158" s="1752"/>
      <c r="F158" s="632" t="s">
        <v>663</v>
      </c>
      <c r="G158" s="1649">
        <f>'BS old'!D89</f>
        <v>0</v>
      </c>
      <c r="H158" s="1651"/>
      <c r="I158" s="1649">
        <f>'BS old'!E89</f>
        <v>0</v>
      </c>
      <c r="J158" s="1653"/>
    </row>
    <row r="159" spans="1:10" ht="27.75" customHeight="1" x14ac:dyDescent="0.25">
      <c r="A159" s="630" t="s">
        <v>498</v>
      </c>
      <c r="B159" s="1750" t="s">
        <v>664</v>
      </c>
      <c r="C159" s="1751"/>
      <c r="D159" s="1751"/>
      <c r="E159" s="1752"/>
      <c r="F159" s="632" t="s">
        <v>665</v>
      </c>
      <c r="G159" s="1649">
        <f>'BS old'!D90</f>
        <v>0</v>
      </c>
      <c r="H159" s="1651"/>
      <c r="I159" s="1649">
        <f>'BS old'!E90</f>
        <v>0</v>
      </c>
      <c r="J159" s="1653"/>
    </row>
    <row r="160" spans="1:10" s="393" customFormat="1" ht="27.75" customHeight="1" x14ac:dyDescent="0.25">
      <c r="A160" s="630" t="s">
        <v>501</v>
      </c>
      <c r="B160" s="1750" t="s">
        <v>666</v>
      </c>
      <c r="C160" s="1751"/>
      <c r="D160" s="1751"/>
      <c r="E160" s="1752"/>
      <c r="F160" s="632" t="s">
        <v>667</v>
      </c>
      <c r="G160" s="1649">
        <f>'BS old'!D91</f>
        <v>0</v>
      </c>
      <c r="H160" s="1651"/>
      <c r="I160" s="1649">
        <f>'BS old'!E91</f>
        <v>0</v>
      </c>
      <c r="J160" s="1653"/>
    </row>
    <row r="161" spans="1:10" ht="27.75" customHeight="1" x14ac:dyDescent="0.25">
      <c r="A161" s="630" t="s">
        <v>504</v>
      </c>
      <c r="B161" s="1750" t="s">
        <v>1332</v>
      </c>
      <c r="C161" s="1751"/>
      <c r="D161" s="1751"/>
      <c r="E161" s="1752"/>
      <c r="F161" s="632" t="s">
        <v>669</v>
      </c>
      <c r="G161" s="1649">
        <f>'BS old'!D92</f>
        <v>0</v>
      </c>
      <c r="H161" s="1651"/>
      <c r="I161" s="1649">
        <f>'BS old'!E92</f>
        <v>0</v>
      </c>
      <c r="J161" s="1653"/>
    </row>
    <row r="162" spans="1:10" ht="27.75" customHeight="1" x14ac:dyDescent="0.25">
      <c r="A162" s="630" t="s">
        <v>507</v>
      </c>
      <c r="B162" s="1750" t="s">
        <v>670</v>
      </c>
      <c r="C162" s="1751"/>
      <c r="D162" s="1751"/>
      <c r="E162" s="1752"/>
      <c r="F162" s="632" t="s">
        <v>671</v>
      </c>
      <c r="G162" s="1649">
        <f>'BS old'!D93</f>
        <v>0</v>
      </c>
      <c r="H162" s="1651"/>
      <c r="I162" s="1649">
        <f>'BS old'!E93</f>
        <v>0</v>
      </c>
      <c r="J162" s="1653"/>
    </row>
    <row r="163" spans="1:10" ht="27.75" customHeight="1" x14ac:dyDescent="0.25">
      <c r="A163" s="630" t="s">
        <v>510</v>
      </c>
      <c r="B163" s="1750" t="s">
        <v>672</v>
      </c>
      <c r="C163" s="1751"/>
      <c r="D163" s="1751"/>
      <c r="E163" s="1752"/>
      <c r="F163" s="632" t="s">
        <v>673</v>
      </c>
      <c r="G163" s="1649">
        <f>'BS old'!D94</f>
        <v>0</v>
      </c>
      <c r="H163" s="1651"/>
      <c r="I163" s="1649">
        <f>'BS old'!E94</f>
        <v>0</v>
      </c>
      <c r="J163" s="1653"/>
    </row>
    <row r="164" spans="1:10" ht="27.75" customHeight="1" x14ac:dyDescent="0.25">
      <c r="A164" s="639" t="s">
        <v>540</v>
      </c>
      <c r="B164" s="1759" t="s">
        <v>674</v>
      </c>
      <c r="C164" s="1760"/>
      <c r="D164" s="1760"/>
      <c r="E164" s="1761"/>
      <c r="F164" s="638" t="s">
        <v>675</v>
      </c>
      <c r="G164" s="1649">
        <f>'BS old'!D95</f>
        <v>0</v>
      </c>
      <c r="H164" s="1651"/>
      <c r="I164" s="1649">
        <f>'BS old'!E95</f>
        <v>0</v>
      </c>
      <c r="J164" s="1653"/>
    </row>
    <row r="165" spans="1:10" ht="27.75" customHeight="1" x14ac:dyDescent="0.25">
      <c r="A165" s="630" t="s">
        <v>543</v>
      </c>
      <c r="B165" s="1750" t="s">
        <v>676</v>
      </c>
      <c r="C165" s="1751"/>
      <c r="D165" s="1751"/>
      <c r="E165" s="1752"/>
      <c r="F165" s="632" t="s">
        <v>677</v>
      </c>
      <c r="G165" s="1649">
        <f>'BS old'!D96</f>
        <v>0</v>
      </c>
      <c r="H165" s="1651"/>
      <c r="I165" s="1649">
        <f>'BS old'!E96</f>
        <v>0</v>
      </c>
      <c r="J165" s="1653"/>
    </row>
    <row r="166" spans="1:10" ht="27.75" customHeight="1" x14ac:dyDescent="0.25">
      <c r="A166" s="630" t="s">
        <v>498</v>
      </c>
      <c r="B166" s="1750" t="s">
        <v>678</v>
      </c>
      <c r="C166" s="1751"/>
      <c r="D166" s="1751"/>
      <c r="E166" s="1752"/>
      <c r="F166" s="632" t="s">
        <v>679</v>
      </c>
      <c r="G166" s="1649">
        <f>'BS old'!D97</f>
        <v>0</v>
      </c>
      <c r="H166" s="1651"/>
      <c r="I166" s="1649">
        <f>'BS old'!E97</f>
        <v>0</v>
      </c>
      <c r="J166" s="1653"/>
    </row>
    <row r="167" spans="1:10" s="393" customFormat="1" ht="27.75" customHeight="1" x14ac:dyDescent="0.25">
      <c r="A167" s="630" t="s">
        <v>501</v>
      </c>
      <c r="B167" s="1750" t="s">
        <v>680</v>
      </c>
      <c r="C167" s="1751"/>
      <c r="D167" s="1751"/>
      <c r="E167" s="1752"/>
      <c r="F167" s="632" t="s">
        <v>681</v>
      </c>
      <c r="G167" s="1649">
        <f>'BS old'!D98</f>
        <v>0</v>
      </c>
      <c r="H167" s="1651"/>
      <c r="I167" s="1649">
        <f>'BS old'!E98</f>
        <v>0</v>
      </c>
      <c r="J167" s="1653"/>
    </row>
    <row r="168" spans="1:10" ht="27.75" customHeight="1" x14ac:dyDescent="0.25">
      <c r="A168" s="639" t="s">
        <v>682</v>
      </c>
      <c r="B168" s="1759" t="s">
        <v>683</v>
      </c>
      <c r="C168" s="1760"/>
      <c r="D168" s="1760"/>
      <c r="E168" s="1761"/>
      <c r="F168" s="638" t="s">
        <v>684</v>
      </c>
      <c r="G168" s="1649">
        <f>'BS old'!D99</f>
        <v>0</v>
      </c>
      <c r="H168" s="1651"/>
      <c r="I168" s="1649">
        <f>'BS old'!E99</f>
        <v>0</v>
      </c>
      <c r="J168" s="1653"/>
    </row>
    <row r="169" spans="1:10" ht="27.75" customHeight="1" x14ac:dyDescent="0.25">
      <c r="A169" s="457" t="s">
        <v>685</v>
      </c>
      <c r="B169" s="1750" t="s">
        <v>686</v>
      </c>
      <c r="C169" s="1751"/>
      <c r="D169" s="1751"/>
      <c r="E169" s="1752"/>
      <c r="F169" s="632" t="s">
        <v>687</v>
      </c>
      <c r="G169" s="1649">
        <f>'BS old'!D100</f>
        <v>0</v>
      </c>
      <c r="H169" s="1651"/>
      <c r="I169" s="1649">
        <f>'BS old'!E100</f>
        <v>0</v>
      </c>
      <c r="J169" s="1653"/>
    </row>
    <row r="170" spans="1:10" ht="27.75" customHeight="1" x14ac:dyDescent="0.25">
      <c r="A170" s="630" t="s">
        <v>498</v>
      </c>
      <c r="B170" s="1750" t="s">
        <v>688</v>
      </c>
      <c r="C170" s="1751"/>
      <c r="D170" s="1751"/>
      <c r="E170" s="1752"/>
      <c r="F170" s="632" t="s">
        <v>689</v>
      </c>
      <c r="G170" s="1649">
        <f>'BS old'!D101</f>
        <v>0</v>
      </c>
      <c r="H170" s="1651"/>
      <c r="I170" s="1649">
        <f>'BS old'!E101</f>
        <v>0</v>
      </c>
      <c r="J170" s="1653"/>
    </row>
    <row r="171" spans="1:10" s="393" customFormat="1" ht="31.5" customHeight="1" x14ac:dyDescent="0.25">
      <c r="A171" s="639" t="s">
        <v>690</v>
      </c>
      <c r="B171" s="1759" t="s">
        <v>1556</v>
      </c>
      <c r="C171" s="1760"/>
      <c r="D171" s="1760"/>
      <c r="E171" s="1761"/>
      <c r="F171" s="638" t="s">
        <v>692</v>
      </c>
      <c r="G171" s="1649">
        <f>'BS old'!D102</f>
        <v>0</v>
      </c>
      <c r="H171" s="1651"/>
      <c r="I171" s="1649">
        <f>'BS old'!E102</f>
        <v>0</v>
      </c>
      <c r="J171" s="1653"/>
    </row>
    <row r="172" spans="1:10" ht="27.75" customHeight="1" x14ac:dyDescent="0.25">
      <c r="A172" s="639" t="s">
        <v>560</v>
      </c>
      <c r="B172" s="1759" t="s">
        <v>693</v>
      </c>
      <c r="C172" s="1760"/>
      <c r="D172" s="1760"/>
      <c r="E172" s="1761"/>
      <c r="F172" s="638" t="s">
        <v>694</v>
      </c>
      <c r="G172" s="1649">
        <f>'BS old'!D103</f>
        <v>0</v>
      </c>
      <c r="H172" s="1651"/>
      <c r="I172" s="1649">
        <f>'BS old'!E103</f>
        <v>0</v>
      </c>
      <c r="J172" s="1653"/>
    </row>
    <row r="173" spans="1:10" ht="27.75" customHeight="1" x14ac:dyDescent="0.25">
      <c r="A173" s="639" t="s">
        <v>563</v>
      </c>
      <c r="B173" s="1759" t="s">
        <v>695</v>
      </c>
      <c r="C173" s="1760"/>
      <c r="D173" s="1760"/>
      <c r="E173" s="1761"/>
      <c r="F173" s="638" t="s">
        <v>696</v>
      </c>
      <c r="G173" s="1649">
        <f>'BS old'!D104</f>
        <v>0</v>
      </c>
      <c r="H173" s="1651"/>
      <c r="I173" s="1649">
        <f>'BS old'!E104</f>
        <v>0</v>
      </c>
      <c r="J173" s="1653"/>
    </row>
    <row r="174" spans="1:10" s="393" customFormat="1" ht="27.75" customHeight="1" x14ac:dyDescent="0.25">
      <c r="A174" s="637" t="s">
        <v>566</v>
      </c>
      <c r="B174" s="1750" t="s">
        <v>697</v>
      </c>
      <c r="C174" s="1751"/>
      <c r="D174" s="1751"/>
      <c r="E174" s="1752"/>
      <c r="F174" s="632" t="s">
        <v>698</v>
      </c>
      <c r="G174" s="1649">
        <f>'BS old'!D105</f>
        <v>0</v>
      </c>
      <c r="H174" s="1651"/>
      <c r="I174" s="1649">
        <f>'BS old'!E105</f>
        <v>0</v>
      </c>
      <c r="J174" s="1653"/>
    </row>
    <row r="175" spans="1:10" s="393" customFormat="1" ht="27.75" customHeight="1" x14ac:dyDescent="0.25">
      <c r="A175" s="630" t="s">
        <v>498</v>
      </c>
      <c r="B175" s="1750" t="s">
        <v>699</v>
      </c>
      <c r="C175" s="1751"/>
      <c r="D175" s="1751"/>
      <c r="E175" s="1752"/>
      <c r="F175" s="632" t="s">
        <v>700</v>
      </c>
      <c r="G175" s="1649">
        <f>'BS old'!D106</f>
        <v>0</v>
      </c>
      <c r="H175" s="1651"/>
      <c r="I175" s="1649">
        <f>'BS old'!E106</f>
        <v>0</v>
      </c>
      <c r="J175" s="1653"/>
    </row>
    <row r="176" spans="1:10" s="393" customFormat="1" ht="27.75" customHeight="1" x14ac:dyDescent="0.25">
      <c r="A176" s="630" t="s">
        <v>501</v>
      </c>
      <c r="B176" s="1750" t="s">
        <v>701</v>
      </c>
      <c r="C176" s="1751"/>
      <c r="D176" s="1751"/>
      <c r="E176" s="1752"/>
      <c r="F176" s="632" t="s">
        <v>702</v>
      </c>
      <c r="G176" s="1649">
        <f>'BS old'!D107</f>
        <v>0</v>
      </c>
      <c r="H176" s="1651"/>
      <c r="I176" s="1649">
        <f>'BS old'!E107</f>
        <v>0</v>
      </c>
      <c r="J176" s="1653"/>
    </row>
    <row r="177" spans="1:10" ht="27.75" customHeight="1" x14ac:dyDescent="0.25">
      <c r="A177" s="630" t="s">
        <v>504</v>
      </c>
      <c r="B177" s="1750" t="s">
        <v>703</v>
      </c>
      <c r="C177" s="1751"/>
      <c r="D177" s="1751"/>
      <c r="E177" s="1752"/>
      <c r="F177" s="632" t="s">
        <v>704</v>
      </c>
      <c r="G177" s="1649">
        <f>'BS old'!D108</f>
        <v>0</v>
      </c>
      <c r="H177" s="1651"/>
      <c r="I177" s="1649">
        <f>'BS old'!E108</f>
        <v>0</v>
      </c>
      <c r="J177" s="1653"/>
    </row>
    <row r="178" spans="1:10" ht="25.5" customHeight="1" thickBot="1" x14ac:dyDescent="0.3">
      <c r="A178" s="455" t="s">
        <v>579</v>
      </c>
      <c r="B178" s="1759" t="s">
        <v>705</v>
      </c>
      <c r="C178" s="1760"/>
      <c r="D178" s="1760"/>
      <c r="E178" s="1761"/>
      <c r="F178" s="454" t="s">
        <v>706</v>
      </c>
      <c r="G178" s="1756">
        <f>'BS old'!D109</f>
        <v>0</v>
      </c>
      <c r="H178" s="1757"/>
      <c r="I178" s="1756">
        <f>'BS old'!E109</f>
        <v>0</v>
      </c>
      <c r="J178" s="1758"/>
    </row>
    <row r="179" spans="1:10" ht="30" customHeight="1" x14ac:dyDescent="0.25">
      <c r="A179" s="628" t="s">
        <v>1263</v>
      </c>
      <c r="B179" s="1762" t="s">
        <v>1327</v>
      </c>
      <c r="C179" s="1763"/>
      <c r="D179" s="1763"/>
      <c r="E179" s="1764"/>
      <c r="F179" s="634" t="s">
        <v>1265</v>
      </c>
      <c r="G179" s="1656" t="s">
        <v>1328</v>
      </c>
      <c r="H179" s="1659"/>
      <c r="I179" s="1656" t="s">
        <v>1329</v>
      </c>
      <c r="J179" s="1657"/>
    </row>
    <row r="180" spans="1:10" ht="27.75" customHeight="1" x14ac:dyDescent="0.25">
      <c r="A180" s="637" t="s">
        <v>582</v>
      </c>
      <c r="B180" s="1759" t="s">
        <v>707</v>
      </c>
      <c r="C180" s="1760"/>
      <c r="D180" s="1760"/>
      <c r="E180" s="1761"/>
      <c r="F180" s="632" t="s">
        <v>708</v>
      </c>
      <c r="G180" s="1649">
        <f>'BS old'!D110</f>
        <v>0</v>
      </c>
      <c r="H180" s="1651"/>
      <c r="I180" s="1649">
        <f>'BS old'!E110</f>
        <v>0</v>
      </c>
      <c r="J180" s="1653"/>
    </row>
    <row r="181" spans="1:10" ht="27.75" customHeight="1" x14ac:dyDescent="0.25">
      <c r="A181" s="630" t="s">
        <v>498</v>
      </c>
      <c r="B181" s="1750" t="s">
        <v>585</v>
      </c>
      <c r="C181" s="1751"/>
      <c r="D181" s="1751"/>
      <c r="E181" s="1752"/>
      <c r="F181" s="632" t="s">
        <v>709</v>
      </c>
      <c r="G181" s="1649">
        <f>'BS old'!D111</f>
        <v>0</v>
      </c>
      <c r="H181" s="1651"/>
      <c r="I181" s="1649">
        <f>'BS old'!E111</f>
        <v>0</v>
      </c>
      <c r="J181" s="1653"/>
    </row>
    <row r="182" spans="1:10" s="393" customFormat="1" ht="27.75" customHeight="1" x14ac:dyDescent="0.25">
      <c r="A182" s="630" t="s">
        <v>501</v>
      </c>
      <c r="B182" s="1750" t="s">
        <v>710</v>
      </c>
      <c r="C182" s="1751"/>
      <c r="D182" s="1751"/>
      <c r="E182" s="1752"/>
      <c r="F182" s="632" t="s">
        <v>711</v>
      </c>
      <c r="G182" s="1649">
        <f>'BS old'!D112</f>
        <v>0</v>
      </c>
      <c r="H182" s="1651"/>
      <c r="I182" s="1649">
        <f>'BS old'!E112</f>
        <v>0</v>
      </c>
      <c r="J182" s="1653"/>
    </row>
    <row r="183" spans="1:10" ht="27.75" customHeight="1" x14ac:dyDescent="0.25">
      <c r="A183" s="630" t="s">
        <v>504</v>
      </c>
      <c r="B183" s="1750" t="s">
        <v>712</v>
      </c>
      <c r="C183" s="1751"/>
      <c r="D183" s="1751"/>
      <c r="E183" s="1752"/>
      <c r="F183" s="632" t="s">
        <v>713</v>
      </c>
      <c r="G183" s="1649">
        <f>'BS old'!D113</f>
        <v>0</v>
      </c>
      <c r="H183" s="1651"/>
      <c r="I183" s="1649">
        <f>'BS old'!E113</f>
        <v>0</v>
      </c>
      <c r="J183" s="1653"/>
    </row>
    <row r="184" spans="1:10" ht="27.75" customHeight="1" x14ac:dyDescent="0.25">
      <c r="A184" s="630" t="s">
        <v>507</v>
      </c>
      <c r="B184" s="1750" t="s">
        <v>714</v>
      </c>
      <c r="C184" s="1751"/>
      <c r="D184" s="1751"/>
      <c r="E184" s="1752"/>
      <c r="F184" s="632" t="s">
        <v>715</v>
      </c>
      <c r="G184" s="1649">
        <f>'BS old'!D114</f>
        <v>0</v>
      </c>
      <c r="H184" s="1651"/>
      <c r="I184" s="1649">
        <f>'BS old'!E114</f>
        <v>0</v>
      </c>
      <c r="J184" s="1653"/>
    </row>
    <row r="185" spans="1:10" ht="27.75" customHeight="1" x14ac:dyDescent="0.25">
      <c r="A185" s="630" t="s">
        <v>510</v>
      </c>
      <c r="B185" s="1750" t="s">
        <v>1557</v>
      </c>
      <c r="C185" s="1751"/>
      <c r="D185" s="1751"/>
      <c r="E185" s="1752"/>
      <c r="F185" s="632" t="s">
        <v>717</v>
      </c>
      <c r="G185" s="1649">
        <f>'BS old'!D115</f>
        <v>0</v>
      </c>
      <c r="H185" s="1651"/>
      <c r="I185" s="1649">
        <f>'BS old'!E115</f>
        <v>0</v>
      </c>
      <c r="J185" s="1653"/>
    </row>
    <row r="186" spans="1:10" ht="27.75" customHeight="1" x14ac:dyDescent="0.25">
      <c r="A186" s="630" t="s">
        <v>513</v>
      </c>
      <c r="B186" s="1750" t="s">
        <v>718</v>
      </c>
      <c r="C186" s="1751"/>
      <c r="D186" s="1751"/>
      <c r="E186" s="1752"/>
      <c r="F186" s="632" t="s">
        <v>719</v>
      </c>
      <c r="G186" s="1649">
        <f>'BS old'!D116</f>
        <v>0</v>
      </c>
      <c r="H186" s="1651"/>
      <c r="I186" s="1649">
        <f>'BS old'!E116</f>
        <v>0</v>
      </c>
      <c r="J186" s="1653"/>
    </row>
    <row r="187" spans="1:10" ht="27.75" customHeight="1" x14ac:dyDescent="0.25">
      <c r="A187" s="630" t="s">
        <v>534</v>
      </c>
      <c r="B187" s="1750" t="s">
        <v>720</v>
      </c>
      <c r="C187" s="1751"/>
      <c r="D187" s="1751"/>
      <c r="E187" s="1752"/>
      <c r="F187" s="632" t="s">
        <v>721</v>
      </c>
      <c r="G187" s="1649">
        <f>'BS old'!D117</f>
        <v>0</v>
      </c>
      <c r="H187" s="1651"/>
      <c r="I187" s="1649">
        <f>'BS old'!E117</f>
        <v>0</v>
      </c>
      <c r="J187" s="1653"/>
    </row>
    <row r="188" spans="1:10" ht="27.75" customHeight="1" x14ac:dyDescent="0.25">
      <c r="A188" s="630" t="s">
        <v>537</v>
      </c>
      <c r="B188" s="1750" t="s">
        <v>722</v>
      </c>
      <c r="C188" s="1751"/>
      <c r="D188" s="1751"/>
      <c r="E188" s="1752"/>
      <c r="F188" s="632" t="s">
        <v>723</v>
      </c>
      <c r="G188" s="1649">
        <f>'BS old'!D118</f>
        <v>0</v>
      </c>
      <c r="H188" s="1651"/>
      <c r="I188" s="1649">
        <f>'BS old'!E118</f>
        <v>0</v>
      </c>
      <c r="J188" s="1653"/>
    </row>
    <row r="189" spans="1:10" ht="27.75" customHeight="1" x14ac:dyDescent="0.25">
      <c r="A189" s="630" t="s">
        <v>724</v>
      </c>
      <c r="B189" s="1750" t="s">
        <v>1333</v>
      </c>
      <c r="C189" s="1751"/>
      <c r="D189" s="1751"/>
      <c r="E189" s="1752"/>
      <c r="F189" s="632" t="s">
        <v>726</v>
      </c>
      <c r="G189" s="1649">
        <f>'BS old'!D119</f>
        <v>0</v>
      </c>
      <c r="H189" s="1651"/>
      <c r="I189" s="1649">
        <f>'BS old'!E119</f>
        <v>0</v>
      </c>
      <c r="J189" s="1653"/>
    </row>
    <row r="190" spans="1:10" ht="27.75" customHeight="1" x14ac:dyDescent="0.25">
      <c r="A190" s="630" t="s">
        <v>727</v>
      </c>
      <c r="B190" s="1750" t="s">
        <v>728</v>
      </c>
      <c r="C190" s="1751"/>
      <c r="D190" s="1751"/>
      <c r="E190" s="1752"/>
      <c r="F190" s="632" t="s">
        <v>729</v>
      </c>
      <c r="G190" s="1649">
        <f>'BS old'!D120</f>
        <v>0</v>
      </c>
      <c r="H190" s="1651"/>
      <c r="I190" s="1649">
        <f>'BS old'!E120</f>
        <v>0</v>
      </c>
      <c r="J190" s="1653"/>
    </row>
    <row r="191" spans="1:10" ht="27.75" customHeight="1" x14ac:dyDescent="0.25">
      <c r="A191" s="639" t="s">
        <v>597</v>
      </c>
      <c r="B191" s="1759" t="s">
        <v>730</v>
      </c>
      <c r="C191" s="1760"/>
      <c r="D191" s="1760"/>
      <c r="E191" s="1761"/>
      <c r="F191" s="632" t="s">
        <v>731</v>
      </c>
      <c r="G191" s="1649">
        <f>'BS old'!D121</f>
        <v>0</v>
      </c>
      <c r="H191" s="1651"/>
      <c r="I191" s="1649">
        <f>'BS old'!E121</f>
        <v>0</v>
      </c>
      <c r="J191" s="1653"/>
    </row>
    <row r="192" spans="1:10" ht="27.75" customHeight="1" x14ac:dyDescent="0.25">
      <c r="A192" s="630" t="s">
        <v>600</v>
      </c>
      <c r="B192" s="1750" t="s">
        <v>1334</v>
      </c>
      <c r="C192" s="1751"/>
      <c r="D192" s="1751"/>
      <c r="E192" s="1752"/>
      <c r="F192" s="632" t="s">
        <v>733</v>
      </c>
      <c r="G192" s="1649">
        <f>'BS old'!D122</f>
        <v>0</v>
      </c>
      <c r="H192" s="1651"/>
      <c r="I192" s="1649">
        <f>'BS old'!E122</f>
        <v>0</v>
      </c>
      <c r="J192" s="1653"/>
    </row>
    <row r="193" spans="1:10" ht="27.75" customHeight="1" x14ac:dyDescent="0.25">
      <c r="A193" s="630" t="s">
        <v>498</v>
      </c>
      <c r="B193" s="1750" t="s">
        <v>585</v>
      </c>
      <c r="C193" s="1751"/>
      <c r="D193" s="1751"/>
      <c r="E193" s="1752"/>
      <c r="F193" s="632" t="s">
        <v>734</v>
      </c>
      <c r="G193" s="1649">
        <f>'BS old'!D123</f>
        <v>0</v>
      </c>
      <c r="H193" s="1651"/>
      <c r="I193" s="1649">
        <f>'BS old'!E123</f>
        <v>0</v>
      </c>
      <c r="J193" s="1653"/>
    </row>
    <row r="194" spans="1:10" ht="27.75" customHeight="1" x14ac:dyDescent="0.25">
      <c r="A194" s="630" t="s">
        <v>501</v>
      </c>
      <c r="B194" s="1750" t="s">
        <v>735</v>
      </c>
      <c r="C194" s="1751"/>
      <c r="D194" s="1751"/>
      <c r="E194" s="1752"/>
      <c r="F194" s="632" t="s">
        <v>736</v>
      </c>
      <c r="G194" s="1649">
        <f>'BS old'!D124</f>
        <v>0</v>
      </c>
      <c r="H194" s="1651"/>
      <c r="I194" s="1649">
        <f>'BS old'!E124</f>
        <v>0</v>
      </c>
      <c r="J194" s="1653"/>
    </row>
    <row r="195" spans="1:10" s="393" customFormat="1" ht="27.75" customHeight="1" x14ac:dyDescent="0.25">
      <c r="A195" s="630" t="s">
        <v>504</v>
      </c>
      <c r="B195" s="1750" t="s">
        <v>737</v>
      </c>
      <c r="C195" s="1751"/>
      <c r="D195" s="1751"/>
      <c r="E195" s="1752"/>
      <c r="F195" s="632" t="s">
        <v>738</v>
      </c>
      <c r="G195" s="1649">
        <f>'BS old'!D125</f>
        <v>0</v>
      </c>
      <c r="H195" s="1651"/>
      <c r="I195" s="1649">
        <f>'BS old'!E125</f>
        <v>0</v>
      </c>
      <c r="J195" s="1653"/>
    </row>
    <row r="196" spans="1:10" ht="27.75" customHeight="1" x14ac:dyDescent="0.25">
      <c r="A196" s="630" t="s">
        <v>507</v>
      </c>
      <c r="B196" s="1750" t="s">
        <v>1335</v>
      </c>
      <c r="C196" s="1751"/>
      <c r="D196" s="1751"/>
      <c r="E196" s="1752"/>
      <c r="F196" s="632" t="s">
        <v>740</v>
      </c>
      <c r="G196" s="1649">
        <f>'BS old'!D126</f>
        <v>0</v>
      </c>
      <c r="H196" s="1651"/>
      <c r="I196" s="1649">
        <f>'BS old'!E126</f>
        <v>0</v>
      </c>
      <c r="J196" s="1653"/>
    </row>
    <row r="197" spans="1:10" ht="27.75" customHeight="1" x14ac:dyDescent="0.25">
      <c r="A197" s="630" t="s">
        <v>510</v>
      </c>
      <c r="B197" s="1750" t="s">
        <v>741</v>
      </c>
      <c r="C197" s="1751"/>
      <c r="D197" s="1751"/>
      <c r="E197" s="1752"/>
      <c r="F197" s="632" t="s">
        <v>742</v>
      </c>
      <c r="G197" s="1649">
        <f>'BS old'!D127</f>
        <v>0</v>
      </c>
      <c r="H197" s="1651"/>
      <c r="I197" s="1649">
        <f>'BS old'!E127</f>
        <v>0</v>
      </c>
      <c r="J197" s="1653"/>
    </row>
    <row r="198" spans="1:10" ht="27.75" customHeight="1" x14ac:dyDescent="0.25">
      <c r="A198" s="630" t="s">
        <v>513</v>
      </c>
      <c r="B198" s="1750" t="s">
        <v>743</v>
      </c>
      <c r="C198" s="1751"/>
      <c r="D198" s="1751"/>
      <c r="E198" s="1752"/>
      <c r="F198" s="632" t="s">
        <v>744</v>
      </c>
      <c r="G198" s="1649">
        <f>'BS old'!D128</f>
        <v>0</v>
      </c>
      <c r="H198" s="1651"/>
      <c r="I198" s="1649">
        <f>'BS old'!E128</f>
        <v>0</v>
      </c>
      <c r="J198" s="1653"/>
    </row>
    <row r="199" spans="1:10" ht="27.75" customHeight="1" x14ac:dyDescent="0.25">
      <c r="A199" s="630" t="s">
        <v>534</v>
      </c>
      <c r="B199" s="1750" t="s">
        <v>745</v>
      </c>
      <c r="C199" s="1751"/>
      <c r="D199" s="1751"/>
      <c r="E199" s="1752"/>
      <c r="F199" s="632" t="s">
        <v>746</v>
      </c>
      <c r="G199" s="1649">
        <f>'BS old'!D129</f>
        <v>0</v>
      </c>
      <c r="H199" s="1651"/>
      <c r="I199" s="1649">
        <f>'BS old'!E129</f>
        <v>0</v>
      </c>
      <c r="J199" s="1653"/>
    </row>
    <row r="200" spans="1:10" ht="27.75" customHeight="1" x14ac:dyDescent="0.25">
      <c r="A200" s="630" t="s">
        <v>537</v>
      </c>
      <c r="B200" s="1750" t="s">
        <v>1336</v>
      </c>
      <c r="C200" s="1751"/>
      <c r="D200" s="1751"/>
      <c r="E200" s="1752"/>
      <c r="F200" s="632" t="s">
        <v>748</v>
      </c>
      <c r="G200" s="1649">
        <f>'BS old'!D130</f>
        <v>0</v>
      </c>
      <c r="H200" s="1651"/>
      <c r="I200" s="1649">
        <f>'BS old'!E130</f>
        <v>0</v>
      </c>
      <c r="J200" s="1653"/>
    </row>
    <row r="201" spans="1:10" ht="27.75" customHeight="1" x14ac:dyDescent="0.25">
      <c r="A201" s="630" t="s">
        <v>724</v>
      </c>
      <c r="B201" s="1750" t="s">
        <v>1337</v>
      </c>
      <c r="C201" s="1751"/>
      <c r="D201" s="1751"/>
      <c r="E201" s="1752"/>
      <c r="F201" s="632" t="s">
        <v>750</v>
      </c>
      <c r="G201" s="1649">
        <f>'BS old'!D131</f>
        <v>0</v>
      </c>
      <c r="H201" s="1651"/>
      <c r="I201" s="1649">
        <f>'BS old'!E131</f>
        <v>0</v>
      </c>
      <c r="J201" s="1653"/>
    </row>
    <row r="202" spans="1:10" ht="27.75" customHeight="1" x14ac:dyDescent="0.25">
      <c r="A202" s="639" t="s">
        <v>615</v>
      </c>
      <c r="B202" s="1759" t="s">
        <v>751</v>
      </c>
      <c r="C202" s="1760"/>
      <c r="D202" s="1760"/>
      <c r="E202" s="1761"/>
      <c r="F202" s="632" t="s">
        <v>752</v>
      </c>
      <c r="G202" s="1649">
        <f>'BS old'!D132</f>
        <v>0</v>
      </c>
      <c r="H202" s="1651"/>
      <c r="I202" s="1649">
        <f>'BS old'!E132</f>
        <v>0</v>
      </c>
      <c r="J202" s="1653"/>
    </row>
    <row r="203" spans="1:10" ht="27.75" customHeight="1" x14ac:dyDescent="0.25">
      <c r="A203" s="641" t="s">
        <v>753</v>
      </c>
      <c r="B203" s="1759" t="s">
        <v>754</v>
      </c>
      <c r="C203" s="1760"/>
      <c r="D203" s="1760"/>
      <c r="E203" s="1761"/>
      <c r="F203" s="632" t="s">
        <v>755</v>
      </c>
      <c r="G203" s="1649">
        <f>'BS old'!D133</f>
        <v>0</v>
      </c>
      <c r="H203" s="1651"/>
      <c r="I203" s="1649">
        <f>'BS old'!E133</f>
        <v>0</v>
      </c>
      <c r="J203" s="1653"/>
    </row>
    <row r="204" spans="1:10" ht="27.75" customHeight="1" x14ac:dyDescent="0.25">
      <c r="A204" s="630" t="s">
        <v>756</v>
      </c>
      <c r="B204" s="1750" t="s">
        <v>757</v>
      </c>
      <c r="C204" s="1751"/>
      <c r="D204" s="1751"/>
      <c r="E204" s="1752"/>
      <c r="F204" s="632" t="s">
        <v>758</v>
      </c>
      <c r="G204" s="1649">
        <f>'BS old'!D134</f>
        <v>0</v>
      </c>
      <c r="H204" s="1651"/>
      <c r="I204" s="1649">
        <f>'BS old'!E134</f>
        <v>0</v>
      </c>
      <c r="J204" s="1653"/>
    </row>
    <row r="205" spans="1:10" s="393" customFormat="1" ht="27.75" customHeight="1" x14ac:dyDescent="0.25">
      <c r="A205" s="630" t="s">
        <v>498</v>
      </c>
      <c r="B205" s="1750" t="s">
        <v>759</v>
      </c>
      <c r="C205" s="1751"/>
      <c r="D205" s="1751"/>
      <c r="E205" s="1752"/>
      <c r="F205" s="632" t="s">
        <v>760</v>
      </c>
      <c r="G205" s="1649">
        <f>'BS old'!D135</f>
        <v>0</v>
      </c>
      <c r="H205" s="1651"/>
      <c r="I205" s="1649">
        <f>'BS old'!E135</f>
        <v>0</v>
      </c>
      <c r="J205" s="1653"/>
    </row>
    <row r="206" spans="1:10" ht="27.75" customHeight="1" x14ac:dyDescent="0.25">
      <c r="A206" s="639" t="s">
        <v>629</v>
      </c>
      <c r="B206" s="1759" t="s">
        <v>761</v>
      </c>
      <c r="C206" s="1760"/>
      <c r="D206" s="1760"/>
      <c r="E206" s="1761"/>
      <c r="F206" s="632" t="s">
        <v>762</v>
      </c>
      <c r="G206" s="1649">
        <f>'BS old'!D136</f>
        <v>0</v>
      </c>
      <c r="H206" s="1651"/>
      <c r="I206" s="1649">
        <f>'BS old'!E136</f>
        <v>0</v>
      </c>
      <c r="J206" s="1653"/>
    </row>
    <row r="207" spans="1:10" ht="27.75" customHeight="1" x14ac:dyDescent="0.25">
      <c r="A207" s="637" t="s">
        <v>632</v>
      </c>
      <c r="B207" s="1750" t="s">
        <v>1558</v>
      </c>
      <c r="C207" s="1751"/>
      <c r="D207" s="1751"/>
      <c r="E207" s="1752"/>
      <c r="F207" s="632" t="s">
        <v>764</v>
      </c>
      <c r="G207" s="1649">
        <f>'BS old'!D137</f>
        <v>0</v>
      </c>
      <c r="H207" s="1651"/>
      <c r="I207" s="1649">
        <f>'BS old'!E137</f>
        <v>0</v>
      </c>
      <c r="J207" s="1653"/>
    </row>
    <row r="208" spans="1:10" ht="27.75" customHeight="1" x14ac:dyDescent="0.25">
      <c r="A208" s="630" t="s">
        <v>498</v>
      </c>
      <c r="B208" s="1750" t="s">
        <v>1559</v>
      </c>
      <c r="C208" s="1751"/>
      <c r="D208" s="1751"/>
      <c r="E208" s="1752"/>
      <c r="F208" s="632" t="s">
        <v>766</v>
      </c>
      <c r="G208" s="1649">
        <f>'BS old'!D138</f>
        <v>0</v>
      </c>
      <c r="H208" s="1651"/>
      <c r="I208" s="1649">
        <f>'BS old'!E138</f>
        <v>0</v>
      </c>
      <c r="J208" s="1653"/>
    </row>
    <row r="209" spans="1:10" s="393" customFormat="1" ht="27.75" customHeight="1" x14ac:dyDescent="0.25">
      <c r="A209" s="630" t="s">
        <v>501</v>
      </c>
      <c r="B209" s="1750" t="s">
        <v>1560</v>
      </c>
      <c r="C209" s="1751"/>
      <c r="D209" s="1751"/>
      <c r="E209" s="1752"/>
      <c r="F209" s="632" t="s">
        <v>768</v>
      </c>
      <c r="G209" s="1649">
        <f>'BS old'!D139</f>
        <v>0</v>
      </c>
      <c r="H209" s="1651"/>
      <c r="I209" s="1649">
        <f>'BS old'!E139</f>
        <v>0</v>
      </c>
      <c r="J209" s="1653"/>
    </row>
    <row r="210" spans="1:10" ht="27.75" customHeight="1" thickBot="1" x14ac:dyDescent="0.3">
      <c r="A210" s="447" t="s">
        <v>504</v>
      </c>
      <c r="B210" s="1753" t="s">
        <v>1561</v>
      </c>
      <c r="C210" s="1754"/>
      <c r="D210" s="1754"/>
      <c r="E210" s="1755"/>
      <c r="F210" s="632" t="s">
        <v>770</v>
      </c>
      <c r="G210" s="1756">
        <f>'BS old'!D140</f>
        <v>0</v>
      </c>
      <c r="H210" s="1757"/>
      <c r="I210" s="1756">
        <f>'BS old'!E140</f>
        <v>0</v>
      </c>
      <c r="J210" s="1758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8">
    <mergeCell ref="B2:C2"/>
    <mergeCell ref="G2:I2"/>
    <mergeCell ref="A4:A6"/>
    <mergeCell ref="B4:B6"/>
    <mergeCell ref="C4:C6"/>
    <mergeCell ref="D4:H4"/>
    <mergeCell ref="I4:J5"/>
    <mergeCell ref="D5:D6"/>
    <mergeCell ref="E5:F5"/>
    <mergeCell ref="G5:H5"/>
    <mergeCell ref="E6:F6"/>
    <mergeCell ref="G6:H6"/>
    <mergeCell ref="I6:J6"/>
    <mergeCell ref="A7:A8"/>
    <mergeCell ref="B7:B8"/>
    <mergeCell ref="C7:C8"/>
    <mergeCell ref="D7:F7"/>
    <mergeCell ref="G7:I7"/>
    <mergeCell ref="D8:F8"/>
    <mergeCell ref="H8:J8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G35:H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38:A39"/>
    <mergeCell ref="B38:B39"/>
    <mergeCell ref="C38:C39"/>
    <mergeCell ref="D38:F38"/>
    <mergeCell ref="G38:I38"/>
    <mergeCell ref="D39:F39"/>
    <mergeCell ref="H39:J39"/>
    <mergeCell ref="I35:J35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4"/>
    <mergeCell ref="E35:F3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G66:H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69:A70"/>
    <mergeCell ref="B69:B70"/>
    <mergeCell ref="C69:C70"/>
    <mergeCell ref="D69:F69"/>
    <mergeCell ref="G69:I69"/>
    <mergeCell ref="D70:F70"/>
    <mergeCell ref="H70:J70"/>
    <mergeCell ref="I66:J66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5"/>
    <mergeCell ref="E66:F6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I97:J97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6"/>
    <mergeCell ref="E97:F97"/>
    <mergeCell ref="G97:H97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G130:H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33:A134"/>
    <mergeCell ref="B133:B134"/>
    <mergeCell ref="C133:C134"/>
    <mergeCell ref="D133:F133"/>
    <mergeCell ref="G133:I133"/>
    <mergeCell ref="D134:F134"/>
    <mergeCell ref="H134:J134"/>
    <mergeCell ref="I130:J130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29"/>
    <mergeCell ref="E130:F13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25947/1/2010&amp;RPage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Q51"/>
  <sheetViews>
    <sheetView showGridLines="0" view="pageBreakPreview" zoomScaleNormal="100" zoomScaleSheetLayoutView="100" workbookViewId="0">
      <selection activeCell="A6" sqref="A6"/>
    </sheetView>
  </sheetViews>
  <sheetFormatPr defaultColWidth="9.140625" defaultRowHeight="12.75" x14ac:dyDescent="0.25"/>
  <cols>
    <col min="1" max="37" width="2.5703125" style="333" customWidth="1"/>
    <col min="38" max="38" width="0.140625" style="333" customWidth="1"/>
    <col min="39" max="39" width="2.5703125" style="333" customWidth="1"/>
    <col min="40" max="40" width="0.28515625" style="333" customWidth="1"/>
    <col min="41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7" s="443" customFormat="1" ht="10.5" customHeight="1" thickBot="1" x14ac:dyDescent="0.3">
      <c r="B1" s="651" t="s">
        <v>1126</v>
      </c>
      <c r="N1" s="1729" t="s">
        <v>1338</v>
      </c>
      <c r="O1" s="1729"/>
      <c r="P1" s="1729"/>
      <c r="Q1" s="1729"/>
      <c r="R1" s="1729"/>
      <c r="S1" s="1729"/>
      <c r="T1" s="1729"/>
      <c r="U1" s="1729"/>
      <c r="V1" s="1729"/>
      <c r="W1" s="1729"/>
      <c r="X1" s="1739"/>
    </row>
    <row r="2" spans="1:37" s="340" customFormat="1" ht="21" customHeight="1" thickBot="1" x14ac:dyDescent="0.3">
      <c r="B2" s="653" t="s">
        <v>1339</v>
      </c>
      <c r="C2" s="654"/>
      <c r="D2" s="654"/>
      <c r="E2" s="654"/>
      <c r="F2" s="654"/>
      <c r="G2" s="654"/>
      <c r="H2" s="654"/>
      <c r="I2" s="654"/>
      <c r="J2" s="655"/>
      <c r="K2" s="654"/>
      <c r="L2" s="654"/>
      <c r="M2" s="656"/>
      <c r="N2" s="1729"/>
      <c r="O2" s="1729"/>
      <c r="P2" s="1729"/>
      <c r="Q2" s="1729"/>
      <c r="R2" s="1729"/>
      <c r="S2" s="1729"/>
      <c r="T2" s="1729"/>
      <c r="U2" s="1729"/>
      <c r="V2" s="1729"/>
      <c r="W2" s="1729"/>
      <c r="X2" s="1739"/>
    </row>
    <row r="3" spans="1:37" ht="13.5" customHeight="1" thickBot="1" x14ac:dyDescent="0.3">
      <c r="N3" s="1730"/>
      <c r="O3" s="1730"/>
      <c r="P3" s="1730"/>
      <c r="Q3" s="1730"/>
      <c r="R3" s="1730"/>
      <c r="S3" s="1730"/>
      <c r="T3" s="1730"/>
      <c r="U3" s="1730"/>
      <c r="V3" s="1730"/>
      <c r="W3" s="1730"/>
      <c r="X3" s="1805"/>
    </row>
    <row r="4" spans="1:37" ht="28.5" customHeight="1" thickBot="1" x14ac:dyDescent="0.3">
      <c r="J4" s="1742" t="s">
        <v>1230</v>
      </c>
      <c r="K4" s="1806" t="s">
        <v>1340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658"/>
      <c r="W4" s="435" t="s">
        <v>1231</v>
      </c>
      <c r="X4" s="435"/>
      <c r="Y4" s="435"/>
      <c r="Z4" s="435"/>
      <c r="AA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>
      <c r="AF9" s="408"/>
      <c r="AG9" s="408"/>
    </row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675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676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677" t="str">
        <f>MID('Input data'!$C$24,10,1)</f>
        <v>8</v>
      </c>
      <c r="K11" s="678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679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x14ac:dyDescent="0.25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470"/>
      <c r="K12" s="678"/>
      <c r="L12" s="421" t="str">
        <f>IF('Input data'!D7="x","x"," ")</f>
        <v xml:space="preserve"> </v>
      </c>
      <c r="M12" s="413" t="s">
        <v>1218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1211</v>
      </c>
      <c r="T12" s="408"/>
      <c r="U12" s="408"/>
      <c r="V12" s="679"/>
      <c r="W12" s="659"/>
      <c r="X12" s="660"/>
      <c r="Y12" s="660"/>
      <c r="Z12" s="660"/>
      <c r="AA12" s="660"/>
      <c r="AB12" s="661" t="s">
        <v>1242</v>
      </c>
      <c r="AC12" s="660"/>
      <c r="AD12" s="662" t="str">
        <f>MID('Input data'!$B$13,1,1)</f>
        <v>1</v>
      </c>
      <c r="AE12" s="662" t="str">
        <f>MID('Input data'!$B$13,2,1)</f>
        <v>2</v>
      </c>
      <c r="AF12" s="662"/>
      <c r="AG12" s="662" t="str">
        <f>MID('Input data'!$B$14,1,1)</f>
        <v>2</v>
      </c>
      <c r="AH12" s="662" t="str">
        <f>MID('Input data'!$B$14,2,1)</f>
        <v>0</v>
      </c>
      <c r="AI12" s="662" t="str">
        <f>MID('Input data'!$B$14,3,1)</f>
        <v>1</v>
      </c>
      <c r="AJ12" s="662" t="str">
        <f>MID('Input data'!$B$14,4,1)</f>
        <v>4</v>
      </c>
      <c r="AK12" s="663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470"/>
      <c r="K13" s="678"/>
      <c r="L13" s="342" t="str">
        <f>IF('Input data'!D8="x","x", "")</f>
        <v/>
      </c>
      <c r="M13" s="413" t="s">
        <v>1217</v>
      </c>
      <c r="N13" s="415"/>
      <c r="O13" s="415"/>
      <c r="P13" s="415"/>
      <c r="Q13" s="415"/>
      <c r="R13" s="415" t="str">
        <f>IF('Input data'!D18="x","x"," ")</f>
        <v xml:space="preserve"> </v>
      </c>
      <c r="S13" s="413" t="s">
        <v>1209</v>
      </c>
      <c r="T13" s="408"/>
      <c r="U13" s="408"/>
      <c r="V13" s="679"/>
      <c r="W13" s="1807" t="s">
        <v>1245</v>
      </c>
      <c r="X13" s="1745"/>
      <c r="Y13" s="1745"/>
      <c r="Z13" s="1745"/>
      <c r="AA13" s="1745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470"/>
      <c r="K14" s="678"/>
      <c r="L14" s="342"/>
      <c r="M14" s="413"/>
      <c r="N14" s="415"/>
      <c r="O14" s="415"/>
      <c r="P14" s="415"/>
      <c r="Q14" s="415"/>
      <c r="R14" s="416" t="s">
        <v>1342</v>
      </c>
      <c r="S14" s="415"/>
      <c r="T14" s="408"/>
      <c r="U14" s="408"/>
      <c r="V14" s="679"/>
      <c r="W14" s="1808"/>
      <c r="X14" s="1747"/>
      <c r="Y14" s="1747"/>
      <c r="Z14" s="1747"/>
      <c r="AA14" s="1747"/>
      <c r="AB14" s="413" t="s">
        <v>1238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e">
        <f>'BS-E Cover sheet'!A15</f>
        <v>#REF!</v>
      </c>
      <c r="B15" s="337" t="e">
        <f>'BS-E Cover sheet'!B15</f>
        <v>#REF!</v>
      </c>
      <c r="C15" s="410" t="str">
        <f>'BS-E Cover sheet'!C15</f>
        <v>.</v>
      </c>
      <c r="D15" s="337" t="e">
        <f>'BS-E Cover sheet'!D15</f>
        <v>#REF!</v>
      </c>
      <c r="E15" s="337" t="e">
        <f>'BS-E Cover sheet'!E15</f>
        <v>#REF!</v>
      </c>
      <c r="F15" s="680" t="str">
        <f>'BS-E Cover sheet'!F15</f>
        <v>.</v>
      </c>
      <c r="G15" s="337" t="e">
        <f>'BS-E Cover sheet'!G15</f>
        <v>#REF!</v>
      </c>
      <c r="H15" s="337"/>
      <c r="I15" s="337"/>
      <c r="J15" s="681"/>
      <c r="K15" s="682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683"/>
      <c r="W15" s="1809"/>
      <c r="X15" s="1749"/>
      <c r="Y15" s="1749"/>
      <c r="Z15" s="1749"/>
      <c r="AA15" s="1749"/>
      <c r="AB15" s="409" t="s">
        <v>1242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8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43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43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43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  <c r="AN19" s="405"/>
    </row>
    <row r="20" spans="1:43" s="474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  <c r="AL20" s="333"/>
      <c r="AM20" s="333"/>
      <c r="AN20" s="333"/>
    </row>
    <row r="21" spans="1:43" s="393" customFormat="1" ht="14.25" customHeight="1" x14ac:dyDescent="0.25">
      <c r="A21" s="397" t="s">
        <v>1248</v>
      </c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5"/>
      <c r="AI21" s="395"/>
      <c r="AJ21" s="395"/>
      <c r="AK21" s="394"/>
    </row>
    <row r="22" spans="1:43" x14ac:dyDescent="0.25">
      <c r="A22" s="389" t="s">
        <v>1249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2"/>
      <c r="X22" s="342"/>
      <c r="Y22" s="342"/>
      <c r="Z22" s="342"/>
      <c r="AA22" s="342"/>
      <c r="AB22" s="347"/>
      <c r="AC22" s="342"/>
      <c r="AD22" s="345" t="s">
        <v>1250</v>
      </c>
      <c r="AE22" s="342"/>
      <c r="AF22" s="342"/>
      <c r="AG22" s="342"/>
      <c r="AH22" s="342"/>
      <c r="AI22" s="342"/>
      <c r="AJ22" s="342"/>
      <c r="AK22" s="341"/>
    </row>
    <row r="23" spans="1:43" s="473" customFormat="1" ht="19.5" customHeight="1" x14ac:dyDescent="0.25">
      <c r="A23" s="392" t="str">
        <f>+LEFT('Input data'!$C$28,1)</f>
        <v>B</v>
      </c>
      <c r="B23" s="384" t="str">
        <f>+MID('Input data'!$C$28,2,1)</f>
        <v>u</v>
      </c>
      <c r="C23" s="384" t="str">
        <f>+MID('Input data'!$C$28,3,1)</f>
        <v>l</v>
      </c>
      <c r="D23" s="384" t="str">
        <f>+MID('Input data'!$C$28,4,1)</f>
        <v>l</v>
      </c>
      <c r="E23" s="384" t="str">
        <f>+MID('Input data'!$C$28,5,1)</f>
        <v>o</v>
      </c>
      <c r="F23" s="384" t="str">
        <f>+MID('Input data'!$C$28,6,1)</f>
        <v>v</v>
      </c>
      <c r="G23" s="384" t="str">
        <f>+MID('Input data'!$C$28,7,1)</f>
        <v>a</v>
      </c>
      <c r="H23" s="384" t="str">
        <f>+MID('Input data'!$C$28,8,1)</f>
        <v/>
      </c>
      <c r="I23" s="384" t="str">
        <f>+MID('Input data'!$C$28,9,1)</f>
        <v/>
      </c>
      <c r="J23" s="384" t="str">
        <f>+MID('Input data'!$C$28,10,1)</f>
        <v/>
      </c>
      <c r="K23" s="384" t="str">
        <f>+MID('Input data'!$C$28,11,1)</f>
        <v/>
      </c>
      <c r="L23" s="384" t="str">
        <f>+MID('Input data'!$C$28,12,1)</f>
        <v/>
      </c>
      <c r="M23" s="384" t="str">
        <f>+MID('Input data'!$C$28,13,1)</f>
        <v/>
      </c>
      <c r="N23" s="384" t="str">
        <f>+MID('Input data'!$C$28,14,1)</f>
        <v/>
      </c>
      <c r="O23" s="384" t="str">
        <f>+MID('Input data'!$C$28,15,1)</f>
        <v/>
      </c>
      <c r="P23" s="384" t="str">
        <f>+MID('Input data'!$C$28,16,1)</f>
        <v/>
      </c>
      <c r="Q23" s="384" t="str">
        <f>+MID('Input data'!$C$28,17,1)</f>
        <v/>
      </c>
      <c r="R23" s="384" t="str">
        <f>+MID('Input data'!$C$28,18,1)</f>
        <v/>
      </c>
      <c r="S23" s="384" t="str">
        <f>+MID('Input data'!$C$28,19,1)</f>
        <v/>
      </c>
      <c r="T23" s="384" t="str">
        <f>+MID('Input data'!$C$28,20,1)</f>
        <v/>
      </c>
      <c r="U23" s="384" t="str">
        <f>+MID('Input data'!$C$28,21,1)</f>
        <v/>
      </c>
      <c r="V23" s="384" t="str">
        <f>+MID('Input data'!$C$28,22,1)</f>
        <v/>
      </c>
      <c r="W23" s="384" t="str">
        <f>+MID('Input data'!$C$28,23,1)</f>
        <v/>
      </c>
      <c r="X23" s="384" t="str">
        <f>+MID('Input data'!$C$28,24,1)</f>
        <v/>
      </c>
      <c r="Y23" s="384" t="str">
        <f>+MID('Input data'!$C$28,25,1)</f>
        <v/>
      </c>
      <c r="Z23" s="384" t="str">
        <f>+MID('Input data'!$C$28,26,1)</f>
        <v/>
      </c>
      <c r="AA23" s="384" t="str">
        <f>+MID('Input data'!$C$28,27,1)</f>
        <v/>
      </c>
      <c r="AB23" s="384" t="str">
        <f>+MID('Input data'!$C$28,28,1)</f>
        <v/>
      </c>
      <c r="AC23" s="386"/>
      <c r="AD23" s="384" t="str">
        <f>+LEFT('Input data'!$C$30,1)</f>
        <v>1</v>
      </c>
      <c r="AE23" s="384" t="str">
        <f>+MID('Input data'!$C$30,2,1)</f>
        <v/>
      </c>
      <c r="AF23" s="384" t="str">
        <f>+MID('Input data'!$C$30,3,1)</f>
        <v/>
      </c>
      <c r="AG23" s="384" t="str">
        <f>+MID('Input data'!$C$30,4,1)</f>
        <v/>
      </c>
      <c r="AH23" s="384" t="str">
        <f>+MID('Input data'!$C$30,5,1)</f>
        <v/>
      </c>
      <c r="AI23" s="384" t="str">
        <f>+MID('Input data'!$C$30,6,1)</f>
        <v/>
      </c>
      <c r="AJ23" s="384" t="str">
        <f>+MID('Input data'!$C$30,7,1)</f>
        <v/>
      </c>
      <c r="AK23" s="391" t="str">
        <f>+MID('Input data'!$C$30,8,1)</f>
        <v/>
      </c>
    </row>
    <row r="24" spans="1:43" x14ac:dyDescent="0.25">
      <c r="A24" s="389" t="s">
        <v>1251</v>
      </c>
      <c r="B24" s="347"/>
      <c r="C24" s="347"/>
      <c r="D24" s="347"/>
      <c r="E24" s="347"/>
      <c r="F24" s="347"/>
      <c r="G24" s="388" t="s">
        <v>1252</v>
      </c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  <c r="S24" s="388"/>
      <c r="T24" s="388"/>
      <c r="U24" s="388"/>
      <c r="V24" s="388"/>
      <c r="W24" s="388"/>
      <c r="X24" s="388"/>
      <c r="Y24" s="388"/>
      <c r="Z24" s="388"/>
      <c r="AA24" s="388"/>
      <c r="AB24" s="388"/>
      <c r="AC24" s="388"/>
      <c r="AD24" s="388"/>
      <c r="AE24" s="342"/>
      <c r="AF24" s="342"/>
      <c r="AG24" s="342"/>
      <c r="AH24" s="342"/>
      <c r="AI24" s="342"/>
      <c r="AJ24" s="342"/>
      <c r="AK24" s="341"/>
    </row>
    <row r="25" spans="1:43" s="473" customFormat="1" ht="19.5" customHeight="1" x14ac:dyDescent="0.25">
      <c r="A25" s="392" t="str">
        <f>+LEFT('Input data'!$C$32,1)</f>
        <v>8</v>
      </c>
      <c r="B25" s="384" t="str">
        <f>+MID('Input data'!$C$32,2,1)</f>
        <v>4</v>
      </c>
      <c r="C25" s="384" t="str">
        <f>+MID('Input data'!$C$32,3,1)</f>
        <v>1</v>
      </c>
      <c r="D25" s="384" t="str">
        <f>+MID('Input data'!$C$32,4,1)</f>
        <v xml:space="preserve"> </v>
      </c>
      <c r="E25" s="384" t="str">
        <f>+MID('Input data'!$C$32,5,1)</f>
        <v>0</v>
      </c>
      <c r="F25" s="384"/>
      <c r="G25" s="384" t="str">
        <f>+LEFT('Input data'!$C$34,1)</f>
        <v>B</v>
      </c>
      <c r="H25" s="384" t="str">
        <f>+MID('Input data'!$C$34,2,1)</f>
        <v>r</v>
      </c>
      <c r="I25" s="384" t="str">
        <f>+MID('Input data'!$C$34,3,1)</f>
        <v>a</v>
      </c>
      <c r="J25" s="384" t="str">
        <f>+MID('Input data'!$C$34,4,1)</f>
        <v>t</v>
      </c>
      <c r="K25" s="384" t="str">
        <f>+MID('Input data'!$C$34,5,1)</f>
        <v>i</v>
      </c>
      <c r="L25" s="384" t="str">
        <f>+MID('Input data'!$C$34,6,1)</f>
        <v>s</v>
      </c>
      <c r="M25" s="384" t="str">
        <f>+MID('Input data'!$C$34,7,1)</f>
        <v>l</v>
      </c>
      <c r="N25" s="384" t="str">
        <f>+MID('Input data'!$C$34,8,1)</f>
        <v>a</v>
      </c>
      <c r="O25" s="384" t="str">
        <f>+MID('Input data'!$C$34,9,1)</f>
        <v>v</v>
      </c>
      <c r="P25" s="384" t="str">
        <f>+MID('Input data'!$C$34,10,1)</f>
        <v>a</v>
      </c>
      <c r="Q25" s="384" t="str">
        <f>+MID('Input data'!$C$34,11,1)</f>
        <v/>
      </c>
      <c r="R25" s="384" t="str">
        <f>+MID('Input data'!$C$34,12,1)</f>
        <v/>
      </c>
      <c r="S25" s="384" t="str">
        <f>+MID('Input data'!$C$34,13,1)</f>
        <v/>
      </c>
      <c r="T25" s="384" t="str">
        <f>+MID('Input data'!$C$34,14,1)</f>
        <v/>
      </c>
      <c r="U25" s="384" t="str">
        <f>+MID('Input data'!$C$34,15,1)</f>
        <v/>
      </c>
      <c r="V25" s="384" t="str">
        <f>+MID('Input data'!$C$34,16,1)</f>
        <v/>
      </c>
      <c r="W25" s="384" t="str">
        <f>+MID('Input data'!$C$34,17,1)</f>
        <v/>
      </c>
      <c r="X25" s="384" t="str">
        <f>+MID('Input data'!$C$34,18,1)</f>
        <v/>
      </c>
      <c r="Y25" s="384" t="str">
        <f>+MID('Input data'!$C$34,19,1)</f>
        <v/>
      </c>
      <c r="Z25" s="384" t="str">
        <f>+MID('Input data'!$C$34,20,1)</f>
        <v/>
      </c>
      <c r="AA25" s="384" t="str">
        <f>+MID('Input data'!$C$34,21,1)</f>
        <v/>
      </c>
      <c r="AB25" s="384" t="str">
        <f>+MID('Input data'!$C$34,22,1)</f>
        <v/>
      </c>
      <c r="AC25" s="384" t="str">
        <f>+MID('Input data'!$C$34,23,1)</f>
        <v/>
      </c>
      <c r="AD25" s="384" t="str">
        <f>+MID('Input data'!$C$34,24,1)</f>
        <v/>
      </c>
      <c r="AE25" s="384" t="str">
        <f>+MID('Input data'!$C$34,25,1)</f>
        <v/>
      </c>
      <c r="AF25" s="384" t="str">
        <f>+MID('Input data'!$C$34,26,1)</f>
        <v/>
      </c>
      <c r="AG25" s="384" t="str">
        <f>+MID('Input data'!$C$34,27,1)</f>
        <v/>
      </c>
      <c r="AH25" s="384" t="str">
        <f>+MID('Input data'!$C$34,28,1)</f>
        <v/>
      </c>
      <c r="AI25" s="384" t="str">
        <f>+MID('Input data'!$C$34,29,1)</f>
        <v/>
      </c>
      <c r="AJ25" s="384" t="str">
        <f>+MID('Input data'!$C$34,30,1)</f>
        <v/>
      </c>
      <c r="AK25" s="391" t="str">
        <f>+MID('Input data'!$C$34,31,1)</f>
        <v/>
      </c>
    </row>
    <row r="26" spans="1:43" x14ac:dyDescent="0.25">
      <c r="A26" s="389" t="s">
        <v>1253</v>
      </c>
      <c r="B26" s="347"/>
      <c r="C26" s="347"/>
      <c r="D26" s="347"/>
      <c r="E26" s="347"/>
      <c r="F26" s="347"/>
      <c r="G26" s="388"/>
      <c r="H26" s="388"/>
      <c r="I26" s="388"/>
      <c r="J26" s="388"/>
      <c r="K26" s="388"/>
      <c r="L26" s="388"/>
      <c r="M26" s="388"/>
      <c r="N26" s="347"/>
      <c r="O26" s="388" t="s">
        <v>1254</v>
      </c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43" s="473" customFormat="1" ht="19.5" customHeight="1" x14ac:dyDescent="0.25">
      <c r="A27" s="387">
        <v>0</v>
      </c>
      <c r="B27" s="384" t="str">
        <f>+LEFT('Input data'!$C$36,1)</f>
        <v/>
      </c>
      <c r="C27" s="384" t="str">
        <f>+MID('Input data'!$C$36,2,1)</f>
        <v/>
      </c>
      <c r="D27" s="384" t="str">
        <f>+MID('Input data'!$C$36,3,1)</f>
        <v/>
      </c>
      <c r="E27" s="384" t="s">
        <v>984</v>
      </c>
      <c r="F27" s="384" t="str">
        <f>+LEFT('Input data'!$C$38,1)</f>
        <v/>
      </c>
      <c r="G27" s="384" t="str">
        <f>+MID('Input data'!$C$38,2,1)</f>
        <v/>
      </c>
      <c r="H27" s="384" t="str">
        <f>+MID('Input data'!$C$38,3,1)</f>
        <v/>
      </c>
      <c r="I27" s="384" t="str">
        <f>+MID('Input data'!$C$38,4,1)</f>
        <v/>
      </c>
      <c r="J27" s="384" t="str">
        <f>+MID('Input data'!$C$38,5,1)</f>
        <v/>
      </c>
      <c r="K27" s="384" t="str">
        <f>+MID('Input data'!$C$38,6,1)</f>
        <v/>
      </c>
      <c r="L27" s="384" t="str">
        <f>+MID('Input data'!$C$38,7,1)</f>
        <v/>
      </c>
      <c r="M27" s="384" t="str">
        <f>+MID('Input data'!$C$38,8,1)</f>
        <v/>
      </c>
      <c r="N27" s="386"/>
      <c r="O27" s="385">
        <v>0</v>
      </c>
      <c r="P27" s="384" t="str">
        <f>+LEFT('Input data'!$C$36,1)</f>
        <v/>
      </c>
      <c r="Q27" s="384" t="str">
        <f>+MID('Input data'!$C$36,2,1)</f>
        <v/>
      </c>
      <c r="R27" s="384" t="str">
        <f>+MID('Input data'!$C$36,3,1)</f>
        <v/>
      </c>
      <c r="S27" s="384" t="s">
        <v>984</v>
      </c>
      <c r="T27" s="384" t="str">
        <f>+LEFT('Input data'!$C$40,1)</f>
        <v/>
      </c>
      <c r="U27" s="384" t="str">
        <f>+MID('Input data'!$C$40,2,1)</f>
        <v/>
      </c>
      <c r="V27" s="384" t="str">
        <f>+MID('Input data'!$C$40,3,1)</f>
        <v/>
      </c>
      <c r="W27" s="384" t="str">
        <f>+MID('Input data'!$C$40,4,1)</f>
        <v/>
      </c>
      <c r="X27" s="384" t="str">
        <f>+MID('Input data'!$C$40,5,1)</f>
        <v/>
      </c>
      <c r="Y27" s="384" t="str">
        <f>+MID('Input data'!$C$40,6,1)</f>
        <v/>
      </c>
      <c r="Z27" s="384" t="str">
        <f>+MID('Input data'!$C$40,7,1)</f>
        <v/>
      </c>
      <c r="AA27" s="384" t="str">
        <f>+MID('Input data'!$C$40,8,1)</f>
        <v/>
      </c>
      <c r="AB27" s="384"/>
      <c r="AC27" s="384"/>
      <c r="AD27" s="384"/>
      <c r="AE27" s="342"/>
      <c r="AF27" s="342"/>
      <c r="AG27" s="342"/>
      <c r="AH27" s="342"/>
      <c r="AI27" s="342"/>
      <c r="AJ27" s="342"/>
      <c r="AK27" s="341"/>
      <c r="AQ27" s="473" t="s">
        <v>985</v>
      </c>
    </row>
    <row r="28" spans="1:43" s="334" customFormat="1" x14ac:dyDescent="0.25">
      <c r="A28" s="346" t="s">
        <v>1255</v>
      </c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1"/>
    </row>
    <row r="29" spans="1:43" s="473" customFormat="1" ht="19.5" customHeight="1" thickBot="1" x14ac:dyDescent="0.3">
      <c r="A29" s="383" t="str">
        <f>+LEFT('Input data'!$B$42,1)</f>
        <v/>
      </c>
      <c r="B29" s="382" t="str">
        <f>+MID('Input data'!$B$42,2,1)</f>
        <v/>
      </c>
      <c r="C29" s="382" t="str">
        <f>+MID('Input data'!$B$42,3,1)</f>
        <v/>
      </c>
      <c r="D29" s="382" t="str">
        <f>+MID('Input data'!$B$42,4,1)</f>
        <v/>
      </c>
      <c r="E29" s="382" t="str">
        <f>+MID('Input data'!$B$42,5,1)</f>
        <v/>
      </c>
      <c r="F29" s="382" t="str">
        <f>+MID('Input data'!$B$42,6,1)</f>
        <v/>
      </c>
      <c r="G29" s="382" t="str">
        <f>+MID('Input data'!$B$42,7,1)</f>
        <v/>
      </c>
      <c r="H29" s="382" t="str">
        <f>+MID('Input data'!$B$42,8,1)</f>
        <v/>
      </c>
      <c r="I29" s="382" t="str">
        <f>+MID('Input data'!$B$42,9,1)</f>
        <v/>
      </c>
      <c r="J29" s="382" t="str">
        <f>+MID('Input data'!$B$42,10,1)</f>
        <v/>
      </c>
      <c r="K29" s="382" t="str">
        <f>+MID('Input data'!$B$42,11,1)</f>
        <v/>
      </c>
      <c r="L29" s="382" t="str">
        <f>+MID('Input data'!$B$42,12,1)</f>
        <v/>
      </c>
      <c r="M29" s="382" t="str">
        <f>+MID('Input data'!$B$42,13,1)</f>
        <v/>
      </c>
      <c r="N29" s="382" t="str">
        <f>+MID('Input data'!$B$42,14,1)</f>
        <v/>
      </c>
      <c r="O29" s="382" t="str">
        <f>+MID('Input data'!$B$42,15,1)</f>
        <v/>
      </c>
      <c r="P29" s="382" t="str">
        <f>+MID('Input data'!$B$42,16,1)</f>
        <v/>
      </c>
      <c r="Q29" s="382" t="str">
        <f>+MID('Input data'!$B$42,17,1)</f>
        <v/>
      </c>
      <c r="R29" s="382" t="str">
        <f>+MID('Input data'!$B$42,18,1)</f>
        <v/>
      </c>
      <c r="S29" s="382" t="str">
        <f>+MID('Input data'!$B$42,19,1)</f>
        <v/>
      </c>
      <c r="T29" s="382" t="str">
        <f>+MID('Input data'!$B$42,20,1)</f>
        <v/>
      </c>
      <c r="U29" s="382" t="str">
        <f>+MID('Input data'!$B$42,21,1)</f>
        <v/>
      </c>
      <c r="V29" s="382" t="str">
        <f>+MID('Input data'!$B$42,22,1)</f>
        <v/>
      </c>
      <c r="W29" s="382" t="str">
        <f>+MID('Input data'!$B$42,23,1)</f>
        <v/>
      </c>
      <c r="X29" s="382" t="str">
        <f>+MID('Input data'!$B$42,24,1)</f>
        <v/>
      </c>
      <c r="Y29" s="382" t="str">
        <f>+MID('Input data'!$B$42,25,1)</f>
        <v/>
      </c>
      <c r="Z29" s="382" t="str">
        <f>+MID('Input data'!$B$42,26,1)</f>
        <v/>
      </c>
      <c r="AA29" s="382" t="str">
        <f>+MID('Input data'!$B$42,27,1)</f>
        <v/>
      </c>
      <c r="AB29" s="382" t="str">
        <f>+MID('Input data'!$B$42,28,1)</f>
        <v/>
      </c>
      <c r="AC29" s="382" t="str">
        <f>+MID('Input data'!$B$42,29,1)</f>
        <v/>
      </c>
      <c r="AD29" s="382" t="str">
        <f>+MID('Input data'!$B$42,30,1)</f>
        <v/>
      </c>
      <c r="AE29" s="382" t="str">
        <f>+MID('Input data'!$B$42,31,1)</f>
        <v/>
      </c>
      <c r="AF29" s="382" t="str">
        <f>+MID('Input data'!$B$42,32,1)</f>
        <v/>
      </c>
      <c r="AG29" s="382" t="str">
        <f>+MID('Input data'!$B$42,33,1)</f>
        <v/>
      </c>
      <c r="AH29" s="382" t="str">
        <f>+MID('Input data'!$B$42,34,1)</f>
        <v/>
      </c>
      <c r="AI29" s="382" t="str">
        <f>+MID('Input data'!$B$42,35,1)</f>
        <v/>
      </c>
      <c r="AJ29" s="382" t="str">
        <f>+MID('Input data'!$B$42,36,1)</f>
        <v/>
      </c>
      <c r="AK29" s="381" t="str">
        <f>+MID('Input data'!$B$42,37,1)</f>
        <v/>
      </c>
    </row>
    <row r="30" spans="1:43" s="334" customFormat="1" ht="4.5" customHeight="1" thickBot="1" x14ac:dyDescent="0.3"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</row>
    <row r="31" spans="1:43" s="377" customFormat="1" ht="12.75" customHeight="1" x14ac:dyDescent="0.25">
      <c r="A31" s="380" t="s">
        <v>1203</v>
      </c>
      <c r="B31" s="379"/>
      <c r="C31" s="379"/>
      <c r="D31" s="379"/>
      <c r="E31" s="379"/>
      <c r="F31" s="379"/>
      <c r="G31" s="379"/>
      <c r="H31" s="379"/>
      <c r="I31" s="379"/>
      <c r="J31" s="379"/>
      <c r="K31" s="664"/>
      <c r="L31" s="664"/>
      <c r="M31" s="1731" t="s">
        <v>1256</v>
      </c>
      <c r="N31" s="1732"/>
      <c r="O31" s="1732"/>
      <c r="P31" s="1732"/>
      <c r="Q31" s="1732"/>
      <c r="R31" s="1732"/>
      <c r="S31" s="1732"/>
      <c r="T31" s="1732"/>
      <c r="U31" s="1733"/>
      <c r="V31" s="1626" t="s">
        <v>1257</v>
      </c>
      <c r="W31" s="1626"/>
      <c r="X31" s="1626"/>
      <c r="Y31" s="1626"/>
      <c r="Z31" s="1626"/>
      <c r="AA31" s="1626"/>
      <c r="AB31" s="1626"/>
      <c r="AC31" s="1627"/>
      <c r="AD31" s="1731" t="s">
        <v>1258</v>
      </c>
      <c r="AE31" s="1732"/>
      <c r="AF31" s="1732"/>
      <c r="AG31" s="1732"/>
      <c r="AH31" s="1732"/>
      <c r="AI31" s="1732"/>
      <c r="AJ31" s="1732"/>
      <c r="AK31" s="1732"/>
      <c r="AL31" s="1737"/>
    </row>
    <row r="32" spans="1:43" s="334" customFormat="1" ht="19.5" customHeight="1" x14ac:dyDescent="0.25">
      <c r="A32" s="363" t="str">
        <f>LEFT(TEXT('Input data'!F34,"dd.m.yyyy"),1)</f>
        <v>0</v>
      </c>
      <c r="B32" s="362" t="str">
        <f>MID(TEXT('Input data'!$F$34,"dd.mm.yyyy"),2,1)</f>
        <v>0</v>
      </c>
      <c r="C32" s="361" t="s">
        <v>955</v>
      </c>
      <c r="D32" s="362" t="str">
        <f>MID(TEXT('Input data'!$F$34,"dd.mm.yyyy"),4,1)</f>
        <v>0</v>
      </c>
      <c r="E32" s="362" t="str">
        <f>MID(TEXT('Input data'!$F$34,"dd.mm.yyyy"),5,1)</f>
        <v>1</v>
      </c>
      <c r="F32" s="361" t="s">
        <v>955</v>
      </c>
      <c r="G32" s="362" t="str">
        <f>MID(TEXT('Input data'!$F$34,"dd.mm.yyyy"),7,1)</f>
        <v>1</v>
      </c>
      <c r="H32" s="362" t="str">
        <f>MID(TEXT('Input data'!$F$34,"dd.mm.yyyy"),8,1)</f>
        <v>9</v>
      </c>
      <c r="I32" s="362" t="str">
        <f>MID(TEXT('Input data'!$F$34,"dd.mm.yyyy"),9,1)</f>
        <v>0</v>
      </c>
      <c r="J32" s="362" t="str">
        <f>MID(TEXT('Input data'!$F$34,"dd.mm.yyyy"),10,1)</f>
        <v>0</v>
      </c>
      <c r="K32" s="665"/>
      <c r="L32" s="369"/>
      <c r="M32" s="1734"/>
      <c r="N32" s="1735"/>
      <c r="O32" s="1735"/>
      <c r="P32" s="1735"/>
      <c r="Q32" s="1735"/>
      <c r="R32" s="1735"/>
      <c r="S32" s="1735"/>
      <c r="T32" s="1735"/>
      <c r="U32" s="1736"/>
      <c r="V32" s="1629"/>
      <c r="W32" s="1629"/>
      <c r="X32" s="1629"/>
      <c r="Y32" s="1629"/>
      <c r="Z32" s="1629"/>
      <c r="AA32" s="1629"/>
      <c r="AB32" s="1629"/>
      <c r="AC32" s="1630"/>
      <c r="AD32" s="1734"/>
      <c r="AE32" s="1735"/>
      <c r="AF32" s="1735"/>
      <c r="AG32" s="1735"/>
      <c r="AH32" s="1735"/>
      <c r="AI32" s="1735"/>
      <c r="AJ32" s="1735"/>
      <c r="AK32" s="1735"/>
      <c r="AL32" s="1738"/>
      <c r="AP32" s="472"/>
    </row>
    <row r="33" spans="1:38" s="334" customFormat="1" ht="12.75" customHeight="1" x14ac:dyDescent="0.25">
      <c r="A33" s="375"/>
      <c r="B33" s="374"/>
      <c r="C33" s="374"/>
      <c r="D33" s="374"/>
      <c r="E33" s="374"/>
      <c r="F33" s="374"/>
      <c r="G33" s="374"/>
      <c r="H33" s="374"/>
      <c r="I33" s="374"/>
      <c r="J33" s="374"/>
      <c r="K33" s="666"/>
      <c r="L33" s="666"/>
      <c r="M33" s="1734"/>
      <c r="N33" s="1735"/>
      <c r="O33" s="1735"/>
      <c r="P33" s="1735"/>
      <c r="Q33" s="1735"/>
      <c r="R33" s="1735"/>
      <c r="S33" s="1735"/>
      <c r="T33" s="1735"/>
      <c r="U33" s="1736"/>
      <c r="V33" s="1629"/>
      <c r="W33" s="1629"/>
      <c r="X33" s="1629"/>
      <c r="Y33" s="1629"/>
      <c r="Z33" s="1629"/>
      <c r="AA33" s="1629"/>
      <c r="AB33" s="1629"/>
      <c r="AC33" s="1630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x14ac:dyDescent="0.2">
      <c r="A34" s="346" t="s">
        <v>1201</v>
      </c>
      <c r="B34" s="345"/>
      <c r="C34" s="345"/>
      <c r="D34" s="345"/>
      <c r="E34" s="345"/>
      <c r="F34" s="345"/>
      <c r="G34" s="345"/>
      <c r="H34" s="345"/>
      <c r="I34" s="345"/>
      <c r="J34" s="345"/>
      <c r="K34" s="369"/>
      <c r="L34" s="667"/>
      <c r="M34" s="369"/>
      <c r="N34" s="369"/>
      <c r="O34" s="369"/>
      <c r="P34" s="369"/>
      <c r="Q34" s="369"/>
      <c r="R34" s="369"/>
      <c r="S34" s="369"/>
      <c r="T34" s="345"/>
      <c r="U34" s="367"/>
      <c r="V34" s="368"/>
      <c r="W34" s="368"/>
      <c r="X34" s="368"/>
      <c r="Y34" s="368"/>
      <c r="Z34" s="368"/>
      <c r="AA34" s="342"/>
      <c r="AB34" s="368"/>
      <c r="AC34" s="367"/>
      <c r="AD34" s="366"/>
      <c r="AE34" s="365"/>
      <c r="AF34" s="365"/>
      <c r="AG34" s="365"/>
      <c r="AH34" s="365"/>
      <c r="AI34" s="365"/>
      <c r="AJ34" s="365"/>
      <c r="AK34" s="365"/>
      <c r="AL34" s="364"/>
    </row>
    <row r="35" spans="1:38" s="334" customFormat="1" ht="19.5" customHeight="1" x14ac:dyDescent="0.25">
      <c r="A35" s="363" t="str">
        <f>IF('Input data'!$F$36="","",LEFT(TEXT('Input data'!$F$36,"dd.mm.yyyy"),1))</f>
        <v/>
      </c>
      <c r="B35" s="362" t="str">
        <f>IF('Input data'!$F$36="","",MID(TEXT('Input data'!$F$36,"dd.mm.yyyy"),2,1))</f>
        <v/>
      </c>
      <c r="C35" s="361" t="s">
        <v>955</v>
      </c>
      <c r="D35" s="362" t="str">
        <f>IF('Input data'!$F$36="","",MID(TEXT('Input data'!$F$36,"dd.mm.yyyy"),4,1))</f>
        <v/>
      </c>
      <c r="E35" s="362" t="str">
        <f>IF('Input data'!$F$36="","",MID(TEXT('Input data'!$F$36,"dd.mm.yyyy"),5,1))</f>
        <v/>
      </c>
      <c r="F35" s="361" t="s">
        <v>955</v>
      </c>
      <c r="G35" s="360" t="str">
        <f>IF('Input data'!$F$36="","",MID(TEXT('Input data'!$F$36,"dd.mm.yyyy"),7,1))</f>
        <v/>
      </c>
      <c r="H35" s="360" t="str">
        <f>IF('Input data'!$F$36="","",MID(TEXT('Input data'!$F$36,"dd.mm.yyyy"),8,1))</f>
        <v/>
      </c>
      <c r="I35" s="360" t="str">
        <f>IF('Input data'!$F$36="","",MID(TEXT('Input data'!$F$36,"dd.mm.yyyy"),9,1))</f>
        <v/>
      </c>
      <c r="J35" s="360" t="str">
        <f>IF('Input data'!$F$36="","",MID(TEXT('Input data'!$F$36,"dd.mm.yyyy"),10,1))</f>
        <v/>
      </c>
      <c r="K35" s="668"/>
      <c r="L35" s="471"/>
      <c r="M35" s="345"/>
      <c r="N35" s="345"/>
      <c r="O35" s="345"/>
      <c r="P35" s="345"/>
      <c r="Q35" s="345"/>
      <c r="R35" s="345"/>
      <c r="S35" s="345"/>
      <c r="T35" s="345"/>
      <c r="U35" s="471"/>
      <c r="V35" s="345"/>
      <c r="W35" s="342"/>
      <c r="X35" s="342"/>
      <c r="Y35" s="342"/>
      <c r="Z35" s="342"/>
      <c r="AA35" s="342"/>
      <c r="AB35" s="342"/>
      <c r="AC35" s="470"/>
      <c r="AD35" s="342"/>
      <c r="AE35" s="342"/>
      <c r="AF35" s="342"/>
      <c r="AG35" s="342"/>
      <c r="AH35" s="342"/>
      <c r="AI35" s="342"/>
      <c r="AJ35" s="342"/>
      <c r="AK35" s="342"/>
      <c r="AL35" s="341"/>
    </row>
    <row r="36" spans="1:38" s="340" customFormat="1" thickBot="1" x14ac:dyDescent="0.3">
      <c r="A36" s="355"/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3"/>
      <c r="M36" s="1633">
        <f>'Input data'!F40</f>
        <v>0</v>
      </c>
      <c r="N36" s="1634"/>
      <c r="O36" s="1634"/>
      <c r="P36" s="1634"/>
      <c r="Q36" s="1634"/>
      <c r="R36" s="1634"/>
      <c r="S36" s="1634"/>
      <c r="T36" s="1634"/>
      <c r="U36" s="1635"/>
      <c r="V36" s="1633" t="e">
        <f>'Input data'!#REF!</f>
        <v>#REF!</v>
      </c>
      <c r="W36" s="1634"/>
      <c r="X36" s="1634"/>
      <c r="Y36" s="1634"/>
      <c r="Z36" s="1634"/>
      <c r="AA36" s="1634"/>
      <c r="AB36" s="1634"/>
      <c r="AC36" s="1635"/>
      <c r="AD36" s="1636" t="e">
        <f>'Input data'!#REF!</f>
        <v>#REF!</v>
      </c>
      <c r="AE36" s="1634"/>
      <c r="AF36" s="1634"/>
      <c r="AG36" s="1634"/>
      <c r="AH36" s="1634"/>
      <c r="AI36" s="1634"/>
      <c r="AJ36" s="1634"/>
      <c r="AK36" s="1634"/>
      <c r="AL36" s="1637"/>
    </row>
    <row r="37" spans="1:38" s="340" customFormat="1" x14ac:dyDescent="0.25"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</row>
    <row r="38" spans="1:38" s="340" customFormat="1" x14ac:dyDescent="0.25"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</row>
    <row r="39" spans="1:38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8" ht="13.5" thickBot="1" x14ac:dyDescent="0.3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s="340" customFormat="1" x14ac:dyDescent="0.25">
      <c r="B41" s="352" t="s">
        <v>1259</v>
      </c>
      <c r="C41" s="351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T41" s="351"/>
      <c r="U41" s="351"/>
      <c r="V41" s="351"/>
      <c r="W41" s="350"/>
      <c r="X41" s="350"/>
      <c r="Y41" s="350"/>
      <c r="Z41" s="350"/>
      <c r="AA41" s="350"/>
      <c r="AB41" s="350"/>
      <c r="AC41" s="350"/>
      <c r="AD41" s="350"/>
      <c r="AE41" s="350"/>
      <c r="AF41" s="350"/>
      <c r="AG41" s="350"/>
      <c r="AH41" s="350"/>
      <c r="AI41" s="350"/>
      <c r="AJ41" s="349"/>
      <c r="AK41" s="335"/>
    </row>
    <row r="42" spans="1:38" s="340" customFormat="1" x14ac:dyDescent="0.25">
      <c r="B42" s="344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43"/>
      <c r="W42" s="342"/>
      <c r="X42" s="342"/>
      <c r="Y42" s="342"/>
      <c r="Z42" s="342"/>
      <c r="AA42" s="342"/>
      <c r="AB42" s="342"/>
      <c r="AC42" s="342"/>
      <c r="AD42" s="342"/>
      <c r="AE42" s="342"/>
      <c r="AF42" s="342"/>
      <c r="AG42" s="342"/>
      <c r="AH42" s="342"/>
      <c r="AI42" s="342"/>
      <c r="AJ42" s="341"/>
      <c r="AK42" s="335"/>
    </row>
    <row r="43" spans="1:38" x14ac:dyDescent="0.25">
      <c r="B43" s="348"/>
      <c r="C43" s="347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  <c r="R43" s="347"/>
      <c r="S43" s="347"/>
      <c r="T43" s="347"/>
      <c r="U43" s="347"/>
      <c r="V43" s="347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34" customFormat="1" x14ac:dyDescent="0.25">
      <c r="B45" s="346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40" customFormat="1" x14ac:dyDescent="0.25">
      <c r="B47" s="344"/>
      <c r="C47" s="343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43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34" customFormat="1" ht="13.5" thickBot="1" x14ac:dyDescent="0.3">
      <c r="B51" s="339"/>
      <c r="C51" s="338"/>
      <c r="D51" s="338"/>
      <c r="E51" s="338"/>
      <c r="F51" s="338"/>
      <c r="G51" s="338" t="s">
        <v>1260</v>
      </c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 t="s">
        <v>1261</v>
      </c>
      <c r="V51" s="338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6"/>
      <c r="AK51" s="335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24219/3/2008/1&amp;RPage 1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J66"/>
  <sheetViews>
    <sheetView view="pageBreakPreview" zoomScaleNormal="100" zoomScaleSheetLayoutView="100" workbookViewId="0">
      <selection activeCell="E5" sqref="E5"/>
    </sheetView>
  </sheetViews>
  <sheetFormatPr defaultColWidth="9.140625" defaultRowHeight="10.5" x14ac:dyDescent="0.25"/>
  <cols>
    <col min="1" max="1" width="4.42578125" style="478" customWidth="1"/>
    <col min="2" max="2" width="35" style="478" customWidth="1"/>
    <col min="3" max="3" width="3.5703125" style="478" customWidth="1"/>
    <col min="4" max="4" width="6.85546875" style="478" customWidth="1"/>
    <col min="5" max="6" width="29.5703125" style="478" customWidth="1"/>
    <col min="7" max="16384" width="9.140625" style="478"/>
  </cols>
  <sheetData>
    <row r="1" spans="1:10" s="445" customFormat="1" ht="7.5" customHeight="1" x14ac:dyDescent="0.25">
      <c r="A1" s="444"/>
      <c r="H1" s="388"/>
      <c r="I1" s="388"/>
    </row>
    <row r="2" spans="1:10" s="445" customFormat="1" ht="17.25" customHeight="1" x14ac:dyDescent="0.25">
      <c r="A2" s="444"/>
      <c r="B2" s="469" t="s">
        <v>1767</v>
      </c>
      <c r="C2" s="684"/>
      <c r="D2" s="685" t="s">
        <v>1262</v>
      </c>
      <c r="E2" s="686" t="e">
        <f>"  "&amp;#REF!&amp;"  "&amp;#REF!&amp;"  "&amp;#REF!&amp;"  "&amp;#REF!&amp;"  "&amp;#REF!&amp;"  "&amp;#REF!&amp;"  "&amp;#REF!&amp;"  "&amp;#REF!&amp;"  "&amp;#REF!&amp;"  "&amp;#REF!</f>
        <v>#REF!</v>
      </c>
    </row>
    <row r="3" spans="1:10" s="445" customFormat="1" ht="7.5" customHeight="1" thickBot="1" x14ac:dyDescent="0.3">
      <c r="A3" s="444"/>
      <c r="B3" s="523"/>
      <c r="C3" s="388"/>
      <c r="D3" s="388"/>
    </row>
    <row r="4" spans="1:10" s="503" customFormat="1" ht="11.25" customHeight="1" x14ac:dyDescent="0.25">
      <c r="A4" s="522"/>
      <c r="B4" s="521"/>
      <c r="C4" s="520"/>
      <c r="D4" s="519"/>
      <c r="E4" s="1703" t="s">
        <v>1343</v>
      </c>
      <c r="F4" s="1728"/>
    </row>
    <row r="5" spans="1:10" s="503" customFormat="1" ht="33.75" customHeight="1" x14ac:dyDescent="0.25">
      <c r="A5" s="629" t="s">
        <v>1263</v>
      </c>
      <c r="B5" s="627" t="s">
        <v>1190</v>
      </c>
      <c r="C5" s="516"/>
      <c r="D5" s="635" t="s">
        <v>1344</v>
      </c>
      <c r="E5" s="633" t="s">
        <v>1345</v>
      </c>
      <c r="F5" s="513" t="s">
        <v>1346</v>
      </c>
    </row>
    <row r="6" spans="1:10" s="503" customFormat="1" ht="29.65" customHeight="1" x14ac:dyDescent="0.25">
      <c r="A6" s="637" t="s">
        <v>779</v>
      </c>
      <c r="B6" s="484" t="s">
        <v>1562</v>
      </c>
      <c r="C6" s="483"/>
      <c r="D6" s="632" t="s">
        <v>780</v>
      </c>
      <c r="E6" s="636">
        <f>'P&amp;L old'!D9</f>
        <v>0</v>
      </c>
      <c r="F6" s="482">
        <f>'P&amp;L old'!E9</f>
        <v>0</v>
      </c>
    </row>
    <row r="7" spans="1:10" s="503" customFormat="1" ht="29.65" customHeight="1" x14ac:dyDescent="0.25">
      <c r="A7" s="637" t="s">
        <v>781</v>
      </c>
      <c r="B7" s="484" t="s">
        <v>1347</v>
      </c>
      <c r="C7" s="483"/>
      <c r="D7" s="632" t="s">
        <v>783</v>
      </c>
      <c r="E7" s="636">
        <f>'P&amp;L old'!D10</f>
        <v>0</v>
      </c>
      <c r="F7" s="482">
        <f>'P&amp;L old'!E10</f>
        <v>0</v>
      </c>
    </row>
    <row r="8" spans="1:10" s="508" customFormat="1" ht="29.65" customHeight="1" x14ac:dyDescent="0.25">
      <c r="A8" s="639" t="s">
        <v>784</v>
      </c>
      <c r="B8" s="486" t="s">
        <v>785</v>
      </c>
      <c r="C8" s="485"/>
      <c r="D8" s="638" t="s">
        <v>786</v>
      </c>
      <c r="E8" s="636">
        <f>'P&amp;L old'!D11</f>
        <v>0</v>
      </c>
      <c r="F8" s="482">
        <f>'P&amp;L old'!E11</f>
        <v>0</v>
      </c>
    </row>
    <row r="9" spans="1:10" s="508" customFormat="1" ht="29.65" customHeight="1" x14ac:dyDescent="0.25">
      <c r="A9" s="639" t="s">
        <v>787</v>
      </c>
      <c r="B9" s="486" t="s">
        <v>788</v>
      </c>
      <c r="C9" s="485"/>
      <c r="D9" s="638" t="s">
        <v>789</v>
      </c>
      <c r="E9" s="636">
        <f>'P&amp;L old'!D12</f>
        <v>0</v>
      </c>
      <c r="F9" s="482">
        <f>'P&amp;L old'!E12</f>
        <v>0</v>
      </c>
    </row>
    <row r="10" spans="1:10" s="503" customFormat="1" ht="29.65" customHeight="1" x14ac:dyDescent="0.25">
      <c r="A10" s="630" t="s">
        <v>790</v>
      </c>
      <c r="B10" s="484" t="s">
        <v>791</v>
      </c>
      <c r="C10" s="483"/>
      <c r="D10" s="632" t="s">
        <v>792</v>
      </c>
      <c r="E10" s="636">
        <f>'P&amp;L old'!D13</f>
        <v>0</v>
      </c>
      <c r="F10" s="482">
        <f>'P&amp;L old'!E13</f>
        <v>0</v>
      </c>
    </row>
    <row r="11" spans="1:10" s="503" customFormat="1" ht="29.65" customHeight="1" x14ac:dyDescent="0.25">
      <c r="A11" s="630" t="s">
        <v>498</v>
      </c>
      <c r="B11" s="484" t="s">
        <v>793</v>
      </c>
      <c r="C11" s="483"/>
      <c r="D11" s="632" t="s">
        <v>794</v>
      </c>
      <c r="E11" s="636">
        <f>'P&amp;L old'!D14</f>
        <v>0</v>
      </c>
      <c r="F11" s="482">
        <f>'P&amp;L old'!E14</f>
        <v>0</v>
      </c>
    </row>
    <row r="12" spans="1:10" s="503" customFormat="1" ht="29.65" customHeight="1" x14ac:dyDescent="0.25">
      <c r="A12" s="630" t="s">
        <v>501</v>
      </c>
      <c r="B12" s="484" t="s">
        <v>795</v>
      </c>
      <c r="C12" s="483"/>
      <c r="D12" s="632" t="s">
        <v>796</v>
      </c>
      <c r="E12" s="636">
        <f>'P&amp;L old'!D15</f>
        <v>0</v>
      </c>
      <c r="F12" s="482">
        <f>'P&amp;L old'!E15</f>
        <v>0</v>
      </c>
    </row>
    <row r="13" spans="1:10" s="508" customFormat="1" ht="29.65" customHeight="1" x14ac:dyDescent="0.25">
      <c r="A13" s="639" t="s">
        <v>560</v>
      </c>
      <c r="B13" s="486" t="s">
        <v>797</v>
      </c>
      <c r="C13" s="485"/>
      <c r="D13" s="638" t="s">
        <v>798</v>
      </c>
      <c r="E13" s="636">
        <f>'P&amp;L old'!D16</f>
        <v>0</v>
      </c>
      <c r="F13" s="482">
        <f>'P&amp;L old'!E16</f>
        <v>0</v>
      </c>
      <c r="J13" s="503"/>
    </row>
    <row r="14" spans="1:10" s="503" customFormat="1" ht="29.65" customHeight="1" x14ac:dyDescent="0.25">
      <c r="A14" s="637" t="s">
        <v>799</v>
      </c>
      <c r="B14" s="484" t="s">
        <v>800</v>
      </c>
      <c r="C14" s="483"/>
      <c r="D14" s="632" t="s">
        <v>801</v>
      </c>
      <c r="E14" s="636">
        <f>'P&amp;L old'!D17</f>
        <v>0</v>
      </c>
      <c r="F14" s="482">
        <f>'P&amp;L old'!E17</f>
        <v>0</v>
      </c>
    </row>
    <row r="15" spans="1:10" s="503" customFormat="1" ht="29.65" customHeight="1" x14ac:dyDescent="0.25">
      <c r="A15" s="637" t="s">
        <v>802</v>
      </c>
      <c r="B15" s="484" t="s">
        <v>803</v>
      </c>
      <c r="C15" s="483"/>
      <c r="D15" s="632" t="s">
        <v>804</v>
      </c>
      <c r="E15" s="636">
        <f>'P&amp;L old'!D18</f>
        <v>0</v>
      </c>
      <c r="F15" s="482">
        <f>'P&amp;L old'!E18</f>
        <v>0</v>
      </c>
    </row>
    <row r="16" spans="1:10" s="508" customFormat="1" ht="29.65" customHeight="1" x14ac:dyDescent="0.25">
      <c r="A16" s="639" t="s">
        <v>784</v>
      </c>
      <c r="B16" s="486" t="s">
        <v>805</v>
      </c>
      <c r="C16" s="485"/>
      <c r="D16" s="638" t="s">
        <v>806</v>
      </c>
      <c r="E16" s="636">
        <f>'P&amp;L old'!D19</f>
        <v>0</v>
      </c>
      <c r="F16" s="482">
        <f>'P&amp;L old'!E19</f>
        <v>0</v>
      </c>
    </row>
    <row r="17" spans="1:6" s="503" customFormat="1" ht="29.65" customHeight="1" x14ac:dyDescent="0.25">
      <c r="A17" s="637" t="s">
        <v>629</v>
      </c>
      <c r="B17" s="484" t="s">
        <v>807</v>
      </c>
      <c r="C17" s="483"/>
      <c r="D17" s="632" t="s">
        <v>808</v>
      </c>
      <c r="E17" s="636">
        <f>'P&amp;L old'!D20</f>
        <v>0</v>
      </c>
      <c r="F17" s="482">
        <f>'P&amp;L old'!E20</f>
        <v>0</v>
      </c>
    </row>
    <row r="18" spans="1:6" s="503" customFormat="1" ht="29.65" customHeight="1" x14ac:dyDescent="0.25">
      <c r="A18" s="637" t="s">
        <v>632</v>
      </c>
      <c r="B18" s="484" t="s">
        <v>809</v>
      </c>
      <c r="C18" s="483"/>
      <c r="D18" s="632" t="s">
        <v>810</v>
      </c>
      <c r="E18" s="636">
        <f>'P&amp;L old'!D21</f>
        <v>0</v>
      </c>
      <c r="F18" s="482">
        <f>'P&amp;L old'!E21</f>
        <v>0</v>
      </c>
    </row>
    <row r="19" spans="1:6" s="503" customFormat="1" ht="29.65" customHeight="1" x14ac:dyDescent="0.25">
      <c r="A19" s="637" t="s">
        <v>802</v>
      </c>
      <c r="B19" s="484" t="s">
        <v>811</v>
      </c>
      <c r="C19" s="483"/>
      <c r="D19" s="632" t="s">
        <v>812</v>
      </c>
      <c r="E19" s="636">
        <f>'P&amp;L old'!D22</f>
        <v>0</v>
      </c>
      <c r="F19" s="482">
        <f>'P&amp;L old'!E22</f>
        <v>0</v>
      </c>
    </row>
    <row r="20" spans="1:6" s="503" customFormat="1" ht="29.65" customHeight="1" x14ac:dyDescent="0.25">
      <c r="A20" s="637" t="s">
        <v>813</v>
      </c>
      <c r="B20" s="484" t="s">
        <v>814</v>
      </c>
      <c r="C20" s="483"/>
      <c r="D20" s="632" t="s">
        <v>815</v>
      </c>
      <c r="E20" s="636">
        <f>'P&amp;L old'!D23</f>
        <v>0</v>
      </c>
      <c r="F20" s="482">
        <f>'P&amp;L old'!E23</f>
        <v>0</v>
      </c>
    </row>
    <row r="21" spans="1:6" s="503" customFormat="1" ht="29.65" customHeight="1" x14ac:dyDescent="0.25">
      <c r="A21" s="637" t="s">
        <v>816</v>
      </c>
      <c r="B21" s="484" t="s">
        <v>817</v>
      </c>
      <c r="C21" s="483"/>
      <c r="D21" s="632" t="s">
        <v>818</v>
      </c>
      <c r="E21" s="636">
        <f>'P&amp;L old'!D24</f>
        <v>0</v>
      </c>
      <c r="F21" s="482">
        <f>'P&amp;L old'!E24</f>
        <v>0</v>
      </c>
    </row>
    <row r="22" spans="1:6" s="503" customFormat="1" ht="29.65" customHeight="1" x14ac:dyDescent="0.25">
      <c r="A22" s="637" t="s">
        <v>819</v>
      </c>
      <c r="B22" s="484" t="s">
        <v>820</v>
      </c>
      <c r="C22" s="483"/>
      <c r="D22" s="632" t="s">
        <v>821</v>
      </c>
      <c r="E22" s="636">
        <f>'P&amp;L old'!D25</f>
        <v>0</v>
      </c>
      <c r="F22" s="482">
        <f>'P&amp;L old'!E25</f>
        <v>0</v>
      </c>
    </row>
    <row r="23" spans="1:6" s="503" customFormat="1" ht="29.65" customHeight="1" x14ac:dyDescent="0.25">
      <c r="A23" s="637" t="s">
        <v>822</v>
      </c>
      <c r="B23" s="484" t="s">
        <v>823</v>
      </c>
      <c r="C23" s="483"/>
      <c r="D23" s="632" t="s">
        <v>824</v>
      </c>
      <c r="E23" s="636">
        <f>'P&amp;L old'!D26</f>
        <v>0</v>
      </c>
      <c r="F23" s="482">
        <f>'P&amp;L old'!E26</f>
        <v>0</v>
      </c>
    </row>
    <row r="24" spans="1:6" s="503" customFormat="1" ht="29.65" customHeight="1" x14ac:dyDescent="0.25">
      <c r="A24" s="637" t="s">
        <v>825</v>
      </c>
      <c r="B24" s="484" t="s">
        <v>826</v>
      </c>
      <c r="C24" s="483"/>
      <c r="D24" s="632" t="s">
        <v>827</v>
      </c>
      <c r="E24" s="636">
        <f>'P&amp;L old'!D27</f>
        <v>0</v>
      </c>
      <c r="F24" s="482">
        <f>'P&amp;L old'!E27</f>
        <v>0</v>
      </c>
    </row>
    <row r="25" spans="1:6" s="503" customFormat="1" ht="29.65" customHeight="1" x14ac:dyDescent="0.25">
      <c r="A25" s="637" t="s">
        <v>828</v>
      </c>
      <c r="B25" s="484" t="s">
        <v>829</v>
      </c>
      <c r="C25" s="483"/>
      <c r="D25" s="632" t="s">
        <v>830</v>
      </c>
      <c r="E25" s="636">
        <f>'P&amp;L old'!D28</f>
        <v>0</v>
      </c>
      <c r="F25" s="482">
        <f>'P&amp;L old'!E28</f>
        <v>0</v>
      </c>
    </row>
    <row r="26" spans="1:6" s="503" customFormat="1" ht="29.65" customHeight="1" x14ac:dyDescent="0.25">
      <c r="A26" s="637" t="s">
        <v>831</v>
      </c>
      <c r="B26" s="512" t="s">
        <v>832</v>
      </c>
      <c r="C26" s="511"/>
      <c r="D26" s="632" t="s">
        <v>833</v>
      </c>
      <c r="E26" s="636">
        <f>'P&amp;L old'!D29</f>
        <v>0</v>
      </c>
      <c r="F26" s="482">
        <f>'P&amp;L old'!E29</f>
        <v>0</v>
      </c>
    </row>
    <row r="27" spans="1:6" s="503" customFormat="1" ht="29.65" customHeight="1" x14ac:dyDescent="0.25">
      <c r="A27" s="637" t="s">
        <v>834</v>
      </c>
      <c r="B27" s="484" t="s">
        <v>1348</v>
      </c>
      <c r="C27" s="483"/>
      <c r="D27" s="632" t="s">
        <v>836</v>
      </c>
      <c r="E27" s="636">
        <f>'P&amp;L old'!D30</f>
        <v>0</v>
      </c>
      <c r="F27" s="482">
        <f>'P&amp;L old'!E30</f>
        <v>0</v>
      </c>
    </row>
    <row r="28" spans="1:6" s="503" customFormat="1" ht="29.65" customHeight="1" x14ac:dyDescent="0.25">
      <c r="A28" s="637" t="s">
        <v>837</v>
      </c>
      <c r="B28" s="512" t="s">
        <v>1349</v>
      </c>
      <c r="C28" s="511"/>
      <c r="D28" s="632" t="s">
        <v>839</v>
      </c>
      <c r="E28" s="636">
        <f>'P&amp;L old'!D31</f>
        <v>0</v>
      </c>
      <c r="F28" s="482">
        <f>'P&amp;L old'!E31</f>
        <v>0</v>
      </c>
    </row>
    <row r="29" spans="1:6" s="503" customFormat="1" ht="29.65" customHeight="1" x14ac:dyDescent="0.25">
      <c r="A29" s="637" t="s">
        <v>840</v>
      </c>
      <c r="B29" s="484" t="s">
        <v>841</v>
      </c>
      <c r="C29" s="483"/>
      <c r="D29" s="632" t="s">
        <v>842</v>
      </c>
      <c r="E29" s="636">
        <f>'P&amp;L old'!D32</f>
        <v>0</v>
      </c>
      <c r="F29" s="482">
        <f>'P&amp;L old'!E32</f>
        <v>0</v>
      </c>
    </row>
    <row r="30" spans="1:6" s="503" customFormat="1" ht="29.65" customHeight="1" x14ac:dyDescent="0.25">
      <c r="A30" s="637" t="s">
        <v>843</v>
      </c>
      <c r="B30" s="484" t="s">
        <v>844</v>
      </c>
      <c r="C30" s="483"/>
      <c r="D30" s="632" t="s">
        <v>845</v>
      </c>
      <c r="E30" s="636">
        <f>'P&amp;L old'!D33</f>
        <v>0</v>
      </c>
      <c r="F30" s="482">
        <f>'P&amp;L old'!E33</f>
        <v>0</v>
      </c>
    </row>
    <row r="31" spans="1:6" s="508" customFormat="1" ht="33.75" customHeight="1" x14ac:dyDescent="0.25">
      <c r="A31" s="639" t="s">
        <v>846</v>
      </c>
      <c r="B31" s="510" t="s">
        <v>847</v>
      </c>
      <c r="C31" s="509"/>
      <c r="D31" s="638" t="s">
        <v>848</v>
      </c>
      <c r="E31" s="636">
        <f>'P&amp;L old'!D34</f>
        <v>0</v>
      </c>
      <c r="F31" s="482">
        <f>'P&amp;L old'!E34</f>
        <v>0</v>
      </c>
    </row>
    <row r="32" spans="1:6" s="503" customFormat="1" ht="29.65" customHeight="1" thickBot="1" x14ac:dyDescent="0.3">
      <c r="A32" s="507" t="s">
        <v>849</v>
      </c>
      <c r="B32" s="506" t="s">
        <v>850</v>
      </c>
      <c r="C32" s="505"/>
      <c r="D32" s="504" t="s">
        <v>851</v>
      </c>
      <c r="E32" s="687">
        <f>'P&amp;L old'!D35</f>
        <v>0</v>
      </c>
      <c r="F32" s="688">
        <f>'P&amp;L old'!E35</f>
        <v>0</v>
      </c>
    </row>
    <row r="33" spans="1:6" ht="24.75" customHeight="1" x14ac:dyDescent="0.25">
      <c r="A33" s="495" t="s">
        <v>852</v>
      </c>
      <c r="B33" s="494" t="s">
        <v>853</v>
      </c>
      <c r="C33" s="493"/>
      <c r="D33" s="631" t="s">
        <v>854</v>
      </c>
      <c r="E33" s="673">
        <f>'P&amp;L old'!D36</f>
        <v>0</v>
      </c>
      <c r="F33" s="689">
        <f>'P&amp;L old'!E36</f>
        <v>0</v>
      </c>
    </row>
    <row r="34" spans="1:6" ht="30.75" customHeight="1" x14ac:dyDescent="0.25">
      <c r="A34" s="495" t="s">
        <v>855</v>
      </c>
      <c r="B34" s="502" t="s">
        <v>1350</v>
      </c>
      <c r="C34" s="501"/>
      <c r="D34" s="631" t="s">
        <v>857</v>
      </c>
      <c r="E34" s="673">
        <f>'P&amp;L old'!D37</f>
        <v>0</v>
      </c>
      <c r="F34" s="689">
        <f>'P&amp;L old'!E37</f>
        <v>0</v>
      </c>
    </row>
    <row r="35" spans="1:6" ht="36.75" customHeight="1" x14ac:dyDescent="0.25">
      <c r="A35" s="637" t="s">
        <v>858</v>
      </c>
      <c r="B35" s="484" t="s">
        <v>859</v>
      </c>
      <c r="C35" s="483"/>
      <c r="D35" s="632" t="s">
        <v>860</v>
      </c>
      <c r="E35" s="636">
        <f>'P&amp;L old'!D38</f>
        <v>0</v>
      </c>
      <c r="F35" s="482">
        <f>'P&amp;L old'!E38</f>
        <v>0</v>
      </c>
    </row>
    <row r="36" spans="1:6" ht="30.75" customHeight="1" x14ac:dyDescent="0.25">
      <c r="A36" s="637" t="s">
        <v>861</v>
      </c>
      <c r="B36" s="484" t="s">
        <v>862</v>
      </c>
      <c r="C36" s="483"/>
      <c r="D36" s="632" t="s">
        <v>863</v>
      </c>
      <c r="E36" s="636">
        <f>'P&amp;L old'!D39</f>
        <v>0</v>
      </c>
      <c r="F36" s="482">
        <f>'P&amp;L old'!E39</f>
        <v>0</v>
      </c>
    </row>
    <row r="37" spans="1:6" ht="30" customHeight="1" x14ac:dyDescent="0.25">
      <c r="A37" s="637" t="s">
        <v>864</v>
      </c>
      <c r="B37" s="484" t="s">
        <v>865</v>
      </c>
      <c r="C37" s="483"/>
      <c r="D37" s="632" t="s">
        <v>866</v>
      </c>
      <c r="E37" s="636">
        <f>'P&amp;L old'!D40</f>
        <v>0</v>
      </c>
      <c r="F37" s="482">
        <f>'P&amp;L old'!E40</f>
        <v>0</v>
      </c>
    </row>
    <row r="38" spans="1:6" ht="26.25" customHeight="1" x14ac:dyDescent="0.25">
      <c r="A38" s="637" t="s">
        <v>867</v>
      </c>
      <c r="B38" s="484" t="s">
        <v>868</v>
      </c>
      <c r="C38" s="483"/>
      <c r="D38" s="632" t="s">
        <v>869</v>
      </c>
      <c r="E38" s="636">
        <f>'P&amp;L old'!D41</f>
        <v>0</v>
      </c>
      <c r="F38" s="482">
        <f>'P&amp;L old'!E41</f>
        <v>0</v>
      </c>
    </row>
    <row r="39" spans="1:6" ht="22.5" customHeight="1" x14ac:dyDescent="0.25">
      <c r="A39" s="637" t="s">
        <v>870</v>
      </c>
      <c r="B39" s="484" t="s">
        <v>871</v>
      </c>
      <c r="C39" s="483"/>
      <c r="D39" s="632" t="s">
        <v>872</v>
      </c>
      <c r="E39" s="636">
        <f>'P&amp;L old'!D42</f>
        <v>0</v>
      </c>
      <c r="F39" s="482">
        <f>'P&amp;L old'!E42</f>
        <v>0</v>
      </c>
    </row>
    <row r="40" spans="1:6" ht="30.75" customHeight="1" x14ac:dyDescent="0.25">
      <c r="A40" s="637" t="s">
        <v>873</v>
      </c>
      <c r="B40" s="484" t="s">
        <v>874</v>
      </c>
      <c r="C40" s="483"/>
      <c r="D40" s="632" t="s">
        <v>875</v>
      </c>
      <c r="E40" s="636">
        <f>'P&amp;L old'!D43</f>
        <v>0</v>
      </c>
      <c r="F40" s="482">
        <f>'P&amp;L old'!E43</f>
        <v>0</v>
      </c>
    </row>
    <row r="41" spans="1:6" ht="30" customHeight="1" x14ac:dyDescent="0.25">
      <c r="A41" s="637" t="s">
        <v>876</v>
      </c>
      <c r="B41" s="484" t="s">
        <v>877</v>
      </c>
      <c r="C41" s="483"/>
      <c r="D41" s="632" t="s">
        <v>878</v>
      </c>
      <c r="E41" s="636">
        <f>'P&amp;L old'!D44</f>
        <v>0</v>
      </c>
      <c r="F41" s="482">
        <f>'P&amp;L old'!E44</f>
        <v>0</v>
      </c>
    </row>
    <row r="42" spans="1:6" ht="32.25" customHeight="1" x14ac:dyDescent="0.25">
      <c r="A42" s="637" t="s">
        <v>879</v>
      </c>
      <c r="B42" s="484" t="s">
        <v>880</v>
      </c>
      <c r="C42" s="483"/>
      <c r="D42" s="632" t="s">
        <v>881</v>
      </c>
      <c r="E42" s="636">
        <f>'P&amp;L old'!D45</f>
        <v>0</v>
      </c>
      <c r="F42" s="482">
        <f>'P&amp;L old'!E45</f>
        <v>0</v>
      </c>
    </row>
    <row r="43" spans="1:6" ht="24" customHeight="1" x14ac:dyDescent="0.25">
      <c r="A43" s="637" t="s">
        <v>882</v>
      </c>
      <c r="B43" s="484" t="s">
        <v>883</v>
      </c>
      <c r="C43" s="483"/>
      <c r="D43" s="632" t="s">
        <v>884</v>
      </c>
      <c r="E43" s="636">
        <f>'P&amp;L old'!D46</f>
        <v>0</v>
      </c>
      <c r="F43" s="482">
        <f>'P&amp;L old'!E46</f>
        <v>0</v>
      </c>
    </row>
    <row r="44" spans="1:6" ht="26.25" customHeight="1" x14ac:dyDescent="0.25">
      <c r="A44" s="637" t="s">
        <v>885</v>
      </c>
      <c r="B44" s="484" t="s">
        <v>886</v>
      </c>
      <c r="C44" s="483"/>
      <c r="D44" s="632" t="s">
        <v>887</v>
      </c>
      <c r="E44" s="636">
        <f>'P&amp;L old'!D47</f>
        <v>0</v>
      </c>
      <c r="F44" s="482">
        <f>'P&amp;L old'!E47</f>
        <v>0</v>
      </c>
    </row>
    <row r="45" spans="1:6" ht="24.75" customHeight="1" x14ac:dyDescent="0.25">
      <c r="A45" s="637" t="s">
        <v>888</v>
      </c>
      <c r="B45" s="484" t="s">
        <v>889</v>
      </c>
      <c r="C45" s="483"/>
      <c r="D45" s="632" t="s">
        <v>890</v>
      </c>
      <c r="E45" s="636">
        <f>'P&amp;L old'!D48</f>
        <v>0</v>
      </c>
      <c r="F45" s="482">
        <f>'P&amp;L old'!E48</f>
        <v>0</v>
      </c>
    </row>
    <row r="46" spans="1:6" ht="27" customHeight="1" x14ac:dyDescent="0.25">
      <c r="A46" s="637" t="s">
        <v>891</v>
      </c>
      <c r="B46" s="484" t="s">
        <v>892</v>
      </c>
      <c r="C46" s="483"/>
      <c r="D46" s="632" t="s">
        <v>893</v>
      </c>
      <c r="E46" s="636">
        <f>'P&amp;L old'!D49</f>
        <v>0</v>
      </c>
      <c r="F46" s="482">
        <f>'P&amp;L old'!E49</f>
        <v>0</v>
      </c>
    </row>
    <row r="47" spans="1:6" ht="29.25" customHeight="1" x14ac:dyDescent="0.25">
      <c r="A47" s="637" t="s">
        <v>894</v>
      </c>
      <c r="B47" s="484" t="s">
        <v>895</v>
      </c>
      <c r="C47" s="483"/>
      <c r="D47" s="632" t="s">
        <v>896</v>
      </c>
      <c r="E47" s="636">
        <f>'P&amp;L old'!D50</f>
        <v>0</v>
      </c>
      <c r="F47" s="482">
        <f>'P&amp;L old'!E50</f>
        <v>0</v>
      </c>
    </row>
    <row r="48" spans="1:6" ht="27.75" customHeight="1" x14ac:dyDescent="0.25">
      <c r="A48" s="637" t="s">
        <v>897</v>
      </c>
      <c r="B48" s="484" t="s">
        <v>898</v>
      </c>
      <c r="C48" s="483"/>
      <c r="D48" s="632" t="s">
        <v>899</v>
      </c>
      <c r="E48" s="636">
        <f>'P&amp;L old'!D51</f>
        <v>0</v>
      </c>
      <c r="F48" s="482">
        <f>'P&amp;L old'!E51</f>
        <v>0</v>
      </c>
    </row>
    <row r="49" spans="1:6" ht="27.75" customHeight="1" x14ac:dyDescent="0.25">
      <c r="A49" s="637" t="s">
        <v>900</v>
      </c>
      <c r="B49" s="484" t="s">
        <v>901</v>
      </c>
      <c r="C49" s="483"/>
      <c r="D49" s="632" t="s">
        <v>902</v>
      </c>
      <c r="E49" s="636">
        <f>'P&amp;L old'!D52</f>
        <v>0</v>
      </c>
      <c r="F49" s="482">
        <f>'P&amp;L old'!E52</f>
        <v>0</v>
      </c>
    </row>
    <row r="50" spans="1:6" ht="27.75" customHeight="1" x14ac:dyDescent="0.25">
      <c r="A50" s="637" t="s">
        <v>903</v>
      </c>
      <c r="B50" s="484" t="s">
        <v>904</v>
      </c>
      <c r="C50" s="483"/>
      <c r="D50" s="632" t="s">
        <v>905</v>
      </c>
      <c r="E50" s="636">
        <f>'P&amp;L old'!D53</f>
        <v>0</v>
      </c>
      <c r="F50" s="482">
        <f>'P&amp;L old'!E53</f>
        <v>0</v>
      </c>
    </row>
    <row r="51" spans="1:6" s="479" customFormat="1" ht="44.25" customHeight="1" x14ac:dyDescent="0.25">
      <c r="A51" s="498" t="s">
        <v>846</v>
      </c>
      <c r="B51" s="500" t="s">
        <v>1351</v>
      </c>
      <c r="C51" s="499"/>
      <c r="D51" s="638" t="s">
        <v>907</v>
      </c>
      <c r="E51" s="636">
        <f>'P&amp;L old'!D54</f>
        <v>0</v>
      </c>
      <c r="F51" s="482">
        <f>'P&amp;L old'!E54</f>
        <v>0</v>
      </c>
    </row>
    <row r="52" spans="1:6" s="479" customFormat="1" ht="29.25" customHeight="1" x14ac:dyDescent="0.25">
      <c r="A52" s="498" t="s">
        <v>908</v>
      </c>
      <c r="B52" s="497" t="s">
        <v>909</v>
      </c>
      <c r="C52" s="496"/>
      <c r="D52" s="638" t="s">
        <v>910</v>
      </c>
      <c r="E52" s="636">
        <f>'P&amp;L old'!D55</f>
        <v>0</v>
      </c>
      <c r="F52" s="482">
        <f>'P&amp;L old'!E55</f>
        <v>0</v>
      </c>
    </row>
    <row r="53" spans="1:6" ht="30.75" customHeight="1" x14ac:dyDescent="0.25">
      <c r="A53" s="637" t="s">
        <v>911</v>
      </c>
      <c r="B53" s="484" t="s">
        <v>912</v>
      </c>
      <c r="C53" s="483"/>
      <c r="D53" s="632" t="s">
        <v>913</v>
      </c>
      <c r="E53" s="636">
        <f>'P&amp;L old'!D56</f>
        <v>0</v>
      </c>
      <c r="F53" s="482">
        <f>'P&amp;L old'!E56</f>
        <v>0</v>
      </c>
    </row>
    <row r="54" spans="1:6" ht="28.5" customHeight="1" x14ac:dyDescent="0.25">
      <c r="A54" s="640" t="s">
        <v>914</v>
      </c>
      <c r="B54" s="484" t="s">
        <v>1352</v>
      </c>
      <c r="C54" s="483"/>
      <c r="D54" s="632" t="s">
        <v>916</v>
      </c>
      <c r="E54" s="636">
        <f>'P&amp;L old'!D57</f>
        <v>0</v>
      </c>
      <c r="F54" s="482">
        <f>'P&amp;L old'!E57</f>
        <v>0</v>
      </c>
    </row>
    <row r="55" spans="1:6" ht="28.5" customHeight="1" x14ac:dyDescent="0.25">
      <c r="A55" s="637" t="s">
        <v>802</v>
      </c>
      <c r="B55" s="484" t="s">
        <v>1353</v>
      </c>
      <c r="C55" s="483"/>
      <c r="D55" s="632" t="s">
        <v>918</v>
      </c>
      <c r="E55" s="636">
        <f>'P&amp;L old'!D58</f>
        <v>0</v>
      </c>
      <c r="F55" s="482">
        <f>'P&amp;L old'!E58</f>
        <v>0</v>
      </c>
    </row>
    <row r="56" spans="1:6" s="479" customFormat="1" ht="31.5" customHeight="1" x14ac:dyDescent="0.25">
      <c r="A56" s="498" t="s">
        <v>908</v>
      </c>
      <c r="B56" s="497" t="s">
        <v>1354</v>
      </c>
      <c r="C56" s="496"/>
      <c r="D56" s="638" t="s">
        <v>920</v>
      </c>
      <c r="E56" s="636">
        <f>'P&amp;L old'!D59</f>
        <v>0</v>
      </c>
      <c r="F56" s="482">
        <f>'P&amp;L old'!E59</f>
        <v>0</v>
      </c>
    </row>
    <row r="57" spans="1:6" ht="29.25" customHeight="1" x14ac:dyDescent="0.25">
      <c r="A57" s="637" t="s">
        <v>921</v>
      </c>
      <c r="B57" s="484" t="s">
        <v>922</v>
      </c>
      <c r="C57" s="483"/>
      <c r="D57" s="632" t="s">
        <v>923</v>
      </c>
      <c r="E57" s="636">
        <f>'P&amp;L old'!D60</f>
        <v>0</v>
      </c>
      <c r="F57" s="482">
        <f>'P&amp;L old'!E60</f>
        <v>0</v>
      </c>
    </row>
    <row r="58" spans="1:6" ht="28.5" customHeight="1" x14ac:dyDescent="0.25">
      <c r="A58" s="637" t="s">
        <v>924</v>
      </c>
      <c r="B58" s="484" t="s">
        <v>925</v>
      </c>
      <c r="C58" s="483"/>
      <c r="D58" s="632" t="s">
        <v>926</v>
      </c>
      <c r="E58" s="636">
        <f>'P&amp;L old'!D61</f>
        <v>0</v>
      </c>
      <c r="F58" s="482">
        <f>'P&amp;L old'!E61</f>
        <v>0</v>
      </c>
    </row>
    <row r="59" spans="1:6" ht="30.75" customHeight="1" thickBot="1" x14ac:dyDescent="0.3">
      <c r="A59" s="455" t="s">
        <v>846</v>
      </c>
      <c r="B59" s="481" t="s">
        <v>927</v>
      </c>
      <c r="C59" s="480"/>
      <c r="D59" s="454" t="s">
        <v>928</v>
      </c>
      <c r="E59" s="687">
        <f>'P&amp;L old'!D62</f>
        <v>0</v>
      </c>
      <c r="F59" s="688">
        <f>'P&amp;L old'!E62</f>
        <v>0</v>
      </c>
    </row>
    <row r="60" spans="1:6" ht="27.75" customHeight="1" x14ac:dyDescent="0.25">
      <c r="A60" s="495" t="s">
        <v>929</v>
      </c>
      <c r="B60" s="494" t="s">
        <v>930</v>
      </c>
      <c r="C60" s="493"/>
      <c r="D60" s="631" t="s">
        <v>931</v>
      </c>
      <c r="E60" s="673">
        <f>'P&amp;L old'!D63</f>
        <v>0</v>
      </c>
      <c r="F60" s="689">
        <f>'P&amp;L old'!E63</f>
        <v>0</v>
      </c>
    </row>
    <row r="61" spans="1:6" ht="27.75" customHeight="1" x14ac:dyDescent="0.25">
      <c r="A61" s="640" t="s">
        <v>932</v>
      </c>
      <c r="B61" s="484" t="s">
        <v>1355</v>
      </c>
      <c r="C61" s="483"/>
      <c r="D61" s="632" t="s">
        <v>934</v>
      </c>
      <c r="E61" s="636">
        <f>'P&amp;L old'!D64</f>
        <v>0</v>
      </c>
      <c r="F61" s="482">
        <f>'P&amp;L old'!E64</f>
        <v>0</v>
      </c>
    </row>
    <row r="62" spans="1:6" ht="27.75" customHeight="1" x14ac:dyDescent="0.25">
      <c r="A62" s="637" t="s">
        <v>802</v>
      </c>
      <c r="B62" s="484" t="s">
        <v>1356</v>
      </c>
      <c r="C62" s="483"/>
      <c r="D62" s="632" t="s">
        <v>936</v>
      </c>
      <c r="E62" s="636">
        <f>'P&amp;L old'!D65</f>
        <v>0</v>
      </c>
      <c r="F62" s="482">
        <f>'P&amp;L old'!E65</f>
        <v>0</v>
      </c>
    </row>
    <row r="63" spans="1:6" s="479" customFormat="1" ht="27.75" customHeight="1" x14ac:dyDescent="0.25">
      <c r="A63" s="490" t="s">
        <v>846</v>
      </c>
      <c r="B63" s="489" t="s">
        <v>937</v>
      </c>
      <c r="C63" s="488"/>
      <c r="D63" s="642" t="s">
        <v>938</v>
      </c>
      <c r="E63" s="673">
        <f>'P&amp;L old'!D66</f>
        <v>0</v>
      </c>
      <c r="F63" s="689">
        <f>'P&amp;L old'!E66</f>
        <v>0</v>
      </c>
    </row>
    <row r="64" spans="1:6" s="479" customFormat="1" ht="27.75" customHeight="1" x14ac:dyDescent="0.25">
      <c r="A64" s="639" t="s">
        <v>939</v>
      </c>
      <c r="B64" s="486" t="s">
        <v>940</v>
      </c>
      <c r="C64" s="485"/>
      <c r="D64" s="638" t="s">
        <v>941</v>
      </c>
      <c r="E64" s="636">
        <f>'P&amp;L old'!D67</f>
        <v>0</v>
      </c>
      <c r="F64" s="482">
        <f>'P&amp;L old'!E67</f>
        <v>0</v>
      </c>
    </row>
    <row r="65" spans="1:6" ht="27.75" customHeight="1" x14ac:dyDescent="0.25">
      <c r="A65" s="637" t="s">
        <v>942</v>
      </c>
      <c r="B65" s="484" t="s">
        <v>1357</v>
      </c>
      <c r="C65" s="483"/>
      <c r="D65" s="632" t="s">
        <v>944</v>
      </c>
      <c r="E65" s="636">
        <f>'P&amp;L old'!D68</f>
        <v>0</v>
      </c>
      <c r="F65" s="482">
        <f>'P&amp;L old'!E68</f>
        <v>0</v>
      </c>
    </row>
    <row r="66" spans="1:6" s="479" customFormat="1" ht="27.75" customHeight="1" thickBot="1" x14ac:dyDescent="0.3">
      <c r="A66" s="455" t="s">
        <v>939</v>
      </c>
      <c r="B66" s="481" t="s">
        <v>945</v>
      </c>
      <c r="C66" s="480"/>
      <c r="D66" s="454" t="s">
        <v>946</v>
      </c>
      <c r="E66" s="687">
        <f>'P&amp;L old'!D69</f>
        <v>0</v>
      </c>
      <c r="F66" s="688">
        <f>'P&amp;L old'!E69</f>
        <v>0</v>
      </c>
    </row>
  </sheetData>
  <mergeCells count="1">
    <mergeCell ref="E4:F4"/>
  </mergeCells>
  <pageMargins left="0.74803149606299213" right="0.55118110236220474" top="0.78740157480314965" bottom="0.47244094488188981" header="0.47244094488188981" footer="0.23622047244094491"/>
  <pageSetup paperSize="9" scale="80" firstPageNumber="2" orientation="portrait" useFirstPageNumber="1" r:id="rId1"/>
  <headerFooter alignWithMargins="0">
    <oddHeader>&amp;LUVPOD2v09_&amp;P</oddHeader>
    <oddFooter>&amp;LMF SR č. 24219/3/2008/1&amp;RPage &amp;P</oddFooter>
  </headerFooter>
  <rowBreaks count="2" manualBreakCount="2">
    <brk id="32" max="5" man="1"/>
    <brk id="59" max="5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K53"/>
  <sheetViews>
    <sheetView showGridLines="0" view="pageBreakPreview" zoomScaleNormal="100" zoomScaleSheetLayoutView="100" workbookViewId="0">
      <selection activeCell="E4" sqref="E4"/>
    </sheetView>
  </sheetViews>
  <sheetFormatPr defaultColWidth="9.140625" defaultRowHeight="12.75" x14ac:dyDescent="0.25"/>
  <cols>
    <col min="1" max="45" width="2.5703125" style="741" customWidth="1"/>
    <col min="46" max="46" width="7.7109375" style="741" customWidth="1"/>
    <col min="47" max="61" width="2.5703125" style="741" customWidth="1"/>
    <col min="62" max="16384" width="9.140625" style="741"/>
  </cols>
  <sheetData>
    <row r="1" spans="1:37" s="443" customFormat="1" ht="9.75" x14ac:dyDescent="0.25">
      <c r="C1" s="444" t="s">
        <v>1533</v>
      </c>
    </row>
    <row r="2" spans="1:37" s="340" customFormat="1" ht="21" customHeight="1" x14ac:dyDescent="0.25">
      <c r="C2" s="442" t="s">
        <v>1542</v>
      </c>
      <c r="D2" s="441"/>
      <c r="E2" s="441"/>
      <c r="F2" s="441"/>
      <c r="G2" s="441"/>
      <c r="H2" s="441"/>
      <c r="I2" s="441"/>
      <c r="J2" s="441"/>
      <c r="K2" s="440"/>
      <c r="Q2" s="439" t="s">
        <v>1543</v>
      </c>
    </row>
    <row r="3" spans="1:37" ht="13.5" thickBot="1" x14ac:dyDescent="0.3">
      <c r="N3" s="737"/>
      <c r="O3" s="737" t="s">
        <v>1544</v>
      </c>
    </row>
    <row r="4" spans="1:37" ht="28.5" customHeight="1" thickBot="1" x14ac:dyDescent="0.3">
      <c r="K4" s="743" t="s">
        <v>1554</v>
      </c>
      <c r="L4" s="437"/>
      <c r="M4" s="437"/>
      <c r="N4" s="437"/>
      <c r="O4" s="437"/>
      <c r="P4" s="437" t="str">
        <f>'Notes-SK Cover sheet'!O4</f>
        <v>3</v>
      </c>
      <c r="Q4" s="437" t="str">
        <f>'Notes-SK Cover sheet'!P4</f>
        <v>1</v>
      </c>
      <c r="R4" s="437" t="str">
        <f>'Notes-SK Cover sheet'!Q4</f>
        <v>.</v>
      </c>
      <c r="S4" s="437" t="str">
        <f>'Notes-SK Cover sheet'!R4</f>
        <v>1</v>
      </c>
      <c r="T4" s="437" t="str">
        <f>'Notes-SK Cover sheet'!S4</f>
        <v>2</v>
      </c>
      <c r="U4" s="437" t="str">
        <f>'Notes-SK Cover sheet'!T4</f>
        <v>.</v>
      </c>
      <c r="V4" s="437" t="str">
        <f>'Notes-SK Cover sheet'!U4</f>
        <v>2</v>
      </c>
      <c r="W4" s="437" t="str">
        <f>'Notes-SK Cover sheet'!V4</f>
        <v>0</v>
      </c>
      <c r="X4" s="437" t="str">
        <f>'Notes-SK Cover sheet'!W4</f>
        <v>1</v>
      </c>
      <c r="Y4" s="437" t="str">
        <f>'Notes-SK Cover sheet'!X4</f>
        <v>4</v>
      </c>
      <c r="Z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/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'Notes-SK Cover sheet'!A11</f>
        <v>2</v>
      </c>
      <c r="B11" s="384" t="str">
        <f>'Notes-SK Cover sheet'!B11</f>
        <v>0</v>
      </c>
      <c r="C11" s="384" t="str">
        <f>'Notes-SK Cover sheet'!C11</f>
        <v>2</v>
      </c>
      <c r="D11" s="384" t="str">
        <f>'Notes-SK Cover sheet'!D11</f>
        <v>1</v>
      </c>
      <c r="E11" s="384" t="str">
        <f>'Notes-SK Cover sheet'!E11</f>
        <v>8</v>
      </c>
      <c r="F11" s="384" t="str">
        <f>'Notes-SK Cover sheet'!F11</f>
        <v>3</v>
      </c>
      <c r="G11" s="384" t="str">
        <f>'Notes-SK Cover sheet'!G11</f>
        <v>3</v>
      </c>
      <c r="H11" s="384" t="str">
        <f>'Notes-SK Cover sheet'!H11</f>
        <v>4</v>
      </c>
      <c r="I11" s="384" t="str">
        <f>'Notes-SK Cover sheet'!I11</f>
        <v>1</v>
      </c>
      <c r="J11" s="391" t="str">
        <f>'Notes-SK Cover sheet'!J11</f>
        <v>8</v>
      </c>
      <c r="K11" s="342"/>
      <c r="L11" s="421" t="str">
        <f>'Notes-SK Cover sheet'!L11</f>
        <v xml:space="preserve"> </v>
      </c>
      <c r="M11" s="413" t="s">
        <v>1218</v>
      </c>
      <c r="N11" s="415"/>
      <c r="O11" s="415"/>
      <c r="P11" s="415"/>
      <c r="Q11" s="415"/>
      <c r="R11" s="421" t="str">
        <f>'Notes-SK Cover sheet'!R11</f>
        <v xml:space="preserve"> </v>
      </c>
      <c r="S11" s="413" t="s">
        <v>1211</v>
      </c>
      <c r="T11" s="408"/>
      <c r="U11" s="408"/>
      <c r="V11" s="414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'Notes-SK Cover sheet'!AD11</f>
        <v>0</v>
      </c>
      <c r="AE11" s="384" t="str">
        <f>'Notes-SK Cover sheet'!AE11</f>
        <v>1</v>
      </c>
      <c r="AF11" s="384"/>
      <c r="AG11" s="384" t="str">
        <f>'Notes-SK Cover sheet'!AG11</f>
        <v>2</v>
      </c>
      <c r="AH11" s="384" t="str">
        <f>'Notes-SK Cover sheet'!AH11</f>
        <v>0</v>
      </c>
      <c r="AI11" s="384" t="str">
        <f>'Notes-SK Cover sheet'!AI11</f>
        <v>1</v>
      </c>
      <c r="AJ11" s="384" t="str">
        <f>'Notes-SK Cover sheet'!AJ11</f>
        <v>4</v>
      </c>
      <c r="AK11" s="414"/>
    </row>
    <row r="12" spans="1:37" s="405" customFormat="1" ht="19.5" customHeight="1" thickBot="1" x14ac:dyDescent="0.3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17" t="str">
        <f>'Notes-SK Cover sheet'!L12</f>
        <v/>
      </c>
      <c r="M12" s="413" t="s">
        <v>1217</v>
      </c>
      <c r="N12" s="415"/>
      <c r="O12" s="415"/>
      <c r="P12" s="415"/>
      <c r="Q12" s="415"/>
      <c r="R12" s="418" t="str">
        <f>'Notes-SK Cover sheet'!R12</f>
        <v xml:space="preserve"> </v>
      </c>
      <c r="S12" s="413" t="s">
        <v>1209</v>
      </c>
      <c r="T12" s="408"/>
      <c r="U12" s="408"/>
      <c r="V12" s="414"/>
      <c r="W12" s="420"/>
      <c r="X12" s="410"/>
      <c r="Y12" s="410"/>
      <c r="Z12" s="410"/>
      <c r="AA12" s="410"/>
      <c r="AB12" s="409" t="s">
        <v>1242</v>
      </c>
      <c r="AC12" s="410"/>
      <c r="AD12" s="382" t="str">
        <f>'Notes-SK Cover sheet'!AD12</f>
        <v>1</v>
      </c>
      <c r="AE12" s="382" t="str">
        <f>'Notes-SK Cover sheet'!AE12</f>
        <v>2</v>
      </c>
      <c r="AF12" s="382"/>
      <c r="AG12" s="382" t="str">
        <f>'Notes-SK Cover sheet'!AG12</f>
        <v>2</v>
      </c>
      <c r="AH12" s="382" t="str">
        <f>'Notes-SK Cover sheet'!AH12</f>
        <v>0</v>
      </c>
      <c r="AI12" s="382" t="str">
        <f>'Notes-SK Cover sheet'!AI12</f>
        <v>1</v>
      </c>
      <c r="AJ12" s="382" t="str">
        <f>'Notes-SK Cover sheet'!AJ12</f>
        <v>4</v>
      </c>
      <c r="AK12" s="411"/>
    </row>
    <row r="13" spans="1:37" s="405" customFormat="1" ht="19.5" customHeight="1" x14ac:dyDescent="0.2">
      <c r="A13" s="419" t="str">
        <f>'Notes-SK Cover sheet'!A13</f>
        <v>3</v>
      </c>
      <c r="B13" s="384" t="str">
        <f>'Notes-SK Cover sheet'!B13</f>
        <v>5</v>
      </c>
      <c r="C13" s="384" t="str">
        <f>'Notes-SK Cover sheet'!C13</f>
        <v>8</v>
      </c>
      <c r="D13" s="384" t="str">
        <f>'Notes-SK Cover sheet'!D13</f>
        <v>8</v>
      </c>
      <c r="E13" s="384" t="str">
        <f>'Notes-SK Cover sheet'!E13</f>
        <v>2</v>
      </c>
      <c r="F13" s="384" t="str">
        <f>'Notes-SK Cover sheet'!F13</f>
        <v>7</v>
      </c>
      <c r="G13" s="384" t="str">
        <f>'Notes-SK Cover sheet'!G13</f>
        <v>0</v>
      </c>
      <c r="H13" s="384" t="str">
        <f>'Notes-SK Cover sheet'!H13</f>
        <v>1</v>
      </c>
      <c r="I13" s="342"/>
      <c r="J13" s="341"/>
      <c r="K13" s="738"/>
      <c r="L13" s="660"/>
      <c r="M13" s="661" t="s">
        <v>1550</v>
      </c>
      <c r="N13" s="660"/>
      <c r="O13" s="660"/>
      <c r="P13" s="660"/>
      <c r="Q13" s="660"/>
      <c r="R13" s="739" t="s">
        <v>1553</v>
      </c>
      <c r="S13" s="660"/>
      <c r="T13" s="660"/>
      <c r="U13" s="660"/>
      <c r="V13" s="663"/>
      <c r="W13" s="413" t="s">
        <v>1545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421" t="str">
        <f>IF('Notes-SK Cover sheet'!L14="","",'Notes-SK Cover sheet'!L14)</f>
        <v/>
      </c>
      <c r="M14" s="413" t="s">
        <v>1551</v>
      </c>
      <c r="N14" s="415"/>
      <c r="O14" s="415"/>
      <c r="P14" s="415"/>
      <c r="Q14" s="415"/>
      <c r="S14" s="415"/>
      <c r="T14" s="408"/>
      <c r="U14" s="408"/>
      <c r="V14" s="414"/>
      <c r="W14" s="413" t="s">
        <v>1546</v>
      </c>
      <c r="X14" s="408"/>
      <c r="Y14" s="345"/>
      <c r="Z14" s="342"/>
      <c r="AA14" s="342"/>
      <c r="AB14" s="413" t="s">
        <v>1238</v>
      </c>
      <c r="AC14" s="342"/>
      <c r="AD14" s="384" t="str">
        <f>'Notes-SK Cover sheet'!AD14</f>
        <v>0</v>
      </c>
      <c r="AE14" s="384" t="str">
        <f>'Notes-SK Cover sheet'!AE14</f>
        <v>1</v>
      </c>
      <c r="AF14" s="384"/>
      <c r="AG14" s="384" t="str">
        <f>'Notes-SK Cover sheet'!AG14</f>
        <v>1</v>
      </c>
      <c r="AH14" s="384" t="str">
        <f>'Notes-SK Cover sheet'!AH14</f>
        <v>9</v>
      </c>
      <c r="AI14" s="384" t="str">
        <f>'Notes-SK Cover sheet'!AI14</f>
        <v>0</v>
      </c>
      <c r="AJ14" s="384" t="str">
        <f>'Notes-SK Cover sheet'!AJ14</f>
        <v>0</v>
      </c>
      <c r="AK14" s="341"/>
    </row>
    <row r="15" spans="1:37" s="405" customFormat="1" ht="19.5" customHeight="1" thickBot="1" x14ac:dyDescent="0.25">
      <c r="A15" s="412" t="str">
        <f>'Notes-SK Cover sheet'!A15</f>
        <v>5</v>
      </c>
      <c r="B15" s="337" t="str">
        <f>'Notes-SK Cover sheet'!B15</f>
        <v>9</v>
      </c>
      <c r="C15" s="410" t="str">
        <f>'Notes-SK Cover sheet'!C15</f>
        <v>.</v>
      </c>
      <c r="D15" s="337" t="str">
        <f>'Notes-SK Cover sheet'!D15</f>
        <v>1</v>
      </c>
      <c r="E15" s="337" t="str">
        <f>'Notes-SK Cover sheet'!E15</f>
        <v>2</v>
      </c>
      <c r="F15" s="361" t="str">
        <f>'Notes-SK Cover sheet'!F15</f>
        <v>.</v>
      </c>
      <c r="G15" s="337" t="str">
        <f>'Notes-SK Cover sheet'!G15</f>
        <v>0</v>
      </c>
      <c r="H15" s="337"/>
      <c r="I15" s="337"/>
      <c r="J15" s="336"/>
      <c r="K15" s="337"/>
      <c r="L15" s="337" t="str">
        <f>IF('Notes-SK Cover sheet'!L15="","",'Notes-SK Cover sheet'!L15)</f>
        <v/>
      </c>
      <c r="M15" s="409" t="s">
        <v>1552</v>
      </c>
      <c r="N15" s="337"/>
      <c r="O15" s="337"/>
      <c r="P15" s="337"/>
      <c r="Q15" s="337"/>
      <c r="R15" s="740" t="s">
        <v>1553</v>
      </c>
      <c r="S15" s="337"/>
      <c r="T15" s="410"/>
      <c r="U15" s="410"/>
      <c r="V15" s="411"/>
      <c r="W15" s="409" t="s">
        <v>645</v>
      </c>
      <c r="X15" s="410"/>
      <c r="Y15" s="338"/>
      <c r="Z15" s="337"/>
      <c r="AA15" s="337"/>
      <c r="AB15" s="409" t="s">
        <v>1242</v>
      </c>
      <c r="AC15" s="337"/>
      <c r="AD15" s="382" t="str">
        <f>'Notes-SK Cover sheet'!AD15</f>
        <v>0</v>
      </c>
      <c r="AE15" s="382" t="str">
        <f>'Notes-SK Cover sheet'!AE15</f>
        <v>1</v>
      </c>
      <c r="AF15" s="382"/>
      <c r="AG15" s="382" t="str">
        <f>'Notes-SK Cover sheet'!AG15</f>
        <v>1</v>
      </c>
      <c r="AH15" s="382" t="str">
        <f>'Notes-SK Cover sheet'!AH15</f>
        <v>9</v>
      </c>
      <c r="AI15" s="382" t="str">
        <f>'Notes-SK Cover sheet'!AI15</f>
        <v>0</v>
      </c>
      <c r="AJ15" s="382" t="str">
        <f>'Notes-SK Cover sheet'!AJ15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37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37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7" s="405" customFormat="1" ht="19.5" customHeight="1" x14ac:dyDescent="0.25">
      <c r="A19" s="392" t="str">
        <f>'Notes-SK Cover sheet'!A19</f>
        <v>M</v>
      </c>
      <c r="B19" s="384" t="str">
        <f>'Notes-SK Cover sheet'!B19</f>
        <v>e</v>
      </c>
      <c r="C19" s="384" t="str">
        <f>'Notes-SK Cover sheet'!C19</f>
        <v>d</v>
      </c>
      <c r="D19" s="384" t="str">
        <f>'Notes-SK Cover sheet'!D19</f>
        <v>i</v>
      </c>
      <c r="E19" s="384" t="str">
        <f>'Notes-SK Cover sheet'!E19</f>
        <v>c</v>
      </c>
      <c r="F19" s="384" t="str">
        <f>'Notes-SK Cover sheet'!F19</f>
        <v>a</v>
      </c>
      <c r="G19" s="384" t="str">
        <f>'Notes-SK Cover sheet'!G19</f>
        <v>l</v>
      </c>
      <c r="H19" s="384" t="str">
        <f>'Notes-SK Cover sheet'!H19</f>
        <v xml:space="preserve"> </v>
      </c>
      <c r="I19" s="384" t="str">
        <f>'Notes-SK Cover sheet'!I19</f>
        <v>T</v>
      </c>
      <c r="J19" s="384" t="str">
        <f>'Notes-SK Cover sheet'!J19</f>
        <v>r</v>
      </c>
      <c r="K19" s="384" t="str">
        <f>'Notes-SK Cover sheet'!K19</f>
        <v>a</v>
      </c>
      <c r="L19" s="384" t="str">
        <f>'Notes-SK Cover sheet'!L19</f>
        <v>d</v>
      </c>
      <c r="M19" s="384" t="str">
        <f>'Notes-SK Cover sheet'!M19</f>
        <v>e</v>
      </c>
      <c r="N19" s="384" t="str">
        <f>'Notes-SK Cover sheet'!N19</f>
        <v>,</v>
      </c>
      <c r="O19" s="384" t="str">
        <f>'Notes-SK Cover sheet'!O19</f>
        <v>s</v>
      </c>
      <c r="P19" s="384" t="str">
        <f>'Notes-SK Cover sheet'!P19</f>
        <v>p</v>
      </c>
      <c r="Q19" s="384" t="str">
        <f>'Notes-SK Cover sheet'!Q19</f>
        <v>o</v>
      </c>
      <c r="R19" s="384" t="str">
        <f>'Notes-SK Cover sheet'!R19</f>
        <v>l</v>
      </c>
      <c r="S19" s="384" t="str">
        <f>'Notes-SK Cover sheet'!S19</f>
        <v>.</v>
      </c>
      <c r="T19" s="384" t="str">
        <f>'Notes-SK Cover sheet'!T19</f>
        <v xml:space="preserve"> </v>
      </c>
      <c r="U19" s="384" t="str">
        <f>'Notes-SK Cover sheet'!U19</f>
        <v>s</v>
      </c>
      <c r="V19" s="384" t="str">
        <f>'Notes-SK Cover sheet'!V19</f>
        <v xml:space="preserve"> </v>
      </c>
      <c r="W19" s="384" t="str">
        <f>'Notes-SK Cover sheet'!W19</f>
        <v>r</v>
      </c>
      <c r="X19" s="384" t="str">
        <f>'Notes-SK Cover sheet'!X19</f>
        <v>.</v>
      </c>
      <c r="Y19" s="384" t="str">
        <f>'Notes-SK Cover sheet'!Y19</f>
        <v>o</v>
      </c>
      <c r="Z19" s="384" t="str">
        <f>'Notes-SK Cover sheet'!Z19</f>
        <v>.</v>
      </c>
      <c r="AA19" s="384" t="str">
        <f>'Notes-SK Cover sheet'!AA19</f>
        <v/>
      </c>
      <c r="AB19" s="384" t="str">
        <f>'Notes-SK Cover sheet'!AB19</f>
        <v/>
      </c>
      <c r="AC19" s="384" t="str">
        <f>'Notes-SK Cover sheet'!AC19</f>
        <v/>
      </c>
      <c r="AD19" s="384" t="str">
        <f>'Notes-SK Cover sheet'!AD19</f>
        <v/>
      </c>
      <c r="AE19" s="384" t="str">
        <f>'Notes-SK Cover sheet'!AE19</f>
        <v/>
      </c>
      <c r="AF19" s="384" t="str">
        <f>'Notes-SK Cover sheet'!AF19</f>
        <v/>
      </c>
      <c r="AG19" s="384" t="str">
        <f>'Notes-SK Cover sheet'!AG19</f>
        <v/>
      </c>
      <c r="AH19" s="384" t="str">
        <f>'Notes-SK Cover sheet'!AH19</f>
        <v/>
      </c>
      <c r="AI19" s="384" t="str">
        <f>'Notes-SK Cover sheet'!AI19</f>
        <v/>
      </c>
      <c r="AJ19" s="384" t="str">
        <f>'Notes-SK Cover sheet'!AJ19</f>
        <v/>
      </c>
      <c r="AK19" s="391" t="str">
        <f>'Notes-SK Cover sheet'!AK19</f>
        <v/>
      </c>
    </row>
    <row r="20" spans="1:37" ht="19.5" customHeight="1" x14ac:dyDescent="0.25">
      <c r="A20" s="392" t="str">
        <f>'Notes-SK Cover sheet'!A20</f>
        <v/>
      </c>
      <c r="B20" s="384" t="str">
        <f>'Notes-SK Cover sheet'!B20</f>
        <v/>
      </c>
      <c r="C20" s="384" t="str">
        <f>'Notes-SK Cover sheet'!C20</f>
        <v/>
      </c>
      <c r="D20" s="384" t="str">
        <f>'Notes-SK Cover sheet'!D20</f>
        <v/>
      </c>
      <c r="E20" s="384" t="str">
        <f>'Notes-SK Cover sheet'!E20</f>
        <v/>
      </c>
      <c r="F20" s="384" t="str">
        <f>'Notes-SK Cover sheet'!F20</f>
        <v/>
      </c>
      <c r="G20" s="384" t="str">
        <f>'Notes-SK Cover sheet'!G20</f>
        <v/>
      </c>
      <c r="H20" s="384" t="str">
        <f>'Notes-SK Cover sheet'!H20</f>
        <v/>
      </c>
      <c r="I20" s="384" t="str">
        <f>'Notes-SK Cover sheet'!I20</f>
        <v/>
      </c>
      <c r="J20" s="384" t="str">
        <f>'Notes-SK Cover sheet'!J20</f>
        <v/>
      </c>
      <c r="K20" s="384" t="str">
        <f>'Notes-SK Cover sheet'!K20</f>
        <v/>
      </c>
      <c r="L20" s="384" t="str">
        <f>'Notes-SK Cover sheet'!L20</f>
        <v/>
      </c>
      <c r="M20" s="384" t="str">
        <f>'Notes-SK Cover sheet'!M20</f>
        <v/>
      </c>
      <c r="N20" s="384" t="str">
        <f>'Notes-SK Cover sheet'!N20</f>
        <v/>
      </c>
      <c r="O20" s="384" t="str">
        <f>'Notes-SK Cover sheet'!O20</f>
        <v/>
      </c>
      <c r="P20" s="384" t="str">
        <f>'Notes-SK Cover sheet'!P20</f>
        <v/>
      </c>
      <c r="Q20" s="384" t="str">
        <f>'Notes-SK Cover sheet'!Q20</f>
        <v/>
      </c>
      <c r="R20" s="384" t="str">
        <f>'Notes-SK Cover sheet'!R20</f>
        <v/>
      </c>
      <c r="S20" s="384" t="str">
        <f>'Notes-SK Cover sheet'!S20</f>
        <v/>
      </c>
      <c r="T20" s="384" t="str">
        <f>'Notes-SK Cover sheet'!T20</f>
        <v/>
      </c>
      <c r="U20" s="384" t="str">
        <f>'Notes-SK Cover sheet'!U20</f>
        <v/>
      </c>
      <c r="V20" s="384" t="str">
        <f>'Notes-SK Cover sheet'!V20</f>
        <v/>
      </c>
      <c r="W20" s="384" t="str">
        <f>'Notes-SK Cover sheet'!W20</f>
        <v/>
      </c>
      <c r="X20" s="384" t="str">
        <f>'Notes-SK Cover sheet'!X20</f>
        <v/>
      </c>
      <c r="Y20" s="384" t="str">
        <f>'Notes-SK Cover sheet'!Y20</f>
        <v/>
      </c>
      <c r="Z20" s="384" t="str">
        <f>'Notes-SK Cover sheet'!Z20</f>
        <v/>
      </c>
      <c r="AA20" s="384" t="str">
        <f>'Notes-SK Cover sheet'!AA20</f>
        <v/>
      </c>
      <c r="AB20" s="384" t="str">
        <f>'Notes-SK Cover sheet'!AB20</f>
        <v/>
      </c>
      <c r="AC20" s="384" t="str">
        <f>'Notes-SK Cover sheet'!AC20</f>
        <v/>
      </c>
      <c r="AD20" s="384" t="str">
        <f>'Notes-SK Cover sheet'!AD20</f>
        <v/>
      </c>
      <c r="AE20" s="384" t="str">
        <f>'Notes-SK Cover sheet'!AE20</f>
        <v/>
      </c>
      <c r="AF20" s="384" t="str">
        <f>'Notes-SK Cover sheet'!AF20</f>
        <v/>
      </c>
      <c r="AG20" s="384" t="str">
        <f>'Notes-SK Cover sheet'!AG20</f>
        <v/>
      </c>
      <c r="AH20" s="384" t="str">
        <f>'Notes-SK Cover sheet'!AH20</f>
        <v/>
      </c>
      <c r="AI20" s="384" t="str">
        <f>'Notes-SK Cover sheet'!AI20</f>
        <v/>
      </c>
      <c r="AJ20" s="384" t="str">
        <f>'Notes-SK Cover sheet'!AJ20</f>
        <v/>
      </c>
      <c r="AK20" s="391" t="str">
        <f>'Notes-SK Cover sheet'!AK20</f>
        <v/>
      </c>
    </row>
    <row r="21" spans="1:37" ht="14.2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37" hidden="1" x14ac:dyDescent="0.25">
      <c r="A22" s="404"/>
      <c r="B22" s="403"/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1"/>
    </row>
    <row r="23" spans="1:37" s="393" customFormat="1" ht="12" customHeight="1" x14ac:dyDescent="0.25">
      <c r="A23" s="397" t="s">
        <v>1248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37" ht="12.75" customHeight="1" x14ac:dyDescent="0.25">
      <c r="A24" s="389" t="s">
        <v>1249</v>
      </c>
      <c r="B24" s="742"/>
      <c r="C24" s="742"/>
      <c r="D24" s="742"/>
      <c r="E24" s="742"/>
      <c r="F24" s="742"/>
      <c r="G24" s="742"/>
      <c r="H24" s="742"/>
      <c r="I24" s="742"/>
      <c r="J24" s="742"/>
      <c r="K24" s="742"/>
      <c r="L24" s="742"/>
      <c r="M24" s="742"/>
      <c r="N24" s="742"/>
      <c r="O24" s="742"/>
      <c r="P24" s="742"/>
      <c r="Q24" s="742"/>
      <c r="R24" s="742"/>
      <c r="S24" s="742"/>
      <c r="T24" s="742"/>
      <c r="U24" s="742"/>
      <c r="V24" s="742"/>
      <c r="W24" s="342"/>
      <c r="X24" s="342"/>
      <c r="Y24" s="342"/>
      <c r="Z24" s="342"/>
      <c r="AA24" s="342"/>
      <c r="AB24" s="742"/>
      <c r="AC24" s="342"/>
      <c r="AD24" s="345" t="s">
        <v>1250</v>
      </c>
      <c r="AE24" s="342"/>
      <c r="AF24" s="342"/>
      <c r="AG24" s="342"/>
      <c r="AH24" s="342"/>
      <c r="AI24" s="342"/>
      <c r="AJ24" s="342"/>
      <c r="AK24" s="341"/>
    </row>
    <row r="25" spans="1:37" ht="19.5" customHeight="1" x14ac:dyDescent="0.25">
      <c r="A25" s="392" t="str">
        <f>'Notes-SK Cover sheet'!A25</f>
        <v>B</v>
      </c>
      <c r="B25" s="384" t="str">
        <f>'Notes-SK Cover sheet'!B25</f>
        <v>u</v>
      </c>
      <c r="C25" s="384" t="str">
        <f>'Notes-SK Cover sheet'!C25</f>
        <v>l</v>
      </c>
      <c r="D25" s="384" t="str">
        <f>'Notes-SK Cover sheet'!D25</f>
        <v>l</v>
      </c>
      <c r="E25" s="384" t="str">
        <f>'Notes-SK Cover sheet'!E25</f>
        <v>o</v>
      </c>
      <c r="F25" s="384" t="str">
        <f>'Notes-SK Cover sheet'!F25</f>
        <v>v</v>
      </c>
      <c r="G25" s="384" t="str">
        <f>'Notes-SK Cover sheet'!G25</f>
        <v>a</v>
      </c>
      <c r="H25" s="384" t="str">
        <f>'Notes-SK Cover sheet'!H25</f>
        <v/>
      </c>
      <c r="I25" s="384" t="str">
        <f>'Notes-SK Cover sheet'!I25</f>
        <v/>
      </c>
      <c r="J25" s="384" t="str">
        <f>'Notes-SK Cover sheet'!J25</f>
        <v/>
      </c>
      <c r="K25" s="384" t="str">
        <f>'Notes-SK Cover sheet'!K25</f>
        <v/>
      </c>
      <c r="L25" s="384" t="str">
        <f>'Notes-SK Cover sheet'!L25</f>
        <v/>
      </c>
      <c r="M25" s="384" t="str">
        <f>'Notes-SK Cover sheet'!M25</f>
        <v/>
      </c>
      <c r="N25" s="384" t="str">
        <f>'Notes-SK Cover sheet'!N25</f>
        <v/>
      </c>
      <c r="O25" s="384" t="str">
        <f>'Notes-SK Cover sheet'!O25</f>
        <v/>
      </c>
      <c r="P25" s="384" t="str">
        <f>'Notes-SK Cover sheet'!P25</f>
        <v/>
      </c>
      <c r="Q25" s="384" t="str">
        <f>'Notes-SK Cover sheet'!Q25</f>
        <v/>
      </c>
      <c r="R25" s="384" t="str">
        <f>'Notes-SK Cover sheet'!R25</f>
        <v/>
      </c>
      <c r="S25" s="384" t="str">
        <f>'Notes-SK Cover sheet'!S25</f>
        <v/>
      </c>
      <c r="T25" s="384" t="str">
        <f>'Notes-SK Cover sheet'!T25</f>
        <v/>
      </c>
      <c r="U25" s="384" t="str">
        <f>'Notes-SK Cover sheet'!U25</f>
        <v/>
      </c>
      <c r="V25" s="384" t="str">
        <f>'Notes-SK Cover sheet'!V25</f>
        <v/>
      </c>
      <c r="W25" s="384" t="str">
        <f>'Notes-SK Cover sheet'!W25</f>
        <v/>
      </c>
      <c r="X25" s="384" t="str">
        <f>'Notes-SK Cover sheet'!X25</f>
        <v/>
      </c>
      <c r="Y25" s="384" t="str">
        <f>'Notes-SK Cover sheet'!Y25</f>
        <v/>
      </c>
      <c r="Z25" s="384" t="str">
        <f>'Notes-SK Cover sheet'!Z25</f>
        <v/>
      </c>
      <c r="AA25" s="384" t="str">
        <f>'Notes-SK Cover sheet'!AA25</f>
        <v/>
      </c>
      <c r="AB25" s="384" t="str">
        <f>'Notes-SK Cover sheet'!AB25</f>
        <v/>
      </c>
      <c r="AC25" s="386"/>
      <c r="AD25" s="384" t="str">
        <f>'Notes-SK Cover sheet'!AD25</f>
        <v>1</v>
      </c>
      <c r="AE25" s="384" t="str">
        <f>'Notes-SK Cover sheet'!AE25</f>
        <v/>
      </c>
      <c r="AF25" s="384" t="str">
        <f>'Notes-SK Cover sheet'!AF25</f>
        <v/>
      </c>
      <c r="AG25" s="384" t="str">
        <f>'Notes-SK Cover sheet'!AG25</f>
        <v/>
      </c>
      <c r="AH25" s="384" t="str">
        <f>'Notes-SK Cover sheet'!AH25</f>
        <v/>
      </c>
      <c r="AI25" s="384" t="str">
        <f>'Notes-SK Cover sheet'!AI25</f>
        <v/>
      </c>
      <c r="AJ25" s="384" t="str">
        <f>'Notes-SK Cover sheet'!AJ25</f>
        <v/>
      </c>
      <c r="AK25" s="391" t="str">
        <f>'Notes-SK Cover sheet'!AK25</f>
        <v/>
      </c>
    </row>
    <row r="26" spans="1:37" ht="12.75" customHeight="1" x14ac:dyDescent="0.25">
      <c r="A26" s="389" t="s">
        <v>1555</v>
      </c>
      <c r="B26" s="742"/>
      <c r="C26" s="742"/>
      <c r="D26" s="742"/>
      <c r="E26" s="742"/>
      <c r="F26" s="742"/>
      <c r="G26" s="388" t="s">
        <v>1547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37" s="390" customFormat="1" ht="19.5" customHeight="1" x14ac:dyDescent="0.25">
      <c r="A27" s="392" t="str">
        <f>'Notes-SK Cover sheet'!A27</f>
        <v>8</v>
      </c>
      <c r="B27" s="384" t="str">
        <f>'Notes-SK Cover sheet'!B27</f>
        <v>4</v>
      </c>
      <c r="C27" s="384" t="str">
        <f>'Notes-SK Cover sheet'!C27</f>
        <v>1</v>
      </c>
      <c r="D27" s="384" t="str">
        <f>'Notes-SK Cover sheet'!D27</f>
        <v xml:space="preserve"> </v>
      </c>
      <c r="E27" s="384" t="str">
        <f>'Notes-SK Cover sheet'!E27</f>
        <v>0</v>
      </c>
      <c r="F27" s="384"/>
      <c r="G27" s="384" t="str">
        <f>'Notes-SK Cover sheet'!G27</f>
        <v>B</v>
      </c>
      <c r="H27" s="384" t="str">
        <f>'Notes-SK Cover sheet'!H27</f>
        <v>r</v>
      </c>
      <c r="I27" s="384" t="str">
        <f>'Notes-SK Cover sheet'!I27</f>
        <v>a</v>
      </c>
      <c r="J27" s="384" t="str">
        <f>'Notes-SK Cover sheet'!J27</f>
        <v>t</v>
      </c>
      <c r="K27" s="384" t="str">
        <f>'Notes-SK Cover sheet'!K27</f>
        <v>i</v>
      </c>
      <c r="L27" s="384" t="str">
        <f>'Notes-SK Cover sheet'!L27</f>
        <v>s</v>
      </c>
      <c r="M27" s="384" t="str">
        <f>'Notes-SK Cover sheet'!M27</f>
        <v>l</v>
      </c>
      <c r="N27" s="384" t="str">
        <f>'Notes-SK Cover sheet'!N27</f>
        <v>a</v>
      </c>
      <c r="O27" s="384" t="str">
        <f>'Notes-SK Cover sheet'!O27</f>
        <v>v</v>
      </c>
      <c r="P27" s="384" t="str">
        <f>'Notes-SK Cover sheet'!P27</f>
        <v>a</v>
      </c>
      <c r="Q27" s="384" t="str">
        <f>'Notes-SK Cover sheet'!Q27</f>
        <v/>
      </c>
      <c r="R27" s="384" t="str">
        <f>'Notes-SK Cover sheet'!R27</f>
        <v/>
      </c>
      <c r="S27" s="384" t="str">
        <f>'Notes-SK Cover sheet'!S27</f>
        <v/>
      </c>
      <c r="T27" s="384" t="str">
        <f>'Notes-SK Cover sheet'!T27</f>
        <v/>
      </c>
      <c r="U27" s="384" t="str">
        <f>'Notes-SK Cover sheet'!U27</f>
        <v/>
      </c>
      <c r="V27" s="384" t="str">
        <f>'Notes-SK Cover sheet'!V27</f>
        <v/>
      </c>
      <c r="W27" s="384" t="str">
        <f>'Notes-SK Cover sheet'!W27</f>
        <v/>
      </c>
      <c r="X27" s="384" t="str">
        <f>'Notes-SK Cover sheet'!X27</f>
        <v/>
      </c>
      <c r="Y27" s="384" t="str">
        <f>'Notes-SK Cover sheet'!Y27</f>
        <v/>
      </c>
      <c r="Z27" s="384" t="str">
        <f>'Notes-SK Cover sheet'!Z27</f>
        <v/>
      </c>
      <c r="AA27" s="384" t="str">
        <f>'Notes-SK Cover sheet'!AA27</f>
        <v/>
      </c>
      <c r="AB27" s="384" t="str">
        <f>'Notes-SK Cover sheet'!AB27</f>
        <v/>
      </c>
      <c r="AC27" s="384" t="str">
        <f>'Notes-SK Cover sheet'!AC27</f>
        <v/>
      </c>
      <c r="AD27" s="384" t="str">
        <f>'Notes-SK Cover sheet'!AD27</f>
        <v/>
      </c>
      <c r="AE27" s="384" t="str">
        <f>'Notes-SK Cover sheet'!AE27</f>
        <v/>
      </c>
      <c r="AF27" s="384" t="str">
        <f>'Notes-SK Cover sheet'!AF27</f>
        <v/>
      </c>
      <c r="AG27" s="384" t="str">
        <f>'Notes-SK Cover sheet'!AG27</f>
        <v/>
      </c>
      <c r="AH27" s="384" t="str">
        <f>'Notes-SK Cover sheet'!AH27</f>
        <v/>
      </c>
      <c r="AI27" s="384" t="str">
        <f>'Notes-SK Cover sheet'!AI27</f>
        <v/>
      </c>
      <c r="AJ27" s="384" t="str">
        <f>'Notes-SK Cover sheet'!AJ27</f>
        <v/>
      </c>
      <c r="AK27" s="391" t="str">
        <f>'Notes-SK Cover sheet'!AK27</f>
        <v/>
      </c>
    </row>
    <row r="28" spans="1:37" ht="12.75" customHeight="1" x14ac:dyDescent="0.25">
      <c r="A28" s="389" t="s">
        <v>1253</v>
      </c>
      <c r="B28" s="742"/>
      <c r="C28" s="742"/>
      <c r="D28" s="742"/>
      <c r="E28" s="742"/>
      <c r="F28" s="742"/>
      <c r="G28" s="388"/>
      <c r="H28" s="388"/>
      <c r="I28" s="388"/>
      <c r="J28" s="388"/>
      <c r="K28" s="388"/>
      <c r="L28" s="388"/>
      <c r="M28" s="388"/>
      <c r="N28" s="742"/>
      <c r="O28" s="388" t="s">
        <v>1254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37" ht="19.5" customHeight="1" x14ac:dyDescent="0.25">
      <c r="A29" s="387">
        <f>'Notes-SK Cover sheet'!A29</f>
        <v>0</v>
      </c>
      <c r="B29" s="384" t="str">
        <f>'Notes-SK Cover sheet'!B29</f>
        <v/>
      </c>
      <c r="C29" s="384" t="str">
        <f>'Notes-SK Cover sheet'!C29</f>
        <v/>
      </c>
      <c r="D29" s="384" t="str">
        <f>'Notes-SK Cover sheet'!D29</f>
        <v/>
      </c>
      <c r="E29" s="384" t="str">
        <f>'Notes-SK Cover sheet'!E29</f>
        <v>/</v>
      </c>
      <c r="F29" s="384" t="str">
        <f>'Notes-SK Cover sheet'!F29</f>
        <v/>
      </c>
      <c r="G29" s="384" t="str">
        <f>'Notes-SK Cover sheet'!G29</f>
        <v/>
      </c>
      <c r="H29" s="384" t="str">
        <f>'Notes-SK Cover sheet'!H29</f>
        <v/>
      </c>
      <c r="I29" s="384" t="str">
        <f>'Notes-SK Cover sheet'!I29</f>
        <v/>
      </c>
      <c r="J29" s="384" t="str">
        <f>'Notes-SK Cover sheet'!J29</f>
        <v/>
      </c>
      <c r="K29" s="384" t="str">
        <f>'Notes-SK Cover sheet'!K29</f>
        <v/>
      </c>
      <c r="L29" s="384" t="str">
        <f>'Notes-SK Cover sheet'!L29</f>
        <v/>
      </c>
      <c r="M29" s="384" t="str">
        <f>'Notes-SK Cover sheet'!M29</f>
        <v/>
      </c>
      <c r="N29" s="386"/>
      <c r="O29" s="385">
        <f>'Notes-SK Cover sheet'!O29</f>
        <v>0</v>
      </c>
      <c r="P29" s="384" t="str">
        <f>'Notes-SK Cover sheet'!P29</f>
        <v/>
      </c>
      <c r="Q29" s="384" t="str">
        <f>'Notes-SK Cover sheet'!Q29</f>
        <v/>
      </c>
      <c r="R29" s="384" t="str">
        <f>'Notes-SK Cover sheet'!R29</f>
        <v/>
      </c>
      <c r="S29" s="384" t="str">
        <f>'Notes-SK Cover sheet'!S29</f>
        <v>/</v>
      </c>
      <c r="T29" s="384" t="str">
        <f>'Notes-SK Cover sheet'!T29</f>
        <v/>
      </c>
      <c r="U29" s="384" t="str">
        <f>'Notes-SK Cover sheet'!U29</f>
        <v/>
      </c>
      <c r="V29" s="384" t="str">
        <f>'Notes-SK Cover sheet'!V29</f>
        <v/>
      </c>
      <c r="W29" s="384" t="str">
        <f>'Notes-SK Cover sheet'!W29</f>
        <v/>
      </c>
      <c r="X29" s="384" t="str">
        <f>'Notes-SK Cover sheet'!X29</f>
        <v/>
      </c>
      <c r="Y29" s="384" t="str">
        <f>'Notes-SK Cover sheet'!Y29</f>
        <v/>
      </c>
      <c r="Z29" s="384" t="str">
        <f>IF('Notes-SK Cover sheet'!Z29="","",'Notes-SK Cover sheet'!Z29)</f>
        <v/>
      </c>
      <c r="AA29" s="384" t="str">
        <f>IF('Notes-SK Cover sheet'!AA29="","",'Notes-SK Cover sheet'!AA29)</f>
        <v/>
      </c>
      <c r="AB29" s="384" t="str">
        <f>IF('Notes-SK Cover sheet'!AB29="","",'Notes-SK Cover sheet'!AB29)</f>
        <v/>
      </c>
      <c r="AC29" s="384" t="str">
        <f>IF('Notes-SK Cover sheet'!AC29="","",'Notes-SK Cover sheet'!AC29)</f>
        <v/>
      </c>
      <c r="AD29" s="384" t="str">
        <f>IF('Notes-SK Cover sheet'!AD29="","",'Notes-SK Cover sheet'!AD29)</f>
        <v/>
      </c>
      <c r="AE29" s="342" t="str">
        <f>IF('Notes-SK Cover sheet'!AE29="","",'Notes-SK Cover sheet'!AE29)</f>
        <v/>
      </c>
      <c r="AF29" s="342" t="str">
        <f>IF('Notes-SK Cover sheet'!AF29="","",'Notes-SK Cover sheet'!AF29)</f>
        <v/>
      </c>
      <c r="AG29" s="342" t="str">
        <f>IF('Notes-SK Cover sheet'!AG29="","",'Notes-SK Cover sheet'!AG29)</f>
        <v xml:space="preserve"> </v>
      </c>
      <c r="AH29" s="342" t="str">
        <f>IF('Notes-SK Cover sheet'!AH29="","",'Notes-SK Cover sheet'!AH29)</f>
        <v/>
      </c>
      <c r="AI29" s="342" t="str">
        <f>IF('Notes-SK Cover sheet'!AI29="","",'Notes-SK Cover sheet'!AI29)</f>
        <v/>
      </c>
      <c r="AJ29" s="342" t="str">
        <f>IF('Notes-SK Cover sheet'!AJ29="","",'Notes-SK Cover sheet'!AJ29)</f>
        <v/>
      </c>
      <c r="AK29" s="341" t="str">
        <f>IF('Notes-SK Cover sheet'!AK29="","",'Notes-SK Cover sheet'!AK29)</f>
        <v/>
      </c>
    </row>
    <row r="30" spans="1:37" s="334" customFormat="1" ht="12.75" customHeight="1" x14ac:dyDescent="0.25">
      <c r="A30" s="346" t="s">
        <v>1255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37" ht="19.5" customHeight="1" thickBot="1" x14ac:dyDescent="0.3">
      <c r="A31" s="383" t="str">
        <f>'Notes-SK Cover sheet'!A31</f>
        <v/>
      </c>
      <c r="B31" s="382" t="str">
        <f>'Notes-SK Cover sheet'!B31</f>
        <v/>
      </c>
      <c r="C31" s="382" t="str">
        <f>'Notes-SK Cover sheet'!C31</f>
        <v/>
      </c>
      <c r="D31" s="382" t="str">
        <f>'Notes-SK Cover sheet'!D31</f>
        <v/>
      </c>
      <c r="E31" s="382" t="str">
        <f>'Notes-SK Cover sheet'!E31</f>
        <v/>
      </c>
      <c r="F31" s="382" t="str">
        <f>'Notes-SK Cover sheet'!F31</f>
        <v/>
      </c>
      <c r="G31" s="382" t="str">
        <f>'Notes-SK Cover sheet'!G31</f>
        <v/>
      </c>
      <c r="H31" s="382" t="str">
        <f>'Notes-SK Cover sheet'!H31</f>
        <v/>
      </c>
      <c r="I31" s="382" t="str">
        <f>'Notes-SK Cover sheet'!I31</f>
        <v/>
      </c>
      <c r="J31" s="382" t="str">
        <f>'Notes-SK Cover sheet'!J31</f>
        <v/>
      </c>
      <c r="K31" s="382" t="str">
        <f>'Notes-SK Cover sheet'!K31</f>
        <v/>
      </c>
      <c r="L31" s="382" t="str">
        <f>'Notes-SK Cover sheet'!L31</f>
        <v/>
      </c>
      <c r="M31" s="382" t="str">
        <f>'Notes-SK Cover sheet'!M31</f>
        <v/>
      </c>
      <c r="N31" s="382" t="str">
        <f>'Notes-SK Cover sheet'!N31</f>
        <v/>
      </c>
      <c r="O31" s="382" t="str">
        <f>'Notes-SK Cover sheet'!O31</f>
        <v/>
      </c>
      <c r="P31" s="382" t="str">
        <f>'Notes-SK Cover sheet'!P31</f>
        <v/>
      </c>
      <c r="Q31" s="382" t="str">
        <f>'Notes-SK Cover sheet'!Q31</f>
        <v/>
      </c>
      <c r="R31" s="382" t="str">
        <f>'Notes-SK Cover sheet'!R31</f>
        <v/>
      </c>
      <c r="S31" s="382" t="str">
        <f>'Notes-SK Cover sheet'!S31</f>
        <v/>
      </c>
      <c r="T31" s="382" t="str">
        <f>'Notes-SK Cover sheet'!T31</f>
        <v/>
      </c>
      <c r="U31" s="382" t="str">
        <f>'Notes-SK Cover sheet'!U31</f>
        <v/>
      </c>
      <c r="V31" s="382" t="str">
        <f>'Notes-SK Cover sheet'!V31</f>
        <v/>
      </c>
      <c r="W31" s="382" t="str">
        <f>'Notes-SK Cover sheet'!W31</f>
        <v/>
      </c>
      <c r="X31" s="382" t="str">
        <f>'Notes-SK Cover sheet'!X31</f>
        <v/>
      </c>
      <c r="Y31" s="382" t="str">
        <f>'Notes-SK Cover sheet'!Y31</f>
        <v/>
      </c>
      <c r="Z31" s="382" t="str">
        <f>'Notes-SK Cover sheet'!Z31</f>
        <v/>
      </c>
      <c r="AA31" s="382" t="str">
        <f>'Notes-SK Cover sheet'!AA31</f>
        <v/>
      </c>
      <c r="AB31" s="382" t="str">
        <f>'Notes-SK Cover sheet'!AB31</f>
        <v/>
      </c>
      <c r="AC31" s="382" t="str">
        <f>'Notes-SK Cover sheet'!AC31</f>
        <v/>
      </c>
      <c r="AD31" s="382" t="str">
        <f>'Notes-SK Cover sheet'!AD31</f>
        <v/>
      </c>
      <c r="AE31" s="382" t="str">
        <f>'Notes-SK Cover sheet'!AE31</f>
        <v/>
      </c>
      <c r="AF31" s="382" t="str">
        <f>'Notes-SK Cover sheet'!AF31</f>
        <v/>
      </c>
      <c r="AG31" s="382" t="str">
        <f>'Notes-SK Cover sheet'!AG31</f>
        <v/>
      </c>
      <c r="AH31" s="382" t="str">
        <f>'Notes-SK Cover sheet'!AH31</f>
        <v/>
      </c>
      <c r="AI31" s="382" t="str">
        <f>'Notes-SK Cover sheet'!AI31</f>
        <v/>
      </c>
      <c r="AJ31" s="382" t="str">
        <f>'Notes-SK Cover sheet'!AJ31</f>
        <v/>
      </c>
      <c r="AK31" s="381" t="str">
        <f>'Notes-SK Cover sheet'!AK31</f>
        <v/>
      </c>
    </row>
    <row r="32" spans="1:37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37" s="377" customFormat="1" ht="12.75" customHeight="1" x14ac:dyDescent="0.25">
      <c r="A33" s="380" t="s">
        <v>1548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625" t="s">
        <v>1256</v>
      </c>
      <c r="M33" s="1626"/>
      <c r="N33" s="1626"/>
      <c r="O33" s="1626"/>
      <c r="P33" s="1626"/>
      <c r="Q33" s="1626"/>
      <c r="R33" s="1626"/>
      <c r="S33" s="1626"/>
      <c r="T33" s="1627"/>
      <c r="U33" s="1625" t="s">
        <v>1257</v>
      </c>
      <c r="V33" s="1626"/>
      <c r="W33" s="1626"/>
      <c r="X33" s="1626"/>
      <c r="Y33" s="1626"/>
      <c r="Z33" s="1626"/>
      <c r="AA33" s="1626"/>
      <c r="AB33" s="1627"/>
      <c r="AC33" s="1625" t="s">
        <v>1258</v>
      </c>
      <c r="AD33" s="1626"/>
      <c r="AE33" s="1626"/>
      <c r="AF33" s="1626"/>
      <c r="AG33" s="1626"/>
      <c r="AH33" s="1626"/>
      <c r="AI33" s="1626"/>
      <c r="AJ33" s="1626"/>
      <c r="AK33" s="1631"/>
    </row>
    <row r="34" spans="1:37" s="334" customFormat="1" ht="19.5" customHeight="1" x14ac:dyDescent="0.25">
      <c r="A34" s="363" t="str">
        <f>IF('Notes-SK Cover sheet'!A34="","",'Notes-SK Cover sheet'!A34)</f>
        <v>0</v>
      </c>
      <c r="B34" s="362" t="str">
        <f>IF('Notes-SK Cover sheet'!B34="","",'Notes-SK Cover sheet'!B34)</f>
        <v>0</v>
      </c>
      <c r="C34" s="361" t="str">
        <f>IF('Notes-SK Cover sheet'!C34="","",'Notes-SK Cover sheet'!C34)</f>
        <v>.</v>
      </c>
      <c r="D34" s="362" t="str">
        <f>IF('Notes-SK Cover sheet'!D34="","",'Notes-SK Cover sheet'!D34)</f>
        <v>0</v>
      </c>
      <c r="E34" s="362" t="str">
        <f>IF('Notes-SK Cover sheet'!E34="","",'Notes-SK Cover sheet'!E34)</f>
        <v>1</v>
      </c>
      <c r="F34" s="361" t="str">
        <f>IF('Notes-SK Cover sheet'!F34="","",'Notes-SK Cover sheet'!F34)</f>
        <v>.</v>
      </c>
      <c r="G34" s="360" t="str">
        <f>IF('Notes-SK Cover sheet'!G34="","",'Notes-SK Cover sheet'!G34)</f>
        <v>1</v>
      </c>
      <c r="H34" s="360" t="str">
        <f>IF('Notes-SK Cover sheet'!H34="","",'Notes-SK Cover sheet'!H34)</f>
        <v>9</v>
      </c>
      <c r="I34" s="360" t="str">
        <f>IF('Notes-SK Cover sheet'!I34="","",'Notes-SK Cover sheet'!I34)</f>
        <v>0</v>
      </c>
      <c r="J34" s="360" t="str">
        <f>IF('Notes-SK Cover sheet'!J34="","",'Notes-SK Cover sheet'!J34)</f>
        <v>0</v>
      </c>
      <c r="K34" s="376"/>
      <c r="L34" s="1628"/>
      <c r="M34" s="1629"/>
      <c r="N34" s="1629"/>
      <c r="O34" s="1629"/>
      <c r="P34" s="1629"/>
      <c r="Q34" s="1629"/>
      <c r="R34" s="1629"/>
      <c r="S34" s="1629"/>
      <c r="T34" s="1630"/>
      <c r="U34" s="1628"/>
      <c r="V34" s="1629"/>
      <c r="W34" s="1629"/>
      <c r="X34" s="1629"/>
      <c r="Y34" s="1629"/>
      <c r="Z34" s="1629"/>
      <c r="AA34" s="1629"/>
      <c r="AB34" s="1630"/>
      <c r="AC34" s="1628"/>
      <c r="AD34" s="1629"/>
      <c r="AE34" s="1629"/>
      <c r="AF34" s="1629"/>
      <c r="AG34" s="1629"/>
      <c r="AH34" s="1629"/>
      <c r="AI34" s="1629"/>
      <c r="AJ34" s="1629"/>
      <c r="AK34" s="1632"/>
    </row>
    <row r="35" spans="1:37" s="334" customFormat="1" ht="12.7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628"/>
      <c r="M35" s="1629"/>
      <c r="N35" s="1629"/>
      <c r="O35" s="1629"/>
      <c r="P35" s="1629"/>
      <c r="Q35" s="1629"/>
      <c r="R35" s="1629"/>
      <c r="S35" s="1629"/>
      <c r="T35" s="1630"/>
      <c r="U35" s="1628"/>
      <c r="V35" s="1629"/>
      <c r="W35" s="1629"/>
      <c r="X35" s="1629"/>
      <c r="Y35" s="1629"/>
      <c r="Z35" s="1629"/>
      <c r="AA35" s="1629"/>
      <c r="AB35" s="1630"/>
      <c r="AC35" s="1628"/>
      <c r="AD35" s="1629"/>
      <c r="AE35" s="1629"/>
      <c r="AF35" s="1629"/>
      <c r="AG35" s="1629"/>
      <c r="AH35" s="1629"/>
      <c r="AI35" s="1629"/>
      <c r="AJ35" s="1629"/>
      <c r="AK35" s="1632"/>
    </row>
    <row r="36" spans="1:37" s="334" customFormat="1" ht="12.75" customHeight="1" x14ac:dyDescent="0.25">
      <c r="A36" s="346" t="s">
        <v>1549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8"/>
      <c r="AE36" s="368"/>
      <c r="AF36" s="368"/>
      <c r="AG36" s="368"/>
      <c r="AH36" s="368"/>
      <c r="AI36" s="368"/>
      <c r="AJ36" s="368"/>
      <c r="AK36" s="744"/>
    </row>
    <row r="37" spans="1:37" s="334" customFormat="1" ht="19.5" customHeight="1" x14ac:dyDescent="0.25">
      <c r="A37" s="363" t="str">
        <f>IF('Notes-SK Cover sheet'!A37="","",'Notes-SK Cover sheet'!A37)</f>
        <v/>
      </c>
      <c r="B37" s="362" t="str">
        <f>IF('Notes-SK Cover sheet'!B37="","",'Notes-SK Cover sheet'!B37)</f>
        <v/>
      </c>
      <c r="C37" s="361" t="str">
        <f>IF('Notes-SK Cover sheet'!C37="","",'Notes-SK Cover sheet'!C37)</f>
        <v>.</v>
      </c>
      <c r="D37" s="362" t="str">
        <f>IF('Notes-SK Cover sheet'!D37="","",'Notes-SK Cover sheet'!D37)</f>
        <v/>
      </c>
      <c r="E37" s="362" t="str">
        <f>IF('Notes-SK Cover sheet'!E37="","",'Notes-SK Cover sheet'!E37)</f>
        <v/>
      </c>
      <c r="F37" s="361" t="str">
        <f>IF('Notes-SK Cover sheet'!F37="","",'Notes-SK Cover sheet'!F37)</f>
        <v>.</v>
      </c>
      <c r="G37" s="360" t="str">
        <f>IF('Notes-SK Cover sheet'!G37="","",'Notes-SK Cover sheet'!G37)</f>
        <v/>
      </c>
      <c r="H37" s="360" t="str">
        <f>IF('Notes-SK Cover sheet'!H37="","",'Notes-SK Cover sheet'!H37)</f>
        <v/>
      </c>
      <c r="I37" s="360" t="str">
        <f>IF('Notes-SK Cover sheet'!I37="","",'Notes-SK Cover sheet'!I37)</f>
        <v/>
      </c>
      <c r="J37" s="360" t="str">
        <f>IF('Notes-SK Cover sheet'!J37="","",'Notes-SK Cover sheet'!J37)</f>
        <v/>
      </c>
      <c r="K37" s="359"/>
      <c r="L37" s="358"/>
      <c r="M37" s="357"/>
      <c r="N37" s="357"/>
      <c r="O37" s="357"/>
      <c r="P37" s="357"/>
      <c r="Q37" s="357"/>
      <c r="R37" s="357"/>
      <c r="S37" s="357"/>
      <c r="T37" s="356"/>
      <c r="U37" s="358"/>
      <c r="V37" s="357"/>
      <c r="W37" s="357"/>
      <c r="X37" s="357"/>
      <c r="Y37" s="357"/>
      <c r="Z37" s="357"/>
      <c r="AA37" s="357"/>
      <c r="AB37" s="356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7" s="340" customFormat="1" ht="12.75" customHeigh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IF('Notes-SK Cover sheet'!L38="","",'Notes-SK Cover sheet'!L38)</f>
        <v>0</v>
      </c>
      <c r="M38" s="1634" t="str">
        <f>IF('Notes-SK Cover sheet'!M38="","",'Notes-SK Cover sheet'!M38)</f>
        <v/>
      </c>
      <c r="N38" s="1634" t="str">
        <f>IF('Notes-SK Cover sheet'!N38="","",'Notes-SK Cover sheet'!N38)</f>
        <v/>
      </c>
      <c r="O38" s="1634" t="str">
        <f>IF('Notes-SK Cover sheet'!O38="","",'Notes-SK Cover sheet'!O38)</f>
        <v/>
      </c>
      <c r="P38" s="1634" t="str">
        <f>IF('Notes-SK Cover sheet'!P38="","",'Notes-SK Cover sheet'!P38)</f>
        <v/>
      </c>
      <c r="Q38" s="1634" t="str">
        <f>IF('Notes-SK Cover sheet'!Q38="","",'Notes-SK Cover sheet'!Q38)</f>
        <v/>
      </c>
      <c r="R38" s="1634" t="str">
        <f>IF('Notes-SK Cover sheet'!R38="","",'Notes-SK Cover sheet'!R38)</f>
        <v/>
      </c>
      <c r="S38" s="1634" t="str">
        <f>IF('Notes-SK Cover sheet'!S38="","",'Notes-SK Cover sheet'!S38)</f>
        <v/>
      </c>
      <c r="T38" s="1635" t="str">
        <f>IF('Notes-SK Cover sheet'!T38="","",'Notes-SK Cover sheet'!T38)</f>
        <v/>
      </c>
      <c r="U38" s="1633" t="e">
        <f>IF('Notes-SK Cover sheet'!U38="","",'Notes-SK Cover sheet'!U38)</f>
        <v>#REF!</v>
      </c>
      <c r="V38" s="1634" t="str">
        <f>IF('Notes-SK Cover sheet'!V38="","",'Notes-SK Cover sheet'!V38)</f>
        <v/>
      </c>
      <c r="W38" s="1634" t="str">
        <f>IF('Notes-SK Cover sheet'!W38="","",'Notes-SK Cover sheet'!W38)</f>
        <v/>
      </c>
      <c r="X38" s="1634" t="str">
        <f>IF('Notes-SK Cover sheet'!X38="","",'Notes-SK Cover sheet'!X38)</f>
        <v/>
      </c>
      <c r="Y38" s="1634" t="str">
        <f>IF('Notes-SK Cover sheet'!Y38="","",'Notes-SK Cover sheet'!Y38)</f>
        <v/>
      </c>
      <c r="Z38" s="1634" t="str">
        <f>IF('Notes-SK Cover sheet'!Z38="","",'Notes-SK Cover sheet'!Z38)</f>
        <v/>
      </c>
      <c r="AA38" s="1634" t="str">
        <f>IF('Notes-SK Cover sheet'!AA38="","",'Notes-SK Cover sheet'!AA38)</f>
        <v/>
      </c>
      <c r="AB38" s="1635" t="str">
        <f>IF('Notes-SK Cover sheet'!AB38="","",'Notes-SK Cover sheet'!AB38)</f>
        <v/>
      </c>
      <c r="AC38" s="1636" t="e">
        <f>IF('Notes-SK Cover sheet'!AC38="","",'Notes-SK Cover sheet'!AC38)</f>
        <v>#REF!</v>
      </c>
      <c r="AD38" s="1634" t="str">
        <f>IF('Notes-SK Cover sheet'!AD38="","",'Notes-SK Cover sheet'!AD38)</f>
        <v/>
      </c>
      <c r="AE38" s="1634" t="str">
        <f>IF('Notes-SK Cover sheet'!AE38="","",'Notes-SK Cover sheet'!AE38)</f>
        <v/>
      </c>
      <c r="AF38" s="1634" t="str">
        <f>IF('Notes-SK Cover sheet'!AF38="","",'Notes-SK Cover sheet'!AF38)</f>
        <v/>
      </c>
      <c r="AG38" s="1634" t="str">
        <f>IF('Notes-SK Cover sheet'!AG38="","",'Notes-SK Cover sheet'!AG38)</f>
        <v/>
      </c>
      <c r="AH38" s="1634" t="str">
        <f>IF('Notes-SK Cover sheet'!AH38="","",'Notes-SK Cover sheet'!AH38)</f>
        <v/>
      </c>
      <c r="AI38" s="1634" t="str">
        <f>IF('Notes-SK Cover sheet'!AI38="","",'Notes-SK Cover sheet'!AI38)</f>
        <v/>
      </c>
      <c r="AJ38" s="1634" t="str">
        <f>IF('Notes-SK Cover sheet'!AJ38="","",'Notes-SK Cover sheet'!AJ38)</f>
        <v/>
      </c>
      <c r="AK38" s="1637" t="str">
        <f>IF('Notes-SK Cover sheet'!AK38="","",'Notes-SK Cover sheet'!AK38)</f>
        <v/>
      </c>
    </row>
    <row r="39" spans="1:37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7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7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7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7" s="340" customFormat="1" x14ac:dyDescent="0.25">
      <c r="B43" s="352" t="s">
        <v>1259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7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7" x14ac:dyDescent="0.25">
      <c r="B45" s="348"/>
      <c r="C45" s="742"/>
      <c r="D45" s="742"/>
      <c r="E45" s="742"/>
      <c r="F45" s="742"/>
      <c r="G45" s="742"/>
      <c r="H45" s="742"/>
      <c r="I45" s="742"/>
      <c r="J45" s="742"/>
      <c r="K45" s="742"/>
      <c r="L45" s="742"/>
      <c r="M45" s="742"/>
      <c r="N45" s="742"/>
      <c r="O45" s="742"/>
      <c r="P45" s="742"/>
      <c r="Q45" s="742"/>
      <c r="R45" s="742"/>
      <c r="S45" s="742"/>
      <c r="T45" s="742"/>
      <c r="U45" s="742"/>
      <c r="V45" s="742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7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7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7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1260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1261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31496062992125984" footer="0.23622047244094491"/>
  <pageSetup paperSize="9" orientation="portrait" r:id="rId1"/>
  <headerFooter>
    <oddFooter>&amp;LMF SR č. 25947/1/2010&amp;RPage 1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AL55"/>
  <sheetViews>
    <sheetView showGridLines="0" view="pageBreakPreview" zoomScaleNormal="100" zoomScaleSheetLayoutView="100" workbookViewId="0">
      <selection activeCell="X2" sqref="X2"/>
    </sheetView>
  </sheetViews>
  <sheetFormatPr defaultColWidth="9.140625" defaultRowHeight="12.75" x14ac:dyDescent="0.25"/>
  <cols>
    <col min="1" max="13" width="2.5703125" style="985" customWidth="1"/>
    <col min="14" max="14" width="3" style="985" customWidth="1"/>
    <col min="15" max="15" width="2.5703125" style="985" customWidth="1"/>
    <col min="16" max="16" width="3.5703125" style="985" customWidth="1"/>
    <col min="17" max="17" width="4.7109375" style="985" customWidth="1"/>
    <col min="18" max="36" width="2.5703125" style="985" customWidth="1"/>
    <col min="37" max="37" width="2.85546875" style="985" customWidth="1"/>
    <col min="38" max="38" width="1.85546875" style="985" customWidth="1"/>
    <col min="39" max="45" width="2.5703125" style="985" customWidth="1"/>
    <col min="46" max="46" width="7.7109375" style="985" customWidth="1"/>
    <col min="47" max="61" width="2.5703125" style="985" customWidth="1"/>
    <col min="62" max="16384" width="9.140625" style="985"/>
  </cols>
  <sheetData>
    <row r="1" spans="1:37" s="443" customFormat="1" ht="9.75" x14ac:dyDescent="0.25">
      <c r="C1" s="444" t="s">
        <v>1564</v>
      </c>
    </row>
    <row r="2" spans="1:37" s="340" customFormat="1" ht="21" customHeight="1" x14ac:dyDescent="0.25">
      <c r="C2" s="442" t="s">
        <v>1565</v>
      </c>
      <c r="D2" s="441"/>
      <c r="E2" s="441"/>
      <c r="F2" s="441"/>
      <c r="G2" s="441"/>
      <c r="H2" s="441"/>
      <c r="I2" s="441"/>
      <c r="J2" s="440"/>
      <c r="P2" s="439" t="s">
        <v>1769</v>
      </c>
    </row>
    <row r="3" spans="1:37" ht="13.5" thickBot="1" x14ac:dyDescent="0.3">
      <c r="O3" s="1016" t="s">
        <v>1770</v>
      </c>
      <c r="P3" s="1017"/>
      <c r="Q3" s="993"/>
      <c r="R3" s="993"/>
      <c r="S3" s="993"/>
      <c r="T3" s="993"/>
      <c r="U3" s="993"/>
      <c r="V3" s="993"/>
      <c r="W3" s="993"/>
      <c r="X3" s="993"/>
    </row>
    <row r="4" spans="1:37" ht="28.5" customHeight="1" thickBot="1" x14ac:dyDescent="0.3">
      <c r="M4" s="991" t="s">
        <v>1360</v>
      </c>
      <c r="N4" s="992"/>
      <c r="O4" s="992"/>
      <c r="P4" s="992"/>
      <c r="Q4" s="437" t="str">
        <f>+MID('Input data'!$B$11,1,1)</f>
        <v>3</v>
      </c>
      <c r="R4" s="437" t="str">
        <f>+MID('Input data'!$B$11,2,1)</f>
        <v>1</v>
      </c>
      <c r="S4" s="437" t="s">
        <v>955</v>
      </c>
      <c r="T4" s="437" t="str">
        <f>LEFT('Input data'!B13,1)</f>
        <v>1</v>
      </c>
      <c r="U4" s="437" t="str">
        <f>RIGHT('Input data'!B13,1)</f>
        <v>2</v>
      </c>
      <c r="V4" s="437" t="s">
        <v>955</v>
      </c>
      <c r="W4" s="437" t="str">
        <f>+LEFT('Input data'!$B$14,1)</f>
        <v>2</v>
      </c>
      <c r="X4" s="437" t="str">
        <f>+MID('Input data'!$B$14,2,1)</f>
        <v>0</v>
      </c>
      <c r="Y4" s="437" t="str">
        <f>+MID('Input data'!$B$14,3,1)</f>
        <v>1</v>
      </c>
      <c r="Z4" s="785" t="str">
        <f>+MID('Input data'!$B$14,4,1)</f>
        <v>4</v>
      </c>
    </row>
    <row r="5" spans="1:37" ht="6" customHeight="1" thickBot="1" x14ac:dyDescent="0.3"/>
    <row r="6" spans="1:37" s="430" customFormat="1" ht="14.25" customHeight="1" x14ac:dyDescent="0.25">
      <c r="A6" s="433" t="s">
        <v>1362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430" customFormat="1" ht="14.25" customHeight="1" x14ac:dyDescent="0.25">
      <c r="A7" s="691" t="s">
        <v>1363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  <c r="T7" s="692"/>
      <c r="U7" s="692"/>
      <c r="V7" s="692"/>
      <c r="W7" s="692"/>
      <c r="X7" s="692"/>
      <c r="Y7" s="692"/>
      <c r="Z7" s="692"/>
      <c r="AA7" s="692"/>
      <c r="AB7" s="692"/>
      <c r="AC7" s="692"/>
      <c r="AD7" s="692"/>
      <c r="AE7" s="692"/>
      <c r="AF7" s="692"/>
      <c r="AG7" s="692"/>
      <c r="AH7" s="692"/>
      <c r="AI7" s="692"/>
      <c r="AJ7" s="692"/>
      <c r="AK7" s="693"/>
    </row>
    <row r="8" spans="1:37" s="334" customFormat="1" ht="15" customHeight="1" x14ac:dyDescent="0.25">
      <c r="A8" s="694" t="s">
        <v>1364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429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5"/>
      <c r="AG8" s="345"/>
      <c r="AH8" s="345"/>
      <c r="AI8" s="345"/>
      <c r="AJ8" s="345"/>
      <c r="AK8" s="429"/>
    </row>
    <row r="9" spans="1:37" s="425" customFormat="1" ht="18" customHeight="1" thickBot="1" x14ac:dyDescent="0.3">
      <c r="A9" s="428" t="s">
        <v>959</v>
      </c>
      <c r="B9" s="427"/>
      <c r="C9" s="427"/>
      <c r="D9" s="427"/>
      <c r="E9" s="428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6"/>
      <c r="T9" s="427"/>
      <c r="U9" s="427"/>
      <c r="V9" s="427"/>
      <c r="W9" s="427"/>
      <c r="X9" s="427"/>
      <c r="Y9" s="427"/>
      <c r="Z9" s="427"/>
      <c r="AA9" s="427"/>
      <c r="AB9" s="427"/>
      <c r="AC9" s="427"/>
      <c r="AD9" s="427"/>
      <c r="AE9" s="427"/>
      <c r="AF9" s="427"/>
      <c r="AG9" s="427"/>
      <c r="AH9" s="427"/>
      <c r="AI9" s="427"/>
      <c r="AJ9" s="427"/>
      <c r="AK9" s="426"/>
    </row>
    <row r="10" spans="1:37" s="405" customFormat="1" ht="3.75" customHeight="1" thickBot="1" x14ac:dyDescent="0.3"/>
    <row r="11" spans="1:37" s="405" customFormat="1" ht="14.25" customHeight="1" x14ac:dyDescent="0.25">
      <c r="A11" s="407" t="s">
        <v>1366</v>
      </c>
      <c r="B11" s="406"/>
      <c r="C11" s="406"/>
      <c r="D11" s="406"/>
      <c r="E11" s="406"/>
      <c r="F11" s="406"/>
      <c r="G11" s="406"/>
      <c r="H11" s="406"/>
      <c r="I11" s="350"/>
      <c r="J11" s="349"/>
      <c r="K11" s="423" t="s">
        <v>1367</v>
      </c>
      <c r="L11" s="406"/>
      <c r="M11" s="424"/>
      <c r="N11" s="424"/>
      <c r="O11" s="424"/>
      <c r="P11" s="406"/>
      <c r="Q11" s="995" t="s">
        <v>1772</v>
      </c>
      <c r="R11" s="996"/>
      <c r="S11" s="997"/>
      <c r="T11" s="996"/>
      <c r="U11" s="996"/>
      <c r="V11" s="998"/>
      <c r="W11" s="987"/>
      <c r="X11" s="406"/>
      <c r="Y11" s="406"/>
      <c r="Z11" s="406"/>
      <c r="AA11" s="406"/>
      <c r="AB11" s="406"/>
      <c r="AC11" s="406"/>
      <c r="AD11" s="423" t="s">
        <v>1368</v>
      </c>
      <c r="AE11" s="423"/>
      <c r="AF11" s="423"/>
      <c r="AG11" s="423" t="s">
        <v>1369</v>
      </c>
      <c r="AH11" s="406"/>
      <c r="AI11" s="406"/>
      <c r="AJ11" s="406"/>
      <c r="AK11" s="422"/>
    </row>
    <row r="12" spans="1:37" s="405" customFormat="1" ht="19.5" customHeight="1" x14ac:dyDescent="0.2">
      <c r="A12" s="419" t="str">
        <f>LEFT('Input data'!C24,1)</f>
        <v>2</v>
      </c>
      <c r="B12" s="384" t="str">
        <f>MID('Input data'!$C$24,2,1)</f>
        <v>0</v>
      </c>
      <c r="C12" s="384" t="str">
        <f>MID('Input data'!$C$24,3,1)</f>
        <v>2</v>
      </c>
      <c r="D12" s="384" t="str">
        <f>MID('Input data'!$C$24,4,1)</f>
        <v>1</v>
      </c>
      <c r="E12" s="384" t="str">
        <f>MID('Input data'!$C$24,5,1)</f>
        <v>8</v>
      </c>
      <c r="F12" s="384" t="str">
        <f>MID('Input data'!$C$24,6,1)</f>
        <v>3</v>
      </c>
      <c r="G12" s="384" t="str">
        <f>MID('Input data'!$C$24,7,1)</f>
        <v>3</v>
      </c>
      <c r="H12" s="384" t="str">
        <f>MID('Input data'!$C$24,8,1)</f>
        <v>4</v>
      </c>
      <c r="I12" s="384" t="str">
        <f>MID('Input data'!$C$24,9,1)</f>
        <v>1</v>
      </c>
      <c r="J12" s="391" t="str">
        <f>MID('Input data'!$C$24,10,1)</f>
        <v>8</v>
      </c>
      <c r="K12" s="342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414"/>
      <c r="W12" s="988" t="s">
        <v>1370</v>
      </c>
      <c r="X12" s="413"/>
      <c r="Y12" s="408"/>
      <c r="Z12" s="408"/>
      <c r="AA12" s="408"/>
      <c r="AB12" s="413" t="s">
        <v>1371</v>
      </c>
      <c r="AC12" s="408"/>
      <c r="AD12" s="384" t="str">
        <f>MID('Input data'!$B$8,1,1)</f>
        <v>0</v>
      </c>
      <c r="AE12" s="384" t="str">
        <f>MID('Input data'!$B$8,2,1)</f>
        <v>1</v>
      </c>
      <c r="AF12" s="384"/>
      <c r="AG12" s="384" t="str">
        <f>MID('Input data'!$B$9,1,1)</f>
        <v>2</v>
      </c>
      <c r="AH12" s="384" t="str">
        <f>MID('Input data'!$B$9,2,1)</f>
        <v>0</v>
      </c>
      <c r="AI12" s="384" t="str">
        <f>MID('Input data'!$B$9,3,1)</f>
        <v>1</v>
      </c>
      <c r="AJ12" s="384" t="str">
        <f>MID('Input data'!$B$9,4,1)</f>
        <v>4</v>
      </c>
      <c r="AK12" s="414"/>
    </row>
    <row r="13" spans="1:37" s="405" customFormat="1" ht="19.5" customHeight="1" thickBot="1" x14ac:dyDescent="0.3">
      <c r="A13" s="346" t="s">
        <v>1372</v>
      </c>
      <c r="B13" s="408"/>
      <c r="C13" s="408"/>
      <c r="D13" s="408"/>
      <c r="E13" s="408"/>
      <c r="F13" s="408"/>
      <c r="G13" s="408"/>
      <c r="H13" s="342"/>
      <c r="I13" s="342"/>
      <c r="J13" s="341"/>
      <c r="K13" s="342"/>
      <c r="L13" s="421" t="str">
        <f>IF('Input data'!D7="x","x"," ")</f>
        <v xml:space="preserve"> </v>
      </c>
      <c r="M13" s="413" t="s">
        <v>1373</v>
      </c>
      <c r="N13" s="415"/>
      <c r="O13" s="415"/>
      <c r="P13" s="415"/>
      <c r="Q13" s="415"/>
      <c r="R13" s="421" t="str">
        <f>IF('Input data'!D17="x","x"," ")</f>
        <v xml:space="preserve"> </v>
      </c>
      <c r="S13" s="413" t="s">
        <v>1773</v>
      </c>
      <c r="T13" s="408"/>
      <c r="U13" s="408"/>
      <c r="V13" s="414"/>
      <c r="W13" s="420"/>
      <c r="X13" s="410"/>
      <c r="Y13" s="410"/>
      <c r="Z13" s="410"/>
      <c r="AA13" s="410"/>
      <c r="AB13" s="409" t="s">
        <v>1375</v>
      </c>
      <c r="AC13" s="410"/>
      <c r="AD13" s="382" t="str">
        <f>MID('Input data'!$B$13,1,1)</f>
        <v>1</v>
      </c>
      <c r="AE13" s="382" t="str">
        <f>MID('Input data'!$B$13,2,1)</f>
        <v>2</v>
      </c>
      <c r="AF13" s="382"/>
      <c r="AG13" s="382" t="str">
        <f>MID('Input data'!$B$14,1,1)</f>
        <v>2</v>
      </c>
      <c r="AH13" s="382" t="str">
        <f>MID('Input data'!$B$14,2,1)</f>
        <v>0</v>
      </c>
      <c r="AI13" s="382" t="str">
        <f>MID('Input data'!$B$14,3,1)</f>
        <v>1</v>
      </c>
      <c r="AJ13" s="382" t="str">
        <f>MID('Input data'!$B$14,4,1)</f>
        <v>4</v>
      </c>
      <c r="AK13" s="411"/>
    </row>
    <row r="14" spans="1:37" s="405" customFormat="1" ht="19.5" customHeight="1" x14ac:dyDescent="0.2">
      <c r="A14" s="419" t="str">
        <f>LEFT('Input data'!C26,1)</f>
        <v>3</v>
      </c>
      <c r="B14" s="384" t="str">
        <f>MID('Input data'!$C$26,2,1)</f>
        <v>5</v>
      </c>
      <c r="C14" s="384" t="str">
        <f>MID('Input data'!$C$26,3,1)</f>
        <v>8</v>
      </c>
      <c r="D14" s="384" t="str">
        <f>MID('Input data'!$C$26,4,1)</f>
        <v>8</v>
      </c>
      <c r="E14" s="384" t="str">
        <f>MID('Input data'!$C$26,5,1)</f>
        <v>2</v>
      </c>
      <c r="F14" s="384" t="str">
        <f>MID('Input data'!$C$26,6,1)</f>
        <v>7</v>
      </c>
      <c r="G14" s="384" t="str">
        <f>MID('Input data'!$C$26,7,1)</f>
        <v>0</v>
      </c>
      <c r="H14" s="384" t="str">
        <f>MID('Input data'!$C$26,8,1)</f>
        <v>1</v>
      </c>
      <c r="I14" s="342"/>
      <c r="J14" s="341"/>
      <c r="K14" s="342"/>
      <c r="L14" s="417" t="str">
        <f>IF('Input data'!D8="x","x", "")</f>
        <v/>
      </c>
      <c r="M14" s="413" t="s">
        <v>1376</v>
      </c>
      <c r="N14" s="415"/>
      <c r="O14" s="415"/>
      <c r="P14" s="415"/>
      <c r="Q14" s="415"/>
      <c r="R14" s="418" t="str">
        <f>IF('Input data'!D18="x","x"," ")</f>
        <v xml:space="preserve"> </v>
      </c>
      <c r="S14" s="413" t="s">
        <v>1774</v>
      </c>
      <c r="T14" s="408"/>
      <c r="U14" s="408"/>
      <c r="V14" s="414"/>
      <c r="W14" s="413"/>
      <c r="X14" s="408"/>
      <c r="Y14" s="345"/>
      <c r="Z14" s="342"/>
      <c r="AA14" s="342"/>
      <c r="AB14" s="415"/>
      <c r="AC14" s="342"/>
      <c r="AD14" s="417"/>
      <c r="AE14" s="417"/>
      <c r="AF14" s="417"/>
      <c r="AG14" s="417"/>
      <c r="AH14" s="417"/>
      <c r="AI14" s="417"/>
      <c r="AJ14" s="417"/>
      <c r="AK14" s="341"/>
    </row>
    <row r="15" spans="1:37" s="405" customFormat="1" ht="19.5" customHeight="1" x14ac:dyDescent="0.2">
      <c r="A15" s="346" t="s">
        <v>973</v>
      </c>
      <c r="B15" s="408"/>
      <c r="C15" s="408"/>
      <c r="D15" s="408"/>
      <c r="E15" s="408"/>
      <c r="F15" s="408"/>
      <c r="G15" s="408"/>
      <c r="H15" s="408"/>
      <c r="I15" s="342"/>
      <c r="J15" s="341"/>
      <c r="K15" s="342"/>
      <c r="L15" s="421" t="str">
        <f>IF('Input data'!D9="x","x"," ")</f>
        <v xml:space="preserve"> </v>
      </c>
      <c r="M15" s="994" t="s">
        <v>1771</v>
      </c>
      <c r="N15" s="415"/>
      <c r="O15" s="415"/>
      <c r="P15" s="415"/>
      <c r="Q15" s="415"/>
      <c r="R15" s="699" t="s">
        <v>1378</v>
      </c>
      <c r="T15" s="408"/>
      <c r="U15" s="408"/>
      <c r="V15" s="414"/>
      <c r="W15" s="413" t="s">
        <v>1379</v>
      </c>
      <c r="X15" s="408"/>
      <c r="Y15" s="345"/>
      <c r="Z15" s="342"/>
      <c r="AA15" s="342"/>
      <c r="AB15" s="413" t="s">
        <v>1371</v>
      </c>
      <c r="AC15" s="342"/>
      <c r="AD15" s="384" t="str">
        <f>MID('Input data'!$B$18,1,1)</f>
        <v>0</v>
      </c>
      <c r="AE15" s="384" t="str">
        <f>MID('Input data'!$B$18,2,1)</f>
        <v>1</v>
      </c>
      <c r="AF15" s="384"/>
      <c r="AG15" s="384" t="str">
        <f>MID('Input data'!$B$19,1,1)</f>
        <v>1</v>
      </c>
      <c r="AH15" s="384" t="str">
        <f>MID('Input data'!$B$19,2,1)</f>
        <v>9</v>
      </c>
      <c r="AI15" s="384" t="str">
        <f>MID('Input data'!$B$19,3,1)</f>
        <v>0</v>
      </c>
      <c r="AJ15" s="384" t="str">
        <f>MID('Input data'!$B$19,4,1)</f>
        <v>0</v>
      </c>
      <c r="AK15" s="341"/>
    </row>
    <row r="16" spans="1:37" s="405" customFormat="1" ht="19.5" customHeight="1" thickBot="1" x14ac:dyDescent="0.25">
      <c r="A16" s="412" t="str">
        <f>LEFT('Input data'!$F$7,1)</f>
        <v>5</v>
      </c>
      <c r="B16" s="337" t="str">
        <f>MID('Input data'!$F$7,2,1)</f>
        <v>9</v>
      </c>
      <c r="C16" s="410" t="s">
        <v>955</v>
      </c>
      <c r="D16" s="337" t="str">
        <f>MID('Input data'!$F$7,3,1)</f>
        <v>1</v>
      </c>
      <c r="E16" s="337" t="str">
        <f>MID('Input data'!$F$7,4,1)</f>
        <v>2</v>
      </c>
      <c r="F16" s="680" t="s">
        <v>955</v>
      </c>
      <c r="G16" s="337" t="str">
        <f>MID('Input data'!$F$7,5,1)</f>
        <v>0</v>
      </c>
      <c r="H16" s="337"/>
      <c r="I16" s="337"/>
      <c r="J16" s="336"/>
      <c r="K16" s="337"/>
      <c r="L16" s="786" t="str">
        <f>IF('Input data'!D10="x","x", "")</f>
        <v/>
      </c>
      <c r="M16" s="409"/>
      <c r="N16" s="787"/>
      <c r="O16" s="787"/>
      <c r="P16" s="337"/>
      <c r="Q16" s="337"/>
      <c r="R16" s="337"/>
      <c r="S16" s="337"/>
      <c r="T16" s="410"/>
      <c r="U16" s="410"/>
      <c r="V16" s="411"/>
      <c r="W16" s="409"/>
      <c r="X16" s="410"/>
      <c r="Y16" s="338"/>
      <c r="Z16" s="337"/>
      <c r="AA16" s="337"/>
      <c r="AB16" s="409" t="s">
        <v>1375</v>
      </c>
      <c r="AC16" s="337"/>
      <c r="AD16" s="382" t="str">
        <f>MID('Input data'!$B$21,1,1)</f>
        <v>0</v>
      </c>
      <c r="AE16" s="382" t="str">
        <f>MID('Input data'!$B$21,2,1)</f>
        <v>1</v>
      </c>
      <c r="AF16" s="382"/>
      <c r="AG16" s="382" t="str">
        <f>MID('Input data'!$B$22,1,1)</f>
        <v>1</v>
      </c>
      <c r="AH16" s="382" t="str">
        <f>MID('Input data'!$B$22,2,1)</f>
        <v>9</v>
      </c>
      <c r="AI16" s="382" t="str">
        <f>MID('Input data'!$B$22,3,1)</f>
        <v>0</v>
      </c>
      <c r="AJ16" s="382" t="str">
        <f>MID('Input data'!$B$22,4,1)</f>
        <v>0</v>
      </c>
      <c r="AK16" s="336"/>
    </row>
    <row r="17" spans="1:37" s="405" customFormat="1" ht="3.75" customHeight="1" thickBot="1" x14ac:dyDescent="0.3">
      <c r="A17" s="408"/>
      <c r="B17" s="408"/>
      <c r="C17" s="408"/>
      <c r="D17" s="408"/>
      <c r="E17" s="408"/>
      <c r="F17" s="406"/>
      <c r="G17" s="408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408"/>
      <c r="U17" s="408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</row>
    <row r="18" spans="1:37" s="405" customFormat="1" ht="17.100000000000001" customHeight="1" x14ac:dyDescent="0.25">
      <c r="A18" s="999" t="s">
        <v>1775</v>
      </c>
      <c r="B18" s="996"/>
      <c r="C18" s="996"/>
      <c r="D18" s="996"/>
      <c r="E18" s="996"/>
      <c r="F18" s="996"/>
      <c r="G18" s="996"/>
      <c r="H18" s="997"/>
      <c r="I18" s="997"/>
      <c r="J18" s="997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7" s="405" customFormat="1" ht="17.100000000000001" customHeight="1" x14ac:dyDescent="0.2">
      <c r="A19" s="789"/>
      <c r="B19" s="421" t="str">
        <f>IF('Input data'!D12="x","x"," ")</f>
        <v>x</v>
      </c>
      <c r="C19" s="994" t="s">
        <v>1776</v>
      </c>
      <c r="D19" s="1000"/>
      <c r="E19" s="1001"/>
      <c r="F19" s="1001"/>
      <c r="G19" s="1001"/>
      <c r="H19" s="342"/>
      <c r="I19" s="342"/>
      <c r="J19" s="342"/>
      <c r="K19" s="421" t="str">
        <f>IF('Input data'!D13="x","x"," ")</f>
        <v>x</v>
      </c>
      <c r="L19" s="994" t="s">
        <v>1777</v>
      </c>
      <c r="M19" s="1002"/>
      <c r="N19" s="1002"/>
      <c r="O19" s="1002"/>
      <c r="P19" s="1002"/>
      <c r="Q19" s="1002"/>
      <c r="R19" s="1002"/>
      <c r="S19" s="1002"/>
      <c r="T19" s="1001"/>
      <c r="U19" s="1001"/>
      <c r="V19" s="1001"/>
      <c r="W19" s="1003" t="str">
        <f>IF('Input data'!D14="x","x"," ")</f>
        <v>x</v>
      </c>
      <c r="X19" s="994" t="s">
        <v>1778</v>
      </c>
      <c r="Y19" s="994"/>
      <c r="Z19" s="1002"/>
      <c r="AA19" s="1002"/>
      <c r="AB19" s="1002"/>
      <c r="AC19" s="1002"/>
      <c r="AD19" s="1002"/>
      <c r="AE19" s="1002"/>
      <c r="AF19" s="1002"/>
      <c r="AG19" s="1002"/>
      <c r="AH19" s="342"/>
      <c r="AI19" s="342"/>
      <c r="AJ19" s="342"/>
      <c r="AK19" s="341"/>
    </row>
    <row r="20" spans="1:37" s="405" customFormat="1" ht="17.100000000000001" customHeight="1" thickBot="1" x14ac:dyDescent="0.25">
      <c r="A20" s="790"/>
      <c r="B20" s="410"/>
      <c r="C20" s="1004" t="s">
        <v>1779</v>
      </c>
      <c r="D20" s="1005"/>
      <c r="E20" s="1005"/>
      <c r="F20" s="1005"/>
      <c r="G20" s="1005"/>
      <c r="H20" s="337"/>
      <c r="I20" s="337"/>
      <c r="J20" s="337"/>
      <c r="K20" s="337"/>
      <c r="L20" s="1004" t="s">
        <v>1779</v>
      </c>
      <c r="M20" s="1006"/>
      <c r="N20" s="1006"/>
      <c r="O20" s="1006"/>
      <c r="P20" s="1006"/>
      <c r="Q20" s="337"/>
      <c r="R20" s="337"/>
      <c r="S20" s="337"/>
      <c r="T20" s="410"/>
      <c r="U20" s="410"/>
      <c r="V20" s="410"/>
      <c r="W20" s="337"/>
      <c r="X20" s="1004" t="s">
        <v>1780</v>
      </c>
      <c r="Y20" s="1004"/>
      <c r="Z20" s="1006"/>
      <c r="AA20" s="1006"/>
      <c r="AB20" s="1006"/>
      <c r="AC20" s="1006"/>
      <c r="AD20" s="1006"/>
      <c r="AE20" s="1006"/>
      <c r="AF20" s="1006"/>
      <c r="AG20" s="1006"/>
      <c r="AH20" s="1006"/>
      <c r="AI20" s="337"/>
      <c r="AJ20" s="337"/>
      <c r="AK20" s="336"/>
    </row>
    <row r="21" spans="1:37" s="405" customFormat="1" ht="3.75" customHeight="1" thickBot="1" x14ac:dyDescent="0.3"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</row>
    <row r="22" spans="1:37" s="405" customFormat="1" ht="16.5" x14ac:dyDescent="0.25">
      <c r="A22" s="407" t="s">
        <v>1380</v>
      </c>
      <c r="B22" s="406"/>
      <c r="C22" s="406"/>
      <c r="D22" s="406"/>
      <c r="E22" s="406"/>
      <c r="F22" s="406"/>
      <c r="G22" s="406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406"/>
      <c r="U22" s="406"/>
      <c r="V22" s="406"/>
      <c r="W22" s="350"/>
      <c r="X22" s="350"/>
      <c r="Y22" s="350"/>
      <c r="Z22" s="350"/>
      <c r="AA22" s="350"/>
      <c r="AB22" s="350"/>
      <c r="AC22" s="350"/>
      <c r="AD22" s="350"/>
      <c r="AE22" s="350"/>
      <c r="AF22" s="350"/>
      <c r="AG22" s="350"/>
      <c r="AH22" s="350"/>
      <c r="AI22" s="350"/>
      <c r="AJ22" s="350"/>
      <c r="AK22" s="349"/>
    </row>
    <row r="23" spans="1:37" s="405" customFormat="1" ht="19.5" customHeight="1" x14ac:dyDescent="0.25">
      <c r="A23" s="392" t="str">
        <f>+LEFT('Input data'!$F$3,1)</f>
        <v>M</v>
      </c>
      <c r="B23" s="384" t="str">
        <f>+MID('Input data'!$F$3,2,1)</f>
        <v>e</v>
      </c>
      <c r="C23" s="384" t="str">
        <f>+MID('Input data'!$F$3,3,1)</f>
        <v>d</v>
      </c>
      <c r="D23" s="384" t="str">
        <f>+MID('Input data'!$F$3,4,1)</f>
        <v>i</v>
      </c>
      <c r="E23" s="384" t="str">
        <f>+MID('Input data'!$F$3,5,1)</f>
        <v>c</v>
      </c>
      <c r="F23" s="384" t="str">
        <f>+MID('Input data'!$F$3,6,1)</f>
        <v>a</v>
      </c>
      <c r="G23" s="384" t="str">
        <f>+MID('Input data'!$F$3,7,1)</f>
        <v>l</v>
      </c>
      <c r="H23" s="384" t="str">
        <f>+MID('Input data'!$F$3,8,1)</f>
        <v xml:space="preserve"> </v>
      </c>
      <c r="I23" s="384" t="str">
        <f>+MID('Input data'!$F$3,9,1)</f>
        <v>T</v>
      </c>
      <c r="J23" s="384" t="str">
        <f>+MID('Input data'!$F$3,10,1)</f>
        <v>r</v>
      </c>
      <c r="K23" s="384" t="str">
        <f>+MID('Input data'!$F$3,11,1)</f>
        <v>a</v>
      </c>
      <c r="L23" s="384" t="str">
        <f>+MID('Input data'!$F$3,12,1)</f>
        <v>d</v>
      </c>
      <c r="M23" s="384" t="str">
        <f>+MID('Input data'!$F$3,13,1)</f>
        <v>e</v>
      </c>
      <c r="N23" s="384" t="str">
        <f>+MID('Input data'!$F$3,14,1)</f>
        <v>,</v>
      </c>
      <c r="O23" s="384" t="str">
        <f>+MID('Input data'!$F$3,15,1)</f>
        <v>s</v>
      </c>
      <c r="P23" s="384" t="str">
        <f>+MID('Input data'!$F$3,16,1)</f>
        <v>p</v>
      </c>
      <c r="Q23" s="384" t="str">
        <f>+MID('Input data'!$F$3,17,1)</f>
        <v>o</v>
      </c>
      <c r="R23" s="384" t="str">
        <f>+MID('Input data'!$F$3,18,1)</f>
        <v>l</v>
      </c>
      <c r="S23" s="384" t="str">
        <f>+MID('Input data'!$F$3,19,1)</f>
        <v>.</v>
      </c>
      <c r="T23" s="384" t="str">
        <f>+MID('Input data'!$F$3,20,1)</f>
        <v xml:space="preserve"> </v>
      </c>
      <c r="U23" s="384" t="str">
        <f>+MID('Input data'!$F$3,21,1)</f>
        <v>s</v>
      </c>
      <c r="V23" s="384" t="str">
        <f>+MID('Input data'!$F$3,22,1)</f>
        <v xml:space="preserve"> </v>
      </c>
      <c r="W23" s="384" t="str">
        <f>+MID('Input data'!$F$3,23,1)</f>
        <v>r</v>
      </c>
      <c r="X23" s="384" t="str">
        <f>+MID('Input data'!$F$3,24,1)</f>
        <v>.</v>
      </c>
      <c r="Y23" s="384" t="str">
        <f>+MID('Input data'!$F$3,25,1)</f>
        <v>o</v>
      </c>
      <c r="Z23" s="384" t="str">
        <f>+MID('Input data'!$F$3,26,1)</f>
        <v>.</v>
      </c>
      <c r="AA23" s="384" t="str">
        <f>+MID('Input data'!$F$3,27,1)</f>
        <v/>
      </c>
      <c r="AB23" s="384" t="str">
        <f>+MID('Input data'!$F$3,28,1)</f>
        <v/>
      </c>
      <c r="AC23" s="384" t="str">
        <f>+MID('Input data'!$F$3,29,1)</f>
        <v/>
      </c>
      <c r="AD23" s="384" t="str">
        <f>+MID('Input data'!$F$3,30,1)</f>
        <v/>
      </c>
      <c r="AE23" s="384" t="str">
        <f>+MID('Input data'!$F$3,31,1)</f>
        <v/>
      </c>
      <c r="AF23" s="384" t="str">
        <f>+MID('Input data'!$F$3,32,1)</f>
        <v/>
      </c>
      <c r="AG23" s="384" t="str">
        <f>+MID('Input data'!$F$3,33,1)</f>
        <v/>
      </c>
      <c r="AH23" s="384" t="str">
        <f>+MID('Input data'!$F$3,34,1)</f>
        <v/>
      </c>
      <c r="AI23" s="384" t="str">
        <f>+MID('Input data'!$F$3,35,1)</f>
        <v/>
      </c>
      <c r="AJ23" s="384" t="str">
        <f>+MID('Input data'!$F$3,36,1)</f>
        <v/>
      </c>
      <c r="AK23" s="391" t="str">
        <f>+MID('Input data'!$F$3,37,1)</f>
        <v/>
      </c>
    </row>
    <row r="24" spans="1:37" ht="19.5" customHeight="1" x14ac:dyDescent="0.25">
      <c r="A24" s="392" t="str">
        <f>+MID('Input data'!$F$3,38,1)</f>
        <v/>
      </c>
      <c r="B24" s="384" t="str">
        <f>+MID('Input data'!$F$3,39,1)</f>
        <v/>
      </c>
      <c r="C24" s="384" t="str">
        <f>+MID('Input data'!$F$3,40,1)</f>
        <v/>
      </c>
      <c r="D24" s="384" t="str">
        <f>+MID('Input data'!$F$3,41,1)</f>
        <v/>
      </c>
      <c r="E24" s="384" t="str">
        <f>+MID('Input data'!$F$3,42,1)</f>
        <v/>
      </c>
      <c r="F24" s="384" t="str">
        <f>+MID('Input data'!$F$3,43,1)</f>
        <v/>
      </c>
      <c r="G24" s="384" t="str">
        <f>+MID('Input data'!$F$3,44,1)</f>
        <v/>
      </c>
      <c r="H24" s="384" t="str">
        <f>+MID('Input data'!$F$3,45,1)</f>
        <v/>
      </c>
      <c r="I24" s="384" t="str">
        <f>+MID('Input data'!$F$3,46,1)</f>
        <v/>
      </c>
      <c r="J24" s="384" t="str">
        <f>+MID('Input data'!$F$3,47,1)</f>
        <v/>
      </c>
      <c r="K24" s="384" t="str">
        <f>+MID('Input data'!$F$3,48,1)</f>
        <v/>
      </c>
      <c r="L24" s="384" t="str">
        <f>+MID('Input data'!$F$3,49,1)</f>
        <v/>
      </c>
      <c r="M24" s="384" t="str">
        <f>+MID('Input data'!$F$3,50,1)</f>
        <v/>
      </c>
      <c r="N24" s="384" t="str">
        <f>+MID('Input data'!$F$3,51,1)</f>
        <v/>
      </c>
      <c r="O24" s="384" t="str">
        <f>+MID('Input data'!$F$3,52,1)</f>
        <v/>
      </c>
      <c r="P24" s="384" t="str">
        <f>+MID('Input data'!$F$3,53,1)</f>
        <v/>
      </c>
      <c r="Q24" s="384" t="str">
        <f>+MID('Input data'!$F$3,54,1)</f>
        <v/>
      </c>
      <c r="R24" s="384" t="str">
        <f>+MID('Input data'!$F$3,55,1)</f>
        <v/>
      </c>
      <c r="S24" s="384" t="str">
        <f>+MID('Input data'!$F$3,56,1)</f>
        <v/>
      </c>
      <c r="T24" s="384" t="str">
        <f>+MID('Input data'!$F$3,57,1)</f>
        <v/>
      </c>
      <c r="U24" s="384" t="str">
        <f>+MID('Input data'!$F$3,58,1)</f>
        <v/>
      </c>
      <c r="V24" s="384" t="str">
        <f>+MID('Input data'!$F$3,59,1)</f>
        <v/>
      </c>
      <c r="W24" s="384" t="str">
        <f>+MID('Input data'!$F$3,60,1)</f>
        <v/>
      </c>
      <c r="X24" s="384" t="str">
        <f>+MID('Input data'!$F$3,61,1)</f>
        <v/>
      </c>
      <c r="Y24" s="384" t="str">
        <f>+MID('Input data'!$F$3,62,1)</f>
        <v/>
      </c>
      <c r="Z24" s="384" t="str">
        <f>+MID('Input data'!$F$3,63,1)</f>
        <v/>
      </c>
      <c r="AA24" s="384" t="str">
        <f>+MID('Input data'!$F$3,64,1)</f>
        <v/>
      </c>
      <c r="AB24" s="384" t="str">
        <f>+MID('Input data'!$F$3,65,1)</f>
        <v/>
      </c>
      <c r="AC24" s="384" t="str">
        <f>+MID('Input data'!$F$3,66,1)</f>
        <v/>
      </c>
      <c r="AD24" s="384" t="str">
        <f>+MID('Input data'!$F$3,67,1)</f>
        <v/>
      </c>
      <c r="AE24" s="384" t="str">
        <f>+MID('Input data'!$F$3,68,1)</f>
        <v/>
      </c>
      <c r="AF24" s="384" t="str">
        <f>+MID('Input data'!$F$3,69,1)</f>
        <v/>
      </c>
      <c r="AG24" s="384" t="str">
        <f>+MID('Input data'!$F$3,70,1)</f>
        <v/>
      </c>
      <c r="AH24" s="384" t="str">
        <f>+MID('Input data'!$F$3,71,1)</f>
        <v/>
      </c>
      <c r="AI24" s="384" t="str">
        <f>+MID('Input data'!$F$3,72,1)</f>
        <v/>
      </c>
      <c r="AJ24" s="384" t="str">
        <f>+MID('Input data'!$F$3,73,1)</f>
        <v/>
      </c>
      <c r="AK24" s="391" t="str">
        <f>+MID('Input data'!$F$3,74,1)</f>
        <v/>
      </c>
    </row>
    <row r="25" spans="1:37" ht="14.25" customHeight="1" x14ac:dyDescent="0.25">
      <c r="A25" s="404"/>
      <c r="B25" s="403"/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1"/>
    </row>
    <row r="26" spans="1:37" ht="19.5" hidden="1" customHeight="1" x14ac:dyDescent="0.25">
      <c r="A26" s="400"/>
      <c r="B26" s="399"/>
      <c r="C26" s="399"/>
      <c r="D26" s="399"/>
      <c r="E26" s="399"/>
      <c r="F26" s="399"/>
      <c r="G26" s="399" t="e">
        <f>+MID('Input data'!#REF!,7,1)</f>
        <v>#REF!</v>
      </c>
      <c r="H26" s="399" t="e">
        <f>+MID('Input data'!#REF!,8,1)</f>
        <v>#REF!</v>
      </c>
      <c r="I26" s="399" t="e">
        <f>+MID('Input data'!#REF!,9,1)</f>
        <v>#REF!</v>
      </c>
      <c r="J26" s="399" t="e">
        <f>+MID('Input data'!#REF!,10,1)</f>
        <v>#REF!</v>
      </c>
      <c r="K26" s="399" t="e">
        <f>+MID('Input data'!#REF!,11,1)</f>
        <v>#REF!</v>
      </c>
      <c r="L26" s="399" t="e">
        <f>+MID('Input data'!#REF!,12,1)</f>
        <v>#REF!</v>
      </c>
      <c r="M26" s="399" t="e">
        <f>+MID('Input data'!#REF!,13,1)</f>
        <v>#REF!</v>
      </c>
      <c r="N26" s="399" t="e">
        <f>+MID('Input data'!#REF!,14,1)</f>
        <v>#REF!</v>
      </c>
      <c r="O26" s="399" t="e">
        <f>+MID('Input data'!#REF!,15,1)</f>
        <v>#REF!</v>
      </c>
      <c r="P26" s="399" t="e">
        <f>+MID('Input data'!#REF!,16,1)</f>
        <v>#REF!</v>
      </c>
      <c r="Q26" s="399" t="e">
        <f>+MID('Input data'!#REF!,17,1)</f>
        <v>#REF!</v>
      </c>
      <c r="R26" s="399" t="e">
        <f>+MID('Input data'!#REF!,18,1)</f>
        <v>#REF!</v>
      </c>
      <c r="S26" s="399" t="e">
        <f>+MID('Input data'!#REF!,19,1)</f>
        <v>#REF!</v>
      </c>
      <c r="T26" s="399" t="e">
        <f>+MID('Input data'!#REF!,20,1)</f>
        <v>#REF!</v>
      </c>
      <c r="U26" s="399" t="e">
        <f>+MID('Input data'!#REF!,21,1)</f>
        <v>#REF!</v>
      </c>
      <c r="V26" s="399" t="e">
        <f>+MID('Input data'!#REF!,22,1)</f>
        <v>#REF!</v>
      </c>
      <c r="W26" s="399" t="e">
        <f>+MID('Input data'!#REF!,23,1)</f>
        <v>#REF!</v>
      </c>
      <c r="X26" s="399" t="e">
        <f>+MID('Input data'!#REF!,24,1)</f>
        <v>#REF!</v>
      </c>
      <c r="Y26" s="399" t="e">
        <f>+MID('Input data'!#REF!,25,1)</f>
        <v>#REF!</v>
      </c>
      <c r="Z26" s="399" t="e">
        <f>+MID('Input data'!#REF!,26,1)</f>
        <v>#REF!</v>
      </c>
      <c r="AA26" s="399" t="e">
        <f>+MID('Input data'!#REF!,27,1)</f>
        <v>#REF!</v>
      </c>
      <c r="AB26" s="399" t="e">
        <f>+MID('Input data'!#REF!,28,1)</f>
        <v>#REF!</v>
      </c>
      <c r="AC26" s="399" t="e">
        <f>+MID('Input data'!#REF!,29,1)</f>
        <v>#REF!</v>
      </c>
      <c r="AD26" s="399" t="e">
        <f>+MID('Input data'!#REF!,30,1)</f>
        <v>#REF!</v>
      </c>
      <c r="AE26" s="399" t="e">
        <f>+MID('Input data'!#REF!,31,1)</f>
        <v>#REF!</v>
      </c>
      <c r="AF26" s="399" t="e">
        <f>+MID('Input data'!#REF!,32,1)</f>
        <v>#REF!</v>
      </c>
      <c r="AG26" s="399" t="e">
        <f>+MID('Input data'!#REF!,33,1)</f>
        <v>#REF!</v>
      </c>
      <c r="AH26" s="399" t="e">
        <f>+MID('Input data'!#REF!,34,1)</f>
        <v>#REF!</v>
      </c>
      <c r="AI26" s="399" t="e">
        <f>+MID('Input data'!#REF!,35,1)</f>
        <v>#REF!</v>
      </c>
      <c r="AJ26" s="399" t="e">
        <f>+MID('Input data'!#REF!,36,1)</f>
        <v>#REF!</v>
      </c>
      <c r="AK26" s="398" t="e">
        <f>+MID('Input data'!#REF!,37,1)</f>
        <v>#REF!</v>
      </c>
    </row>
    <row r="27" spans="1:37" s="393" customFormat="1" ht="12" customHeight="1" x14ac:dyDescent="0.25">
      <c r="A27" s="702" t="s">
        <v>1381</v>
      </c>
      <c r="B27" s="702"/>
      <c r="C27" s="396"/>
      <c r="D27" s="396"/>
      <c r="E27" s="396"/>
      <c r="F27" s="396"/>
      <c r="G27" s="396"/>
      <c r="H27" s="396"/>
      <c r="I27" s="396"/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  <c r="AI27" s="395"/>
      <c r="AJ27" s="395"/>
      <c r="AK27" s="394"/>
    </row>
    <row r="28" spans="1:37" x14ac:dyDescent="0.25">
      <c r="A28" s="389" t="s">
        <v>1382</v>
      </c>
      <c r="B28" s="990"/>
      <c r="C28" s="990"/>
      <c r="D28" s="990"/>
      <c r="E28" s="990"/>
      <c r="F28" s="990"/>
      <c r="G28" s="990"/>
      <c r="H28" s="990"/>
      <c r="I28" s="990"/>
      <c r="J28" s="990"/>
      <c r="K28" s="990"/>
      <c r="L28" s="990"/>
      <c r="M28" s="990"/>
      <c r="N28" s="990"/>
      <c r="O28" s="990"/>
      <c r="P28" s="990"/>
      <c r="Q28" s="990"/>
      <c r="R28" s="990"/>
      <c r="S28" s="990"/>
      <c r="T28" s="990"/>
      <c r="U28" s="990"/>
      <c r="V28" s="990"/>
      <c r="W28" s="342"/>
      <c r="X28" s="342"/>
      <c r="Y28" s="342"/>
      <c r="Z28" s="342"/>
      <c r="AA28" s="342"/>
      <c r="AB28" s="990"/>
      <c r="AC28" s="342"/>
      <c r="AD28" s="345" t="s">
        <v>1383</v>
      </c>
      <c r="AE28" s="342"/>
      <c r="AF28" s="342"/>
      <c r="AG28" s="342"/>
      <c r="AH28" s="342"/>
      <c r="AI28" s="342"/>
      <c r="AJ28" s="342"/>
      <c r="AK28" s="341"/>
    </row>
    <row r="29" spans="1:37" ht="19.5" customHeight="1" x14ac:dyDescent="0.25">
      <c r="A29" s="392" t="str">
        <f>+LEFT('Input data'!$C$28,1)</f>
        <v>B</v>
      </c>
      <c r="B29" s="384" t="str">
        <f>+MID('Input data'!$C$28,2,1)</f>
        <v>u</v>
      </c>
      <c r="C29" s="384" t="str">
        <f>+MID('Input data'!$C$28,3,1)</f>
        <v>l</v>
      </c>
      <c r="D29" s="384" t="str">
        <f>+MID('Input data'!$C$28,4,1)</f>
        <v>l</v>
      </c>
      <c r="E29" s="384" t="str">
        <f>+MID('Input data'!$C$28,5,1)</f>
        <v>o</v>
      </c>
      <c r="F29" s="384" t="str">
        <f>+MID('Input data'!$C$28,6,1)</f>
        <v>v</v>
      </c>
      <c r="G29" s="384" t="str">
        <f>+MID('Input data'!$C$28,7,1)</f>
        <v>a</v>
      </c>
      <c r="H29" s="384" t="str">
        <f>+MID('Input data'!$C$28,8,1)</f>
        <v/>
      </c>
      <c r="I29" s="384" t="str">
        <f>+MID('Input data'!$C$28,9,1)</f>
        <v/>
      </c>
      <c r="J29" s="384" t="str">
        <f>+MID('Input data'!$C$28,10,1)</f>
        <v/>
      </c>
      <c r="K29" s="384" t="str">
        <f>+MID('Input data'!$C$28,11,1)</f>
        <v/>
      </c>
      <c r="L29" s="384" t="str">
        <f>+MID('Input data'!$C$28,12,1)</f>
        <v/>
      </c>
      <c r="M29" s="384" t="str">
        <f>+MID('Input data'!$C$28,13,1)</f>
        <v/>
      </c>
      <c r="N29" s="384" t="str">
        <f>+MID('Input data'!$C$28,14,1)</f>
        <v/>
      </c>
      <c r="O29" s="384" t="str">
        <f>+MID('Input data'!$C$28,15,1)</f>
        <v/>
      </c>
      <c r="P29" s="384" t="str">
        <f>+MID('Input data'!$C$28,16,1)</f>
        <v/>
      </c>
      <c r="Q29" s="384" t="str">
        <f>+MID('Input data'!$C$28,17,1)</f>
        <v/>
      </c>
      <c r="R29" s="384" t="str">
        <f>+MID('Input data'!$C$28,18,1)</f>
        <v/>
      </c>
      <c r="S29" s="384" t="str">
        <f>+MID('Input data'!$C$28,19,1)</f>
        <v/>
      </c>
      <c r="T29" s="384" t="str">
        <f>+MID('Input data'!$C$28,20,1)</f>
        <v/>
      </c>
      <c r="U29" s="384" t="str">
        <f>+MID('Input data'!$C$28,21,1)</f>
        <v/>
      </c>
      <c r="V29" s="384" t="str">
        <f>+MID('Input data'!$C$28,22,1)</f>
        <v/>
      </c>
      <c r="W29" s="384" t="str">
        <f>+MID('Input data'!$C$28,23,1)</f>
        <v/>
      </c>
      <c r="X29" s="384" t="str">
        <f>+MID('Input data'!$C$28,24,1)</f>
        <v/>
      </c>
      <c r="Y29" s="384" t="str">
        <f>+MID('Input data'!$C$28,25,1)</f>
        <v/>
      </c>
      <c r="Z29" s="384" t="str">
        <f>+MID('Input data'!$C$28,26,1)</f>
        <v/>
      </c>
      <c r="AA29" s="384" t="str">
        <f>+MID('Input data'!$C$28,27,1)</f>
        <v/>
      </c>
      <c r="AB29" s="384" t="str">
        <f>+MID('Input data'!$C$28,28,1)</f>
        <v/>
      </c>
      <c r="AC29" s="386"/>
      <c r="AD29" s="384" t="str">
        <f>+LEFT('Input data'!$C$30,1)</f>
        <v>1</v>
      </c>
      <c r="AE29" s="384" t="str">
        <f>+MID('Input data'!$C$30,2,1)</f>
        <v/>
      </c>
      <c r="AF29" s="384" t="str">
        <f>+MID('Input data'!$C$30,3,1)</f>
        <v/>
      </c>
      <c r="AG29" s="384" t="str">
        <f>+MID('Input data'!$C$30,4,1)</f>
        <v/>
      </c>
      <c r="AH29" s="384" t="str">
        <f>+MID('Input data'!$C$30,5,1)</f>
        <v/>
      </c>
      <c r="AI29" s="384" t="str">
        <f>+MID('Input data'!$C$30,6,1)</f>
        <v/>
      </c>
      <c r="AJ29" s="384" t="str">
        <f>+MID('Input data'!$C$30,7,1)</f>
        <v/>
      </c>
      <c r="AK29" s="391" t="str">
        <f>+MID('Input data'!$C$30,8,1)</f>
        <v/>
      </c>
    </row>
    <row r="30" spans="1:37" x14ac:dyDescent="0.25">
      <c r="A30" s="389" t="s">
        <v>1384</v>
      </c>
      <c r="B30" s="990"/>
      <c r="C30" s="990"/>
      <c r="D30" s="990"/>
      <c r="E30" s="990"/>
      <c r="F30" s="990"/>
      <c r="G30" s="388" t="s">
        <v>1385</v>
      </c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  <c r="U30" s="388"/>
      <c r="V30" s="388"/>
      <c r="W30" s="388"/>
      <c r="X30" s="388"/>
      <c r="Y30" s="388"/>
      <c r="Z30" s="388"/>
      <c r="AA30" s="388"/>
      <c r="AB30" s="388"/>
      <c r="AC30" s="388"/>
      <c r="AD30" s="388"/>
      <c r="AE30" s="342"/>
      <c r="AF30" s="342"/>
      <c r="AG30" s="342"/>
      <c r="AH30" s="342"/>
      <c r="AI30" s="342"/>
      <c r="AJ30" s="342"/>
      <c r="AK30" s="341"/>
    </row>
    <row r="31" spans="1:37" s="390" customFormat="1" ht="19.5" customHeight="1" x14ac:dyDescent="0.25">
      <c r="A31" s="392" t="str">
        <f>+LEFT('Input data'!$C$32,1)</f>
        <v>8</v>
      </c>
      <c r="B31" s="384" t="str">
        <f>+MID('Input data'!$C$32,2,1)</f>
        <v>4</v>
      </c>
      <c r="C31" s="384" t="str">
        <f>+MID('Input data'!$C$32,3,1)</f>
        <v>1</v>
      </c>
      <c r="D31" s="384" t="str">
        <f>+MID('Input data'!$C$32,4,1)</f>
        <v xml:space="preserve"> </v>
      </c>
      <c r="E31" s="384" t="str">
        <f>+MID('Input data'!$C$32,5,1)</f>
        <v>0</v>
      </c>
      <c r="F31" s="384"/>
      <c r="G31" s="384" t="str">
        <f>+LEFT('Input data'!$C$34,1)</f>
        <v>B</v>
      </c>
      <c r="H31" s="384" t="str">
        <f>+MID('Input data'!$C$34,2,1)</f>
        <v>r</v>
      </c>
      <c r="I31" s="384" t="str">
        <f>+MID('Input data'!$C$34,3,1)</f>
        <v>a</v>
      </c>
      <c r="J31" s="384" t="str">
        <f>+MID('Input data'!$C$34,4,1)</f>
        <v>t</v>
      </c>
      <c r="K31" s="384" t="str">
        <f>+MID('Input data'!$C$34,5,1)</f>
        <v>i</v>
      </c>
      <c r="L31" s="384" t="str">
        <f>+MID('Input data'!$C$34,6,1)</f>
        <v>s</v>
      </c>
      <c r="M31" s="384" t="str">
        <f>+MID('Input data'!$C$34,7,1)</f>
        <v>l</v>
      </c>
      <c r="N31" s="384" t="str">
        <f>+MID('Input data'!$C$34,8,1)</f>
        <v>a</v>
      </c>
      <c r="O31" s="384" t="str">
        <f>+MID('Input data'!$C$34,9,1)</f>
        <v>v</v>
      </c>
      <c r="P31" s="384" t="str">
        <f>+MID('Input data'!$C$34,10,1)</f>
        <v>a</v>
      </c>
      <c r="Q31" s="384" t="str">
        <f>+MID('Input data'!$C$34,11,1)</f>
        <v/>
      </c>
      <c r="R31" s="384" t="str">
        <f>+MID('Input data'!$C$34,12,1)</f>
        <v/>
      </c>
      <c r="S31" s="384" t="str">
        <f>+MID('Input data'!$C$34,13,1)</f>
        <v/>
      </c>
      <c r="T31" s="384" t="str">
        <f>+MID('Input data'!$C$34,14,1)</f>
        <v/>
      </c>
      <c r="U31" s="384" t="str">
        <f>+MID('Input data'!$C$34,15,1)</f>
        <v/>
      </c>
      <c r="V31" s="384" t="str">
        <f>+MID('Input data'!$C$34,16,1)</f>
        <v/>
      </c>
      <c r="W31" s="384" t="str">
        <f>+MID('Input data'!$C$34,17,1)</f>
        <v/>
      </c>
      <c r="X31" s="384" t="str">
        <f>+MID('Input data'!$C$34,18,1)</f>
        <v/>
      </c>
      <c r="Y31" s="384" t="str">
        <f>+MID('Input data'!$C$34,19,1)</f>
        <v/>
      </c>
      <c r="Z31" s="384" t="str">
        <f>+MID('Input data'!$C$34,20,1)</f>
        <v/>
      </c>
      <c r="AA31" s="384" t="str">
        <f>+MID('Input data'!$C$34,21,1)</f>
        <v/>
      </c>
      <c r="AB31" s="384" t="str">
        <f>+MID('Input data'!$C$34,22,1)</f>
        <v/>
      </c>
      <c r="AC31" s="384" t="str">
        <f>+MID('Input data'!$C$34,23,1)</f>
        <v/>
      </c>
      <c r="AD31" s="384" t="str">
        <f>+MID('Input data'!$C$34,24,1)</f>
        <v/>
      </c>
      <c r="AE31" s="384" t="str">
        <f>+MID('Input data'!$C$34,25,1)</f>
        <v/>
      </c>
      <c r="AF31" s="384" t="str">
        <f>+MID('Input data'!$C$34,26,1)</f>
        <v/>
      </c>
      <c r="AG31" s="384" t="str">
        <f>+MID('Input data'!$C$34,27,1)</f>
        <v/>
      </c>
      <c r="AH31" s="384" t="str">
        <f>+MID('Input data'!$C$34,28,1)</f>
        <v/>
      </c>
      <c r="AI31" s="384" t="str">
        <f>+MID('Input data'!$C$34,29,1)</f>
        <v/>
      </c>
      <c r="AJ31" s="384" t="str">
        <f>+MID('Input data'!$C$34,30,1)</f>
        <v/>
      </c>
      <c r="AK31" s="391" t="str">
        <f>+MID('Input data'!$C$34,31,1)</f>
        <v/>
      </c>
    </row>
    <row r="32" spans="1:37" s="390" customFormat="1" ht="12.75" customHeight="1" x14ac:dyDescent="0.25">
      <c r="A32" s="1007" t="s">
        <v>1781</v>
      </c>
      <c r="B32" s="1008"/>
      <c r="C32" s="1008"/>
      <c r="D32" s="1008"/>
      <c r="E32" s="1008"/>
      <c r="F32" s="1008"/>
      <c r="G32" s="1008"/>
      <c r="H32" s="1008"/>
      <c r="I32" s="1008"/>
      <c r="J32" s="1008"/>
      <c r="K32" s="1008"/>
      <c r="L32" s="1008"/>
      <c r="M32" s="1008"/>
      <c r="N32" s="1008"/>
      <c r="O32" s="1008"/>
      <c r="P32" s="1008"/>
      <c r="Q32" s="1008"/>
      <c r="R32" s="1008"/>
      <c r="S32" s="1008"/>
      <c r="T32" s="384"/>
      <c r="U32" s="384"/>
      <c r="V32" s="384"/>
      <c r="W32" s="384"/>
      <c r="X32" s="384"/>
      <c r="Y32" s="384"/>
      <c r="Z32" s="384"/>
      <c r="AA32" s="384"/>
      <c r="AB32" s="384"/>
      <c r="AC32" s="384"/>
      <c r="AD32" s="384"/>
      <c r="AE32" s="384"/>
      <c r="AF32" s="384"/>
      <c r="AG32" s="384"/>
      <c r="AH32" s="384"/>
      <c r="AI32" s="384"/>
      <c r="AJ32" s="384"/>
      <c r="AK32" s="391"/>
    </row>
    <row r="33" spans="1:38" s="390" customFormat="1" ht="19.5" customHeight="1" x14ac:dyDescent="0.25">
      <c r="A33" s="392" t="str">
        <f>+LEFT('Input data'!$F$22,1)</f>
        <v/>
      </c>
      <c r="B33" s="384" t="str">
        <f>+MID('Input data'!$F$22,2,1)</f>
        <v/>
      </c>
      <c r="C33" s="384" t="str">
        <f>+MID('Input data'!$F$22,3,1)</f>
        <v/>
      </c>
      <c r="D33" s="384" t="str">
        <f>+MID('Input data'!$F$22,4,1)</f>
        <v/>
      </c>
      <c r="E33" s="384" t="str">
        <f>+MID('Input data'!$F$22,5,1)</f>
        <v/>
      </c>
      <c r="F33" s="384" t="str">
        <f>+MID('Input data'!$F$22,6,1)</f>
        <v/>
      </c>
      <c r="G33" s="384" t="str">
        <f>+MID('Input data'!$F$22,7,1)</f>
        <v/>
      </c>
      <c r="H33" s="384" t="str">
        <f>+MID('Input data'!$F$22,8,1)</f>
        <v/>
      </c>
      <c r="I33" s="384" t="str">
        <f>+MID('Input data'!$F$22,9,1)</f>
        <v/>
      </c>
      <c r="J33" s="384" t="str">
        <f>+MID('Input data'!$F$22,10,1)</f>
        <v/>
      </c>
      <c r="K33" s="384" t="str">
        <f>+MID('Input data'!$F$22,11,1)</f>
        <v/>
      </c>
      <c r="L33" s="384" t="str">
        <f>+MID('Input data'!$F$22,12,1)</f>
        <v/>
      </c>
      <c r="M33" s="384" t="str">
        <f>+MID('Input data'!$F$22,13,1)</f>
        <v/>
      </c>
      <c r="N33" s="384" t="str">
        <f>+MID('Input data'!$F$22,14,1)</f>
        <v/>
      </c>
      <c r="O33" s="384" t="str">
        <f>+MID('Input data'!$F$22,15,1)</f>
        <v/>
      </c>
      <c r="P33" s="384" t="str">
        <f>+MID('Input data'!$F$22,16,1)</f>
        <v/>
      </c>
      <c r="Q33" s="384" t="str">
        <f>+MID('Input data'!$F$22,17,1)</f>
        <v/>
      </c>
      <c r="R33" s="384" t="str">
        <f>+MID('Input data'!$F$22,18,1)</f>
        <v/>
      </c>
      <c r="S33" s="384" t="str">
        <f>+MID('Input data'!$F$22,19,1)</f>
        <v/>
      </c>
      <c r="T33" s="384" t="str">
        <f>+MID('Input data'!$F$22,20,1)</f>
        <v/>
      </c>
      <c r="U33" s="384" t="str">
        <f>+MID('Input data'!$F$22,21,1)</f>
        <v/>
      </c>
      <c r="V33" s="384" t="str">
        <f>+MID('Input data'!$F$22,22,1)</f>
        <v/>
      </c>
      <c r="W33" s="384" t="str">
        <f>+MID('Input data'!$F$22,23,1)</f>
        <v/>
      </c>
      <c r="X33" s="384" t="str">
        <f>+MID('Input data'!$F$22,24,1)</f>
        <v/>
      </c>
      <c r="Y33" s="384" t="str">
        <f>+MID('Input data'!$F$22,25,1)</f>
        <v/>
      </c>
      <c r="Z33" s="384" t="str">
        <f>+MID('Input data'!$F$22,26,1)</f>
        <v/>
      </c>
      <c r="AA33" s="384" t="str">
        <f>+MID('Input data'!$F$22,27,1)</f>
        <v/>
      </c>
      <c r="AB33" s="384" t="str">
        <f>+MID('Input data'!$F$22,28,1)</f>
        <v/>
      </c>
      <c r="AC33" s="384" t="str">
        <f>+MID('Input data'!$F$22,29,1)</f>
        <v/>
      </c>
      <c r="AD33" s="384" t="str">
        <f>+MID('Input data'!$F$22,30,1)</f>
        <v/>
      </c>
      <c r="AE33" s="384" t="str">
        <f>+MID('Input data'!$F$22,31,1)</f>
        <v/>
      </c>
      <c r="AF33" s="384" t="str">
        <f>+MID('Input data'!$F$22,32,1)</f>
        <v/>
      </c>
      <c r="AG33" s="384" t="str">
        <f>+MID('Input data'!$F$22,33,1)</f>
        <v/>
      </c>
      <c r="AH33" s="384" t="str">
        <f>+MID('Input data'!$F$22,34,1)</f>
        <v/>
      </c>
      <c r="AI33" s="384" t="str">
        <f>+MID('Input data'!$F$22,35,1)</f>
        <v/>
      </c>
      <c r="AJ33" s="384" t="str">
        <f>+MID('Input data'!$F$22,36,1)</f>
        <v/>
      </c>
      <c r="AK33" s="391" t="str">
        <f>+MID('Input data'!$F$22,37,1)</f>
        <v/>
      </c>
    </row>
    <row r="34" spans="1:38" s="390" customFormat="1" ht="19.5" customHeight="1" x14ac:dyDescent="0.25">
      <c r="A34" s="392" t="str">
        <f>+MID('Input data'!$F$22,38,1)</f>
        <v/>
      </c>
      <c r="B34" s="384" t="str">
        <f>+MID('Input data'!$F$22,39,1)</f>
        <v/>
      </c>
      <c r="C34" s="384" t="str">
        <f>+MID('Input data'!$F$22,40,1)</f>
        <v/>
      </c>
      <c r="D34" s="384" t="str">
        <f>+MID('Input data'!$F$22,41,1)</f>
        <v/>
      </c>
      <c r="E34" s="384" t="str">
        <f>+MID('Input data'!$F$22,42,1)</f>
        <v/>
      </c>
      <c r="F34" s="384" t="str">
        <f>+MID('Input data'!$F$22,43,1)</f>
        <v/>
      </c>
      <c r="G34" s="384" t="str">
        <f>+MID('Input data'!$F$22,44,1)</f>
        <v/>
      </c>
      <c r="H34" s="384" t="str">
        <f>+MID('Input data'!$F$22,45,1)</f>
        <v/>
      </c>
      <c r="I34" s="384" t="str">
        <f>+MID('Input data'!$F$22,46,1)</f>
        <v/>
      </c>
      <c r="J34" s="384" t="str">
        <f>+MID('Input data'!$F$22,47,1)</f>
        <v/>
      </c>
      <c r="K34" s="384" t="str">
        <f>+MID('Input data'!$F$22,48,1)</f>
        <v/>
      </c>
      <c r="L34" s="384" t="str">
        <f>+MID('Input data'!$F$22,49,1)</f>
        <v/>
      </c>
      <c r="M34" s="384" t="str">
        <f>+MID('Input data'!$F$22,50,1)</f>
        <v/>
      </c>
      <c r="N34" s="384" t="str">
        <f>+MID('Input data'!$F$22,51,1)</f>
        <v/>
      </c>
      <c r="O34" s="384" t="str">
        <f>+MID('Input data'!$F$22,52,1)</f>
        <v/>
      </c>
      <c r="P34" s="384" t="str">
        <f>+MID('Input data'!$F$22,53,1)</f>
        <v/>
      </c>
      <c r="Q34" s="384" t="str">
        <f>+MID('Input data'!$F$22,54,1)</f>
        <v/>
      </c>
      <c r="R34" s="384" t="str">
        <f>+MID('Input data'!$F$22,55,1)</f>
        <v/>
      </c>
      <c r="S34" s="384" t="str">
        <f>+MID('Input data'!$F$22,56,1)</f>
        <v/>
      </c>
      <c r="T34" s="384" t="str">
        <f>+MID('Input data'!$F$22,57,1)</f>
        <v/>
      </c>
      <c r="U34" s="384" t="str">
        <f>+MID('Input data'!$F$22,58,1)</f>
        <v/>
      </c>
      <c r="V34" s="384" t="str">
        <f>+MID('Input data'!$F$22,59,1)</f>
        <v/>
      </c>
      <c r="W34" s="384" t="str">
        <f>+MID('Input data'!$F$22,60,1)</f>
        <v/>
      </c>
      <c r="X34" s="384" t="str">
        <f>+MID('Input data'!$F$22,61,1)</f>
        <v/>
      </c>
      <c r="Y34" s="384" t="str">
        <f>+MID('Input data'!$F$22,62,1)</f>
        <v/>
      </c>
      <c r="Z34" s="384" t="str">
        <f>+MID('Input data'!$F$22,63,1)</f>
        <v/>
      </c>
      <c r="AA34" s="384" t="str">
        <f>+MID('Input data'!$F$22,64,1)</f>
        <v/>
      </c>
      <c r="AB34" s="384" t="str">
        <f>+MID('Input data'!$F$22,65,1)</f>
        <v/>
      </c>
      <c r="AC34" s="384" t="str">
        <f>+MID('Input data'!$F$22,66,1)</f>
        <v/>
      </c>
      <c r="AD34" s="384" t="str">
        <f>+MID('Input data'!$F$22,67,1)</f>
        <v/>
      </c>
      <c r="AE34" s="384" t="str">
        <f>+MID('Input data'!$F$22,68,1)</f>
        <v/>
      </c>
      <c r="AF34" s="384" t="str">
        <f>+MID('Input data'!$F$22,69,1)</f>
        <v/>
      </c>
      <c r="AG34" s="384" t="str">
        <f>+MID('Input data'!$F$22,70,1)</f>
        <v/>
      </c>
      <c r="AH34" s="384" t="str">
        <f>+MID('Input data'!$F$22,71,1)</f>
        <v/>
      </c>
      <c r="AI34" s="384" t="str">
        <f>+MID('Input data'!$F$22,72,1)</f>
        <v/>
      </c>
      <c r="AJ34" s="384" t="str">
        <f>+MID('Input data'!$F$22,73,1)</f>
        <v/>
      </c>
      <c r="AK34" s="391" t="str">
        <f>+MID('Input data'!$F$22,74,1)</f>
        <v/>
      </c>
    </row>
    <row r="35" spans="1:38" x14ac:dyDescent="0.25">
      <c r="A35" s="389" t="s">
        <v>1386</v>
      </c>
      <c r="B35" s="990"/>
      <c r="C35" s="990"/>
      <c r="D35" s="990"/>
      <c r="E35" s="990"/>
      <c r="F35" s="990"/>
      <c r="G35" s="388"/>
      <c r="H35" s="388"/>
      <c r="I35" s="388"/>
      <c r="J35" s="388"/>
      <c r="K35" s="388"/>
      <c r="L35" s="388"/>
      <c r="M35" s="388"/>
      <c r="N35" s="990"/>
      <c r="O35" s="388" t="s">
        <v>1387</v>
      </c>
      <c r="P35" s="388"/>
      <c r="Q35" s="388"/>
      <c r="R35" s="388"/>
      <c r="S35" s="388"/>
      <c r="T35" s="388"/>
      <c r="U35" s="388"/>
      <c r="V35" s="388"/>
      <c r="W35" s="388"/>
      <c r="X35" s="388"/>
      <c r="Y35" s="388"/>
      <c r="Z35" s="388"/>
      <c r="AA35" s="388"/>
      <c r="AB35" s="388"/>
      <c r="AC35" s="388"/>
      <c r="AD35" s="388"/>
      <c r="AE35" s="342"/>
      <c r="AF35" s="342"/>
      <c r="AG35" s="342"/>
      <c r="AH35" s="342"/>
      <c r="AI35" s="342"/>
      <c r="AJ35" s="342"/>
      <c r="AK35" s="341"/>
    </row>
    <row r="36" spans="1:38" ht="19.5" customHeight="1" x14ac:dyDescent="0.25">
      <c r="A36" s="387">
        <v>0</v>
      </c>
      <c r="B36" s="384" t="str">
        <f>+LEFT('Input data'!$C$36,1)</f>
        <v/>
      </c>
      <c r="C36" s="384" t="str">
        <f>+MID('Input data'!$C$36,2,1)</f>
        <v/>
      </c>
      <c r="D36" s="384" t="str">
        <f>+MID('Input data'!$C$36,3,1)</f>
        <v/>
      </c>
      <c r="E36" s="384" t="s">
        <v>984</v>
      </c>
      <c r="F36" s="384" t="str">
        <f>+LEFT('Input data'!$C$38,1)</f>
        <v/>
      </c>
      <c r="G36" s="384" t="str">
        <f>+MID('Input data'!$C$38,2,1)</f>
        <v/>
      </c>
      <c r="H36" s="384" t="str">
        <f>+MID('Input data'!$C$38,3,1)</f>
        <v/>
      </c>
      <c r="I36" s="384" t="str">
        <f>+MID('Input data'!$C$38,4,1)</f>
        <v/>
      </c>
      <c r="J36" s="384" t="str">
        <f>+MID('Input data'!$C$38,5,1)</f>
        <v/>
      </c>
      <c r="K36" s="384" t="str">
        <f>+MID('Input data'!$C$38,6,1)</f>
        <v/>
      </c>
      <c r="L36" s="384" t="str">
        <f>+MID('Input data'!$C$38,7,1)</f>
        <v/>
      </c>
      <c r="M36" s="384" t="str">
        <f>+MID('Input data'!$C$38,8,1)</f>
        <v/>
      </c>
      <c r="N36" s="386"/>
      <c r="O36" s="385">
        <v>0</v>
      </c>
      <c r="P36" s="384" t="str">
        <f>+LEFT('Input data'!$C$36,1)</f>
        <v/>
      </c>
      <c r="Q36" s="384" t="str">
        <f>+MID('Input data'!$C$36,2,1)</f>
        <v/>
      </c>
      <c r="R36" s="384" t="str">
        <f>+MID('Input data'!$C$36,3,1)</f>
        <v/>
      </c>
      <c r="S36" s="384" t="s">
        <v>984</v>
      </c>
      <c r="T36" s="384" t="str">
        <f>+LEFT('Input data'!$C$40,1)</f>
        <v/>
      </c>
      <c r="U36" s="384" t="str">
        <f>+MID('Input data'!$C$40,2,1)</f>
        <v/>
      </c>
      <c r="V36" s="384" t="str">
        <f>+MID('Input data'!$C$40,3,1)</f>
        <v/>
      </c>
      <c r="W36" s="384" t="str">
        <f>+MID('Input data'!$C$40,4,1)</f>
        <v/>
      </c>
      <c r="X36" s="384" t="str">
        <f>+MID('Input data'!$C$40,5,1)</f>
        <v/>
      </c>
      <c r="Y36" s="384" t="str">
        <f>+MID('Input data'!$C$40,6,1)</f>
        <v/>
      </c>
      <c r="Z36" s="384" t="str">
        <f>+MID('Input data'!$C$40,7,1)</f>
        <v/>
      </c>
      <c r="AA36" s="384" t="str">
        <f>+MID('Input data'!$C$40,8,1)</f>
        <v/>
      </c>
      <c r="AB36" s="384"/>
      <c r="AC36" s="384"/>
      <c r="AD36" s="384"/>
      <c r="AE36" s="342"/>
      <c r="AF36" s="342"/>
      <c r="AG36" s="342" t="s">
        <v>985</v>
      </c>
      <c r="AH36" s="342"/>
      <c r="AI36" s="342"/>
      <c r="AJ36" s="342"/>
      <c r="AK36" s="341"/>
    </row>
    <row r="37" spans="1:38" s="334" customFormat="1" x14ac:dyDescent="0.25">
      <c r="A37" s="346" t="s">
        <v>1388</v>
      </c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2"/>
      <c r="X37" s="342"/>
      <c r="Y37" s="342"/>
      <c r="Z37" s="342"/>
      <c r="AA37" s="342"/>
      <c r="AB37" s="342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8" ht="19.5" customHeight="1" thickBot="1" x14ac:dyDescent="0.3">
      <c r="A38" s="383" t="str">
        <f>+LEFT('Input data'!$B$42,1)</f>
        <v/>
      </c>
      <c r="B38" s="382" t="str">
        <f>+MID('Input data'!$B$42,2,1)</f>
        <v/>
      </c>
      <c r="C38" s="382" t="str">
        <f>+MID('Input data'!$B$42,3,1)</f>
        <v/>
      </c>
      <c r="D38" s="382" t="str">
        <f>+MID('Input data'!$B$42,4,1)</f>
        <v/>
      </c>
      <c r="E38" s="382" t="str">
        <f>+MID('Input data'!$B$42,5,1)</f>
        <v/>
      </c>
      <c r="F38" s="382" t="str">
        <f>+MID('Input data'!$B$42,6,1)</f>
        <v/>
      </c>
      <c r="G38" s="382" t="str">
        <f>+MID('Input data'!$B$42,7,1)</f>
        <v/>
      </c>
      <c r="H38" s="382" t="str">
        <f>+MID('Input data'!$B$42,8,1)</f>
        <v/>
      </c>
      <c r="I38" s="382" t="str">
        <f>+MID('Input data'!$B$42,9,1)</f>
        <v/>
      </c>
      <c r="J38" s="382" t="str">
        <f>+MID('Input data'!$B$42,10,1)</f>
        <v/>
      </c>
      <c r="K38" s="382" t="str">
        <f>+MID('Input data'!$B$42,11,1)</f>
        <v/>
      </c>
      <c r="L38" s="382" t="str">
        <f>+MID('Input data'!$B$42,12,1)</f>
        <v/>
      </c>
      <c r="M38" s="382" t="str">
        <f>+MID('Input data'!$B$42,13,1)</f>
        <v/>
      </c>
      <c r="N38" s="382" t="str">
        <f>+MID('Input data'!$B$42,14,1)</f>
        <v/>
      </c>
      <c r="O38" s="382" t="str">
        <f>+MID('Input data'!$B$42,15,1)</f>
        <v/>
      </c>
      <c r="P38" s="382" t="str">
        <f>+MID('Input data'!$B$42,16,1)</f>
        <v/>
      </c>
      <c r="Q38" s="382" t="str">
        <f>+MID('Input data'!$B$42,17,1)</f>
        <v/>
      </c>
      <c r="R38" s="382" t="str">
        <f>+MID('Input data'!$B$42,18,1)</f>
        <v/>
      </c>
      <c r="S38" s="382" t="str">
        <f>+MID('Input data'!$B$42,19,1)</f>
        <v/>
      </c>
      <c r="T38" s="382" t="str">
        <f>+MID('Input data'!$B$42,20,1)</f>
        <v/>
      </c>
      <c r="U38" s="382" t="str">
        <f>+MID('Input data'!$B$42,21,1)</f>
        <v/>
      </c>
      <c r="V38" s="382" t="str">
        <f>+MID('Input data'!$B$42,22,1)</f>
        <v/>
      </c>
      <c r="W38" s="382" t="str">
        <f>+MID('Input data'!$B$42,23,1)</f>
        <v/>
      </c>
      <c r="X38" s="382" t="str">
        <f>+MID('Input data'!$B$42,24,1)</f>
        <v/>
      </c>
      <c r="Y38" s="382" t="str">
        <f>+MID('Input data'!$B$42,25,1)</f>
        <v/>
      </c>
      <c r="Z38" s="382" t="str">
        <f>+MID('Input data'!$B$42,26,1)</f>
        <v/>
      </c>
      <c r="AA38" s="382" t="str">
        <f>+MID('Input data'!$B$42,27,1)</f>
        <v/>
      </c>
      <c r="AB38" s="382" t="str">
        <f>+MID('Input data'!$B$42,28,1)</f>
        <v/>
      </c>
      <c r="AC38" s="382" t="str">
        <f>+MID('Input data'!$B$42,29,1)</f>
        <v/>
      </c>
      <c r="AD38" s="382" t="str">
        <f>+MID('Input data'!$B$42,30,1)</f>
        <v/>
      </c>
      <c r="AE38" s="382" t="str">
        <f>+MID('Input data'!$B$42,31,1)</f>
        <v/>
      </c>
      <c r="AF38" s="382" t="str">
        <f>+MID('Input data'!$B$42,32,1)</f>
        <v/>
      </c>
      <c r="AG38" s="382" t="str">
        <f>+MID('Input data'!$B$42,33,1)</f>
        <v/>
      </c>
      <c r="AH38" s="382" t="str">
        <f>+MID('Input data'!$B$42,34,1)</f>
        <v/>
      </c>
      <c r="AI38" s="382" t="str">
        <f>+MID('Input data'!$B$42,35,1)</f>
        <v/>
      </c>
      <c r="AJ38" s="382" t="str">
        <f>+MID('Input data'!$B$42,36,1)</f>
        <v/>
      </c>
      <c r="AK38" s="381" t="str">
        <f>+MID('Input data'!$B$42,37,1)</f>
        <v/>
      </c>
    </row>
    <row r="39" spans="1:38" s="334" customFormat="1" ht="3.75" customHeight="1" thickBot="1" x14ac:dyDescent="0.3">
      <c r="A39" s="1014"/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2"/>
      <c r="X39" s="342"/>
      <c r="Y39" s="342"/>
      <c r="Z39" s="342"/>
      <c r="AA39" s="342"/>
      <c r="AB39" s="342"/>
      <c r="AC39" s="342"/>
      <c r="AD39" s="342"/>
      <c r="AE39" s="342"/>
      <c r="AF39" s="342"/>
      <c r="AG39" s="342"/>
      <c r="AH39" s="342"/>
      <c r="AI39" s="342"/>
      <c r="AJ39" s="342"/>
      <c r="AK39" s="1015"/>
    </row>
    <row r="40" spans="1:38" s="377" customFormat="1" ht="12.75" customHeight="1" x14ac:dyDescent="0.25">
      <c r="A40" s="380" t="s">
        <v>1389</v>
      </c>
      <c r="B40" s="379"/>
      <c r="C40" s="379"/>
      <c r="D40" s="379"/>
      <c r="E40" s="379"/>
      <c r="F40" s="379"/>
      <c r="G40" s="379"/>
      <c r="H40" s="379"/>
      <c r="I40" s="379"/>
      <c r="J40" s="379"/>
      <c r="K40" s="378"/>
      <c r="L40" s="423" t="s">
        <v>1393</v>
      </c>
      <c r="M40" s="379"/>
      <c r="N40" s="379"/>
      <c r="O40" s="379"/>
      <c r="P40" s="379"/>
      <c r="Q40" s="379"/>
      <c r="R40" s="379"/>
      <c r="S40" s="379"/>
      <c r="T40" s="379"/>
      <c r="U40" s="379"/>
      <c r="V40" s="378"/>
      <c r="W40" s="1810" t="s">
        <v>1782</v>
      </c>
      <c r="X40" s="1810"/>
      <c r="Y40" s="1810"/>
      <c r="Z40" s="1810"/>
      <c r="AA40" s="1810"/>
      <c r="AB40" s="1810"/>
      <c r="AC40" s="1810"/>
      <c r="AD40" s="1810"/>
      <c r="AE40" s="1810"/>
      <c r="AF40" s="1810"/>
      <c r="AG40" s="1810"/>
      <c r="AH40" s="1810"/>
      <c r="AI40" s="1810"/>
      <c r="AJ40" s="1810"/>
      <c r="AK40" s="1811"/>
    </row>
    <row r="41" spans="1:38" s="334" customFormat="1" ht="31.5" customHeight="1" x14ac:dyDescent="0.25">
      <c r="A41" s="363" t="str">
        <f>MID(TEXT('Input data'!$F$34,"dd.mm.yyyy"),1,1)</f>
        <v>0</v>
      </c>
      <c r="B41" s="362" t="str">
        <f>MID(TEXT('Input data'!$F$34,"dd.mm.yyyy"),2,1)</f>
        <v>0</v>
      </c>
      <c r="C41" s="361" t="s">
        <v>955</v>
      </c>
      <c r="D41" s="362" t="str">
        <f>MID(TEXT('Input data'!$F$34,"dd.mm.yyyy"),4,1)</f>
        <v>0</v>
      </c>
      <c r="E41" s="362" t="str">
        <f>MID(TEXT('Input data'!$F$34,"dd.mm.yyyy"),5,1)</f>
        <v>1</v>
      </c>
      <c r="F41" s="361" t="s">
        <v>955</v>
      </c>
      <c r="G41" s="360" t="str">
        <f>MID(TEXT('Input data'!$F$34,"dd.mm.yyyy"),7,1)</f>
        <v>1</v>
      </c>
      <c r="H41" s="360" t="str">
        <f>MID(TEXT('Input data'!$F$34,"dd.mm.yyyy"),8,1)</f>
        <v>9</v>
      </c>
      <c r="I41" s="360" t="str">
        <f>MID(TEXT('Input data'!$F$34,"dd.mm.yyyy"),9,1)</f>
        <v>0</v>
      </c>
      <c r="J41" s="360" t="str">
        <f>MID(TEXT('Input data'!$F$34,"dd.mm.yyyy"),10,1)</f>
        <v>0</v>
      </c>
      <c r="K41" s="376"/>
      <c r="L41" s="362" t="str">
        <f>IF('Input data'!$F$36="","",LEFT(TEXT('Input data'!$F$36,"dd.mm.yyyy"),1))</f>
        <v/>
      </c>
      <c r="M41" s="362" t="str">
        <f>IF('Input data'!$F$36="","",MID(TEXT('Input data'!$F$36,"dd.mm.yyyy"),2,1))</f>
        <v/>
      </c>
      <c r="N41" s="361" t="s">
        <v>955</v>
      </c>
      <c r="O41" s="362" t="str">
        <f>IF('Input data'!$F$36="","",MID(TEXT('Input data'!$F$36,"dd.mm.yyyy"),4,1))</f>
        <v/>
      </c>
      <c r="P41" s="362" t="str">
        <f>IF('Input data'!$F$36="","",MID(TEXT('Input data'!$F$36,"dd.mm.yyyy"),5,1))</f>
        <v/>
      </c>
      <c r="Q41" s="361" t="s">
        <v>955</v>
      </c>
      <c r="R41" s="360" t="str">
        <f>IF('Input data'!$F$36="","",MID(TEXT('Input data'!$F$36,"dd.mm.yyyy"),7,1))</f>
        <v/>
      </c>
      <c r="S41" s="360" t="str">
        <f>IF('Input data'!$F$36="","",MID(TEXT('Input data'!$F$36,"dd.mm.yyyy"),8,1))</f>
        <v/>
      </c>
      <c r="T41" s="360" t="str">
        <f>IF('Input data'!$F$36="","",MID(TEXT('Input data'!$F$36,"dd.mm.yyyy"),9,1))</f>
        <v/>
      </c>
      <c r="U41" s="360" t="str">
        <f>IF('Input data'!$F$36="","",MID(TEXT('Input data'!$F$36,"dd.mm.yyyy"),10,1))</f>
        <v/>
      </c>
      <c r="V41" s="376"/>
      <c r="W41" s="1812"/>
      <c r="X41" s="1812"/>
      <c r="Y41" s="1812"/>
      <c r="Z41" s="1812"/>
      <c r="AA41" s="1812"/>
      <c r="AB41" s="1812"/>
      <c r="AC41" s="1812"/>
      <c r="AD41" s="1812"/>
      <c r="AE41" s="1812"/>
      <c r="AF41" s="1812"/>
      <c r="AG41" s="1812"/>
      <c r="AH41" s="1812"/>
      <c r="AI41" s="1812"/>
      <c r="AJ41" s="1812"/>
      <c r="AK41" s="1813"/>
    </row>
    <row r="42" spans="1:38" s="334" customFormat="1" ht="13.5" customHeight="1" x14ac:dyDescent="0.25">
      <c r="A42" s="346"/>
      <c r="B42" s="345"/>
      <c r="C42" s="345"/>
      <c r="D42" s="345"/>
      <c r="E42" s="345"/>
      <c r="F42" s="345"/>
      <c r="G42" s="371"/>
      <c r="H42" s="371"/>
      <c r="I42" s="371"/>
      <c r="J42" s="371"/>
      <c r="K42" s="370"/>
      <c r="L42" s="345"/>
      <c r="M42" s="345"/>
      <c r="N42" s="345"/>
      <c r="O42" s="345"/>
      <c r="P42" s="345"/>
      <c r="Q42" s="345"/>
      <c r="R42" s="371"/>
      <c r="S42" s="371"/>
      <c r="T42" s="371"/>
      <c r="U42" s="371"/>
      <c r="V42" s="370"/>
      <c r="W42" s="1814">
        <f>'Input data'!F40</f>
        <v>0</v>
      </c>
      <c r="X42" s="1815"/>
      <c r="Y42" s="1815"/>
      <c r="Z42" s="1815"/>
      <c r="AA42" s="1815"/>
      <c r="AB42" s="1815"/>
      <c r="AC42" s="1815"/>
      <c r="AD42" s="1815"/>
      <c r="AE42" s="1815"/>
      <c r="AF42" s="1815"/>
      <c r="AG42" s="1815"/>
      <c r="AH42" s="1815"/>
      <c r="AI42" s="1815"/>
      <c r="AJ42" s="1815"/>
      <c r="AK42" s="1816"/>
    </row>
    <row r="43" spans="1:38" s="334" customFormat="1" ht="15.75" customHeight="1" thickBot="1" x14ac:dyDescent="0.3">
      <c r="A43" s="339"/>
      <c r="B43" s="338"/>
      <c r="C43" s="338"/>
      <c r="D43" s="338"/>
      <c r="E43" s="338"/>
      <c r="F43" s="338"/>
      <c r="G43" s="799"/>
      <c r="H43" s="799"/>
      <c r="I43" s="799"/>
      <c r="J43" s="799"/>
      <c r="K43" s="800"/>
      <c r="L43" s="801"/>
      <c r="M43" s="801"/>
      <c r="N43" s="801"/>
      <c r="O43" s="801"/>
      <c r="P43" s="801"/>
      <c r="Q43" s="801"/>
      <c r="R43" s="801"/>
      <c r="S43" s="338"/>
      <c r="T43" s="802"/>
      <c r="U43" s="802"/>
      <c r="V43" s="803"/>
      <c r="W43" s="1817"/>
      <c r="X43" s="1818"/>
      <c r="Y43" s="1818"/>
      <c r="Z43" s="1818"/>
      <c r="AA43" s="1818"/>
      <c r="AB43" s="1818"/>
      <c r="AC43" s="1818"/>
      <c r="AD43" s="1818"/>
      <c r="AE43" s="1818"/>
      <c r="AF43" s="1818"/>
      <c r="AG43" s="1818"/>
      <c r="AH43" s="1818"/>
      <c r="AI43" s="1818"/>
      <c r="AJ43" s="1818"/>
      <c r="AK43" s="1819"/>
    </row>
    <row r="44" spans="1:38" s="340" customFormat="1" ht="5.25" customHeight="1" thickBot="1" x14ac:dyDescent="0.3">
      <c r="A44" s="351"/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984"/>
      <c r="M44" s="984"/>
      <c r="N44" s="984"/>
      <c r="O44" s="984"/>
      <c r="P44" s="984"/>
      <c r="Q44" s="984"/>
      <c r="R44" s="984"/>
      <c r="S44" s="984"/>
      <c r="T44" s="984"/>
      <c r="U44" s="984"/>
      <c r="V44" s="984"/>
      <c r="W44" s="984"/>
      <c r="X44" s="984"/>
      <c r="Y44" s="984"/>
      <c r="Z44" s="984"/>
      <c r="AA44" s="984"/>
      <c r="AB44" s="984"/>
      <c r="AC44" s="1010"/>
      <c r="AD44" s="1010"/>
      <c r="AE44" s="1010"/>
      <c r="AF44" s="1010"/>
      <c r="AG44" s="1010"/>
      <c r="AH44" s="1010"/>
      <c r="AI44" s="1010"/>
      <c r="AJ44" s="1010"/>
      <c r="AK44" s="788"/>
      <c r="AL44" s="343"/>
    </row>
    <row r="45" spans="1:38" s="340" customFormat="1" x14ac:dyDescent="0.25">
      <c r="A45" s="1012"/>
      <c r="B45" s="1009" t="s">
        <v>1394</v>
      </c>
      <c r="C45" s="343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1013"/>
      <c r="AL45" s="343"/>
    </row>
    <row r="46" spans="1:38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ht="12.75" customHeight="1" x14ac:dyDescent="0.25">
      <c r="B47" s="348"/>
      <c r="C47" s="986"/>
      <c r="D47" s="986"/>
      <c r="E47" s="986"/>
      <c r="F47" s="986"/>
      <c r="G47" s="986"/>
      <c r="H47" s="986"/>
      <c r="I47" s="986"/>
      <c r="J47" s="986"/>
      <c r="K47" s="986"/>
      <c r="L47" s="986"/>
      <c r="M47" s="986"/>
      <c r="N47" s="986"/>
      <c r="O47" s="986"/>
      <c r="P47" s="986"/>
      <c r="Q47" s="986"/>
      <c r="R47" s="986"/>
      <c r="S47" s="986"/>
      <c r="T47" s="986"/>
      <c r="U47" s="986"/>
      <c r="V47" s="986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34" customFormat="1" x14ac:dyDescent="0.25">
      <c r="B49" s="346"/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40" customFormat="1" x14ac:dyDescent="0.25">
      <c r="B53" s="344"/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3"/>
      <c r="O53" s="343"/>
      <c r="P53" s="343"/>
      <c r="Q53" s="343"/>
      <c r="R53" s="343"/>
      <c r="S53" s="343"/>
      <c r="T53" s="343"/>
      <c r="U53" s="343"/>
      <c r="V53" s="343"/>
      <c r="W53" s="342"/>
      <c r="X53" s="342"/>
      <c r="Y53" s="342"/>
      <c r="Z53" s="342"/>
      <c r="AA53" s="342"/>
      <c r="AB53" s="342"/>
      <c r="AC53" s="342"/>
      <c r="AD53" s="342"/>
      <c r="AE53" s="342"/>
      <c r="AF53" s="342"/>
      <c r="AG53" s="342"/>
      <c r="AH53" s="342"/>
      <c r="AI53" s="342"/>
      <c r="AJ53" s="341"/>
      <c r="AK53" s="335"/>
    </row>
    <row r="54" spans="2:37" s="340" customFormat="1" ht="13.5" thickBot="1" x14ac:dyDescent="0.3">
      <c r="B54" s="355"/>
      <c r="C54" s="354"/>
      <c r="D54" s="354"/>
      <c r="E54" s="354"/>
      <c r="F54" s="354"/>
      <c r="G54" s="338" t="s">
        <v>1395</v>
      </c>
      <c r="H54" s="354"/>
      <c r="I54" s="354"/>
      <c r="J54" s="354"/>
      <c r="K54" s="354"/>
      <c r="L54" s="354"/>
      <c r="M54" s="354"/>
      <c r="N54" s="354"/>
      <c r="O54" s="354"/>
      <c r="P54" s="354"/>
      <c r="Q54" s="354"/>
      <c r="R54" s="354"/>
      <c r="S54" s="354"/>
      <c r="T54" s="354"/>
      <c r="U54" s="338" t="s">
        <v>1396</v>
      </c>
      <c r="V54" s="354"/>
      <c r="W54" s="337"/>
      <c r="X54" s="337"/>
      <c r="Y54" s="337"/>
      <c r="Z54" s="337"/>
      <c r="AA54" s="337"/>
      <c r="AB54" s="337"/>
      <c r="AC54" s="337"/>
      <c r="AD54" s="337"/>
      <c r="AE54" s="337"/>
      <c r="AF54" s="337"/>
      <c r="AG54" s="337"/>
      <c r="AH54" s="337"/>
      <c r="AI54" s="337"/>
      <c r="AJ54" s="336"/>
      <c r="AK54" s="335"/>
    </row>
    <row r="55" spans="2:37" s="334" customFormat="1" ht="4.5" customHeight="1" x14ac:dyDescent="0.25"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2"/>
      <c r="X55" s="342"/>
      <c r="Y55" s="342"/>
      <c r="Z55" s="342"/>
      <c r="AA55" s="342"/>
      <c r="AB55" s="342"/>
      <c r="AC55" s="342"/>
      <c r="AD55" s="342"/>
      <c r="AE55" s="342"/>
      <c r="AF55" s="342"/>
      <c r="AG55" s="342"/>
      <c r="AH55" s="342"/>
      <c r="AI55" s="342"/>
      <c r="AJ55" s="342"/>
      <c r="AK55" s="335"/>
    </row>
  </sheetData>
  <mergeCells count="2">
    <mergeCell ref="W40:AK41"/>
    <mergeCell ref="W42:AK43"/>
  </mergeCells>
  <pageMargins left="0" right="0.39370078740157483" top="0.35433070866141736" bottom="0.35433070866141736" header="0.23622047244094491" footer="0.23622047244094491"/>
  <pageSetup scale="96" orientation="portrait" r:id="rId1"/>
  <headerFooter alignWithMargins="0">
    <oddFooter>&amp;LMF SR č. 18009/2014&amp;RStrana 1</oddFooter>
  </headerFooter>
  <rowBreaks count="1" manualBreakCount="1">
    <brk id="55" max="38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2"/>
  <sheetViews>
    <sheetView showGridLines="0" view="pageBreakPreview" topLeftCell="A22" zoomScaleNormal="100" zoomScaleSheetLayoutView="100" workbookViewId="0">
      <selection activeCell="AK47" sqref="AK47"/>
    </sheetView>
  </sheetViews>
  <sheetFormatPr defaultColWidth="9.140625" defaultRowHeight="12.75" x14ac:dyDescent="0.25"/>
  <cols>
    <col min="1" max="10" width="2.5703125" style="652" customWidth="1"/>
    <col min="11" max="11" width="3.42578125" style="652" customWidth="1"/>
    <col min="12" max="36" width="2.5703125" style="652" customWidth="1"/>
    <col min="37" max="37" width="2.140625" style="652" customWidth="1"/>
    <col min="38" max="38" width="1.85546875" style="652" customWidth="1"/>
    <col min="39" max="39" width="2.140625" style="652" customWidth="1"/>
    <col min="40" max="45" width="2.5703125" style="652" customWidth="1"/>
    <col min="46" max="46" width="7.7109375" style="652" customWidth="1"/>
    <col min="47" max="61" width="2.5703125" style="652" customWidth="1"/>
    <col min="62" max="16384" width="9.140625" style="652"/>
  </cols>
  <sheetData>
    <row r="1" spans="1:38" s="443" customFormat="1" ht="10.5" thickBot="1" x14ac:dyDescent="0.3">
      <c r="C1" s="651" t="s">
        <v>953</v>
      </c>
    </row>
    <row r="2" spans="1:38" s="340" customFormat="1" ht="21" customHeight="1" thickBot="1" x14ac:dyDescent="0.3">
      <c r="C2" s="653" t="s">
        <v>1358</v>
      </c>
      <c r="D2" s="654"/>
      <c r="E2" s="654"/>
      <c r="F2" s="654"/>
      <c r="G2" s="654"/>
      <c r="H2" s="654"/>
      <c r="I2" s="654"/>
      <c r="J2" s="655"/>
      <c r="Q2" s="439" t="s">
        <v>1359</v>
      </c>
    </row>
    <row r="3" spans="1:38" ht="13.5" thickBot="1" x14ac:dyDescent="0.3"/>
    <row r="4" spans="1:38" ht="28.5" customHeight="1" thickBot="1" x14ac:dyDescent="0.3">
      <c r="K4" s="690" t="s">
        <v>1360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1820" t="s">
        <v>1361</v>
      </c>
      <c r="W4" s="1821"/>
      <c r="X4" s="1821"/>
      <c r="Y4" s="1821"/>
      <c r="Z4" s="1821"/>
      <c r="AA4" s="1822"/>
    </row>
    <row r="5" spans="1:38" ht="7.5" customHeight="1" thickBot="1" x14ac:dyDescent="0.3"/>
    <row r="6" spans="1:38" s="430" customFormat="1" ht="14.25" customHeight="1" x14ac:dyDescent="0.25">
      <c r="A6" s="433" t="s">
        <v>1362</v>
      </c>
      <c r="B6" s="433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2"/>
      <c r="AL6" s="431"/>
    </row>
    <row r="7" spans="1:38" s="430" customFormat="1" ht="14.25" customHeight="1" x14ac:dyDescent="0.25">
      <c r="A7" s="691" t="s">
        <v>1363</v>
      </c>
      <c r="B7" s="691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  <c r="T7" s="692"/>
      <c r="U7" s="692"/>
      <c r="V7" s="692"/>
      <c r="W7" s="692"/>
      <c r="X7" s="692"/>
      <c r="Y7" s="692"/>
      <c r="Z7" s="692"/>
      <c r="AA7" s="692"/>
      <c r="AB7" s="692"/>
      <c r="AC7" s="692"/>
      <c r="AD7" s="692"/>
      <c r="AE7" s="692"/>
      <c r="AF7" s="692"/>
      <c r="AG7" s="692"/>
      <c r="AH7" s="692"/>
      <c r="AI7" s="692"/>
      <c r="AJ7" s="692"/>
      <c r="AK7" s="692"/>
      <c r="AL7" s="693"/>
    </row>
    <row r="8" spans="1:38" s="697" customFormat="1" ht="15" customHeight="1" x14ac:dyDescent="0.25">
      <c r="A8" s="694" t="s">
        <v>1364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  <c r="S8" s="696"/>
      <c r="T8" s="695"/>
      <c r="U8" s="695"/>
      <c r="V8" s="695"/>
      <c r="W8" s="695"/>
      <c r="X8" s="695"/>
      <c r="Y8" s="695"/>
      <c r="Z8" s="695"/>
      <c r="AA8" s="695"/>
      <c r="AB8" s="695"/>
      <c r="AC8" s="695"/>
      <c r="AD8" s="695"/>
      <c r="AE8" s="695"/>
      <c r="AF8" s="695"/>
      <c r="AG8" s="695"/>
      <c r="AH8" s="695"/>
      <c r="AI8" s="695"/>
      <c r="AJ8" s="695"/>
      <c r="AK8" s="695"/>
      <c r="AL8" s="693"/>
    </row>
    <row r="9" spans="1:38" s="425" customFormat="1" ht="18" customHeight="1" thickBot="1" x14ac:dyDescent="0.3">
      <c r="A9" s="428" t="s">
        <v>1365</v>
      </c>
      <c r="B9" s="428"/>
      <c r="C9" s="427"/>
      <c r="D9" s="427"/>
      <c r="E9" s="428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6"/>
      <c r="T9" s="427"/>
      <c r="U9" s="427"/>
      <c r="V9" s="427"/>
      <c r="W9" s="427"/>
      <c r="X9" s="427"/>
      <c r="Y9" s="427"/>
      <c r="Z9" s="427"/>
      <c r="AA9" s="427"/>
      <c r="AB9" s="427"/>
      <c r="AC9" s="427"/>
      <c r="AD9" s="427"/>
      <c r="AE9" s="427"/>
      <c r="AF9" s="427"/>
      <c r="AG9" s="427"/>
      <c r="AH9" s="427"/>
      <c r="AI9" s="427"/>
      <c r="AJ9" s="427"/>
      <c r="AK9" s="427"/>
      <c r="AL9" s="426"/>
    </row>
    <row r="10" spans="1:38" s="405" customFormat="1" ht="3.75" customHeight="1" thickBot="1" x14ac:dyDescent="0.3"/>
    <row r="11" spans="1:38" s="405" customFormat="1" ht="14.25" customHeight="1" x14ac:dyDescent="0.25">
      <c r="A11" s="407" t="s">
        <v>1366</v>
      </c>
      <c r="B11" s="406"/>
      <c r="C11" s="406"/>
      <c r="D11" s="406"/>
      <c r="E11" s="406"/>
      <c r="F11" s="406"/>
      <c r="G11" s="406"/>
      <c r="H11" s="406"/>
      <c r="I11" s="350"/>
      <c r="J11" s="675"/>
      <c r="K11" s="423" t="s">
        <v>1367</v>
      </c>
      <c r="L11" s="406"/>
      <c r="M11" s="424"/>
      <c r="N11" s="424"/>
      <c r="O11" s="424"/>
      <c r="P11" s="406"/>
      <c r="Q11" s="423" t="s">
        <v>1367</v>
      </c>
      <c r="R11" s="406"/>
      <c r="S11" s="350"/>
      <c r="T11" s="406"/>
      <c r="U11" s="406"/>
      <c r="V11" s="676"/>
      <c r="W11" s="406"/>
      <c r="X11" s="406"/>
      <c r="Y11" s="406"/>
      <c r="Z11" s="406"/>
      <c r="AA11" s="406"/>
      <c r="AB11" s="406"/>
      <c r="AC11" s="406"/>
      <c r="AD11" s="423" t="s">
        <v>1368</v>
      </c>
      <c r="AE11" s="423"/>
      <c r="AF11" s="423"/>
      <c r="AG11" s="423" t="s">
        <v>1369</v>
      </c>
      <c r="AH11" s="406"/>
      <c r="AI11" s="406"/>
      <c r="AJ11" s="406"/>
      <c r="AK11" s="406"/>
      <c r="AL11" s="422"/>
    </row>
    <row r="12" spans="1:38" s="405" customFormat="1" ht="19.5" customHeight="1" x14ac:dyDescent="0.2">
      <c r="A12" s="419" t="str">
        <f>LEFT('Input data'!C24,1)</f>
        <v>2</v>
      </c>
      <c r="B12" s="384" t="str">
        <f>MID('Input data'!$C$24,2,1)</f>
        <v>0</v>
      </c>
      <c r="C12" s="384" t="str">
        <f>MID('Input data'!$C$24,3,1)</f>
        <v>2</v>
      </c>
      <c r="D12" s="384" t="str">
        <f>MID('Input data'!$C$24,4,1)</f>
        <v>1</v>
      </c>
      <c r="E12" s="384" t="str">
        <f>MID('Input data'!$C$24,5,1)</f>
        <v>8</v>
      </c>
      <c r="F12" s="384" t="str">
        <f>MID('Input data'!$C$24,6,1)</f>
        <v>3</v>
      </c>
      <c r="G12" s="384" t="str">
        <f>MID('Input data'!$C$24,7,1)</f>
        <v>3</v>
      </c>
      <c r="H12" s="384" t="str">
        <f>MID('Input data'!$C$24,8,1)</f>
        <v>4</v>
      </c>
      <c r="I12" s="384" t="str">
        <f>MID('Input data'!$C$24,9,1)</f>
        <v>1</v>
      </c>
      <c r="J12" s="677" t="str">
        <f>MID('Input data'!$C$24,10,1)</f>
        <v>8</v>
      </c>
      <c r="K12" s="678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679"/>
      <c r="W12" s="413" t="s">
        <v>1370</v>
      </c>
      <c r="X12" s="408"/>
      <c r="Y12" s="408"/>
      <c r="Z12" s="408"/>
      <c r="AA12" s="408"/>
      <c r="AB12" s="413" t="s">
        <v>1371</v>
      </c>
      <c r="AC12" s="408"/>
      <c r="AD12" s="384" t="str">
        <f>MID('Input data'!$B$8,1,1)</f>
        <v>0</v>
      </c>
      <c r="AE12" s="384" t="str">
        <f>MID('Input data'!$B$8,2,1)</f>
        <v>1</v>
      </c>
      <c r="AF12" s="384"/>
      <c r="AG12" s="384" t="str">
        <f>MID('Input data'!$B$9,1,1)</f>
        <v>2</v>
      </c>
      <c r="AH12" s="384" t="str">
        <f>MID('Input data'!$B$9,2,1)</f>
        <v>0</v>
      </c>
      <c r="AI12" s="384" t="str">
        <f>MID('Input data'!$B$9,3,1)</f>
        <v>1</v>
      </c>
      <c r="AJ12" s="384" t="str">
        <f>MID('Input data'!$B$9,4,1)</f>
        <v>4</v>
      </c>
      <c r="AK12" s="408"/>
      <c r="AL12" s="414"/>
    </row>
    <row r="13" spans="1:38" s="405" customFormat="1" ht="19.5" customHeight="1" x14ac:dyDescent="0.25">
      <c r="A13" s="346" t="s">
        <v>1372</v>
      </c>
      <c r="B13" s="408"/>
      <c r="C13" s="408"/>
      <c r="D13" s="408"/>
      <c r="E13" s="408"/>
      <c r="F13" s="408"/>
      <c r="G13" s="408"/>
      <c r="H13" s="342"/>
      <c r="I13" s="342"/>
      <c r="J13" s="470"/>
      <c r="K13" s="421" t="str">
        <f>IF('Input data'!D7="x","x"," ")</f>
        <v xml:space="preserve"> </v>
      </c>
      <c r="L13" s="413" t="s">
        <v>1373</v>
      </c>
      <c r="N13" s="415"/>
      <c r="O13" s="415"/>
      <c r="P13" s="415"/>
      <c r="Q13" s="415"/>
      <c r="R13" s="421" t="str">
        <f>IF('Input data'!D17="x","x"," ")</f>
        <v xml:space="preserve"> </v>
      </c>
      <c r="S13" s="413" t="s">
        <v>1374</v>
      </c>
      <c r="T13" s="408"/>
      <c r="U13" s="408"/>
      <c r="V13" s="679"/>
      <c r="W13" s="659"/>
      <c r="X13" s="660"/>
      <c r="Y13" s="660"/>
      <c r="Z13" s="660"/>
      <c r="AA13" s="660"/>
      <c r="AB13" s="661" t="s">
        <v>1375</v>
      </c>
      <c r="AC13" s="660"/>
      <c r="AD13" s="662" t="str">
        <f>MID('Input data'!$B$13,1,1)</f>
        <v>1</v>
      </c>
      <c r="AE13" s="662" t="str">
        <f>MID('Input data'!$B$13,2,1)</f>
        <v>2</v>
      </c>
      <c r="AF13" s="662"/>
      <c r="AG13" s="662" t="str">
        <f>MID('Input data'!$B$14,1,1)</f>
        <v>2</v>
      </c>
      <c r="AH13" s="662" t="str">
        <f>MID('Input data'!$B$14,2,1)</f>
        <v>0</v>
      </c>
      <c r="AI13" s="662" t="str">
        <f>MID('Input data'!$B$14,3,1)</f>
        <v>1</v>
      </c>
      <c r="AJ13" s="662" t="str">
        <f>MID('Input data'!$B$14,4,1)</f>
        <v>4</v>
      </c>
      <c r="AK13" s="660"/>
      <c r="AL13" s="663"/>
    </row>
    <row r="14" spans="1:38" s="405" customFormat="1" ht="19.5" customHeight="1" x14ac:dyDescent="0.2">
      <c r="A14" s="698" t="str">
        <f>LEFT('Input data'!C26,1)</f>
        <v>3</v>
      </c>
      <c r="B14" s="417" t="str">
        <f>MID('Input data'!$C$26,2,1)</f>
        <v>5</v>
      </c>
      <c r="C14" s="417" t="str">
        <f>MID('Input data'!$C$26,3,1)</f>
        <v>8</v>
      </c>
      <c r="D14" s="417" t="str">
        <f>MID('Input data'!$C$26,4,1)</f>
        <v>8</v>
      </c>
      <c r="E14" s="417" t="str">
        <f>MID('Input data'!$C$26,5,1)</f>
        <v>2</v>
      </c>
      <c r="F14" s="417" t="str">
        <f>MID('Input data'!$C$26,6,1)</f>
        <v>7</v>
      </c>
      <c r="G14" s="417" t="str">
        <f>MID('Input data'!$C$26,7,1)</f>
        <v>0</v>
      </c>
      <c r="H14" s="417" t="str">
        <f>MID('Input data'!$C$26,8,1)</f>
        <v>1</v>
      </c>
      <c r="I14" s="342"/>
      <c r="J14" s="470"/>
      <c r="K14" s="342" t="str">
        <f>IF('Input data'!D8="x","x", "")</f>
        <v/>
      </c>
      <c r="L14" s="413" t="s">
        <v>1376</v>
      </c>
      <c r="M14" s="413"/>
      <c r="N14" s="415"/>
      <c r="O14" s="415"/>
      <c r="P14" s="415"/>
      <c r="Q14" s="415"/>
      <c r="R14" s="415" t="str">
        <f>IF('Input data'!D18="x","x"," ")</f>
        <v xml:space="preserve"> </v>
      </c>
      <c r="S14" s="413" t="s">
        <v>1377</v>
      </c>
      <c r="T14" s="408"/>
      <c r="U14" s="408"/>
      <c r="V14" s="679"/>
      <c r="W14" s="413"/>
      <c r="X14" s="408"/>
      <c r="Y14" s="345"/>
      <c r="Z14" s="342"/>
      <c r="AA14" s="342"/>
      <c r="AB14" s="415"/>
      <c r="AC14" s="342"/>
      <c r="AD14" s="417"/>
      <c r="AE14" s="417"/>
      <c r="AF14" s="417"/>
      <c r="AG14" s="417"/>
      <c r="AH14" s="417"/>
      <c r="AI14" s="417"/>
      <c r="AJ14" s="417"/>
      <c r="AK14" s="342"/>
      <c r="AL14" s="414"/>
    </row>
    <row r="15" spans="1:38" s="405" customFormat="1" ht="19.5" customHeight="1" x14ac:dyDescent="0.2">
      <c r="A15" s="346" t="s">
        <v>973</v>
      </c>
      <c r="B15" s="408"/>
      <c r="C15" s="408"/>
      <c r="D15" s="408"/>
      <c r="E15" s="408"/>
      <c r="F15" s="361"/>
      <c r="G15" s="408"/>
      <c r="H15" s="408"/>
      <c r="I15" s="342"/>
      <c r="J15" s="470"/>
      <c r="K15" s="678"/>
      <c r="L15" s="342"/>
      <c r="M15" s="413"/>
      <c r="N15" s="415"/>
      <c r="O15" s="415"/>
      <c r="P15" s="415"/>
      <c r="Q15" s="415"/>
      <c r="R15" s="699" t="s">
        <v>1378</v>
      </c>
      <c r="S15" s="415"/>
      <c r="T15" s="408"/>
      <c r="U15" s="408"/>
      <c r="V15" s="679"/>
      <c r="W15" s="413" t="s">
        <v>1379</v>
      </c>
      <c r="X15" s="408"/>
      <c r="Y15" s="345"/>
      <c r="Z15" s="342"/>
      <c r="AA15" s="342"/>
      <c r="AB15" s="413" t="s">
        <v>1371</v>
      </c>
      <c r="AC15" s="342"/>
      <c r="AD15" s="384" t="str">
        <f>MID('Input data'!$B$18,1,1)</f>
        <v>0</v>
      </c>
      <c r="AE15" s="384" t="str">
        <f>MID('Input data'!$B$18,2,1)</f>
        <v>1</v>
      </c>
      <c r="AF15" s="384"/>
      <c r="AG15" s="384" t="str">
        <f>MID('Input data'!$B$19,1,1)</f>
        <v>1</v>
      </c>
      <c r="AH15" s="384" t="str">
        <f>MID('Input data'!$B$19,2,1)</f>
        <v>9</v>
      </c>
      <c r="AI15" s="384" t="str">
        <f>MID('Input data'!$B$19,3,1)</f>
        <v>0</v>
      </c>
      <c r="AJ15" s="384" t="str">
        <f>MID('Input data'!$B$19,4,1)</f>
        <v>0</v>
      </c>
      <c r="AK15" s="342"/>
      <c r="AL15" s="414"/>
    </row>
    <row r="16" spans="1:38" s="405" customFormat="1" ht="19.5" customHeight="1" thickBot="1" x14ac:dyDescent="0.25">
      <c r="A16" s="412" t="e">
        <f>#REF!</f>
        <v>#REF!</v>
      </c>
      <c r="B16" s="337" t="e">
        <f>#REF!</f>
        <v>#REF!</v>
      </c>
      <c r="C16" s="410" t="s">
        <v>955</v>
      </c>
      <c r="D16" s="337" t="e">
        <f>#REF!</f>
        <v>#REF!</v>
      </c>
      <c r="E16" s="337" t="e">
        <f>#REF!</f>
        <v>#REF!</v>
      </c>
      <c r="F16" s="410" t="s">
        <v>955</v>
      </c>
      <c r="G16" s="337" t="e">
        <f>#REF!</f>
        <v>#REF!</v>
      </c>
      <c r="H16" s="337"/>
      <c r="I16" s="337"/>
      <c r="J16" s="681"/>
      <c r="K16" s="682"/>
      <c r="L16" s="337"/>
      <c r="M16" s="337"/>
      <c r="N16" s="337"/>
      <c r="O16" s="337"/>
      <c r="P16" s="337"/>
      <c r="Q16" s="337"/>
      <c r="R16" s="337"/>
      <c r="S16" s="337"/>
      <c r="T16" s="410"/>
      <c r="U16" s="410"/>
      <c r="V16" s="683"/>
      <c r="W16" s="409"/>
      <c r="X16" s="410"/>
      <c r="Y16" s="338"/>
      <c r="Z16" s="337"/>
      <c r="AA16" s="337"/>
      <c r="AB16" s="409" t="s">
        <v>1375</v>
      </c>
      <c r="AC16" s="337"/>
      <c r="AD16" s="382" t="str">
        <f>MID('Input data'!$B$21,1,1)</f>
        <v>0</v>
      </c>
      <c r="AE16" s="382" t="str">
        <f>MID('Input data'!$B$21,2,1)</f>
        <v>1</v>
      </c>
      <c r="AF16" s="382"/>
      <c r="AG16" s="382" t="str">
        <f>MID('Input data'!$B$22,1,1)</f>
        <v>1</v>
      </c>
      <c r="AH16" s="382" t="str">
        <f>MID('Input data'!$B$22,2,1)</f>
        <v>9</v>
      </c>
      <c r="AI16" s="382" t="str">
        <f>MID('Input data'!$B$22,3,1)</f>
        <v>0</v>
      </c>
      <c r="AJ16" s="382" t="str">
        <f>MID('Input data'!$B$22,4,1)</f>
        <v>0</v>
      </c>
      <c r="AK16" s="337"/>
      <c r="AL16" s="411"/>
    </row>
    <row r="17" spans="1:39" s="405" customFormat="1" ht="4.5" customHeight="1" x14ac:dyDescent="0.25">
      <c r="A17" s="408"/>
      <c r="B17" s="408"/>
      <c r="C17" s="408"/>
      <c r="D17" s="408"/>
      <c r="E17" s="408"/>
      <c r="F17" s="408"/>
      <c r="G17" s="408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408"/>
      <c r="U17" s="408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  <c r="AL17" s="408"/>
      <c r="AM17" s="408"/>
    </row>
    <row r="18" spans="1:39" s="405" customFormat="1" ht="3" customHeight="1" thickBot="1" x14ac:dyDescent="0.3">
      <c r="A18" s="700"/>
      <c r="B18" s="408"/>
      <c r="C18" s="408"/>
      <c r="D18" s="408"/>
      <c r="E18" s="408"/>
      <c r="F18" s="408"/>
      <c r="G18" s="408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408"/>
      <c r="U18" s="408"/>
      <c r="V18" s="408"/>
      <c r="W18" s="342"/>
      <c r="X18" s="342"/>
      <c r="Y18" s="342"/>
      <c r="Z18" s="342"/>
      <c r="AA18" s="342"/>
      <c r="AB18" s="342"/>
      <c r="AC18" s="342"/>
      <c r="AD18" s="342"/>
      <c r="AE18" s="342"/>
      <c r="AF18" s="342"/>
      <c r="AG18" s="342"/>
      <c r="AH18" s="342"/>
      <c r="AI18" s="342"/>
      <c r="AJ18" s="342"/>
      <c r="AK18" s="342"/>
      <c r="AL18" s="408"/>
      <c r="AM18" s="408"/>
    </row>
    <row r="19" spans="1:39" s="405" customFormat="1" ht="16.5" x14ac:dyDescent="0.25">
      <c r="A19" s="407" t="s">
        <v>1380</v>
      </c>
      <c r="B19" s="406"/>
      <c r="C19" s="406"/>
      <c r="D19" s="406"/>
      <c r="E19" s="406"/>
      <c r="F19" s="406"/>
      <c r="G19" s="406"/>
      <c r="H19" s="350"/>
      <c r="I19" s="350"/>
      <c r="J19" s="350"/>
      <c r="K19" s="350"/>
      <c r="L19" s="350"/>
      <c r="M19" s="350"/>
      <c r="N19" s="350"/>
      <c r="O19" s="350"/>
      <c r="P19" s="350"/>
      <c r="Q19" s="350"/>
      <c r="R19" s="350"/>
      <c r="S19" s="350"/>
      <c r="T19" s="406"/>
      <c r="U19" s="406"/>
      <c r="V19" s="406"/>
      <c r="W19" s="350"/>
      <c r="X19" s="350"/>
      <c r="Y19" s="350"/>
      <c r="Z19" s="350"/>
      <c r="AA19" s="350"/>
      <c r="AB19" s="350"/>
      <c r="AC19" s="350"/>
      <c r="AD19" s="350"/>
      <c r="AE19" s="350"/>
      <c r="AF19" s="350"/>
      <c r="AG19" s="350"/>
      <c r="AH19" s="350"/>
      <c r="AI19" s="350"/>
      <c r="AJ19" s="350"/>
      <c r="AK19" s="350"/>
      <c r="AL19" s="422"/>
    </row>
    <row r="20" spans="1:39" s="405" customFormat="1" ht="19.5" customHeight="1" x14ac:dyDescent="0.25">
      <c r="A20" s="392" t="str">
        <f>+LEFT('Input data'!$F$3,1)</f>
        <v>M</v>
      </c>
      <c r="B20" s="384" t="str">
        <f>+MID('Input data'!$F$3,2,1)</f>
        <v>e</v>
      </c>
      <c r="C20" s="384" t="str">
        <f>+MID('Input data'!$F$3,3,1)</f>
        <v>d</v>
      </c>
      <c r="D20" s="384" t="str">
        <f>+MID('Input data'!$F$3,4,1)</f>
        <v>i</v>
      </c>
      <c r="E20" s="384" t="str">
        <f>+MID('Input data'!$F$3,5,1)</f>
        <v>c</v>
      </c>
      <c r="F20" s="384" t="str">
        <f>+MID('Input data'!$F$3,6,1)</f>
        <v>a</v>
      </c>
      <c r="G20" s="384" t="str">
        <f>+MID('Input data'!$F$3,7,1)</f>
        <v>l</v>
      </c>
      <c r="H20" s="384" t="str">
        <f>+MID('Input data'!$F$3,8,1)</f>
        <v xml:space="preserve"> </v>
      </c>
      <c r="I20" s="384" t="str">
        <f>+MID('Input data'!$F$3,9,1)</f>
        <v>T</v>
      </c>
      <c r="J20" s="384" t="str">
        <f>+MID('Input data'!$F$3,10,1)</f>
        <v>r</v>
      </c>
      <c r="K20" s="384" t="str">
        <f>+MID('Input data'!$F$3,11,1)</f>
        <v>a</v>
      </c>
      <c r="L20" s="384" t="str">
        <f>+MID('Input data'!$F$3,12,1)</f>
        <v>d</v>
      </c>
      <c r="M20" s="384" t="str">
        <f>+MID('Input data'!$F$3,13,1)</f>
        <v>e</v>
      </c>
      <c r="N20" s="384" t="str">
        <f>+MID('Input data'!$F$3,14,1)</f>
        <v>,</v>
      </c>
      <c r="O20" s="384" t="str">
        <f>+MID('Input data'!$F$3,15,1)</f>
        <v>s</v>
      </c>
      <c r="P20" s="384" t="str">
        <f>+MID('Input data'!$F$3,16,1)</f>
        <v>p</v>
      </c>
      <c r="Q20" s="384" t="str">
        <f>+MID('Input data'!$F$3,17,1)</f>
        <v>o</v>
      </c>
      <c r="R20" s="384" t="str">
        <f>+MID('Input data'!$F$3,18,1)</f>
        <v>l</v>
      </c>
      <c r="S20" s="384" t="str">
        <f>+MID('Input data'!$F$3,19,1)</f>
        <v>.</v>
      </c>
      <c r="T20" s="384" t="str">
        <f>+MID('Input data'!$F$3,20,1)</f>
        <v xml:space="preserve"> </v>
      </c>
      <c r="U20" s="384" t="str">
        <f>+MID('Input data'!$F$3,21,1)</f>
        <v>s</v>
      </c>
      <c r="V20" s="384" t="str">
        <f>+MID('Input data'!$F$3,22,1)</f>
        <v xml:space="preserve"> </v>
      </c>
      <c r="W20" s="384" t="str">
        <f>+MID('Input data'!$F$3,23,1)</f>
        <v>r</v>
      </c>
      <c r="X20" s="384" t="str">
        <f>+MID('Input data'!$F$3,24,1)</f>
        <v>.</v>
      </c>
      <c r="Y20" s="384" t="str">
        <f>+MID('Input data'!$F$3,25,1)</f>
        <v>o</v>
      </c>
      <c r="Z20" s="384" t="str">
        <f>+MID('Input data'!$F$3,26,1)</f>
        <v>.</v>
      </c>
      <c r="AA20" s="384" t="str">
        <f>+MID('Input data'!$F$3,27,1)</f>
        <v/>
      </c>
      <c r="AB20" s="384" t="str">
        <f>+MID('Input data'!$F$3,28,1)</f>
        <v/>
      </c>
      <c r="AC20" s="384" t="str">
        <f>+MID('Input data'!$F$3,29,1)</f>
        <v/>
      </c>
      <c r="AD20" s="384" t="str">
        <f>+MID('Input data'!$F$3,30,1)</f>
        <v/>
      </c>
      <c r="AE20" s="384" t="str">
        <f>+MID('Input data'!$F$3,31,1)</f>
        <v/>
      </c>
      <c r="AF20" s="384" t="str">
        <f>+MID('Input data'!$F$3,32,1)</f>
        <v/>
      </c>
      <c r="AG20" s="384" t="str">
        <f>+MID('Input data'!$F$3,33,1)</f>
        <v/>
      </c>
      <c r="AH20" s="384" t="str">
        <f>+MID('Input data'!$F$3,34,1)</f>
        <v/>
      </c>
      <c r="AI20" s="384" t="str">
        <f>+MID('Input data'!$F$3,35,1)</f>
        <v/>
      </c>
      <c r="AJ20" s="384" t="str">
        <f>+MID('Input data'!$F$3,36,1)</f>
        <v/>
      </c>
      <c r="AK20" s="391" t="str">
        <f>+MID('Input data'!$F$3,37,1)</f>
        <v/>
      </c>
      <c r="AL20" s="414"/>
    </row>
    <row r="21" spans="1:39" s="473" customFormat="1" ht="19.5" customHeight="1" x14ac:dyDescent="0.25">
      <c r="A21" s="392" t="str">
        <f>+MID('Input data'!$F$3,38,1)</f>
        <v/>
      </c>
      <c r="B21" s="384" t="str">
        <f>+MID('Input data'!$F$3,39,1)</f>
        <v/>
      </c>
      <c r="C21" s="384" t="str">
        <f>+MID('Input data'!$F$3,40,1)</f>
        <v/>
      </c>
      <c r="D21" s="384" t="str">
        <f>+MID('Input data'!$F$3,41,1)</f>
        <v/>
      </c>
      <c r="E21" s="384" t="str">
        <f>+MID('Input data'!$F$3,42,1)</f>
        <v/>
      </c>
      <c r="F21" s="384" t="str">
        <f>+MID('Input data'!$F$3,43,1)</f>
        <v/>
      </c>
      <c r="G21" s="384" t="str">
        <f>+MID('Input data'!$F$3,44,1)</f>
        <v/>
      </c>
      <c r="H21" s="384" t="str">
        <f>+MID('Input data'!$F$3,45,1)</f>
        <v/>
      </c>
      <c r="I21" s="384" t="str">
        <f>+MID('Input data'!$F$3,46,1)</f>
        <v/>
      </c>
      <c r="J21" s="384" t="str">
        <f>+MID('Input data'!$F$3,47,1)</f>
        <v/>
      </c>
      <c r="K21" s="384" t="str">
        <f>+MID('Input data'!$F$3,48,1)</f>
        <v/>
      </c>
      <c r="L21" s="384" t="str">
        <f>+MID('Input data'!$F$3,49,1)</f>
        <v/>
      </c>
      <c r="M21" s="384" t="str">
        <f>+MID('Input data'!$F$3,50,1)</f>
        <v/>
      </c>
      <c r="N21" s="384" t="str">
        <f>+MID('Input data'!$F$3,51,1)</f>
        <v/>
      </c>
      <c r="O21" s="384" t="str">
        <f>+MID('Input data'!$F$3,52,1)</f>
        <v/>
      </c>
      <c r="P21" s="384" t="str">
        <f>+MID('Input data'!$F$3,53,1)</f>
        <v/>
      </c>
      <c r="Q21" s="384" t="str">
        <f>+MID('Input data'!$F$3,54,1)</f>
        <v/>
      </c>
      <c r="R21" s="384" t="str">
        <f>+MID('Input data'!$F$3,55,1)</f>
        <v/>
      </c>
      <c r="S21" s="384" t="str">
        <f>+MID('Input data'!$F$3,56,1)</f>
        <v/>
      </c>
      <c r="T21" s="384" t="str">
        <f>+MID('Input data'!$F$3,57,1)</f>
        <v/>
      </c>
      <c r="U21" s="384" t="str">
        <f>+MID('Input data'!$F$3,58,1)</f>
        <v/>
      </c>
      <c r="V21" s="384" t="str">
        <f>+MID('Input data'!$F$3,59,1)</f>
        <v/>
      </c>
      <c r="W21" s="384" t="str">
        <f>+MID('Input data'!$F$3,60,1)</f>
        <v/>
      </c>
      <c r="X21" s="384" t="str">
        <f>+MID('Input data'!$F$3,61,1)</f>
        <v/>
      </c>
      <c r="Y21" s="384" t="str">
        <f>+MID('Input data'!$F$3,62,1)</f>
        <v/>
      </c>
      <c r="Z21" s="384" t="str">
        <f>+MID('Input data'!$F$3,63,1)</f>
        <v/>
      </c>
      <c r="AA21" s="384" t="str">
        <f>+MID('Input data'!$F$3,64,1)</f>
        <v/>
      </c>
      <c r="AB21" s="384" t="str">
        <f>+MID('Input data'!$F$3,65,1)</f>
        <v/>
      </c>
      <c r="AC21" s="384" t="str">
        <f>+MID('Input data'!$F$3,66,1)</f>
        <v/>
      </c>
      <c r="AD21" s="384" t="str">
        <f>+MID('Input data'!$F$3,67,1)</f>
        <v/>
      </c>
      <c r="AE21" s="384" t="str">
        <f>+MID('Input data'!$F$3,68,1)</f>
        <v/>
      </c>
      <c r="AF21" s="384" t="str">
        <f>+MID('Input data'!$F$3,69,1)</f>
        <v/>
      </c>
      <c r="AG21" s="384" t="str">
        <f>+MID('Input data'!$F$3,70,1)</f>
        <v/>
      </c>
      <c r="AH21" s="384" t="str">
        <f>+MID('Input data'!$F$3,71,1)</f>
        <v/>
      </c>
      <c r="AI21" s="384" t="str">
        <f>+MID('Input data'!$F$3,72,1)</f>
        <v/>
      </c>
      <c r="AJ21" s="384" t="str">
        <f>+MID('Input data'!$F$3,73,1)</f>
        <v/>
      </c>
      <c r="AK21" s="391" t="str">
        <f>+MID('Input data'!$F$3,74,1)</f>
        <v/>
      </c>
      <c r="AL21" s="701"/>
    </row>
    <row r="22" spans="1:39" s="393" customFormat="1" ht="14.25" customHeight="1" x14ac:dyDescent="0.25">
      <c r="A22" s="702" t="s">
        <v>1381</v>
      </c>
      <c r="B22" s="703"/>
      <c r="C22" s="703"/>
      <c r="D22" s="703"/>
      <c r="E22" s="703"/>
      <c r="F22" s="703"/>
      <c r="G22" s="703"/>
      <c r="H22" s="703"/>
      <c r="I22" s="703"/>
      <c r="J22" s="703"/>
      <c r="K22" s="703"/>
      <c r="L22" s="703"/>
      <c r="M22" s="703"/>
      <c r="N22" s="703"/>
      <c r="O22" s="703"/>
      <c r="P22" s="703"/>
      <c r="Q22" s="703"/>
      <c r="R22" s="703"/>
      <c r="S22" s="703"/>
      <c r="T22" s="703"/>
      <c r="U22" s="703"/>
      <c r="V22" s="703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  <c r="AL22" s="704"/>
    </row>
    <row r="23" spans="1:39" x14ac:dyDescent="0.25">
      <c r="A23" s="389" t="s">
        <v>1382</v>
      </c>
      <c r="B23" s="657"/>
      <c r="C23" s="657"/>
      <c r="D23" s="657"/>
      <c r="E23" s="657"/>
      <c r="F23" s="657"/>
      <c r="G23" s="657"/>
      <c r="H23" s="657"/>
      <c r="I23" s="657"/>
      <c r="J23" s="657"/>
      <c r="K23" s="657"/>
      <c r="L23" s="657"/>
      <c r="M23" s="657"/>
      <c r="N23" s="657"/>
      <c r="O23" s="657"/>
      <c r="P23" s="657"/>
      <c r="Q23" s="657"/>
      <c r="R23" s="657"/>
      <c r="S23" s="657"/>
      <c r="T23" s="657"/>
      <c r="U23" s="657"/>
      <c r="V23" s="657"/>
      <c r="W23" s="342"/>
      <c r="X23" s="342"/>
      <c r="Y23" s="342"/>
      <c r="Z23" s="342"/>
      <c r="AA23" s="342"/>
      <c r="AB23" s="657"/>
      <c r="AC23" s="342"/>
      <c r="AD23" s="345" t="s">
        <v>1383</v>
      </c>
      <c r="AE23" s="342"/>
      <c r="AF23" s="342"/>
      <c r="AG23" s="342"/>
      <c r="AH23" s="342"/>
      <c r="AI23" s="342"/>
      <c r="AJ23" s="342"/>
      <c r="AK23" s="342"/>
      <c r="AL23" s="705"/>
    </row>
    <row r="24" spans="1:39" s="473" customFormat="1" ht="19.5" customHeight="1" x14ac:dyDescent="0.25">
      <c r="A24" s="392" t="str">
        <f>+LEFT('Input data'!$C$28,1)</f>
        <v>B</v>
      </c>
      <c r="B24" s="384" t="str">
        <f>+MID('Input data'!$C$28,2,1)</f>
        <v>u</v>
      </c>
      <c r="C24" s="384" t="str">
        <f>+MID('Input data'!$C$28,3,1)</f>
        <v>l</v>
      </c>
      <c r="D24" s="384" t="str">
        <f>+MID('Input data'!$C$28,4,1)</f>
        <v>l</v>
      </c>
      <c r="E24" s="384" t="str">
        <f>+MID('Input data'!$C$28,5,1)</f>
        <v>o</v>
      </c>
      <c r="F24" s="384" t="str">
        <f>+MID('Input data'!$C$28,6,1)</f>
        <v>v</v>
      </c>
      <c r="G24" s="384" t="str">
        <f>+MID('Input data'!$C$28,7,1)</f>
        <v>a</v>
      </c>
      <c r="H24" s="384" t="str">
        <f>+MID('Input data'!$C$28,8,1)</f>
        <v/>
      </c>
      <c r="I24" s="384" t="str">
        <f>+MID('Input data'!$C$28,9,1)</f>
        <v/>
      </c>
      <c r="J24" s="384" t="str">
        <f>+MID('Input data'!$C$28,10,1)</f>
        <v/>
      </c>
      <c r="K24" s="384" t="str">
        <f>+MID('Input data'!$C$28,11,1)</f>
        <v/>
      </c>
      <c r="L24" s="384" t="str">
        <f>+MID('Input data'!$C$28,12,1)</f>
        <v/>
      </c>
      <c r="M24" s="384" t="str">
        <f>+MID('Input data'!$C$28,13,1)</f>
        <v/>
      </c>
      <c r="N24" s="384" t="str">
        <f>+MID('Input data'!$C$28,14,1)</f>
        <v/>
      </c>
      <c r="O24" s="384" t="str">
        <f>+MID('Input data'!$C$28,15,1)</f>
        <v/>
      </c>
      <c r="P24" s="384" t="str">
        <f>+MID('Input data'!$C$28,16,1)</f>
        <v/>
      </c>
      <c r="Q24" s="384" t="str">
        <f>+MID('Input data'!$C$28,17,1)</f>
        <v/>
      </c>
      <c r="R24" s="384" t="str">
        <f>+MID('Input data'!$C$28,18,1)</f>
        <v/>
      </c>
      <c r="S24" s="384" t="str">
        <f>+MID('Input data'!$C$28,19,1)</f>
        <v/>
      </c>
      <c r="T24" s="384" t="str">
        <f>+MID('Input data'!$C$28,20,1)</f>
        <v/>
      </c>
      <c r="U24" s="384" t="str">
        <f>+MID('Input data'!$C$28,21,1)</f>
        <v/>
      </c>
      <c r="V24" s="384" t="str">
        <f>+MID('Input data'!$C$28,22,1)</f>
        <v/>
      </c>
      <c r="W24" s="384" t="str">
        <f>+MID('Input data'!$C$28,23,1)</f>
        <v/>
      </c>
      <c r="X24" s="384" t="str">
        <f>+MID('Input data'!$C$28,24,1)</f>
        <v/>
      </c>
      <c r="Y24" s="384" t="str">
        <f>+MID('Input data'!$C$28,25,1)</f>
        <v/>
      </c>
      <c r="Z24" s="384" t="str">
        <f>+MID('Input data'!$C$28,26,1)</f>
        <v/>
      </c>
      <c r="AA24" s="384" t="str">
        <f>+MID('Input data'!$C$28,27,1)</f>
        <v/>
      </c>
      <c r="AB24" s="384" t="str">
        <f>+MID('Input data'!$C$28,28,1)</f>
        <v/>
      </c>
      <c r="AC24" s="386"/>
      <c r="AD24" s="384" t="str">
        <f>+LEFT('Input data'!$C$30,1)</f>
        <v>1</v>
      </c>
      <c r="AE24" s="384" t="str">
        <f>+MID('Input data'!$C$30,2,1)</f>
        <v/>
      </c>
      <c r="AF24" s="384" t="str">
        <f>+MID('Input data'!$C$30,3,1)</f>
        <v/>
      </c>
      <c r="AG24" s="384" t="str">
        <f>+MID('Input data'!$C$30,4,1)</f>
        <v/>
      </c>
      <c r="AH24" s="384" t="str">
        <f>+MID('Input data'!$C$30,5,1)</f>
        <v/>
      </c>
      <c r="AI24" s="384" t="str">
        <f>+MID('Input data'!$C$30,6,1)</f>
        <v/>
      </c>
      <c r="AJ24" s="384" t="str">
        <f>+MID('Input data'!$C$30,7,1)</f>
        <v/>
      </c>
      <c r="AK24" s="384" t="str">
        <f>+MID('Input data'!$C$30,8,1)</f>
        <v/>
      </c>
      <c r="AL24" s="701"/>
    </row>
    <row r="25" spans="1:39" x14ac:dyDescent="0.25">
      <c r="A25" s="389" t="s">
        <v>1384</v>
      </c>
      <c r="B25" s="657"/>
      <c r="C25" s="657"/>
      <c r="D25" s="657"/>
      <c r="E25" s="657"/>
      <c r="F25" s="657"/>
      <c r="G25" s="388" t="s">
        <v>1385</v>
      </c>
      <c r="H25" s="388"/>
      <c r="I25" s="388"/>
      <c r="J25" s="388"/>
      <c r="K25" s="388"/>
      <c r="L25" s="388"/>
      <c r="M25" s="388"/>
      <c r="N25" s="388"/>
      <c r="O25" s="388"/>
      <c r="P25" s="388"/>
      <c r="Q25" s="388"/>
      <c r="R25" s="388"/>
      <c r="S25" s="388"/>
      <c r="T25" s="388"/>
      <c r="U25" s="388"/>
      <c r="V25" s="388"/>
      <c r="W25" s="388"/>
      <c r="X25" s="388"/>
      <c r="Y25" s="388"/>
      <c r="Z25" s="388"/>
      <c r="AA25" s="388"/>
      <c r="AB25" s="388"/>
      <c r="AC25" s="388"/>
      <c r="AD25" s="388"/>
      <c r="AE25" s="342"/>
      <c r="AF25" s="342"/>
      <c r="AG25" s="342"/>
      <c r="AH25" s="342"/>
      <c r="AI25" s="342"/>
      <c r="AJ25" s="342"/>
      <c r="AK25" s="342"/>
      <c r="AL25" s="705"/>
    </row>
    <row r="26" spans="1:39" s="473" customFormat="1" ht="19.5" customHeight="1" x14ac:dyDescent="0.25">
      <c r="A26" s="392" t="str">
        <f>+LEFT('Input data'!$C$32,1)</f>
        <v>8</v>
      </c>
      <c r="B26" s="384" t="str">
        <f>+MID('Input data'!$C$32,2,1)</f>
        <v>4</v>
      </c>
      <c r="C26" s="384" t="str">
        <f>+MID('Input data'!$C$32,3,1)</f>
        <v>1</v>
      </c>
      <c r="D26" s="384" t="str">
        <f>+MID('Input data'!$C$32,4,1)</f>
        <v xml:space="preserve"> </v>
      </c>
      <c r="E26" s="384" t="str">
        <f>+MID('Input data'!$C$32,5,1)</f>
        <v>0</v>
      </c>
      <c r="F26" s="384"/>
      <c r="G26" s="384" t="str">
        <f>+LEFT('Input data'!$C$34,1)</f>
        <v>B</v>
      </c>
      <c r="H26" s="384" t="str">
        <f>+MID('Input data'!$C$34,2,1)</f>
        <v>r</v>
      </c>
      <c r="I26" s="384" t="str">
        <f>+MID('Input data'!$C$34,3,1)</f>
        <v>a</v>
      </c>
      <c r="J26" s="384" t="str">
        <f>+MID('Input data'!$C$34,4,1)</f>
        <v>t</v>
      </c>
      <c r="K26" s="384" t="str">
        <f>+MID('Input data'!$C$34,5,1)</f>
        <v>i</v>
      </c>
      <c r="L26" s="384" t="str">
        <f>+MID('Input data'!$C$34,6,1)</f>
        <v>s</v>
      </c>
      <c r="M26" s="384" t="str">
        <f>+MID('Input data'!$C$34,7,1)</f>
        <v>l</v>
      </c>
      <c r="N26" s="384" t="str">
        <f>+MID('Input data'!$C$34,8,1)</f>
        <v>a</v>
      </c>
      <c r="O26" s="384" t="str">
        <f>+MID('Input data'!$C$34,9,1)</f>
        <v>v</v>
      </c>
      <c r="P26" s="384" t="str">
        <f>+MID('Input data'!$C$34,10,1)</f>
        <v>a</v>
      </c>
      <c r="Q26" s="384" t="str">
        <f>+MID('Input data'!$C$34,11,1)</f>
        <v/>
      </c>
      <c r="R26" s="384" t="str">
        <f>+MID('Input data'!$C$34,12,1)</f>
        <v/>
      </c>
      <c r="S26" s="384" t="str">
        <f>+MID('Input data'!$C$34,13,1)</f>
        <v/>
      </c>
      <c r="T26" s="384" t="str">
        <f>+MID('Input data'!$C$34,14,1)</f>
        <v/>
      </c>
      <c r="U26" s="384" t="str">
        <f>+MID('Input data'!$C$34,15,1)</f>
        <v/>
      </c>
      <c r="V26" s="384" t="str">
        <f>+MID('Input data'!$C$34,16,1)</f>
        <v/>
      </c>
      <c r="W26" s="384" t="str">
        <f>+MID('Input data'!$C$34,17,1)</f>
        <v/>
      </c>
      <c r="X26" s="384" t="str">
        <f>+MID('Input data'!$C$34,18,1)</f>
        <v/>
      </c>
      <c r="Y26" s="384" t="str">
        <f>+MID('Input data'!$C$34,19,1)</f>
        <v/>
      </c>
      <c r="Z26" s="384" t="str">
        <f>+MID('Input data'!$C$34,20,1)</f>
        <v/>
      </c>
      <c r="AA26" s="384" t="str">
        <f>+MID('Input data'!$C$34,21,1)</f>
        <v/>
      </c>
      <c r="AB26" s="384" t="str">
        <f>+MID('Input data'!$C$34,22,1)</f>
        <v/>
      </c>
      <c r="AC26" s="384" t="str">
        <f>+MID('Input data'!$C$34,23,1)</f>
        <v/>
      </c>
      <c r="AD26" s="384" t="str">
        <f>+MID('Input data'!$C$34,24,1)</f>
        <v/>
      </c>
      <c r="AE26" s="384" t="str">
        <f>+MID('Input data'!$C$34,25,1)</f>
        <v/>
      </c>
      <c r="AF26" s="384" t="str">
        <f>+MID('Input data'!$C$34,26,1)</f>
        <v/>
      </c>
      <c r="AG26" s="384" t="str">
        <f>+MID('Input data'!$C$34,27,1)</f>
        <v/>
      </c>
      <c r="AH26" s="384" t="str">
        <f>+MID('Input data'!$C$34,28,1)</f>
        <v/>
      </c>
      <c r="AI26" s="384" t="str">
        <f>+MID('Input data'!$C$34,29,1)</f>
        <v/>
      </c>
      <c r="AJ26" s="384" t="str">
        <f>+MID('Input data'!$C$34,30,1)</f>
        <v/>
      </c>
      <c r="AK26" s="384" t="str">
        <f>+MID('Input data'!$C$34,31,1)</f>
        <v/>
      </c>
      <c r="AL26" s="701"/>
    </row>
    <row r="27" spans="1:39" x14ac:dyDescent="0.25">
      <c r="A27" s="389" t="s">
        <v>1386</v>
      </c>
      <c r="B27" s="657"/>
      <c r="C27" s="657"/>
      <c r="D27" s="657"/>
      <c r="E27" s="657"/>
      <c r="F27" s="657"/>
      <c r="G27" s="388"/>
      <c r="H27" s="388"/>
      <c r="I27" s="388"/>
      <c r="J27" s="388"/>
      <c r="K27" s="388"/>
      <c r="L27" s="388"/>
      <c r="M27" s="388"/>
      <c r="N27" s="657"/>
      <c r="O27" s="388" t="s">
        <v>1387</v>
      </c>
      <c r="P27" s="388"/>
      <c r="Q27" s="388"/>
      <c r="R27" s="388"/>
      <c r="S27" s="388"/>
      <c r="T27" s="388"/>
      <c r="U27" s="388"/>
      <c r="V27" s="388"/>
      <c r="W27" s="388"/>
      <c r="X27" s="388"/>
      <c r="Y27" s="388"/>
      <c r="Z27" s="388"/>
      <c r="AA27" s="388"/>
      <c r="AB27" s="388"/>
      <c r="AC27" s="388"/>
      <c r="AD27" s="388"/>
      <c r="AE27" s="342"/>
      <c r="AF27" s="342"/>
      <c r="AG27" s="342"/>
      <c r="AH27" s="342"/>
      <c r="AI27" s="342"/>
      <c r="AJ27" s="342"/>
      <c r="AK27" s="342"/>
      <c r="AL27" s="705"/>
    </row>
    <row r="28" spans="1:39" s="473" customFormat="1" ht="19.5" customHeight="1" x14ac:dyDescent="0.25">
      <c r="A28" s="387">
        <v>0</v>
      </c>
      <c r="B28" s="384" t="str">
        <f>+LEFT('Input data'!$C$36,1)</f>
        <v/>
      </c>
      <c r="C28" s="384" t="str">
        <f>+MID('Input data'!$C$36,2,1)</f>
        <v/>
      </c>
      <c r="D28" s="384" t="str">
        <f>+MID('Input data'!$C$36,3,1)</f>
        <v/>
      </c>
      <c r="E28" s="384" t="s">
        <v>984</v>
      </c>
      <c r="F28" s="384" t="str">
        <f>+LEFT('Input data'!$C$38,1)</f>
        <v/>
      </c>
      <c r="G28" s="384" t="str">
        <f>+MID('Input data'!$C$38,2,1)</f>
        <v/>
      </c>
      <c r="H28" s="384" t="str">
        <f>+MID('Input data'!$C$38,3,1)</f>
        <v/>
      </c>
      <c r="I28" s="384" t="str">
        <f>+MID('Input data'!$C$38,4,1)</f>
        <v/>
      </c>
      <c r="J28" s="384" t="str">
        <f>+MID('Input data'!$C$38,5,1)</f>
        <v/>
      </c>
      <c r="K28" s="384" t="str">
        <f>+MID('Input data'!$C$38,6,1)</f>
        <v/>
      </c>
      <c r="L28" s="384" t="str">
        <f>+MID('Input data'!$C$38,7,1)</f>
        <v/>
      </c>
      <c r="M28" s="384" t="str">
        <f>+MID('Input data'!$C$38,8,1)</f>
        <v/>
      </c>
      <c r="N28" s="386"/>
      <c r="O28" s="385">
        <v>0</v>
      </c>
      <c r="P28" s="384" t="str">
        <f>+LEFT('Input data'!$C$36,1)</f>
        <v/>
      </c>
      <c r="Q28" s="384" t="str">
        <f>+MID('Input data'!$C$36,2,1)</f>
        <v/>
      </c>
      <c r="R28" s="384" t="str">
        <f>+MID('Input data'!$C$36,3,1)</f>
        <v/>
      </c>
      <c r="S28" s="384" t="s">
        <v>984</v>
      </c>
      <c r="T28" s="384" t="str">
        <f>+LEFT('Input data'!$C$40,1)</f>
        <v/>
      </c>
      <c r="U28" s="384" t="str">
        <f>+MID('Input data'!$C$40,2,1)</f>
        <v/>
      </c>
      <c r="V28" s="384" t="str">
        <f>+MID('Input data'!$C$40,3,1)</f>
        <v/>
      </c>
      <c r="W28" s="384" t="str">
        <f>+MID('Input data'!$C$40,4,1)</f>
        <v/>
      </c>
      <c r="X28" s="384" t="str">
        <f>+MID('Input data'!$C$40,5,1)</f>
        <v/>
      </c>
      <c r="Y28" s="384" t="str">
        <f>+MID('Input data'!$C$40,6,1)</f>
        <v/>
      </c>
      <c r="Z28" s="384" t="str">
        <f>+MID('Input data'!$C$40,7,1)</f>
        <v/>
      </c>
      <c r="AA28" s="384" t="str">
        <f>+MID('Input data'!$C$40,8,1)</f>
        <v/>
      </c>
      <c r="AB28" s="384"/>
      <c r="AC28" s="384"/>
      <c r="AD28" s="384"/>
      <c r="AE28" s="342"/>
      <c r="AF28" s="342"/>
      <c r="AG28" s="342"/>
      <c r="AH28" s="342"/>
      <c r="AI28" s="342"/>
      <c r="AJ28" s="342"/>
      <c r="AK28" s="342"/>
      <c r="AL28" s="701"/>
    </row>
    <row r="29" spans="1:39" s="334" customFormat="1" x14ac:dyDescent="0.25">
      <c r="A29" s="346" t="s">
        <v>1388</v>
      </c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2"/>
      <c r="X29" s="342"/>
      <c r="Y29" s="342"/>
      <c r="Z29" s="342"/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429"/>
    </row>
    <row r="30" spans="1:39" s="473" customFormat="1" ht="19.5" customHeight="1" thickBot="1" x14ac:dyDescent="0.3">
      <c r="A30" s="383" t="str">
        <f>+LEFT('Input data'!$B$42,1)</f>
        <v/>
      </c>
      <c r="B30" s="382" t="str">
        <f>+MID('Input data'!$B$42,2,1)</f>
        <v/>
      </c>
      <c r="C30" s="382" t="str">
        <f>+MID('Input data'!$B$42,3,1)</f>
        <v/>
      </c>
      <c r="D30" s="382" t="str">
        <f>+MID('Input data'!$B$42,4,1)</f>
        <v/>
      </c>
      <c r="E30" s="382" t="str">
        <f>+MID('Input data'!$B$42,5,1)</f>
        <v/>
      </c>
      <c r="F30" s="382" t="str">
        <f>+MID('Input data'!$B$42,6,1)</f>
        <v/>
      </c>
      <c r="G30" s="382" t="str">
        <f>+MID('Input data'!$B$42,7,1)</f>
        <v/>
      </c>
      <c r="H30" s="382" t="str">
        <f>+MID('Input data'!$B$42,8,1)</f>
        <v/>
      </c>
      <c r="I30" s="382" t="str">
        <f>+MID('Input data'!$B$42,9,1)</f>
        <v/>
      </c>
      <c r="J30" s="382" t="str">
        <f>+MID('Input data'!$B$42,10,1)</f>
        <v/>
      </c>
      <c r="K30" s="382" t="str">
        <f>+MID('Input data'!$B$42,11,1)</f>
        <v/>
      </c>
      <c r="L30" s="382" t="str">
        <f>+MID('Input data'!$B$42,12,1)</f>
        <v/>
      </c>
      <c r="M30" s="382" t="str">
        <f>+MID('Input data'!$B$42,13,1)</f>
        <v/>
      </c>
      <c r="N30" s="382" t="str">
        <f>+MID('Input data'!$B$42,14,1)</f>
        <v/>
      </c>
      <c r="O30" s="382" t="str">
        <f>+MID('Input data'!$B$42,15,1)</f>
        <v/>
      </c>
      <c r="P30" s="382" t="str">
        <f>+MID('Input data'!$B$42,16,1)</f>
        <v/>
      </c>
      <c r="Q30" s="382" t="str">
        <f>+MID('Input data'!$B$42,17,1)</f>
        <v/>
      </c>
      <c r="R30" s="382" t="str">
        <f>+MID('Input data'!$B$42,18,1)</f>
        <v/>
      </c>
      <c r="S30" s="382" t="str">
        <f>+MID('Input data'!$B$42,19,1)</f>
        <v/>
      </c>
      <c r="T30" s="382" t="str">
        <f>+MID('Input data'!$B$42,20,1)</f>
        <v/>
      </c>
      <c r="U30" s="382" t="str">
        <f>+MID('Input data'!$B$42,21,1)</f>
        <v/>
      </c>
      <c r="V30" s="382" t="str">
        <f>+MID('Input data'!$B$42,22,1)</f>
        <v/>
      </c>
      <c r="W30" s="382" t="str">
        <f>+MID('Input data'!$B$42,23,1)</f>
        <v/>
      </c>
      <c r="X30" s="382" t="str">
        <f>+MID('Input data'!$B$42,24,1)</f>
        <v/>
      </c>
      <c r="Y30" s="382" t="str">
        <f>+MID('Input data'!$B$42,25,1)</f>
        <v/>
      </c>
      <c r="Z30" s="382" t="str">
        <f>+MID('Input data'!$B$42,26,1)</f>
        <v/>
      </c>
      <c r="AA30" s="382" t="str">
        <f>+MID('Input data'!$B$42,27,1)</f>
        <v/>
      </c>
      <c r="AB30" s="382" t="str">
        <f>+MID('Input data'!$B$42,28,1)</f>
        <v/>
      </c>
      <c r="AC30" s="382" t="str">
        <f>+MID('Input data'!$B$42,29,1)</f>
        <v/>
      </c>
      <c r="AD30" s="382" t="str">
        <f>+MID('Input data'!$B$42,30,1)</f>
        <v/>
      </c>
      <c r="AE30" s="382" t="str">
        <f>+MID('Input data'!$B$42,31,1)</f>
        <v/>
      </c>
      <c r="AF30" s="382" t="str">
        <f>+MID('Input data'!$B$42,32,1)</f>
        <v/>
      </c>
      <c r="AG30" s="382" t="str">
        <f>+MID('Input data'!$B$42,33,1)</f>
        <v/>
      </c>
      <c r="AH30" s="382" t="str">
        <f>+MID('Input data'!$B$42,34,1)</f>
        <v/>
      </c>
      <c r="AI30" s="382" t="str">
        <f>+MID('Input data'!$B$42,35,1)</f>
        <v/>
      </c>
      <c r="AJ30" s="382" t="str">
        <f>+MID('Input data'!$B$42,36,1)</f>
        <v/>
      </c>
      <c r="AK30" s="382" t="str">
        <f>+MID('Input data'!$B$42,37,1)</f>
        <v/>
      </c>
      <c r="AL30" s="706"/>
    </row>
    <row r="31" spans="1:39" s="334" customFormat="1" ht="4.5" customHeight="1" thickBot="1" x14ac:dyDescent="0.3">
      <c r="A31" s="345"/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2"/>
      <c r="X31" s="342"/>
      <c r="Y31" s="342"/>
      <c r="Z31" s="342"/>
      <c r="AA31" s="342"/>
      <c r="AB31" s="342"/>
      <c r="AC31" s="342"/>
      <c r="AD31" s="342"/>
      <c r="AE31" s="342"/>
      <c r="AF31" s="342"/>
      <c r="AG31" s="342"/>
      <c r="AH31" s="342"/>
      <c r="AI31" s="342"/>
      <c r="AJ31" s="342"/>
      <c r="AK31" s="342"/>
      <c r="AL31" s="345"/>
      <c r="AM31" s="345"/>
    </row>
    <row r="32" spans="1:39" s="377" customFormat="1" ht="12.75" customHeight="1" x14ac:dyDescent="0.25">
      <c r="A32" s="380" t="s">
        <v>1389</v>
      </c>
      <c r="B32" s="379"/>
      <c r="C32" s="379"/>
      <c r="D32" s="379"/>
      <c r="E32" s="379"/>
      <c r="F32" s="379"/>
      <c r="G32" s="379"/>
      <c r="H32" s="379"/>
      <c r="I32" s="379"/>
      <c r="J32" s="379"/>
      <c r="K32" s="664"/>
      <c r="L32" s="664"/>
      <c r="M32" s="1731" t="s">
        <v>1390</v>
      </c>
      <c r="N32" s="1732"/>
      <c r="O32" s="1732"/>
      <c r="P32" s="1732"/>
      <c r="Q32" s="1732"/>
      <c r="R32" s="1732"/>
      <c r="S32" s="1732"/>
      <c r="T32" s="1732"/>
      <c r="U32" s="1733"/>
      <c r="V32" s="1731" t="s">
        <v>1391</v>
      </c>
      <c r="W32" s="1732"/>
      <c r="X32" s="1732"/>
      <c r="Y32" s="1732"/>
      <c r="Z32" s="1732"/>
      <c r="AA32" s="1732"/>
      <c r="AB32" s="1732"/>
      <c r="AC32" s="1733"/>
      <c r="AD32" s="1731" t="s">
        <v>1392</v>
      </c>
      <c r="AE32" s="1732"/>
      <c r="AF32" s="1732"/>
      <c r="AG32" s="1732"/>
      <c r="AH32" s="1732"/>
      <c r="AI32" s="1732"/>
      <c r="AJ32" s="1732"/>
      <c r="AK32" s="1732"/>
      <c r="AL32" s="1737"/>
    </row>
    <row r="33" spans="1:38" s="334" customFormat="1" ht="19.5" customHeight="1" x14ac:dyDescent="0.25">
      <c r="A33" s="363" t="str">
        <f>LEFT(TEXT('Input data'!F34,"dd.m.yyyy"),1)</f>
        <v>0</v>
      </c>
      <c r="B33" s="362" t="str">
        <f>MID(TEXT('Input data'!$F$34,"dd.mm.yyyy"),2,1)</f>
        <v>0</v>
      </c>
      <c r="C33" s="361" t="s">
        <v>955</v>
      </c>
      <c r="D33" s="362" t="str">
        <f>MID(TEXT('Input data'!$F$34,"dd.mm.yyyy"),4,1)</f>
        <v>0</v>
      </c>
      <c r="E33" s="362" t="str">
        <f>MID(TEXT('Input data'!$F$34,"dd.mm.yyyy"),5,1)</f>
        <v>1</v>
      </c>
      <c r="F33" s="361" t="s">
        <v>955</v>
      </c>
      <c r="G33" s="362" t="str">
        <f>MID(TEXT('Input data'!$F$34,"dd.mm.yyyy"),7,1)</f>
        <v>1</v>
      </c>
      <c r="H33" s="362" t="str">
        <f>MID(TEXT('Input data'!$F$34,"dd.mm.yyyy"),8,1)</f>
        <v>9</v>
      </c>
      <c r="I33" s="362" t="str">
        <f>MID(TEXT('Input data'!$F$34,"dd.mm.yyyy"),9,1)</f>
        <v>0</v>
      </c>
      <c r="J33" s="362" t="str">
        <f>MID(TEXT('Input data'!$F$34,"dd.mm.yyyy"),10,1)</f>
        <v>0</v>
      </c>
      <c r="K33" s="707"/>
      <c r="L33" s="369"/>
      <c r="M33" s="1734"/>
      <c r="N33" s="1735"/>
      <c r="O33" s="1735"/>
      <c r="P33" s="1735"/>
      <c r="Q33" s="1735"/>
      <c r="R33" s="1735"/>
      <c r="S33" s="1735"/>
      <c r="T33" s="1735"/>
      <c r="U33" s="1736"/>
      <c r="V33" s="1734"/>
      <c r="W33" s="1735"/>
      <c r="X33" s="1735"/>
      <c r="Y33" s="1735"/>
      <c r="Z33" s="1735"/>
      <c r="AA33" s="1735"/>
      <c r="AB33" s="1735"/>
      <c r="AC33" s="1736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ht="12.75" customHeight="1" x14ac:dyDescent="0.25">
      <c r="A34" s="375"/>
      <c r="B34" s="374"/>
      <c r="C34" s="374"/>
      <c r="D34" s="374"/>
      <c r="E34" s="374"/>
      <c r="F34" s="374"/>
      <c r="G34" s="374"/>
      <c r="H34" s="374"/>
      <c r="I34" s="374"/>
      <c r="J34" s="374"/>
      <c r="K34" s="666"/>
      <c r="L34" s="666"/>
      <c r="M34" s="1734"/>
      <c r="N34" s="1735"/>
      <c r="O34" s="1735"/>
      <c r="P34" s="1735"/>
      <c r="Q34" s="1735"/>
      <c r="R34" s="1735"/>
      <c r="S34" s="1735"/>
      <c r="T34" s="1735"/>
      <c r="U34" s="1736"/>
      <c r="V34" s="1734"/>
      <c r="W34" s="1735"/>
      <c r="X34" s="1735"/>
      <c r="Y34" s="1735"/>
      <c r="Z34" s="1735"/>
      <c r="AA34" s="1735"/>
      <c r="AB34" s="1735"/>
      <c r="AC34" s="1736"/>
      <c r="AD34" s="1734"/>
      <c r="AE34" s="1735"/>
      <c r="AF34" s="1735"/>
      <c r="AG34" s="1735"/>
      <c r="AH34" s="1735"/>
      <c r="AI34" s="1735"/>
      <c r="AJ34" s="1735"/>
      <c r="AK34" s="1735"/>
      <c r="AL34" s="1738"/>
    </row>
    <row r="35" spans="1:38" s="334" customFormat="1" x14ac:dyDescent="0.2">
      <c r="A35" s="346" t="s">
        <v>1393</v>
      </c>
      <c r="B35" s="345"/>
      <c r="C35" s="345"/>
      <c r="D35" s="345"/>
      <c r="E35" s="345"/>
      <c r="F35" s="345"/>
      <c r="G35" s="345"/>
      <c r="H35" s="345"/>
      <c r="I35" s="345"/>
      <c r="J35" s="345"/>
      <c r="K35" s="369"/>
      <c r="L35" s="667"/>
      <c r="M35" s="369"/>
      <c r="N35" s="369"/>
      <c r="O35" s="369"/>
      <c r="P35" s="369"/>
      <c r="Q35" s="369"/>
      <c r="R35" s="369"/>
      <c r="S35" s="369"/>
      <c r="T35" s="345"/>
      <c r="U35" s="367"/>
      <c r="V35" s="368"/>
      <c r="W35" s="368"/>
      <c r="X35" s="368"/>
      <c r="Y35" s="368"/>
      <c r="Z35" s="368"/>
      <c r="AA35" s="342"/>
      <c r="AB35" s="368"/>
      <c r="AC35" s="367"/>
      <c r="AD35" s="366"/>
      <c r="AE35" s="365"/>
      <c r="AF35" s="365"/>
      <c r="AG35" s="365"/>
      <c r="AH35" s="365"/>
      <c r="AI35" s="365"/>
      <c r="AJ35" s="365"/>
      <c r="AK35" s="365"/>
      <c r="AL35" s="364"/>
    </row>
    <row r="36" spans="1:38" s="334" customFormat="1" ht="19.5" customHeight="1" x14ac:dyDescent="0.25">
      <c r="A36" s="363" t="str">
        <f>IF('Input data'!$F$36="","",LEFT(TEXT('Input data'!$F$36,"dd.mm.yyyy"),1))</f>
        <v/>
      </c>
      <c r="B36" s="362" t="str">
        <f>IF('Input data'!$F$36="","",MID(TEXT('Input data'!$F$36,"dd.mm.yyyy"),2,1))</f>
        <v/>
      </c>
      <c r="C36" s="361" t="s">
        <v>955</v>
      </c>
      <c r="D36" s="362" t="str">
        <f>IF('Input data'!$F$36="","",MID(TEXT('Input data'!$F$36,"dd.mm.yyyy"),4,1))</f>
        <v/>
      </c>
      <c r="E36" s="362" t="str">
        <f>IF('Input data'!$F$36="","",MID(TEXT('Input data'!$F$36,"dd.mm.yyyy"),5,1))</f>
        <v/>
      </c>
      <c r="F36" s="361" t="s">
        <v>955</v>
      </c>
      <c r="G36" s="360" t="str">
        <f>IF('Input data'!$F$36="","",MID(TEXT('Input data'!$F$36,"dd.mm.yyyy"),7,1))</f>
        <v/>
      </c>
      <c r="H36" s="360" t="str">
        <f>IF('Input data'!$F$36="","",MID(TEXT('Input data'!$F$36,"dd.mm.yyyy"),8,1))</f>
        <v/>
      </c>
      <c r="I36" s="360" t="str">
        <f>IF('Input data'!$F$36="","",MID(TEXT('Input data'!$F$36,"dd.mm.yyyy"),9,1))</f>
        <v/>
      </c>
      <c r="J36" s="360" t="str">
        <f>IF('Input data'!$F$36="","",MID(TEXT('Input data'!$F$36,"dd.mm.yyyy"),10,1))</f>
        <v/>
      </c>
      <c r="K36" s="668"/>
      <c r="L36" s="471"/>
      <c r="M36" s="345"/>
      <c r="N36" s="345"/>
      <c r="O36" s="345"/>
      <c r="P36" s="345"/>
      <c r="Q36" s="345"/>
      <c r="R36" s="345"/>
      <c r="S36" s="345"/>
      <c r="T36" s="345"/>
      <c r="U36" s="471"/>
      <c r="V36" s="345"/>
      <c r="W36" s="342"/>
      <c r="X36" s="342"/>
      <c r="Y36" s="342"/>
      <c r="Z36" s="342"/>
      <c r="AA36" s="342"/>
      <c r="AB36" s="342"/>
      <c r="AC36" s="470"/>
      <c r="AD36" s="342"/>
      <c r="AE36" s="342"/>
      <c r="AF36" s="342"/>
      <c r="AG36" s="342"/>
      <c r="AH36" s="342"/>
      <c r="AI36" s="342"/>
      <c r="AJ36" s="342"/>
      <c r="AK36" s="342"/>
      <c r="AL36" s="341"/>
    </row>
    <row r="37" spans="1:38" s="340" customFormat="1" thickBot="1" x14ac:dyDescent="0.3">
      <c r="A37" s="355"/>
      <c r="B37" s="354"/>
      <c r="C37" s="354"/>
      <c r="D37" s="354"/>
      <c r="E37" s="354"/>
      <c r="F37" s="354"/>
      <c r="G37" s="354"/>
      <c r="H37" s="354"/>
      <c r="I37" s="354"/>
      <c r="J37" s="354"/>
      <c r="K37" s="354"/>
      <c r="L37" s="353"/>
      <c r="M37" s="1633">
        <f>'Input data'!F40</f>
        <v>0</v>
      </c>
      <c r="N37" s="1634"/>
      <c r="O37" s="1634"/>
      <c r="P37" s="1634"/>
      <c r="Q37" s="1634"/>
      <c r="R37" s="1634"/>
      <c r="S37" s="1634"/>
      <c r="T37" s="1634"/>
      <c r="U37" s="1635"/>
      <c r="V37" s="1633" t="e">
        <f>'Input data'!#REF!</f>
        <v>#REF!</v>
      </c>
      <c r="W37" s="1634"/>
      <c r="X37" s="1634"/>
      <c r="Y37" s="1634"/>
      <c r="Z37" s="1634"/>
      <c r="AA37" s="1634"/>
      <c r="AB37" s="1634"/>
      <c r="AC37" s="1635"/>
      <c r="AD37" s="1636" t="e">
        <f>'Input data'!#REF!</f>
        <v>#REF!</v>
      </c>
      <c r="AE37" s="1634"/>
      <c r="AF37" s="1634"/>
      <c r="AG37" s="1634"/>
      <c r="AH37" s="1634"/>
      <c r="AI37" s="1634"/>
      <c r="AJ37" s="1634"/>
      <c r="AK37" s="1634"/>
      <c r="AL37" s="1637"/>
    </row>
    <row r="38" spans="1:38" s="340" customFormat="1" x14ac:dyDescent="0.2">
      <c r="A38" s="343"/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  <c r="M38" s="708"/>
      <c r="N38" s="708"/>
      <c r="O38" s="708"/>
      <c r="P38" s="708"/>
      <c r="Q38" s="708"/>
      <c r="R38" s="708"/>
      <c r="S38" s="708"/>
      <c r="T38" s="708"/>
      <c r="U38" s="708"/>
      <c r="V38" s="343"/>
      <c r="W38" s="342"/>
      <c r="X38" s="342"/>
      <c r="Y38" s="342"/>
      <c r="Z38" s="342"/>
      <c r="AA38" s="342"/>
      <c r="AB38" s="342"/>
      <c r="AC38" s="342"/>
      <c r="AD38" s="343"/>
      <c r="AE38" s="343"/>
      <c r="AF38" s="343"/>
      <c r="AG38" s="343"/>
      <c r="AH38" s="343"/>
      <c r="AI38" s="343"/>
      <c r="AJ38" s="343"/>
      <c r="AK38" s="343"/>
      <c r="AL38" s="343"/>
    </row>
    <row r="39" spans="1:38" s="340" customFormat="1" x14ac:dyDescent="0.2">
      <c r="A39" s="343"/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708"/>
      <c r="N39" s="708"/>
      <c r="O39" s="708"/>
      <c r="P39" s="708"/>
      <c r="Q39" s="708"/>
      <c r="R39" s="708"/>
      <c r="S39" s="708"/>
      <c r="T39" s="708"/>
      <c r="U39" s="708"/>
      <c r="V39" s="343"/>
      <c r="W39" s="342"/>
      <c r="X39" s="342"/>
      <c r="Y39" s="342"/>
      <c r="Z39" s="342"/>
      <c r="AA39" s="342"/>
      <c r="AB39" s="342"/>
      <c r="AC39" s="342"/>
      <c r="AD39" s="343"/>
      <c r="AE39" s="343"/>
      <c r="AF39" s="343"/>
      <c r="AG39" s="343"/>
      <c r="AH39" s="343"/>
      <c r="AI39" s="343"/>
      <c r="AJ39" s="343"/>
      <c r="AK39" s="343"/>
      <c r="AL39" s="343"/>
    </row>
    <row r="40" spans="1:38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ht="13.5" thickBot="1" x14ac:dyDescent="0.3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8" s="340" customFormat="1" x14ac:dyDescent="0.25">
      <c r="B42" s="352" t="s">
        <v>1394</v>
      </c>
      <c r="C42" s="351"/>
      <c r="D42" s="351"/>
      <c r="E42" s="351"/>
      <c r="F42" s="351"/>
      <c r="G42" s="351"/>
      <c r="H42" s="351"/>
      <c r="I42" s="351"/>
      <c r="J42" s="351"/>
      <c r="K42" s="351"/>
      <c r="L42" s="351"/>
      <c r="M42" s="351"/>
      <c r="N42" s="351"/>
      <c r="O42" s="351"/>
      <c r="P42" s="351"/>
      <c r="Q42" s="351"/>
      <c r="R42" s="351"/>
      <c r="S42" s="351"/>
      <c r="T42" s="351"/>
      <c r="U42" s="351"/>
      <c r="V42" s="351"/>
      <c r="W42" s="350"/>
      <c r="X42" s="350"/>
      <c r="Y42" s="350"/>
      <c r="Z42" s="350"/>
      <c r="AA42" s="350"/>
      <c r="AB42" s="350"/>
      <c r="AC42" s="350"/>
      <c r="AD42" s="350"/>
      <c r="AE42" s="350"/>
      <c r="AF42" s="350"/>
      <c r="AG42" s="350"/>
      <c r="AH42" s="350"/>
      <c r="AI42" s="350"/>
      <c r="AJ42" s="349"/>
      <c r="AK42" s="335"/>
    </row>
    <row r="43" spans="1:38" s="340" customFormat="1" x14ac:dyDescent="0.25">
      <c r="B43" s="344"/>
      <c r="C43" s="343"/>
      <c r="D43" s="343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 s="343"/>
      <c r="S43" s="343"/>
      <c r="T43" s="343"/>
      <c r="U43" s="343"/>
      <c r="V43" s="343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x14ac:dyDescent="0.25">
      <c r="B44" s="348"/>
      <c r="C44" s="657"/>
      <c r="D44" s="657"/>
      <c r="E44" s="657"/>
      <c r="F44" s="657"/>
      <c r="G44" s="657"/>
      <c r="H44" s="657"/>
      <c r="I44" s="657"/>
      <c r="J44" s="657"/>
      <c r="K44" s="657"/>
      <c r="L44" s="657"/>
      <c r="M44" s="657"/>
      <c r="N44" s="657"/>
      <c r="O44" s="657"/>
      <c r="P44" s="657"/>
      <c r="Q44" s="657"/>
      <c r="R44" s="657"/>
      <c r="S44" s="657"/>
      <c r="T44" s="657"/>
      <c r="U44" s="657"/>
      <c r="V44" s="657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40" customFormat="1" x14ac:dyDescent="0.25">
      <c r="B45" s="344"/>
      <c r="C45" s="343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34" customFormat="1" ht="13.5" thickBot="1" x14ac:dyDescent="0.3">
      <c r="B52" s="339"/>
      <c r="C52" s="338"/>
      <c r="D52" s="338"/>
      <c r="E52" s="338"/>
      <c r="F52" s="338"/>
      <c r="G52" s="338" t="s">
        <v>1395</v>
      </c>
      <c r="H52" s="338"/>
      <c r="I52" s="338"/>
      <c r="J52" s="338"/>
      <c r="K52" s="338"/>
      <c r="L52" s="338"/>
      <c r="M52" s="338"/>
      <c r="N52" s="338"/>
      <c r="O52" s="338"/>
      <c r="P52" s="338"/>
      <c r="Q52" s="338"/>
      <c r="R52" s="338"/>
      <c r="S52" s="338"/>
      <c r="T52" s="338"/>
      <c r="U52" s="338" t="s">
        <v>1396</v>
      </c>
      <c r="V52" s="338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7"/>
      <c r="AI52" s="337"/>
      <c r="AJ52" s="336"/>
      <c r="AK52" s="335"/>
    </row>
  </sheetData>
  <mergeCells count="7">
    <mergeCell ref="V4:AA4"/>
    <mergeCell ref="M32:U34"/>
    <mergeCell ref="V32:AC34"/>
    <mergeCell ref="AD32:AL34"/>
    <mergeCell ref="M37:U37"/>
    <mergeCell ref="V37:AC37"/>
    <mergeCell ref="AD37:AL37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25947/1/2010&amp;RSeite 1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3"/>
  <sheetViews>
    <sheetView topLeftCell="A166" zoomScaleNormal="100" zoomScaleSheetLayoutView="100" workbookViewId="0">
      <selection activeCell="B174" sqref="B174:E174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3.7109375" style="445" customWidth="1"/>
    <col min="4" max="4" width="3.5703125" style="445" customWidth="1"/>
    <col min="5" max="5" width="12.42578125" style="445" customWidth="1"/>
    <col min="6" max="6" width="12.140625" style="445" customWidth="1"/>
    <col min="7" max="7" width="14.7109375" style="445" customWidth="1"/>
    <col min="8" max="8" width="3.5703125" style="445" customWidth="1"/>
    <col min="9" max="9" width="10.5703125" style="445" customWidth="1"/>
    <col min="10" max="10" width="14.42578125" style="445" customWidth="1"/>
    <col min="11" max="16384" width="9.140625" style="445"/>
  </cols>
  <sheetData>
    <row r="1" spans="1:13" ht="7.5" customHeight="1" x14ac:dyDescent="0.25">
      <c r="A1" s="444"/>
      <c r="F1" s="388"/>
      <c r="G1" s="388"/>
      <c r="H1" s="388"/>
      <c r="I1" s="388"/>
    </row>
    <row r="2" spans="1:13" ht="17.25" customHeight="1" x14ac:dyDescent="0.25">
      <c r="A2" s="444"/>
      <c r="B2" s="1797" t="s">
        <v>1358</v>
      </c>
      <c r="C2" s="1798"/>
      <c r="E2" s="388"/>
      <c r="F2" s="709" t="s">
        <v>1397</v>
      </c>
      <c r="G2" s="669" t="e">
        <f>"  "&amp;#REF!&amp;"  "&amp;#REF!&amp;"  "&amp;#REF!&amp;"  "&amp;#REF!&amp;"  "&amp;#REF!&amp;"  "&amp;#REF!&amp;"  "&amp;#REF!&amp;"  "&amp;#REF!&amp;"  "&amp;#REF!&amp;"  "&amp;#REF!</f>
        <v>#REF!</v>
      </c>
      <c r="H2" s="466"/>
      <c r="I2" s="465"/>
    </row>
    <row r="3" spans="1:13" ht="7.5" customHeight="1" thickBot="1" x14ac:dyDescent="0.3">
      <c r="A3" s="444"/>
    </row>
    <row r="4" spans="1:13" s="462" customFormat="1" ht="11.25" customHeight="1" x14ac:dyDescent="0.25">
      <c r="A4" s="1802" t="s">
        <v>1398</v>
      </c>
      <c r="B4" s="1803" t="s">
        <v>1399</v>
      </c>
      <c r="C4" s="1804" t="s">
        <v>1400</v>
      </c>
      <c r="D4" s="1654" t="s">
        <v>1401</v>
      </c>
      <c r="E4" s="1716"/>
      <c r="F4" s="1716"/>
      <c r="G4" s="1716"/>
      <c r="H4" s="1658"/>
      <c r="I4" s="1719" t="s">
        <v>1379</v>
      </c>
      <c r="J4" s="1720"/>
    </row>
    <row r="5" spans="1:13" s="462" customFormat="1" ht="11.25" customHeight="1" x14ac:dyDescent="0.25">
      <c r="A5" s="1771"/>
      <c r="B5" s="1772"/>
      <c r="C5" s="1773"/>
      <c r="D5" s="1696">
        <v>1</v>
      </c>
      <c r="E5" s="1664" t="s">
        <v>1402</v>
      </c>
      <c r="F5" s="1727"/>
      <c r="G5" s="1824" t="s">
        <v>1070</v>
      </c>
      <c r="H5" s="1825"/>
      <c r="I5" s="1656"/>
      <c r="J5" s="1657"/>
    </row>
    <row r="6" spans="1:13" s="462" customFormat="1" ht="12" customHeight="1" x14ac:dyDescent="0.25">
      <c r="A6" s="1666"/>
      <c r="B6" s="1674"/>
      <c r="C6" s="1676"/>
      <c r="D6" s="1774"/>
      <c r="E6" s="1664" t="s">
        <v>1403</v>
      </c>
      <c r="F6" s="1727"/>
      <c r="G6" s="1826"/>
      <c r="H6" s="1827"/>
      <c r="I6" s="1664" t="s">
        <v>1068</v>
      </c>
      <c r="J6" s="1665"/>
    </row>
    <row r="7" spans="1:13" s="464" customFormat="1" ht="27.95" customHeight="1" x14ac:dyDescent="0.25">
      <c r="A7" s="1704"/>
      <c r="B7" s="1823" t="s">
        <v>1404</v>
      </c>
      <c r="C7" s="1686" t="s">
        <v>488</v>
      </c>
      <c r="D7" s="1652">
        <f>'BS old'!D10</f>
        <v>0</v>
      </c>
      <c r="E7" s="1652"/>
      <c r="F7" s="1652"/>
      <c r="G7" s="1649">
        <f>'BS old'!F10</f>
        <v>0</v>
      </c>
      <c r="H7" s="1650"/>
      <c r="I7" s="1651"/>
      <c r="J7" s="463"/>
    </row>
    <row r="8" spans="1:13" s="464" customFormat="1" ht="27.95" customHeight="1" x14ac:dyDescent="0.25">
      <c r="A8" s="1704"/>
      <c r="B8" s="1796"/>
      <c r="C8" s="1686"/>
      <c r="D8" s="1652">
        <f>'BS old'!E10</f>
        <v>0</v>
      </c>
      <c r="E8" s="1652"/>
      <c r="F8" s="1652"/>
      <c r="G8" s="644"/>
      <c r="H8" s="1649">
        <f>'BS old'!G10</f>
        <v>0</v>
      </c>
      <c r="I8" s="1650"/>
      <c r="J8" s="1653"/>
      <c r="M8" s="464" t="s">
        <v>985</v>
      </c>
    </row>
    <row r="9" spans="1:13" s="464" customFormat="1" ht="27.95" customHeight="1" x14ac:dyDescent="0.25">
      <c r="A9" s="1681" t="s">
        <v>489</v>
      </c>
      <c r="B9" s="1828" t="s">
        <v>1405</v>
      </c>
      <c r="C9" s="1686" t="s">
        <v>491</v>
      </c>
      <c r="D9" s="1652">
        <f>'BS old'!D11</f>
        <v>0</v>
      </c>
      <c r="E9" s="1652"/>
      <c r="F9" s="1652"/>
      <c r="G9" s="1649">
        <f>'BS old'!F11</f>
        <v>0</v>
      </c>
      <c r="H9" s="1650"/>
      <c r="I9" s="1651"/>
      <c r="J9" s="463"/>
    </row>
    <row r="10" spans="1:13" s="464" customFormat="1" ht="27.95" customHeight="1" x14ac:dyDescent="0.25">
      <c r="A10" s="1681"/>
      <c r="B10" s="1682"/>
      <c r="C10" s="1686"/>
      <c r="D10" s="1652">
        <f>'BS old'!E11</f>
        <v>0</v>
      </c>
      <c r="E10" s="1652"/>
      <c r="F10" s="1652"/>
      <c r="G10" s="644"/>
      <c r="H10" s="1649">
        <f>'BS old'!G11</f>
        <v>0</v>
      </c>
      <c r="I10" s="1650"/>
      <c r="J10" s="1653"/>
    </row>
    <row r="11" spans="1:13" s="464" customFormat="1" ht="27.95" customHeight="1" x14ac:dyDescent="0.25">
      <c r="A11" s="1681" t="s">
        <v>492</v>
      </c>
      <c r="B11" s="1828" t="s">
        <v>1406</v>
      </c>
      <c r="C11" s="1686" t="s">
        <v>494</v>
      </c>
      <c r="D11" s="1652">
        <f>'BS old'!D12</f>
        <v>0</v>
      </c>
      <c r="E11" s="1652"/>
      <c r="F11" s="1652"/>
      <c r="G11" s="1649">
        <f>'BS old'!F12</f>
        <v>0</v>
      </c>
      <c r="H11" s="1650"/>
      <c r="I11" s="1651"/>
      <c r="J11" s="670"/>
    </row>
    <row r="12" spans="1:13" s="464" customFormat="1" ht="27.95" customHeight="1" x14ac:dyDescent="0.25">
      <c r="A12" s="1681"/>
      <c r="B12" s="1682"/>
      <c r="C12" s="1686"/>
      <c r="D12" s="1652">
        <f>'BS old'!E12</f>
        <v>0</v>
      </c>
      <c r="E12" s="1652"/>
      <c r="F12" s="1652"/>
      <c r="G12" s="644"/>
      <c r="H12" s="1649">
        <f>'BS old'!G12</f>
        <v>0</v>
      </c>
      <c r="I12" s="1650"/>
      <c r="J12" s="1653"/>
    </row>
    <row r="13" spans="1:13" s="462" customFormat="1" ht="27.95" customHeight="1" x14ac:dyDescent="0.25">
      <c r="A13" s="1693" t="s">
        <v>495</v>
      </c>
      <c r="B13" s="1777" t="s">
        <v>1407</v>
      </c>
      <c r="C13" s="1788" t="s">
        <v>497</v>
      </c>
      <c r="D13" s="1652">
        <f>'BS old'!D13</f>
        <v>0</v>
      </c>
      <c r="E13" s="1652"/>
      <c r="F13" s="1652"/>
      <c r="G13" s="1649">
        <f>'BS old'!F13</f>
        <v>0</v>
      </c>
      <c r="H13" s="1650"/>
      <c r="I13" s="1651"/>
      <c r="J13" s="463"/>
    </row>
    <row r="14" spans="1:13" s="462" customFormat="1" ht="27.95" customHeight="1" x14ac:dyDescent="0.25">
      <c r="A14" s="1699"/>
      <c r="B14" s="1670"/>
      <c r="C14" s="1672"/>
      <c r="D14" s="1652">
        <f>'BS old'!E13</f>
        <v>0</v>
      </c>
      <c r="E14" s="1652"/>
      <c r="F14" s="1652"/>
      <c r="G14" s="644"/>
      <c r="H14" s="1649">
        <f>'BS old'!G13</f>
        <v>0</v>
      </c>
      <c r="I14" s="1650"/>
      <c r="J14" s="1653"/>
    </row>
    <row r="15" spans="1:13" s="462" customFormat="1" ht="27.95" customHeight="1" x14ac:dyDescent="0.25">
      <c r="A15" s="1669" t="s">
        <v>498</v>
      </c>
      <c r="B15" s="1777" t="s">
        <v>1408</v>
      </c>
      <c r="C15" s="1788" t="s">
        <v>500</v>
      </c>
      <c r="D15" s="1652">
        <f>'BS old'!D14</f>
        <v>0</v>
      </c>
      <c r="E15" s="1652"/>
      <c r="F15" s="1652"/>
      <c r="G15" s="1649">
        <f>'BS old'!F14</f>
        <v>0</v>
      </c>
      <c r="H15" s="1650"/>
      <c r="I15" s="1651"/>
      <c r="J15" s="463"/>
    </row>
    <row r="16" spans="1:13" s="462" customFormat="1" ht="27.95" customHeight="1" x14ac:dyDescent="0.25">
      <c r="A16" s="1669"/>
      <c r="B16" s="1670"/>
      <c r="C16" s="1672"/>
      <c r="D16" s="1652">
        <f>'BS old'!E14</f>
        <v>0</v>
      </c>
      <c r="E16" s="1652"/>
      <c r="F16" s="1652"/>
      <c r="G16" s="644"/>
      <c r="H16" s="1649">
        <f>'BS old'!G14</f>
        <v>0</v>
      </c>
      <c r="I16" s="1650"/>
      <c r="J16" s="1653"/>
    </row>
    <row r="17" spans="1:10" s="462" customFormat="1" ht="27.95" customHeight="1" x14ac:dyDescent="0.25">
      <c r="A17" s="1669" t="s">
        <v>501</v>
      </c>
      <c r="B17" s="1777" t="s">
        <v>1409</v>
      </c>
      <c r="C17" s="1788" t="s">
        <v>503</v>
      </c>
      <c r="D17" s="1652">
        <f>'BS old'!D15</f>
        <v>0</v>
      </c>
      <c r="E17" s="1652"/>
      <c r="F17" s="1652"/>
      <c r="G17" s="1649">
        <f>'BS old'!F15</f>
        <v>0</v>
      </c>
      <c r="H17" s="1650"/>
      <c r="I17" s="1651"/>
      <c r="J17" s="463"/>
    </row>
    <row r="18" spans="1:10" s="462" customFormat="1" ht="27.95" customHeight="1" x14ac:dyDescent="0.25">
      <c r="A18" s="1669"/>
      <c r="B18" s="1670"/>
      <c r="C18" s="1672"/>
      <c r="D18" s="1652">
        <f>'BS old'!E15</f>
        <v>0</v>
      </c>
      <c r="E18" s="1652"/>
      <c r="F18" s="1652"/>
      <c r="G18" s="644"/>
      <c r="H18" s="1649">
        <f>'BS old'!G15</f>
        <v>0</v>
      </c>
      <c r="I18" s="1650"/>
      <c r="J18" s="1653"/>
    </row>
    <row r="19" spans="1:10" s="462" customFormat="1" ht="27.95" customHeight="1" x14ac:dyDescent="0.25">
      <c r="A19" s="1669" t="s">
        <v>504</v>
      </c>
      <c r="B19" s="1777" t="s">
        <v>1410</v>
      </c>
      <c r="C19" s="1788" t="s">
        <v>506</v>
      </c>
      <c r="D19" s="1652">
        <f>'BS old'!D16</f>
        <v>0</v>
      </c>
      <c r="E19" s="1652"/>
      <c r="F19" s="1652"/>
      <c r="G19" s="1649">
        <f>'BS old'!F16</f>
        <v>0</v>
      </c>
      <c r="H19" s="1650"/>
      <c r="I19" s="1651"/>
      <c r="J19" s="463"/>
    </row>
    <row r="20" spans="1:10" s="462" customFormat="1" ht="27.95" customHeight="1" x14ac:dyDescent="0.25">
      <c r="A20" s="1669"/>
      <c r="B20" s="1670"/>
      <c r="C20" s="1672"/>
      <c r="D20" s="1652">
        <f>'BS old'!E16</f>
        <v>0</v>
      </c>
      <c r="E20" s="1652"/>
      <c r="F20" s="1652"/>
      <c r="G20" s="644"/>
      <c r="H20" s="1649">
        <f>'BS old'!G16</f>
        <v>0</v>
      </c>
      <c r="I20" s="1650"/>
      <c r="J20" s="1653"/>
    </row>
    <row r="21" spans="1:10" s="462" customFormat="1" ht="27.95" customHeight="1" x14ac:dyDescent="0.25">
      <c r="A21" s="1669" t="s">
        <v>507</v>
      </c>
      <c r="B21" s="1777" t="s">
        <v>1411</v>
      </c>
      <c r="C21" s="1788" t="s">
        <v>509</v>
      </c>
      <c r="D21" s="1652">
        <f>'BS old'!D17</f>
        <v>0</v>
      </c>
      <c r="E21" s="1652"/>
      <c r="F21" s="1652"/>
      <c r="G21" s="1649">
        <f>'BS old'!F17</f>
        <v>0</v>
      </c>
      <c r="H21" s="1650"/>
      <c r="I21" s="1651"/>
      <c r="J21" s="463"/>
    </row>
    <row r="22" spans="1:10" s="462" customFormat="1" ht="27.95" customHeight="1" x14ac:dyDescent="0.25">
      <c r="A22" s="1669"/>
      <c r="B22" s="1670"/>
      <c r="C22" s="1672"/>
      <c r="D22" s="1652">
        <f>'BS old'!E17</f>
        <v>0</v>
      </c>
      <c r="E22" s="1652"/>
      <c r="F22" s="1652"/>
      <c r="G22" s="644"/>
      <c r="H22" s="1649">
        <f>'BS old'!G17</f>
        <v>0</v>
      </c>
      <c r="I22" s="1650"/>
      <c r="J22" s="1653"/>
    </row>
    <row r="23" spans="1:10" s="462" customFormat="1" ht="27.95" customHeight="1" x14ac:dyDescent="0.25">
      <c r="A23" s="1669" t="s">
        <v>510</v>
      </c>
      <c r="B23" s="1777" t="s">
        <v>1412</v>
      </c>
      <c r="C23" s="1788" t="s">
        <v>512</v>
      </c>
      <c r="D23" s="1652">
        <f>'BS old'!D18</f>
        <v>0</v>
      </c>
      <c r="E23" s="1652"/>
      <c r="F23" s="1652"/>
      <c r="G23" s="1649">
        <f>'BS old'!F18</f>
        <v>0</v>
      </c>
      <c r="H23" s="1650"/>
      <c r="I23" s="1651"/>
      <c r="J23" s="463"/>
    </row>
    <row r="24" spans="1:10" s="462" customFormat="1" ht="27.95" customHeight="1" x14ac:dyDescent="0.25">
      <c r="A24" s="1669"/>
      <c r="B24" s="1670"/>
      <c r="C24" s="1672"/>
      <c r="D24" s="1652">
        <f>'BS old'!E18</f>
        <v>0</v>
      </c>
      <c r="E24" s="1652"/>
      <c r="F24" s="1652"/>
      <c r="G24" s="644"/>
      <c r="H24" s="1649">
        <f>'BS old'!G18</f>
        <v>0</v>
      </c>
      <c r="I24" s="1650"/>
      <c r="J24" s="1653"/>
    </row>
    <row r="25" spans="1:10" s="462" customFormat="1" ht="27.95" customHeight="1" x14ac:dyDescent="0.25">
      <c r="A25" s="1669" t="s">
        <v>513</v>
      </c>
      <c r="B25" s="1777" t="s">
        <v>1413</v>
      </c>
      <c r="C25" s="1788" t="s">
        <v>515</v>
      </c>
      <c r="D25" s="1652">
        <f>'BS old'!D19</f>
        <v>0</v>
      </c>
      <c r="E25" s="1652"/>
      <c r="F25" s="1652"/>
      <c r="G25" s="1649">
        <f>'BS old'!F19</f>
        <v>0</v>
      </c>
      <c r="H25" s="1650"/>
      <c r="I25" s="1651"/>
      <c r="J25" s="463"/>
    </row>
    <row r="26" spans="1:10" s="462" customFormat="1" ht="27.95" customHeight="1" x14ac:dyDescent="0.25">
      <c r="A26" s="1669"/>
      <c r="B26" s="1670"/>
      <c r="C26" s="1672"/>
      <c r="D26" s="1652">
        <f>'BS old'!E19</f>
        <v>0</v>
      </c>
      <c r="E26" s="1652"/>
      <c r="F26" s="1652"/>
      <c r="G26" s="644"/>
      <c r="H26" s="1649">
        <f>'BS old'!G19</f>
        <v>0</v>
      </c>
      <c r="I26" s="1650"/>
      <c r="J26" s="1653"/>
    </row>
    <row r="27" spans="1:10" s="464" customFormat="1" ht="27.95" customHeight="1" x14ac:dyDescent="0.25">
      <c r="A27" s="1694" t="s">
        <v>516</v>
      </c>
      <c r="B27" s="1823" t="s">
        <v>1414</v>
      </c>
      <c r="C27" s="1792" t="s">
        <v>518</v>
      </c>
      <c r="D27" s="1652">
        <f>'BS old'!D20</f>
        <v>0</v>
      </c>
      <c r="E27" s="1652"/>
      <c r="F27" s="1652"/>
      <c r="G27" s="1649">
        <f>'BS old'!F20</f>
        <v>0</v>
      </c>
      <c r="H27" s="1650"/>
      <c r="I27" s="1651"/>
      <c r="J27" s="463"/>
    </row>
    <row r="28" spans="1:10" s="464" customFormat="1" ht="27.95" customHeight="1" x14ac:dyDescent="0.25">
      <c r="A28" s="1681"/>
      <c r="B28" s="1796"/>
      <c r="C28" s="1793"/>
      <c r="D28" s="1652">
        <f>'BS old'!E20</f>
        <v>0</v>
      </c>
      <c r="E28" s="1652"/>
      <c r="F28" s="1652"/>
      <c r="G28" s="644"/>
      <c r="H28" s="1649">
        <f>'BS old'!G20</f>
        <v>0</v>
      </c>
      <c r="I28" s="1650"/>
      <c r="J28" s="1653"/>
    </row>
    <row r="29" spans="1:10" s="462" customFormat="1" ht="27.95" customHeight="1" x14ac:dyDescent="0.25">
      <c r="A29" s="1693" t="s">
        <v>519</v>
      </c>
      <c r="B29" s="1777" t="s">
        <v>1415</v>
      </c>
      <c r="C29" s="1788" t="s">
        <v>521</v>
      </c>
      <c r="D29" s="1652">
        <f>'BS old'!D21</f>
        <v>0</v>
      </c>
      <c r="E29" s="1652"/>
      <c r="F29" s="1652"/>
      <c r="G29" s="1649">
        <f>'BS old'!F21</f>
        <v>0</v>
      </c>
      <c r="H29" s="1650"/>
      <c r="I29" s="1651"/>
      <c r="J29" s="463"/>
    </row>
    <row r="30" spans="1:10" s="462" customFormat="1" ht="27.95" customHeight="1" x14ac:dyDescent="0.25">
      <c r="A30" s="1680"/>
      <c r="B30" s="1670"/>
      <c r="C30" s="1672"/>
      <c r="D30" s="1652">
        <f>'BS old'!E21</f>
        <v>0</v>
      </c>
      <c r="E30" s="1652"/>
      <c r="F30" s="1652"/>
      <c r="G30" s="644"/>
      <c r="H30" s="1649">
        <f>'BS old'!G21</f>
        <v>0</v>
      </c>
      <c r="I30" s="1650"/>
      <c r="J30" s="1653"/>
    </row>
    <row r="31" spans="1:10" s="462" customFormat="1" ht="27.95" customHeight="1" x14ac:dyDescent="0.25">
      <c r="A31" s="1669" t="s">
        <v>498</v>
      </c>
      <c r="B31" s="1777" t="s">
        <v>1416</v>
      </c>
      <c r="C31" s="1788" t="s">
        <v>523</v>
      </c>
      <c r="D31" s="1652">
        <f>'BS old'!D22</f>
        <v>0</v>
      </c>
      <c r="E31" s="1652"/>
      <c r="F31" s="1652"/>
      <c r="G31" s="1789">
        <f>'BS old'!F22</f>
        <v>0</v>
      </c>
      <c r="H31" s="1790"/>
      <c r="I31" s="1791"/>
      <c r="J31" s="463"/>
    </row>
    <row r="32" spans="1:10" s="462" customFormat="1" ht="27.95" customHeight="1" thickBot="1" x14ac:dyDescent="0.3">
      <c r="A32" s="1669"/>
      <c r="B32" s="1670"/>
      <c r="C32" s="1672"/>
      <c r="D32" s="1652">
        <f>'BS old'!E22</f>
        <v>0</v>
      </c>
      <c r="E32" s="1652"/>
      <c r="F32" s="1652"/>
      <c r="G32" s="644"/>
      <c r="H32" s="1649">
        <f>'BS old'!G22</f>
        <v>0</v>
      </c>
      <c r="I32" s="1650"/>
      <c r="J32" s="1653"/>
    </row>
    <row r="33" spans="1:10" s="462" customFormat="1" ht="11.25" customHeight="1" x14ac:dyDescent="0.25">
      <c r="A33" s="1802" t="s">
        <v>1398</v>
      </c>
      <c r="B33" s="1803" t="s">
        <v>1399</v>
      </c>
      <c r="C33" s="1804" t="s">
        <v>1400</v>
      </c>
      <c r="D33" s="1654" t="s">
        <v>1401</v>
      </c>
      <c r="E33" s="1716"/>
      <c r="F33" s="1716"/>
      <c r="G33" s="1716"/>
      <c r="H33" s="1658"/>
      <c r="I33" s="1719" t="s">
        <v>1379</v>
      </c>
      <c r="J33" s="1720"/>
    </row>
    <row r="34" spans="1:10" s="462" customFormat="1" ht="11.25" customHeight="1" x14ac:dyDescent="0.25">
      <c r="A34" s="1771"/>
      <c r="B34" s="1772"/>
      <c r="C34" s="1773"/>
      <c r="D34" s="1696">
        <v>1</v>
      </c>
      <c r="E34" s="1664" t="s">
        <v>1402</v>
      </c>
      <c r="F34" s="1727"/>
      <c r="G34" s="1824" t="s">
        <v>1070</v>
      </c>
      <c r="H34" s="1825"/>
      <c r="I34" s="1656"/>
      <c r="J34" s="1657"/>
    </row>
    <row r="35" spans="1:10" s="462" customFormat="1" ht="12" customHeight="1" x14ac:dyDescent="0.25">
      <c r="A35" s="1666"/>
      <c r="B35" s="1674"/>
      <c r="C35" s="1676"/>
      <c r="D35" s="1774"/>
      <c r="E35" s="1664" t="s">
        <v>1403</v>
      </c>
      <c r="F35" s="1727"/>
      <c r="G35" s="1826"/>
      <c r="H35" s="1827"/>
      <c r="I35" s="1664" t="s">
        <v>1068</v>
      </c>
      <c r="J35" s="1665"/>
    </row>
    <row r="36" spans="1:10" ht="27.95" customHeight="1" x14ac:dyDescent="0.25">
      <c r="A36" s="1668" t="s">
        <v>501</v>
      </c>
      <c r="B36" s="1777" t="s">
        <v>1417</v>
      </c>
      <c r="C36" s="1672" t="s">
        <v>525</v>
      </c>
      <c r="D36" s="1776">
        <f>'BS old'!D23</f>
        <v>0</v>
      </c>
      <c r="E36" s="1776"/>
      <c r="F36" s="1776"/>
      <c r="G36" s="1721">
        <f>'BS old'!F23</f>
        <v>0</v>
      </c>
      <c r="H36" s="1722"/>
      <c r="I36" s="1787"/>
      <c r="J36" s="671"/>
    </row>
    <row r="37" spans="1:10" ht="27.95" customHeight="1" x14ac:dyDescent="0.25">
      <c r="A37" s="1669"/>
      <c r="B37" s="1670"/>
      <c r="C37" s="1673"/>
      <c r="D37" s="1652">
        <f>'BS old'!E23</f>
        <v>0</v>
      </c>
      <c r="E37" s="1652"/>
      <c r="F37" s="1652"/>
      <c r="G37" s="672"/>
      <c r="H37" s="1649">
        <f>'BS old'!G23</f>
        <v>0</v>
      </c>
      <c r="I37" s="1650"/>
      <c r="J37" s="1653"/>
    </row>
    <row r="38" spans="1:10" ht="27.95" customHeight="1" x14ac:dyDescent="0.25">
      <c r="A38" s="1669" t="s">
        <v>504</v>
      </c>
      <c r="B38" s="1777" t="s">
        <v>1418</v>
      </c>
      <c r="C38" s="1673" t="s">
        <v>527</v>
      </c>
      <c r="D38" s="1652">
        <f>'BS old'!D24</f>
        <v>0</v>
      </c>
      <c r="E38" s="1652"/>
      <c r="F38" s="1652"/>
      <c r="G38" s="1649">
        <f>'BS old'!F24</f>
        <v>0</v>
      </c>
      <c r="H38" s="1650"/>
      <c r="I38" s="1651"/>
      <c r="J38" s="671"/>
    </row>
    <row r="39" spans="1:10" ht="27.95" customHeight="1" x14ac:dyDescent="0.25">
      <c r="A39" s="1669"/>
      <c r="B39" s="1670"/>
      <c r="C39" s="1673"/>
      <c r="D39" s="1652">
        <f>'BS old'!E24</f>
        <v>0</v>
      </c>
      <c r="E39" s="1652"/>
      <c r="F39" s="1652"/>
      <c r="G39" s="672"/>
      <c r="H39" s="1649">
        <f>'BS old'!G24</f>
        <v>0</v>
      </c>
      <c r="I39" s="1650"/>
      <c r="J39" s="1653"/>
    </row>
    <row r="40" spans="1:10" ht="27.95" customHeight="1" x14ac:dyDescent="0.25">
      <c r="A40" s="1669" t="s">
        <v>507</v>
      </c>
      <c r="B40" s="1777" t="s">
        <v>1419</v>
      </c>
      <c r="C40" s="1672" t="s">
        <v>529</v>
      </c>
      <c r="D40" s="1652">
        <f>'BS old'!D25</f>
        <v>0</v>
      </c>
      <c r="E40" s="1652"/>
      <c r="F40" s="1652"/>
      <c r="G40" s="1649">
        <f>'BS old'!F25</f>
        <v>0</v>
      </c>
      <c r="H40" s="1650"/>
      <c r="I40" s="1651"/>
      <c r="J40" s="671"/>
    </row>
    <row r="41" spans="1:10" ht="27.95" customHeight="1" x14ac:dyDescent="0.25">
      <c r="A41" s="1669"/>
      <c r="B41" s="1670"/>
      <c r="C41" s="1673"/>
      <c r="D41" s="1652">
        <f>'BS old'!E25</f>
        <v>0</v>
      </c>
      <c r="E41" s="1652"/>
      <c r="F41" s="1652"/>
      <c r="G41" s="672"/>
      <c r="H41" s="1649">
        <f>'BS old'!G25</f>
        <v>0</v>
      </c>
      <c r="I41" s="1650"/>
      <c r="J41" s="1653"/>
    </row>
    <row r="42" spans="1:10" ht="27.95" customHeight="1" x14ac:dyDescent="0.25">
      <c r="A42" s="1669" t="s">
        <v>510</v>
      </c>
      <c r="B42" s="1777" t="s">
        <v>1420</v>
      </c>
      <c r="C42" s="1673" t="s">
        <v>531</v>
      </c>
      <c r="D42" s="1652">
        <f>'BS old'!D26</f>
        <v>0</v>
      </c>
      <c r="E42" s="1652"/>
      <c r="F42" s="1652"/>
      <c r="G42" s="1649">
        <f>'BS old'!F26</f>
        <v>0</v>
      </c>
      <c r="H42" s="1650"/>
      <c r="I42" s="1651"/>
      <c r="J42" s="671"/>
    </row>
    <row r="43" spans="1:10" ht="27.95" customHeight="1" x14ac:dyDescent="0.25">
      <c r="A43" s="1669"/>
      <c r="B43" s="1670"/>
      <c r="C43" s="1673"/>
      <c r="D43" s="1652">
        <f>'BS old'!E26</f>
        <v>0</v>
      </c>
      <c r="E43" s="1652"/>
      <c r="F43" s="1652"/>
      <c r="G43" s="672"/>
      <c r="H43" s="1649">
        <f>'BS old'!G26</f>
        <v>0</v>
      </c>
      <c r="I43" s="1650"/>
      <c r="J43" s="1653"/>
    </row>
    <row r="44" spans="1:10" ht="27.95" customHeight="1" x14ac:dyDescent="0.25">
      <c r="A44" s="1669" t="s">
        <v>513</v>
      </c>
      <c r="B44" s="1777" t="s">
        <v>1421</v>
      </c>
      <c r="C44" s="1672" t="s">
        <v>533</v>
      </c>
      <c r="D44" s="1652">
        <f>'BS old'!D27</f>
        <v>0</v>
      </c>
      <c r="E44" s="1652"/>
      <c r="F44" s="1652"/>
      <c r="G44" s="1649">
        <f>'BS old'!F27</f>
        <v>0</v>
      </c>
      <c r="H44" s="1650"/>
      <c r="I44" s="1651"/>
      <c r="J44" s="671"/>
    </row>
    <row r="45" spans="1:10" ht="27.95" customHeight="1" x14ac:dyDescent="0.25">
      <c r="A45" s="1669"/>
      <c r="B45" s="1670"/>
      <c r="C45" s="1673"/>
      <c r="D45" s="1652">
        <f>'BS old'!E27</f>
        <v>0</v>
      </c>
      <c r="E45" s="1652"/>
      <c r="F45" s="1652"/>
      <c r="G45" s="672"/>
      <c r="H45" s="1649">
        <f>'BS old'!G27</f>
        <v>0</v>
      </c>
      <c r="I45" s="1650"/>
      <c r="J45" s="1653"/>
    </row>
    <row r="46" spans="1:10" ht="27.95" customHeight="1" x14ac:dyDescent="0.25">
      <c r="A46" s="1669" t="s">
        <v>534</v>
      </c>
      <c r="B46" s="1777" t="s">
        <v>1422</v>
      </c>
      <c r="C46" s="1673" t="s">
        <v>536</v>
      </c>
      <c r="D46" s="1652">
        <f>'BS old'!D28</f>
        <v>0</v>
      </c>
      <c r="E46" s="1652"/>
      <c r="F46" s="1652"/>
      <c r="G46" s="1649">
        <f>'BS old'!F28</f>
        <v>0</v>
      </c>
      <c r="H46" s="1650"/>
      <c r="I46" s="1651"/>
      <c r="J46" s="671"/>
    </row>
    <row r="47" spans="1:10" ht="27.95" customHeight="1" x14ac:dyDescent="0.25">
      <c r="A47" s="1669"/>
      <c r="B47" s="1670"/>
      <c r="C47" s="1673"/>
      <c r="D47" s="1652">
        <f>'BS old'!E28</f>
        <v>0</v>
      </c>
      <c r="E47" s="1652"/>
      <c r="F47" s="1652"/>
      <c r="G47" s="672"/>
      <c r="H47" s="1649">
        <f>'BS old'!G28</f>
        <v>0</v>
      </c>
      <c r="I47" s="1650"/>
      <c r="J47" s="1653"/>
    </row>
    <row r="48" spans="1:10" ht="27.95" customHeight="1" x14ac:dyDescent="0.25">
      <c r="A48" s="1669" t="s">
        <v>537</v>
      </c>
      <c r="B48" s="1777" t="s">
        <v>1423</v>
      </c>
      <c r="C48" s="1672" t="s">
        <v>539</v>
      </c>
      <c r="D48" s="1652">
        <f>'BS old'!D29</f>
        <v>0</v>
      </c>
      <c r="E48" s="1652"/>
      <c r="F48" s="1652"/>
      <c r="G48" s="1649">
        <f>'BS old'!F29</f>
        <v>0</v>
      </c>
      <c r="H48" s="1650"/>
      <c r="I48" s="1651"/>
      <c r="J48" s="671"/>
    </row>
    <row r="49" spans="1:10" ht="27.95" customHeight="1" x14ac:dyDescent="0.25">
      <c r="A49" s="1669"/>
      <c r="B49" s="1670"/>
      <c r="C49" s="1673"/>
      <c r="D49" s="1652">
        <f>'BS old'!E29</f>
        <v>0</v>
      </c>
      <c r="E49" s="1652"/>
      <c r="F49" s="1652"/>
      <c r="G49" s="673"/>
      <c r="H49" s="1649">
        <f>'BS old'!G29</f>
        <v>0</v>
      </c>
      <c r="I49" s="1650"/>
      <c r="J49" s="1653"/>
    </row>
    <row r="50" spans="1:10" ht="27.95" customHeight="1" x14ac:dyDescent="0.25">
      <c r="A50" s="1694" t="s">
        <v>540</v>
      </c>
      <c r="B50" s="1828" t="s">
        <v>1424</v>
      </c>
      <c r="C50" s="1673" t="s">
        <v>542</v>
      </c>
      <c r="D50" s="1652">
        <f>'BS old'!D30</f>
        <v>0</v>
      </c>
      <c r="E50" s="1652"/>
      <c r="F50" s="1652"/>
      <c r="G50" s="1649">
        <f>'BS old'!F30</f>
        <v>0</v>
      </c>
      <c r="H50" s="1650"/>
      <c r="I50" s="1651"/>
      <c r="J50" s="671"/>
    </row>
    <row r="51" spans="1:10" ht="27.95" customHeight="1" x14ac:dyDescent="0.25">
      <c r="A51" s="1694"/>
      <c r="B51" s="1682"/>
      <c r="C51" s="1673"/>
      <c r="D51" s="1652">
        <f>'BS old'!E30</f>
        <v>0</v>
      </c>
      <c r="E51" s="1652"/>
      <c r="F51" s="1652"/>
      <c r="G51" s="673"/>
      <c r="H51" s="1649">
        <f>'BS old'!G30</f>
        <v>0</v>
      </c>
      <c r="I51" s="1650"/>
      <c r="J51" s="1653"/>
    </row>
    <row r="52" spans="1:10" s="393" customFormat="1" ht="27.95" customHeight="1" x14ac:dyDescent="0.25">
      <c r="A52" s="1698" t="s">
        <v>543</v>
      </c>
      <c r="B52" s="1777" t="s">
        <v>1425</v>
      </c>
      <c r="C52" s="1672" t="s">
        <v>545</v>
      </c>
      <c r="D52" s="1652">
        <f>'BS old'!D31</f>
        <v>0</v>
      </c>
      <c r="E52" s="1652"/>
      <c r="F52" s="1652"/>
      <c r="G52" s="1649">
        <f>'BS old'!F31</f>
        <v>0</v>
      </c>
      <c r="H52" s="1650"/>
      <c r="I52" s="1651"/>
      <c r="J52" s="671"/>
    </row>
    <row r="53" spans="1:10" s="393" customFormat="1" ht="27.95" customHeight="1" x14ac:dyDescent="0.25">
      <c r="A53" s="1698"/>
      <c r="B53" s="1670"/>
      <c r="C53" s="1673"/>
      <c r="D53" s="1652">
        <f>'BS old'!E31</f>
        <v>0</v>
      </c>
      <c r="E53" s="1652"/>
      <c r="F53" s="1652"/>
      <c r="G53" s="673"/>
      <c r="H53" s="1649">
        <f>'BS old'!G31</f>
        <v>0</v>
      </c>
      <c r="I53" s="1650"/>
      <c r="J53" s="1653"/>
    </row>
    <row r="54" spans="1:10" ht="27.95" customHeight="1" x14ac:dyDescent="0.25">
      <c r="A54" s="1669" t="s">
        <v>498</v>
      </c>
      <c r="B54" s="1777" t="s">
        <v>1426</v>
      </c>
      <c r="C54" s="1673" t="s">
        <v>547</v>
      </c>
      <c r="D54" s="1652">
        <f>'BS old'!D32</f>
        <v>0</v>
      </c>
      <c r="E54" s="1652"/>
      <c r="F54" s="1652"/>
      <c r="G54" s="1649">
        <f>'BS old'!F32</f>
        <v>0</v>
      </c>
      <c r="H54" s="1650"/>
      <c r="I54" s="1651"/>
      <c r="J54" s="671"/>
    </row>
    <row r="55" spans="1:10" ht="27.95" customHeight="1" x14ac:dyDescent="0.25">
      <c r="A55" s="1669"/>
      <c r="B55" s="1670"/>
      <c r="C55" s="1673"/>
      <c r="D55" s="1652">
        <f>'BS old'!E32</f>
        <v>0</v>
      </c>
      <c r="E55" s="1652"/>
      <c r="F55" s="1652"/>
      <c r="G55" s="673"/>
      <c r="H55" s="1649">
        <f>'BS old'!G32</f>
        <v>0</v>
      </c>
      <c r="I55" s="1650"/>
      <c r="J55" s="1653"/>
    </row>
    <row r="56" spans="1:10" ht="27.95" customHeight="1" x14ac:dyDescent="0.25">
      <c r="A56" s="1669" t="s">
        <v>501</v>
      </c>
      <c r="B56" s="1777" t="s">
        <v>1427</v>
      </c>
      <c r="C56" s="1672" t="s">
        <v>549</v>
      </c>
      <c r="D56" s="1652">
        <f>'BS old'!D33</f>
        <v>0</v>
      </c>
      <c r="E56" s="1652"/>
      <c r="F56" s="1652"/>
      <c r="G56" s="1649">
        <f>'BS old'!F33</f>
        <v>0</v>
      </c>
      <c r="H56" s="1650"/>
      <c r="I56" s="1651"/>
      <c r="J56" s="671"/>
    </row>
    <row r="57" spans="1:10" ht="27.95" customHeight="1" x14ac:dyDescent="0.25">
      <c r="A57" s="1669"/>
      <c r="B57" s="1670"/>
      <c r="C57" s="1673"/>
      <c r="D57" s="1652">
        <f>'BS old'!E33</f>
        <v>0</v>
      </c>
      <c r="E57" s="1652"/>
      <c r="F57" s="1652"/>
      <c r="G57" s="673"/>
      <c r="H57" s="1649">
        <f>'BS old'!G33</f>
        <v>0</v>
      </c>
      <c r="I57" s="1650"/>
      <c r="J57" s="1653"/>
    </row>
    <row r="58" spans="1:10" ht="27.95" customHeight="1" x14ac:dyDescent="0.25">
      <c r="A58" s="1669" t="s">
        <v>504</v>
      </c>
      <c r="B58" s="1777" t="s">
        <v>1428</v>
      </c>
      <c r="C58" s="1673" t="s">
        <v>551</v>
      </c>
      <c r="D58" s="1652">
        <f>'BS old'!D34</f>
        <v>0</v>
      </c>
      <c r="E58" s="1652"/>
      <c r="F58" s="1652"/>
      <c r="G58" s="1649">
        <f>'BS old'!F34</f>
        <v>0</v>
      </c>
      <c r="H58" s="1650"/>
      <c r="I58" s="1651"/>
      <c r="J58" s="671"/>
    </row>
    <row r="59" spans="1:10" ht="27.95" customHeight="1" x14ac:dyDescent="0.25">
      <c r="A59" s="1669"/>
      <c r="B59" s="1670"/>
      <c r="C59" s="1673"/>
      <c r="D59" s="1652">
        <f>'BS old'!E34</f>
        <v>0</v>
      </c>
      <c r="E59" s="1652"/>
      <c r="F59" s="1652"/>
      <c r="G59" s="673"/>
      <c r="H59" s="1649">
        <f>'BS old'!G34</f>
        <v>0</v>
      </c>
      <c r="I59" s="1650"/>
      <c r="J59" s="1653"/>
    </row>
    <row r="60" spans="1:10" ht="27.95" customHeight="1" x14ac:dyDescent="0.25">
      <c r="A60" s="1669" t="s">
        <v>507</v>
      </c>
      <c r="B60" s="1777" t="s">
        <v>1429</v>
      </c>
      <c r="C60" s="1672" t="s">
        <v>553</v>
      </c>
      <c r="D60" s="1652">
        <f>'BS old'!D35</f>
        <v>0</v>
      </c>
      <c r="E60" s="1652"/>
      <c r="F60" s="1652"/>
      <c r="G60" s="1649">
        <f>'BS old'!F35</f>
        <v>0</v>
      </c>
      <c r="H60" s="1650"/>
      <c r="I60" s="1651"/>
      <c r="J60" s="671"/>
    </row>
    <row r="61" spans="1:10" ht="27.95" customHeight="1" x14ac:dyDescent="0.25">
      <c r="A61" s="1669"/>
      <c r="B61" s="1670"/>
      <c r="C61" s="1673"/>
      <c r="D61" s="1652">
        <f>'BS old'!E35</f>
        <v>0</v>
      </c>
      <c r="E61" s="1652"/>
      <c r="F61" s="1652"/>
      <c r="G61" s="673"/>
      <c r="H61" s="1649">
        <f>'BS old'!G35</f>
        <v>0</v>
      </c>
      <c r="I61" s="1650"/>
      <c r="J61" s="1653"/>
    </row>
    <row r="62" spans="1:10" ht="27.95" customHeight="1" x14ac:dyDescent="0.25">
      <c r="A62" s="1669" t="s">
        <v>510</v>
      </c>
      <c r="B62" s="1777" t="s">
        <v>1430</v>
      </c>
      <c r="C62" s="1673" t="s">
        <v>555</v>
      </c>
      <c r="D62" s="1652">
        <f>'BS old'!D36</f>
        <v>0</v>
      </c>
      <c r="E62" s="1652"/>
      <c r="F62" s="1652"/>
      <c r="G62" s="1649">
        <f>'BS old'!F36</f>
        <v>0</v>
      </c>
      <c r="H62" s="1650"/>
      <c r="I62" s="1651"/>
      <c r="J62" s="671"/>
    </row>
    <row r="63" spans="1:10" ht="27.95" customHeight="1" thickBot="1" x14ac:dyDescent="0.3">
      <c r="A63" s="1669"/>
      <c r="B63" s="1670"/>
      <c r="C63" s="1673"/>
      <c r="D63" s="1652">
        <f>'BS old'!E36</f>
        <v>0</v>
      </c>
      <c r="E63" s="1652"/>
      <c r="F63" s="1652"/>
      <c r="G63" s="644"/>
      <c r="H63" s="1649">
        <f>'BS old'!G36</f>
        <v>0</v>
      </c>
      <c r="I63" s="1650"/>
      <c r="J63" s="1653"/>
    </row>
    <row r="64" spans="1:10" ht="11.25" customHeight="1" x14ac:dyDescent="0.25">
      <c r="A64" s="1802" t="s">
        <v>1398</v>
      </c>
      <c r="B64" s="1803" t="s">
        <v>1399</v>
      </c>
      <c r="C64" s="1804" t="s">
        <v>1400</v>
      </c>
      <c r="D64" s="1654" t="s">
        <v>1401</v>
      </c>
      <c r="E64" s="1716"/>
      <c r="F64" s="1716"/>
      <c r="G64" s="1716"/>
      <c r="H64" s="1658"/>
      <c r="I64" s="1719" t="s">
        <v>1379</v>
      </c>
      <c r="J64" s="1720"/>
    </row>
    <row r="65" spans="1:10" ht="11.25" customHeight="1" x14ac:dyDescent="0.25">
      <c r="A65" s="1771"/>
      <c r="B65" s="1772"/>
      <c r="C65" s="1773"/>
      <c r="D65" s="1696">
        <v>1</v>
      </c>
      <c r="E65" s="1664" t="s">
        <v>1402</v>
      </c>
      <c r="F65" s="1727"/>
      <c r="G65" s="1824" t="s">
        <v>1070</v>
      </c>
      <c r="H65" s="1825"/>
      <c r="I65" s="1656"/>
      <c r="J65" s="1657"/>
    </row>
    <row r="66" spans="1:10" ht="11.25" customHeight="1" x14ac:dyDescent="0.25">
      <c r="A66" s="1666"/>
      <c r="B66" s="1674"/>
      <c r="C66" s="1676"/>
      <c r="D66" s="1774"/>
      <c r="E66" s="1664" t="s">
        <v>1403</v>
      </c>
      <c r="F66" s="1727"/>
      <c r="G66" s="1826"/>
      <c r="H66" s="1827"/>
      <c r="I66" s="1664" t="s">
        <v>1068</v>
      </c>
      <c r="J66" s="1665"/>
    </row>
    <row r="67" spans="1:10" ht="27.95" customHeight="1" x14ac:dyDescent="0.25">
      <c r="A67" s="1669" t="s">
        <v>513</v>
      </c>
      <c r="B67" s="1777" t="s">
        <v>1431</v>
      </c>
      <c r="C67" s="1673" t="s">
        <v>854</v>
      </c>
      <c r="D67" s="1652">
        <f>'BS old'!D37</f>
        <v>0</v>
      </c>
      <c r="E67" s="1652"/>
      <c r="F67" s="1649"/>
      <c r="G67" s="1649">
        <f>'BS old'!F37</f>
        <v>0</v>
      </c>
      <c r="H67" s="1650"/>
      <c r="I67" s="1651"/>
      <c r="J67" s="671"/>
    </row>
    <row r="68" spans="1:10" ht="27.95" customHeight="1" x14ac:dyDescent="0.25">
      <c r="A68" s="1669"/>
      <c r="B68" s="1670"/>
      <c r="C68" s="1673"/>
      <c r="D68" s="1652">
        <f>'BS old'!E37</f>
        <v>0</v>
      </c>
      <c r="E68" s="1652"/>
      <c r="F68" s="1652"/>
      <c r="G68" s="674"/>
      <c r="H68" s="1649">
        <f>'BS old'!G37</f>
        <v>0</v>
      </c>
      <c r="I68" s="1650"/>
      <c r="J68" s="1653"/>
    </row>
    <row r="69" spans="1:10" ht="27.95" customHeight="1" x14ac:dyDescent="0.25">
      <c r="A69" s="1669" t="s">
        <v>534</v>
      </c>
      <c r="B69" s="1777" t="s">
        <v>1432</v>
      </c>
      <c r="C69" s="1673" t="s">
        <v>857</v>
      </c>
      <c r="D69" s="1652">
        <f>'BS old'!D38</f>
        <v>0</v>
      </c>
      <c r="E69" s="1652"/>
      <c r="F69" s="1649"/>
      <c r="G69" s="1649">
        <f>'BS old'!F38</f>
        <v>0</v>
      </c>
      <c r="H69" s="1650"/>
      <c r="I69" s="1651"/>
      <c r="J69" s="671"/>
    </row>
    <row r="70" spans="1:10" ht="27.95" customHeight="1" x14ac:dyDescent="0.25">
      <c r="A70" s="1669"/>
      <c r="B70" s="1670"/>
      <c r="C70" s="1673"/>
      <c r="D70" s="1652">
        <f>'BS old'!E38</f>
        <v>0</v>
      </c>
      <c r="E70" s="1652"/>
      <c r="F70" s="1652"/>
      <c r="G70" s="674"/>
      <c r="H70" s="1649">
        <f>'BS old'!G38</f>
        <v>0</v>
      </c>
      <c r="I70" s="1650"/>
      <c r="J70" s="1653"/>
    </row>
    <row r="71" spans="1:10" ht="27.95" customHeight="1" x14ac:dyDescent="0.25">
      <c r="A71" s="1681" t="s">
        <v>560</v>
      </c>
      <c r="B71" s="1828" t="s">
        <v>1433</v>
      </c>
      <c r="C71" s="1673" t="s">
        <v>860</v>
      </c>
      <c r="D71" s="1652">
        <f>'BS old'!D39</f>
        <v>0</v>
      </c>
      <c r="E71" s="1652"/>
      <c r="F71" s="1649"/>
      <c r="G71" s="1649">
        <f>'BS old'!F39</f>
        <v>0</v>
      </c>
      <c r="H71" s="1650"/>
      <c r="I71" s="1651"/>
      <c r="J71" s="671"/>
    </row>
    <row r="72" spans="1:10" ht="27.95" customHeight="1" x14ac:dyDescent="0.25">
      <c r="A72" s="1681"/>
      <c r="B72" s="1682"/>
      <c r="C72" s="1673"/>
      <c r="D72" s="1652">
        <f>'BS old'!E39</f>
        <v>0</v>
      </c>
      <c r="E72" s="1652"/>
      <c r="F72" s="1652"/>
      <c r="G72" s="674"/>
      <c r="H72" s="1649">
        <f>'BS old'!G39</f>
        <v>0</v>
      </c>
      <c r="I72" s="1650"/>
      <c r="J72" s="1653"/>
    </row>
    <row r="73" spans="1:10" s="393" customFormat="1" ht="27.95" customHeight="1" x14ac:dyDescent="0.25">
      <c r="A73" s="1694" t="s">
        <v>563</v>
      </c>
      <c r="B73" s="1828" t="s">
        <v>1434</v>
      </c>
      <c r="C73" s="1673" t="s">
        <v>863</v>
      </c>
      <c r="D73" s="1652">
        <f>'BS old'!D40</f>
        <v>0</v>
      </c>
      <c r="E73" s="1652"/>
      <c r="F73" s="1649"/>
      <c r="G73" s="1649">
        <f>'BS old'!F40</f>
        <v>0</v>
      </c>
      <c r="H73" s="1650"/>
      <c r="I73" s="1651"/>
      <c r="J73" s="671"/>
    </row>
    <row r="74" spans="1:10" s="393" customFormat="1" ht="27.95" customHeight="1" x14ac:dyDescent="0.25">
      <c r="A74" s="1681"/>
      <c r="B74" s="1682"/>
      <c r="C74" s="1673"/>
      <c r="D74" s="1652">
        <f>'BS old'!E40</f>
        <v>0</v>
      </c>
      <c r="E74" s="1652"/>
      <c r="F74" s="1652"/>
      <c r="G74" s="674"/>
      <c r="H74" s="1649">
        <f>'BS old'!G40</f>
        <v>0</v>
      </c>
      <c r="I74" s="1650"/>
      <c r="J74" s="1653"/>
    </row>
    <row r="75" spans="1:10" s="393" customFormat="1" ht="27.95" customHeight="1" x14ac:dyDescent="0.25">
      <c r="A75" s="1693" t="s">
        <v>566</v>
      </c>
      <c r="B75" s="1777" t="s">
        <v>1435</v>
      </c>
      <c r="C75" s="1673" t="s">
        <v>866</v>
      </c>
      <c r="D75" s="1652">
        <f>'BS old'!D41</f>
        <v>0</v>
      </c>
      <c r="E75" s="1652"/>
      <c r="F75" s="1649"/>
      <c r="G75" s="1649">
        <f>'BS old'!F41</f>
        <v>0</v>
      </c>
      <c r="H75" s="1650"/>
      <c r="I75" s="1651"/>
      <c r="J75" s="671"/>
    </row>
    <row r="76" spans="1:10" s="393" customFormat="1" ht="27.95" customHeight="1" x14ac:dyDescent="0.25">
      <c r="A76" s="1680"/>
      <c r="B76" s="1670"/>
      <c r="C76" s="1673"/>
      <c r="D76" s="1652">
        <f>'BS old'!E41</f>
        <v>0</v>
      </c>
      <c r="E76" s="1652"/>
      <c r="F76" s="1652"/>
      <c r="G76" s="674"/>
      <c r="H76" s="1649">
        <f>'BS old'!G41</f>
        <v>0</v>
      </c>
      <c r="I76" s="1650"/>
      <c r="J76" s="1653"/>
    </row>
    <row r="77" spans="1:10" ht="27.95" customHeight="1" x14ac:dyDescent="0.25">
      <c r="A77" s="1669" t="s">
        <v>498</v>
      </c>
      <c r="B77" s="1777" t="s">
        <v>1436</v>
      </c>
      <c r="C77" s="1673" t="s">
        <v>869</v>
      </c>
      <c r="D77" s="1652">
        <f>'BS old'!D42</f>
        <v>0</v>
      </c>
      <c r="E77" s="1652"/>
      <c r="F77" s="1649"/>
      <c r="G77" s="1649">
        <f>'BS old'!F42</f>
        <v>0</v>
      </c>
      <c r="H77" s="1650"/>
      <c r="I77" s="1651"/>
      <c r="J77" s="671"/>
    </row>
    <row r="78" spans="1:10" ht="27.95" customHeight="1" x14ac:dyDescent="0.25">
      <c r="A78" s="1669"/>
      <c r="B78" s="1670"/>
      <c r="C78" s="1673"/>
      <c r="D78" s="1652">
        <f>'BS old'!E42</f>
        <v>0</v>
      </c>
      <c r="E78" s="1652"/>
      <c r="F78" s="1652"/>
      <c r="G78" s="674"/>
      <c r="H78" s="1649">
        <f>'BS old'!G42</f>
        <v>0</v>
      </c>
      <c r="I78" s="1650"/>
      <c r="J78" s="1653"/>
    </row>
    <row r="79" spans="1:10" ht="27.95" customHeight="1" x14ac:dyDescent="0.25">
      <c r="A79" s="1669" t="s">
        <v>501</v>
      </c>
      <c r="B79" s="1777" t="s">
        <v>1437</v>
      </c>
      <c r="C79" s="1673" t="s">
        <v>872</v>
      </c>
      <c r="D79" s="1652">
        <f>'BS old'!D43</f>
        <v>0</v>
      </c>
      <c r="E79" s="1652"/>
      <c r="F79" s="1649"/>
      <c r="G79" s="1649">
        <f>'BS old'!F43</f>
        <v>0</v>
      </c>
      <c r="H79" s="1650"/>
      <c r="I79" s="1651"/>
      <c r="J79" s="671"/>
    </row>
    <row r="80" spans="1:10" ht="27.95" customHeight="1" x14ac:dyDescent="0.25">
      <c r="A80" s="1669"/>
      <c r="B80" s="1670"/>
      <c r="C80" s="1673"/>
      <c r="D80" s="1652">
        <f>'BS old'!E43</f>
        <v>0</v>
      </c>
      <c r="E80" s="1652"/>
      <c r="F80" s="1652"/>
      <c r="G80" s="674"/>
      <c r="H80" s="1649">
        <f>'BS old'!G43</f>
        <v>0</v>
      </c>
      <c r="I80" s="1650"/>
      <c r="J80" s="1653"/>
    </row>
    <row r="81" spans="1:10" ht="27.95" customHeight="1" x14ac:dyDescent="0.25">
      <c r="A81" s="1669" t="s">
        <v>504</v>
      </c>
      <c r="B81" s="1777" t="s">
        <v>1438</v>
      </c>
      <c r="C81" s="1673" t="s">
        <v>875</v>
      </c>
      <c r="D81" s="1652">
        <f>'BS old'!D44</f>
        <v>0</v>
      </c>
      <c r="E81" s="1652"/>
      <c r="F81" s="1649"/>
      <c r="G81" s="1649">
        <f>'BS old'!F44</f>
        <v>0</v>
      </c>
      <c r="H81" s="1650"/>
      <c r="I81" s="1651"/>
      <c r="J81" s="671"/>
    </row>
    <row r="82" spans="1:10" ht="27.95" customHeight="1" x14ac:dyDescent="0.25">
      <c r="A82" s="1669"/>
      <c r="B82" s="1670"/>
      <c r="C82" s="1673"/>
      <c r="D82" s="1652">
        <f>'BS old'!E44</f>
        <v>0</v>
      </c>
      <c r="E82" s="1652"/>
      <c r="F82" s="1652"/>
      <c r="G82" s="674"/>
      <c r="H82" s="1649">
        <f>'BS old'!G44</f>
        <v>0</v>
      </c>
      <c r="I82" s="1650"/>
      <c r="J82" s="1653"/>
    </row>
    <row r="83" spans="1:10" ht="27.95" customHeight="1" x14ac:dyDescent="0.25">
      <c r="A83" s="1669" t="s">
        <v>507</v>
      </c>
      <c r="B83" s="1777" t="s">
        <v>1439</v>
      </c>
      <c r="C83" s="1673" t="s">
        <v>878</v>
      </c>
      <c r="D83" s="1652">
        <f>'BS old'!D45</f>
        <v>0</v>
      </c>
      <c r="E83" s="1652"/>
      <c r="F83" s="1649"/>
      <c r="G83" s="1649">
        <f>'BS old'!F45</f>
        <v>0</v>
      </c>
      <c r="H83" s="1650"/>
      <c r="I83" s="1651"/>
      <c r="J83" s="671"/>
    </row>
    <row r="84" spans="1:10" ht="27.95" customHeight="1" x14ac:dyDescent="0.25">
      <c r="A84" s="1669"/>
      <c r="B84" s="1670"/>
      <c r="C84" s="1673"/>
      <c r="D84" s="1652">
        <f>'BS old'!E45</f>
        <v>0</v>
      </c>
      <c r="E84" s="1652"/>
      <c r="F84" s="1652"/>
      <c r="G84" s="674"/>
      <c r="H84" s="1649">
        <f>'BS old'!G45</f>
        <v>0</v>
      </c>
      <c r="I84" s="1650"/>
      <c r="J84" s="1653"/>
    </row>
    <row r="85" spans="1:10" ht="27.95" customHeight="1" x14ac:dyDescent="0.25">
      <c r="A85" s="1669" t="s">
        <v>510</v>
      </c>
      <c r="B85" s="1777" t="s">
        <v>1440</v>
      </c>
      <c r="C85" s="1673" t="s">
        <v>881</v>
      </c>
      <c r="D85" s="1652">
        <f>'BS old'!D46</f>
        <v>0</v>
      </c>
      <c r="E85" s="1652"/>
      <c r="F85" s="1649"/>
      <c r="G85" s="1649">
        <f>'BS old'!F46</f>
        <v>0</v>
      </c>
      <c r="H85" s="1650"/>
      <c r="I85" s="1651"/>
      <c r="J85" s="671"/>
    </row>
    <row r="86" spans="1:10" ht="27.95" customHeight="1" x14ac:dyDescent="0.25">
      <c r="A86" s="1669"/>
      <c r="B86" s="1670"/>
      <c r="C86" s="1673"/>
      <c r="D86" s="1652">
        <f>'BS old'!E46</f>
        <v>0</v>
      </c>
      <c r="E86" s="1652"/>
      <c r="F86" s="1652"/>
      <c r="G86" s="674"/>
      <c r="H86" s="1649">
        <f>'BS old'!G46</f>
        <v>0</v>
      </c>
      <c r="I86" s="1650"/>
      <c r="J86" s="1653"/>
    </row>
    <row r="87" spans="1:10" ht="27.95" customHeight="1" x14ac:dyDescent="0.25">
      <c r="A87" s="1694" t="s">
        <v>579</v>
      </c>
      <c r="B87" s="1823" t="s">
        <v>1441</v>
      </c>
      <c r="C87" s="1673" t="s">
        <v>884</v>
      </c>
      <c r="D87" s="1652">
        <f>'BS old'!D47</f>
        <v>0</v>
      </c>
      <c r="E87" s="1652"/>
      <c r="F87" s="1649"/>
      <c r="G87" s="1649">
        <f>'BS old'!F47</f>
        <v>0</v>
      </c>
      <c r="H87" s="1650"/>
      <c r="I87" s="1651"/>
      <c r="J87" s="671"/>
    </row>
    <row r="88" spans="1:10" ht="27.95" customHeight="1" x14ac:dyDescent="0.25">
      <c r="A88" s="1681"/>
      <c r="B88" s="1796"/>
      <c r="C88" s="1673"/>
      <c r="D88" s="1652">
        <f>'BS old'!E47</f>
        <v>0</v>
      </c>
      <c r="E88" s="1652"/>
      <c r="F88" s="1652"/>
      <c r="G88" s="674"/>
      <c r="H88" s="1649">
        <f>'BS old'!G47</f>
        <v>0</v>
      </c>
      <c r="I88" s="1650"/>
      <c r="J88" s="1653"/>
    </row>
    <row r="89" spans="1:10" s="393" customFormat="1" ht="27.95" customHeight="1" x14ac:dyDescent="0.25">
      <c r="A89" s="1693" t="s">
        <v>582</v>
      </c>
      <c r="B89" s="1777" t="s">
        <v>1442</v>
      </c>
      <c r="C89" s="1673" t="s">
        <v>887</v>
      </c>
      <c r="D89" s="1652">
        <f>'BS old'!D48</f>
        <v>0</v>
      </c>
      <c r="E89" s="1652"/>
      <c r="F89" s="1649"/>
      <c r="G89" s="1649">
        <f>'BS old'!F48</f>
        <v>0</v>
      </c>
      <c r="H89" s="1650"/>
      <c r="I89" s="1651"/>
      <c r="J89" s="671"/>
    </row>
    <row r="90" spans="1:10" s="393" customFormat="1" ht="27.95" customHeight="1" x14ac:dyDescent="0.25">
      <c r="A90" s="1680"/>
      <c r="B90" s="1670"/>
      <c r="C90" s="1673"/>
      <c r="D90" s="1652">
        <f>'BS old'!E48</f>
        <v>0</v>
      </c>
      <c r="E90" s="1652"/>
      <c r="F90" s="1652"/>
      <c r="G90" s="674"/>
      <c r="H90" s="1649">
        <f>'BS old'!G48</f>
        <v>0</v>
      </c>
      <c r="I90" s="1650"/>
      <c r="J90" s="1653"/>
    </row>
    <row r="91" spans="1:10" s="393" customFormat="1" ht="27.95" customHeight="1" x14ac:dyDescent="0.25">
      <c r="A91" s="1669" t="s">
        <v>498</v>
      </c>
      <c r="B91" s="1671" t="s">
        <v>1443</v>
      </c>
      <c r="C91" s="1673" t="s">
        <v>890</v>
      </c>
      <c r="D91" s="1652">
        <f>'BS old'!D49</f>
        <v>0</v>
      </c>
      <c r="E91" s="1652"/>
      <c r="F91" s="1649"/>
      <c r="G91" s="1649">
        <f>'BS old'!F49</f>
        <v>0</v>
      </c>
      <c r="H91" s="1650"/>
      <c r="I91" s="1651"/>
      <c r="J91" s="671"/>
    </row>
    <row r="92" spans="1:10" s="393" customFormat="1" ht="27.95" customHeight="1" x14ac:dyDescent="0.25">
      <c r="A92" s="1669"/>
      <c r="B92" s="1671"/>
      <c r="C92" s="1673"/>
      <c r="D92" s="1652">
        <f>'BS old'!E49</f>
        <v>0</v>
      </c>
      <c r="E92" s="1652"/>
      <c r="F92" s="1652"/>
      <c r="G92" s="674"/>
      <c r="H92" s="1649">
        <f>'BS old'!G49</f>
        <v>0</v>
      </c>
      <c r="I92" s="1650"/>
      <c r="J92" s="1653"/>
    </row>
    <row r="93" spans="1:10" ht="27.95" customHeight="1" x14ac:dyDescent="0.25">
      <c r="A93" s="1669" t="s">
        <v>501</v>
      </c>
      <c r="B93" s="1777" t="s">
        <v>1444</v>
      </c>
      <c r="C93" s="1673" t="s">
        <v>893</v>
      </c>
      <c r="D93" s="1652">
        <f>'BS old'!D50</f>
        <v>0</v>
      </c>
      <c r="E93" s="1652"/>
      <c r="F93" s="1649"/>
      <c r="G93" s="1649">
        <f>'BS old'!F50</f>
        <v>0</v>
      </c>
      <c r="H93" s="1650"/>
      <c r="I93" s="1651"/>
      <c r="J93" s="671"/>
    </row>
    <row r="94" spans="1:10" ht="27.95" customHeight="1" thickBot="1" x14ac:dyDescent="0.3">
      <c r="A94" s="1669"/>
      <c r="B94" s="1670"/>
      <c r="C94" s="1673"/>
      <c r="D94" s="1652">
        <f>'BS old'!E50</f>
        <v>0</v>
      </c>
      <c r="E94" s="1652"/>
      <c r="F94" s="1652"/>
      <c r="G94" s="643"/>
      <c r="H94" s="1649">
        <f>'BS old'!G50</f>
        <v>0</v>
      </c>
      <c r="I94" s="1650"/>
      <c r="J94" s="1653"/>
    </row>
    <row r="95" spans="1:10" ht="11.25" customHeight="1" x14ac:dyDescent="0.25">
      <c r="A95" s="1802" t="s">
        <v>1398</v>
      </c>
      <c r="B95" s="1803" t="s">
        <v>1399</v>
      </c>
      <c r="C95" s="1804" t="s">
        <v>1400</v>
      </c>
      <c r="D95" s="1654" t="s">
        <v>1401</v>
      </c>
      <c r="E95" s="1716"/>
      <c r="F95" s="1716"/>
      <c r="G95" s="1716"/>
      <c r="H95" s="1658"/>
      <c r="I95" s="1719" t="s">
        <v>1379</v>
      </c>
      <c r="J95" s="1720"/>
    </row>
    <row r="96" spans="1:10" ht="11.25" customHeight="1" x14ac:dyDescent="0.25">
      <c r="A96" s="1771"/>
      <c r="B96" s="1772"/>
      <c r="C96" s="1773"/>
      <c r="D96" s="1696">
        <v>1</v>
      </c>
      <c r="E96" s="1664" t="s">
        <v>1402</v>
      </c>
      <c r="F96" s="1727"/>
      <c r="G96" s="1824" t="s">
        <v>1070</v>
      </c>
      <c r="H96" s="1825"/>
      <c r="I96" s="1656"/>
      <c r="J96" s="1657"/>
    </row>
    <row r="97" spans="1:12" ht="12" customHeight="1" x14ac:dyDescent="0.25">
      <c r="A97" s="1666"/>
      <c r="B97" s="1674"/>
      <c r="C97" s="1676"/>
      <c r="D97" s="1774"/>
      <c r="E97" s="1664" t="s">
        <v>1403</v>
      </c>
      <c r="F97" s="1727"/>
      <c r="G97" s="1826"/>
      <c r="H97" s="1827"/>
      <c r="I97" s="1664" t="s">
        <v>1068</v>
      </c>
      <c r="J97" s="1665"/>
    </row>
    <row r="98" spans="1:12" ht="27.95" customHeight="1" x14ac:dyDescent="0.25">
      <c r="A98" s="1669" t="s">
        <v>504</v>
      </c>
      <c r="B98" s="1777" t="s">
        <v>1445</v>
      </c>
      <c r="C98" s="1672" t="s">
        <v>896</v>
      </c>
      <c r="D98" s="1652">
        <f>'BS old'!D51</f>
        <v>0</v>
      </c>
      <c r="E98" s="1652"/>
      <c r="F98" s="1652"/>
      <c r="G98" s="1649">
        <f>'BS old'!F51</f>
        <v>0</v>
      </c>
      <c r="H98" s="1650"/>
      <c r="I98" s="1651"/>
      <c r="J98" s="671"/>
      <c r="L98" s="445" t="s">
        <v>985</v>
      </c>
    </row>
    <row r="99" spans="1:12" ht="27.95" customHeight="1" x14ac:dyDescent="0.25">
      <c r="A99" s="1669"/>
      <c r="B99" s="1670"/>
      <c r="C99" s="1673"/>
      <c r="D99" s="1652">
        <f>'BS old'!E51</f>
        <v>0</v>
      </c>
      <c r="E99" s="1652"/>
      <c r="F99" s="1652"/>
      <c r="G99" s="672"/>
      <c r="H99" s="1649">
        <f>'BS old'!G51</f>
        <v>0</v>
      </c>
      <c r="I99" s="1650"/>
      <c r="J99" s="1653"/>
    </row>
    <row r="100" spans="1:12" ht="27.95" customHeight="1" x14ac:dyDescent="0.25">
      <c r="A100" s="1669" t="s">
        <v>507</v>
      </c>
      <c r="B100" s="1777" t="s">
        <v>1446</v>
      </c>
      <c r="C100" s="1673" t="s">
        <v>899</v>
      </c>
      <c r="D100" s="1652">
        <f>'BS old'!D52</f>
        <v>0</v>
      </c>
      <c r="E100" s="1652"/>
      <c r="F100" s="1652"/>
      <c r="G100" s="1649">
        <f>'BS old'!F52</f>
        <v>0</v>
      </c>
      <c r="H100" s="1650"/>
      <c r="I100" s="1651"/>
      <c r="J100" s="671"/>
    </row>
    <row r="101" spans="1:12" ht="27.95" customHeight="1" x14ac:dyDescent="0.25">
      <c r="A101" s="1669"/>
      <c r="B101" s="1670"/>
      <c r="C101" s="1673"/>
      <c r="D101" s="1652">
        <f>'BS old'!E52</f>
        <v>0</v>
      </c>
      <c r="E101" s="1652"/>
      <c r="F101" s="1652"/>
      <c r="G101" s="672"/>
      <c r="H101" s="1649">
        <f>'BS old'!G52</f>
        <v>0</v>
      </c>
      <c r="I101" s="1650"/>
      <c r="J101" s="1653"/>
    </row>
    <row r="102" spans="1:12" ht="27.95" customHeight="1" x14ac:dyDescent="0.25">
      <c r="A102" s="1669" t="s">
        <v>510</v>
      </c>
      <c r="B102" s="1777" t="s">
        <v>1447</v>
      </c>
      <c r="C102" s="1672" t="s">
        <v>902</v>
      </c>
      <c r="D102" s="1652">
        <f>'BS old'!D53</f>
        <v>0</v>
      </c>
      <c r="E102" s="1652"/>
      <c r="F102" s="1652"/>
      <c r="G102" s="1649">
        <f>'BS old'!F53</f>
        <v>0</v>
      </c>
      <c r="H102" s="1650"/>
      <c r="I102" s="1651"/>
      <c r="J102" s="671"/>
    </row>
    <row r="103" spans="1:12" ht="27.95" customHeight="1" x14ac:dyDescent="0.25">
      <c r="A103" s="1669"/>
      <c r="B103" s="1670"/>
      <c r="C103" s="1673"/>
      <c r="D103" s="1652">
        <f>'BS old'!E53</f>
        <v>0</v>
      </c>
      <c r="E103" s="1652"/>
      <c r="F103" s="1652"/>
      <c r="G103" s="672"/>
      <c r="H103" s="1649">
        <f>'BS old'!G53</f>
        <v>0</v>
      </c>
      <c r="I103" s="1650"/>
      <c r="J103" s="1653"/>
    </row>
    <row r="104" spans="1:12" ht="27.95" customHeight="1" x14ac:dyDescent="0.25">
      <c r="A104" s="1669" t="s">
        <v>513</v>
      </c>
      <c r="B104" s="1777" t="s">
        <v>1448</v>
      </c>
      <c r="C104" s="1673" t="s">
        <v>905</v>
      </c>
      <c r="D104" s="1652">
        <f>'BS old'!D54</f>
        <v>0</v>
      </c>
      <c r="E104" s="1652"/>
      <c r="F104" s="1652"/>
      <c r="G104" s="1649">
        <f>'BS old'!F54</f>
        <v>0</v>
      </c>
      <c r="H104" s="1650"/>
      <c r="I104" s="1651"/>
      <c r="J104" s="671"/>
    </row>
    <row r="105" spans="1:12" ht="27.95" customHeight="1" x14ac:dyDescent="0.25">
      <c r="A105" s="1669"/>
      <c r="B105" s="1670"/>
      <c r="C105" s="1673"/>
      <c r="D105" s="1652">
        <f>'BS old'!E54</f>
        <v>0</v>
      </c>
      <c r="E105" s="1652"/>
      <c r="F105" s="1652"/>
      <c r="G105" s="672"/>
      <c r="H105" s="1649">
        <f>'BS old'!G54</f>
        <v>0</v>
      </c>
      <c r="I105" s="1650"/>
      <c r="J105" s="1653"/>
    </row>
    <row r="106" spans="1:12" ht="27.95" customHeight="1" x14ac:dyDescent="0.25">
      <c r="A106" s="1687" t="s">
        <v>597</v>
      </c>
      <c r="B106" s="1828" t="s">
        <v>1449</v>
      </c>
      <c r="C106" s="1672" t="s">
        <v>907</v>
      </c>
      <c r="D106" s="1652">
        <f>'BS old'!D55</f>
        <v>0</v>
      </c>
      <c r="E106" s="1652"/>
      <c r="F106" s="1652"/>
      <c r="G106" s="1649">
        <f>'BS old'!F55</f>
        <v>0</v>
      </c>
      <c r="H106" s="1650"/>
      <c r="I106" s="1651"/>
      <c r="J106" s="671"/>
    </row>
    <row r="107" spans="1:12" ht="27.95" customHeight="1" x14ac:dyDescent="0.25">
      <c r="A107" s="1685"/>
      <c r="B107" s="1682"/>
      <c r="C107" s="1673"/>
      <c r="D107" s="1652">
        <f>'BS old'!E55</f>
        <v>0</v>
      </c>
      <c r="E107" s="1652"/>
      <c r="F107" s="1652"/>
      <c r="G107" s="672"/>
      <c r="H107" s="1649">
        <f>'BS old'!G55</f>
        <v>0</v>
      </c>
      <c r="I107" s="1650"/>
      <c r="J107" s="1653"/>
    </row>
    <row r="108" spans="1:12" s="393" customFormat="1" ht="27.95" customHeight="1" x14ac:dyDescent="0.25">
      <c r="A108" s="1697" t="s">
        <v>600</v>
      </c>
      <c r="B108" s="1777" t="s">
        <v>1450</v>
      </c>
      <c r="C108" s="1673" t="s">
        <v>910</v>
      </c>
      <c r="D108" s="1652">
        <f>'BS old'!D56</f>
        <v>0</v>
      </c>
      <c r="E108" s="1652"/>
      <c r="F108" s="1652"/>
      <c r="G108" s="1649">
        <f>'BS old'!F56</f>
        <v>0</v>
      </c>
      <c r="H108" s="1650"/>
      <c r="I108" s="1651"/>
      <c r="J108" s="671"/>
    </row>
    <row r="109" spans="1:12" s="393" customFormat="1" ht="27.95" customHeight="1" x14ac:dyDescent="0.25">
      <c r="A109" s="1697"/>
      <c r="B109" s="1670"/>
      <c r="C109" s="1673"/>
      <c r="D109" s="1652">
        <f>'BS old'!E56</f>
        <v>0</v>
      </c>
      <c r="E109" s="1652"/>
      <c r="F109" s="1652"/>
      <c r="G109" s="672"/>
      <c r="H109" s="1649">
        <f>'BS old'!G56</f>
        <v>0</v>
      </c>
      <c r="I109" s="1650"/>
      <c r="J109" s="1653"/>
    </row>
    <row r="110" spans="1:12" s="393" customFormat="1" ht="27.95" customHeight="1" x14ac:dyDescent="0.25">
      <c r="A110" s="1669" t="s">
        <v>498</v>
      </c>
      <c r="B110" s="1671" t="s">
        <v>1443</v>
      </c>
      <c r="C110" s="1672" t="s">
        <v>913</v>
      </c>
      <c r="D110" s="1652">
        <f>'BS old'!D57</f>
        <v>0</v>
      </c>
      <c r="E110" s="1652"/>
      <c r="F110" s="1652"/>
      <c r="G110" s="1649">
        <f>'BS old'!F57</f>
        <v>0</v>
      </c>
      <c r="H110" s="1650"/>
      <c r="I110" s="1651"/>
      <c r="J110" s="671"/>
    </row>
    <row r="111" spans="1:12" s="393" customFormat="1" ht="27.95" customHeight="1" x14ac:dyDescent="0.25">
      <c r="A111" s="1669"/>
      <c r="B111" s="1671"/>
      <c r="C111" s="1673"/>
      <c r="D111" s="1652">
        <f>'BS old'!E57</f>
        <v>0</v>
      </c>
      <c r="E111" s="1652"/>
      <c r="F111" s="1652"/>
      <c r="G111" s="672"/>
      <c r="H111" s="1649">
        <f>'BS old'!G57</f>
        <v>0</v>
      </c>
      <c r="I111" s="1650"/>
      <c r="J111" s="1653"/>
    </row>
    <row r="112" spans="1:12" ht="27.95" customHeight="1" x14ac:dyDescent="0.25">
      <c r="A112" s="1669" t="s">
        <v>501</v>
      </c>
      <c r="B112" s="1777" t="s">
        <v>1444</v>
      </c>
      <c r="C112" s="1673" t="s">
        <v>916</v>
      </c>
      <c r="D112" s="1652">
        <f>'BS old'!D58</f>
        <v>0</v>
      </c>
      <c r="E112" s="1652"/>
      <c r="F112" s="1652"/>
      <c r="G112" s="1649">
        <f>'BS old'!F58</f>
        <v>0</v>
      </c>
      <c r="H112" s="1650"/>
      <c r="I112" s="1651"/>
      <c r="J112" s="671"/>
    </row>
    <row r="113" spans="1:10" ht="27.95" customHeight="1" x14ac:dyDescent="0.25">
      <c r="A113" s="1669"/>
      <c r="B113" s="1670"/>
      <c r="C113" s="1673"/>
      <c r="D113" s="1652">
        <f>'BS old'!E58</f>
        <v>0</v>
      </c>
      <c r="E113" s="1652"/>
      <c r="F113" s="1652"/>
      <c r="G113" s="672"/>
      <c r="H113" s="1649">
        <f>'BS old'!G58</f>
        <v>0</v>
      </c>
      <c r="I113" s="1650"/>
      <c r="J113" s="1653"/>
    </row>
    <row r="114" spans="1:10" ht="27.95" customHeight="1" x14ac:dyDescent="0.25">
      <c r="A114" s="1669" t="s">
        <v>504</v>
      </c>
      <c r="B114" s="1777" t="s">
        <v>1445</v>
      </c>
      <c r="C114" s="1672" t="s">
        <v>918</v>
      </c>
      <c r="D114" s="1652">
        <f>'BS old'!D59</f>
        <v>0</v>
      </c>
      <c r="E114" s="1652"/>
      <c r="F114" s="1652"/>
      <c r="G114" s="1649">
        <f>'BS old'!F59</f>
        <v>0</v>
      </c>
      <c r="H114" s="1650"/>
      <c r="I114" s="1651"/>
      <c r="J114" s="671"/>
    </row>
    <row r="115" spans="1:10" ht="27.95" customHeight="1" x14ac:dyDescent="0.25">
      <c r="A115" s="1669"/>
      <c r="B115" s="1670"/>
      <c r="C115" s="1673"/>
      <c r="D115" s="1652">
        <f>'BS old'!E59</f>
        <v>0</v>
      </c>
      <c r="E115" s="1652"/>
      <c r="F115" s="1652"/>
      <c r="G115" s="672"/>
      <c r="H115" s="1649">
        <f>'BS old'!G59</f>
        <v>0</v>
      </c>
      <c r="I115" s="1650"/>
      <c r="J115" s="1653"/>
    </row>
    <row r="116" spans="1:10" ht="27.95" customHeight="1" x14ac:dyDescent="0.25">
      <c r="A116" s="1669" t="s">
        <v>507</v>
      </c>
      <c r="B116" s="1777" t="s">
        <v>1451</v>
      </c>
      <c r="C116" s="1673" t="s">
        <v>920</v>
      </c>
      <c r="D116" s="1652">
        <f>'BS old'!D60</f>
        <v>0</v>
      </c>
      <c r="E116" s="1652"/>
      <c r="F116" s="1652"/>
      <c r="G116" s="1649">
        <f>'BS old'!F60</f>
        <v>0</v>
      </c>
      <c r="H116" s="1650"/>
      <c r="I116" s="1651"/>
      <c r="J116" s="671"/>
    </row>
    <row r="117" spans="1:10" ht="27.95" customHeight="1" x14ac:dyDescent="0.25">
      <c r="A117" s="1669"/>
      <c r="B117" s="1670"/>
      <c r="C117" s="1673"/>
      <c r="D117" s="1652">
        <f>'BS old'!E60</f>
        <v>0</v>
      </c>
      <c r="E117" s="1652"/>
      <c r="F117" s="1652"/>
      <c r="G117" s="672"/>
      <c r="H117" s="1649">
        <f>'BS old'!G60</f>
        <v>0</v>
      </c>
      <c r="I117" s="1650"/>
      <c r="J117" s="1653"/>
    </row>
    <row r="118" spans="1:10" ht="27.95" customHeight="1" x14ac:dyDescent="0.25">
      <c r="A118" s="1669" t="s">
        <v>510</v>
      </c>
      <c r="B118" s="1777" t="s">
        <v>1452</v>
      </c>
      <c r="C118" s="1672" t="s">
        <v>923</v>
      </c>
      <c r="D118" s="1652">
        <f>'BS old'!D61</f>
        <v>0</v>
      </c>
      <c r="E118" s="1652"/>
      <c r="F118" s="1652"/>
      <c r="G118" s="1649">
        <f>'BS old'!F61</f>
        <v>0</v>
      </c>
      <c r="H118" s="1650"/>
      <c r="I118" s="1651"/>
      <c r="J118" s="671"/>
    </row>
    <row r="119" spans="1:10" ht="27.95" customHeight="1" x14ac:dyDescent="0.25">
      <c r="A119" s="1669"/>
      <c r="B119" s="1670"/>
      <c r="C119" s="1673"/>
      <c r="D119" s="1652">
        <f>'BS old'!E61</f>
        <v>0</v>
      </c>
      <c r="E119" s="1652"/>
      <c r="F119" s="1652"/>
      <c r="G119" s="672"/>
      <c r="H119" s="1649">
        <f>'BS old'!G61</f>
        <v>0</v>
      </c>
      <c r="I119" s="1650"/>
      <c r="J119" s="1653"/>
    </row>
    <row r="120" spans="1:10" ht="27.95" customHeight="1" x14ac:dyDescent="0.25">
      <c r="A120" s="1669" t="s">
        <v>513</v>
      </c>
      <c r="B120" s="1777" t="s">
        <v>1453</v>
      </c>
      <c r="C120" s="1673" t="s">
        <v>926</v>
      </c>
      <c r="D120" s="1652">
        <f>'BS old'!D62</f>
        <v>0</v>
      </c>
      <c r="E120" s="1652"/>
      <c r="F120" s="1652"/>
      <c r="G120" s="1649">
        <f>'BS old'!F62</f>
        <v>0</v>
      </c>
      <c r="H120" s="1650"/>
      <c r="I120" s="1651"/>
      <c r="J120" s="671"/>
    </row>
    <row r="121" spans="1:10" ht="27.95" customHeight="1" x14ac:dyDescent="0.25">
      <c r="A121" s="1669"/>
      <c r="B121" s="1670"/>
      <c r="C121" s="1673"/>
      <c r="D121" s="1652">
        <f>'BS old'!E62</f>
        <v>0</v>
      </c>
      <c r="E121" s="1652"/>
      <c r="F121" s="1652"/>
      <c r="G121" s="672"/>
      <c r="H121" s="1649">
        <f>'BS old'!G62</f>
        <v>0</v>
      </c>
      <c r="I121" s="1650"/>
      <c r="J121" s="1653"/>
    </row>
    <row r="122" spans="1:10" ht="27.95" customHeight="1" x14ac:dyDescent="0.25">
      <c r="A122" s="1669" t="s">
        <v>534</v>
      </c>
      <c r="B122" s="1777" t="s">
        <v>1447</v>
      </c>
      <c r="C122" s="1672" t="s">
        <v>928</v>
      </c>
      <c r="D122" s="1652">
        <f>'BS old'!D63</f>
        <v>0</v>
      </c>
      <c r="E122" s="1652"/>
      <c r="F122" s="1652"/>
      <c r="G122" s="1649">
        <f>'BS old'!F63</f>
        <v>0</v>
      </c>
      <c r="H122" s="1650"/>
      <c r="I122" s="1651"/>
      <c r="J122" s="671"/>
    </row>
    <row r="123" spans="1:10" ht="27.95" customHeight="1" x14ac:dyDescent="0.25">
      <c r="A123" s="1669"/>
      <c r="B123" s="1670"/>
      <c r="C123" s="1673"/>
      <c r="D123" s="1652">
        <f>'BS old'!E63</f>
        <v>0</v>
      </c>
      <c r="E123" s="1652"/>
      <c r="F123" s="1652"/>
      <c r="G123" s="672"/>
      <c r="H123" s="1649">
        <f>'BS old'!G63</f>
        <v>0</v>
      </c>
      <c r="I123" s="1650"/>
      <c r="J123" s="1653"/>
    </row>
    <row r="124" spans="1:10" ht="27.95" customHeight="1" x14ac:dyDescent="0.25">
      <c r="A124" s="1684" t="s">
        <v>615</v>
      </c>
      <c r="B124" s="1828" t="s">
        <v>1454</v>
      </c>
      <c r="C124" s="1673" t="s">
        <v>931</v>
      </c>
      <c r="D124" s="1776">
        <f>'BS old'!D64</f>
        <v>0</v>
      </c>
      <c r="E124" s="1776"/>
      <c r="F124" s="1776"/>
      <c r="G124" s="1649">
        <f>'BS old'!F64</f>
        <v>0</v>
      </c>
      <c r="H124" s="1650"/>
      <c r="I124" s="1651"/>
      <c r="J124" s="671"/>
    </row>
    <row r="125" spans="1:10" ht="27.95" customHeight="1" x14ac:dyDescent="0.25">
      <c r="A125" s="1685"/>
      <c r="B125" s="1682"/>
      <c r="C125" s="1673"/>
      <c r="D125" s="1652">
        <f>'BS old'!E64</f>
        <v>0</v>
      </c>
      <c r="E125" s="1652"/>
      <c r="F125" s="1652"/>
      <c r="G125" s="672"/>
      <c r="H125" s="1649">
        <f>'BS old'!G64</f>
        <v>0</v>
      </c>
      <c r="I125" s="1650"/>
      <c r="J125" s="1653"/>
    </row>
    <row r="126" spans="1:10" s="393" customFormat="1" ht="27.95" customHeight="1" x14ac:dyDescent="0.25">
      <c r="A126" s="1680" t="s">
        <v>618</v>
      </c>
      <c r="B126" s="1777" t="s">
        <v>1455</v>
      </c>
      <c r="C126" s="1672" t="s">
        <v>934</v>
      </c>
      <c r="D126" s="1652">
        <f>'BS old'!D65</f>
        <v>0</v>
      </c>
      <c r="E126" s="1652"/>
      <c r="F126" s="1652"/>
      <c r="G126" s="1649">
        <f>'BS old'!F65</f>
        <v>0</v>
      </c>
      <c r="H126" s="1650"/>
      <c r="I126" s="1651"/>
      <c r="J126" s="671"/>
    </row>
    <row r="127" spans="1:10" s="393" customFormat="1" ht="27.95" customHeight="1" thickBot="1" x14ac:dyDescent="0.3">
      <c r="A127" s="1680"/>
      <c r="B127" s="1670"/>
      <c r="C127" s="1673"/>
      <c r="D127" s="1652">
        <f>'BS old'!E65</f>
        <v>0</v>
      </c>
      <c r="E127" s="1652"/>
      <c r="F127" s="1652"/>
      <c r="G127" s="644"/>
      <c r="H127" s="1649">
        <f>'BS old'!G65</f>
        <v>0</v>
      </c>
      <c r="I127" s="1650"/>
      <c r="J127" s="1653"/>
    </row>
    <row r="128" spans="1:10" ht="11.25" customHeight="1" x14ac:dyDescent="0.25">
      <c r="A128" s="1802" t="s">
        <v>1398</v>
      </c>
      <c r="B128" s="1803" t="s">
        <v>1399</v>
      </c>
      <c r="C128" s="1804" t="s">
        <v>1400</v>
      </c>
      <c r="D128" s="1654" t="s">
        <v>1401</v>
      </c>
      <c r="E128" s="1716"/>
      <c r="F128" s="1716"/>
      <c r="G128" s="1716"/>
      <c r="H128" s="1658"/>
      <c r="I128" s="1719" t="s">
        <v>1379</v>
      </c>
      <c r="J128" s="1720"/>
    </row>
    <row r="129" spans="1:10" ht="11.25" customHeight="1" x14ac:dyDescent="0.25">
      <c r="A129" s="1771"/>
      <c r="B129" s="1772"/>
      <c r="C129" s="1773"/>
      <c r="D129" s="1696">
        <v>1</v>
      </c>
      <c r="E129" s="1664" t="s">
        <v>1402</v>
      </c>
      <c r="F129" s="1727"/>
      <c r="G129" s="1824" t="s">
        <v>1070</v>
      </c>
      <c r="H129" s="1825"/>
      <c r="I129" s="1656"/>
      <c r="J129" s="1657"/>
    </row>
    <row r="130" spans="1:10" ht="11.25" customHeight="1" x14ac:dyDescent="0.25">
      <c r="A130" s="1666"/>
      <c r="B130" s="1674"/>
      <c r="C130" s="1676"/>
      <c r="D130" s="1774"/>
      <c r="E130" s="1664" t="s">
        <v>1403</v>
      </c>
      <c r="F130" s="1727"/>
      <c r="G130" s="1826"/>
      <c r="H130" s="1827"/>
      <c r="I130" s="1664" t="s">
        <v>1068</v>
      </c>
      <c r="J130" s="1665"/>
    </row>
    <row r="131" spans="1:10" s="462" customFormat="1" ht="27.95" customHeight="1" x14ac:dyDescent="0.25">
      <c r="A131" s="1669" t="s">
        <v>498</v>
      </c>
      <c r="B131" s="1777" t="s">
        <v>1456</v>
      </c>
      <c r="C131" s="1673" t="s">
        <v>622</v>
      </c>
      <c r="D131" s="1652">
        <f>'BS old'!D66</f>
        <v>0</v>
      </c>
      <c r="E131" s="1652"/>
      <c r="F131" s="1652"/>
      <c r="G131" s="1649">
        <f>'BS old'!F66</f>
        <v>0</v>
      </c>
      <c r="H131" s="1650"/>
      <c r="I131" s="1651"/>
      <c r="J131" s="463"/>
    </row>
    <row r="132" spans="1:10" s="462" customFormat="1" ht="27.95" customHeight="1" x14ac:dyDescent="0.25">
      <c r="A132" s="1669"/>
      <c r="B132" s="1670"/>
      <c r="C132" s="1673"/>
      <c r="D132" s="1652">
        <f>'BS old'!E66</f>
        <v>0</v>
      </c>
      <c r="E132" s="1652"/>
      <c r="F132" s="1652"/>
      <c r="G132" s="673"/>
      <c r="H132" s="1649">
        <f>'BS old'!G66</f>
        <v>0</v>
      </c>
      <c r="I132" s="1650"/>
      <c r="J132" s="1653"/>
    </row>
    <row r="133" spans="1:10" s="462" customFormat="1" ht="27.95" customHeight="1" x14ac:dyDescent="0.25">
      <c r="A133" s="1669" t="s">
        <v>501</v>
      </c>
      <c r="B133" s="1777" t="s">
        <v>1457</v>
      </c>
      <c r="C133" s="1673" t="s">
        <v>624</v>
      </c>
      <c r="D133" s="1652">
        <f>'BS old'!D67</f>
        <v>0</v>
      </c>
      <c r="E133" s="1652"/>
      <c r="F133" s="1652"/>
      <c r="G133" s="1649">
        <f>'BS old'!F67</f>
        <v>0</v>
      </c>
      <c r="H133" s="1650"/>
      <c r="I133" s="1651"/>
      <c r="J133" s="463"/>
    </row>
    <row r="134" spans="1:10" ht="27.95" customHeight="1" x14ac:dyDescent="0.25">
      <c r="A134" s="1669"/>
      <c r="B134" s="1670"/>
      <c r="C134" s="1673"/>
      <c r="D134" s="1652">
        <f>'BS old'!E67</f>
        <v>0</v>
      </c>
      <c r="E134" s="1652"/>
      <c r="F134" s="1652"/>
      <c r="G134" s="673"/>
      <c r="H134" s="1649">
        <f>'BS old'!G67</f>
        <v>0</v>
      </c>
      <c r="I134" s="1650"/>
      <c r="J134" s="1653"/>
    </row>
    <row r="135" spans="1:10" ht="27.95" customHeight="1" x14ac:dyDescent="0.25">
      <c r="A135" s="1669" t="s">
        <v>504</v>
      </c>
      <c r="B135" s="1777" t="s">
        <v>1458</v>
      </c>
      <c r="C135" s="1673" t="s">
        <v>626</v>
      </c>
      <c r="D135" s="1652">
        <f>'BS old'!D68</f>
        <v>0</v>
      </c>
      <c r="E135" s="1652"/>
      <c r="F135" s="1652"/>
      <c r="G135" s="1649">
        <f>'BS old'!F68</f>
        <v>0</v>
      </c>
      <c r="H135" s="1650"/>
      <c r="I135" s="1651"/>
      <c r="J135" s="671"/>
    </row>
    <row r="136" spans="1:10" ht="27.95" customHeight="1" x14ac:dyDescent="0.25">
      <c r="A136" s="1669"/>
      <c r="B136" s="1670"/>
      <c r="C136" s="1673"/>
      <c r="D136" s="1652">
        <f>'BS old'!E68</f>
        <v>0</v>
      </c>
      <c r="E136" s="1652"/>
      <c r="F136" s="1652"/>
      <c r="G136" s="673"/>
      <c r="H136" s="1649">
        <f>'BS old'!G68</f>
        <v>0</v>
      </c>
      <c r="I136" s="1650"/>
      <c r="J136" s="1653"/>
    </row>
    <row r="137" spans="1:10" ht="27.95" customHeight="1" x14ac:dyDescent="0.25">
      <c r="A137" s="1669" t="s">
        <v>507</v>
      </c>
      <c r="B137" s="1777" t="s">
        <v>1459</v>
      </c>
      <c r="C137" s="1673" t="s">
        <v>628</v>
      </c>
      <c r="D137" s="1652">
        <f>'BS old'!D69</f>
        <v>0</v>
      </c>
      <c r="E137" s="1652"/>
      <c r="F137" s="1652"/>
      <c r="G137" s="1649">
        <f>'BS old'!F69</f>
        <v>0</v>
      </c>
      <c r="H137" s="1650"/>
      <c r="I137" s="1651"/>
      <c r="J137" s="671"/>
    </row>
    <row r="138" spans="1:10" ht="27.95" customHeight="1" x14ac:dyDescent="0.25">
      <c r="A138" s="1669"/>
      <c r="B138" s="1670"/>
      <c r="C138" s="1673"/>
      <c r="D138" s="1652">
        <f>'BS old'!E69</f>
        <v>0</v>
      </c>
      <c r="E138" s="1652"/>
      <c r="F138" s="1652"/>
      <c r="G138" s="673"/>
      <c r="H138" s="1649">
        <f>'BS old'!G69</f>
        <v>0</v>
      </c>
      <c r="I138" s="1650"/>
      <c r="J138" s="1653"/>
    </row>
    <row r="139" spans="1:10" ht="27.95" customHeight="1" x14ac:dyDescent="0.25">
      <c r="A139" s="1681" t="s">
        <v>629</v>
      </c>
      <c r="B139" s="1823" t="s">
        <v>1460</v>
      </c>
      <c r="C139" s="1686" t="s">
        <v>631</v>
      </c>
      <c r="D139" s="1652">
        <f>'BS old'!D70</f>
        <v>0</v>
      </c>
      <c r="E139" s="1652"/>
      <c r="F139" s="1652"/>
      <c r="G139" s="1649">
        <f>'BS old'!F70</f>
        <v>0</v>
      </c>
      <c r="H139" s="1650"/>
      <c r="I139" s="1651"/>
      <c r="J139" s="671"/>
    </row>
    <row r="140" spans="1:10" ht="27.95" customHeight="1" x14ac:dyDescent="0.25">
      <c r="A140" s="1681"/>
      <c r="B140" s="1796"/>
      <c r="C140" s="1686"/>
      <c r="D140" s="1652">
        <f>'BS old'!E70</f>
        <v>0</v>
      </c>
      <c r="E140" s="1652"/>
      <c r="F140" s="1652"/>
      <c r="G140" s="673"/>
      <c r="H140" s="1649">
        <f>'BS old'!G70</f>
        <v>0</v>
      </c>
      <c r="I140" s="1650"/>
      <c r="J140" s="1653"/>
    </row>
    <row r="141" spans="1:10" ht="27.95" customHeight="1" x14ac:dyDescent="0.25">
      <c r="A141" s="1680" t="s">
        <v>632</v>
      </c>
      <c r="B141" s="1777" t="s">
        <v>1461</v>
      </c>
      <c r="C141" s="1673" t="s">
        <v>634</v>
      </c>
      <c r="D141" s="1652">
        <f>'BS old'!D71</f>
        <v>0</v>
      </c>
      <c r="E141" s="1652"/>
      <c r="F141" s="1652"/>
      <c r="G141" s="1649">
        <f>'BS old'!F71</f>
        <v>0</v>
      </c>
      <c r="H141" s="1650"/>
      <c r="I141" s="1651"/>
      <c r="J141" s="671"/>
    </row>
    <row r="142" spans="1:10" ht="27.95" customHeight="1" x14ac:dyDescent="0.25">
      <c r="A142" s="1680"/>
      <c r="B142" s="1670"/>
      <c r="C142" s="1673"/>
      <c r="D142" s="1652">
        <f>'BS old'!E71</f>
        <v>0</v>
      </c>
      <c r="E142" s="1652"/>
      <c r="F142" s="1652"/>
      <c r="G142" s="673"/>
      <c r="H142" s="1649">
        <f>'BS old'!G71</f>
        <v>0</v>
      </c>
      <c r="I142" s="1650"/>
      <c r="J142" s="1653"/>
    </row>
    <row r="143" spans="1:10" ht="27.95" customHeight="1" x14ac:dyDescent="0.25">
      <c r="A143" s="1669" t="s">
        <v>498</v>
      </c>
      <c r="B143" s="1777" t="s">
        <v>1462</v>
      </c>
      <c r="C143" s="1673" t="s">
        <v>636</v>
      </c>
      <c r="D143" s="1652">
        <f>'BS old'!D72</f>
        <v>0</v>
      </c>
      <c r="E143" s="1652"/>
      <c r="F143" s="1652"/>
      <c r="G143" s="1649">
        <f>'BS old'!F72</f>
        <v>0</v>
      </c>
      <c r="H143" s="1650"/>
      <c r="I143" s="1651"/>
      <c r="J143" s="671"/>
    </row>
    <row r="144" spans="1:10" s="393" customFormat="1" ht="27.95" customHeight="1" x14ac:dyDescent="0.25">
      <c r="A144" s="1669"/>
      <c r="B144" s="1670"/>
      <c r="C144" s="1673"/>
      <c r="D144" s="1652">
        <f>'BS old'!E72</f>
        <v>0</v>
      </c>
      <c r="E144" s="1652"/>
      <c r="F144" s="1652"/>
      <c r="G144" s="673"/>
      <c r="H144" s="1649">
        <f>'BS old'!G72</f>
        <v>0</v>
      </c>
      <c r="I144" s="1650"/>
      <c r="J144" s="1653"/>
    </row>
    <row r="145" spans="1:10" s="393" customFormat="1" ht="27.95" customHeight="1" x14ac:dyDescent="0.25">
      <c r="A145" s="1669" t="s">
        <v>501</v>
      </c>
      <c r="B145" s="1777" t="s">
        <v>1463</v>
      </c>
      <c r="C145" s="1673" t="s">
        <v>638</v>
      </c>
      <c r="D145" s="1652">
        <f>'BS old'!D73</f>
        <v>0</v>
      </c>
      <c r="E145" s="1652"/>
      <c r="F145" s="1652"/>
      <c r="G145" s="1649">
        <f>'BS old'!F73</f>
        <v>0</v>
      </c>
      <c r="H145" s="1650"/>
      <c r="I145" s="1651"/>
      <c r="J145" s="671"/>
    </row>
    <row r="146" spans="1:10" ht="27.95" customHeight="1" x14ac:dyDescent="0.25">
      <c r="A146" s="1669"/>
      <c r="B146" s="1670"/>
      <c r="C146" s="1673"/>
      <c r="D146" s="1652">
        <f>'BS old'!E73</f>
        <v>0</v>
      </c>
      <c r="E146" s="1652"/>
      <c r="F146" s="1652"/>
      <c r="G146" s="673"/>
      <c r="H146" s="1649">
        <f>'BS old'!G73</f>
        <v>0</v>
      </c>
      <c r="I146" s="1650"/>
      <c r="J146" s="1653"/>
    </row>
    <row r="147" spans="1:10" ht="27.95" customHeight="1" x14ac:dyDescent="0.25">
      <c r="A147" s="1669" t="s">
        <v>504</v>
      </c>
      <c r="B147" s="1777" t="s">
        <v>1464</v>
      </c>
      <c r="C147" s="1673" t="s">
        <v>640</v>
      </c>
      <c r="D147" s="1652">
        <f>'BS old'!D74</f>
        <v>0</v>
      </c>
      <c r="E147" s="1652"/>
      <c r="F147" s="1652"/>
      <c r="G147" s="1649">
        <f>'BS old'!F74</f>
        <v>0</v>
      </c>
      <c r="H147" s="1650"/>
      <c r="I147" s="1651"/>
      <c r="J147" s="671"/>
    </row>
    <row r="148" spans="1:10" s="458" customFormat="1" ht="27.95" customHeight="1" x14ac:dyDescent="0.2">
      <c r="A148" s="1669"/>
      <c r="B148" s="1670"/>
      <c r="C148" s="1673"/>
      <c r="D148" s="1652">
        <f>'BS old'!E74</f>
        <v>0</v>
      </c>
      <c r="E148" s="1652"/>
      <c r="F148" s="1652"/>
      <c r="G148" s="644"/>
      <c r="H148" s="1649">
        <f>'BS old'!G74</f>
        <v>0</v>
      </c>
      <c r="I148" s="1650"/>
      <c r="J148" s="1653"/>
    </row>
    <row r="149" spans="1:10" s="458" customFormat="1" ht="30" customHeight="1" x14ac:dyDescent="0.2">
      <c r="A149" s="461" t="s">
        <v>1398</v>
      </c>
      <c r="B149" s="1664" t="s">
        <v>1465</v>
      </c>
      <c r="C149" s="1726"/>
      <c r="D149" s="1726"/>
      <c r="E149" s="1727"/>
      <c r="F149" s="460" t="s">
        <v>1400</v>
      </c>
      <c r="G149" s="1664" t="s">
        <v>1466</v>
      </c>
      <c r="H149" s="1727"/>
      <c r="I149" s="1656" t="s">
        <v>1467</v>
      </c>
      <c r="J149" s="1657"/>
    </row>
    <row r="150" spans="1:10" s="458" customFormat="1" ht="27.75" customHeight="1" x14ac:dyDescent="0.2">
      <c r="A150" s="459"/>
      <c r="B150" s="1759" t="s">
        <v>1468</v>
      </c>
      <c r="C150" s="1760"/>
      <c r="D150" s="1760"/>
      <c r="E150" s="1761"/>
      <c r="F150" s="648" t="s">
        <v>647</v>
      </c>
      <c r="G150" s="1649">
        <f>'BS old'!D81</f>
        <v>0</v>
      </c>
      <c r="H150" s="1651"/>
      <c r="I150" s="1649">
        <f>'BS old'!E81</f>
        <v>0</v>
      </c>
      <c r="J150" s="1653"/>
    </row>
    <row r="151" spans="1:10" s="458" customFormat="1" ht="27.75" customHeight="1" x14ac:dyDescent="0.2">
      <c r="A151" s="647" t="s">
        <v>489</v>
      </c>
      <c r="B151" s="1759" t="s">
        <v>1469</v>
      </c>
      <c r="C151" s="1760"/>
      <c r="D151" s="1760"/>
      <c r="E151" s="1761"/>
      <c r="F151" s="648" t="s">
        <v>649</v>
      </c>
      <c r="G151" s="1649">
        <f>'BS old'!D82</f>
        <v>0</v>
      </c>
      <c r="H151" s="1651"/>
      <c r="I151" s="1649">
        <f>'BS old'!E82</f>
        <v>0</v>
      </c>
      <c r="J151" s="1653"/>
    </row>
    <row r="152" spans="1:10" ht="27.75" customHeight="1" x14ac:dyDescent="0.25">
      <c r="A152" s="647" t="s">
        <v>492</v>
      </c>
      <c r="B152" s="1759" t="s">
        <v>1470</v>
      </c>
      <c r="C152" s="1760"/>
      <c r="D152" s="1760"/>
      <c r="E152" s="1761"/>
      <c r="F152" s="648" t="s">
        <v>651</v>
      </c>
      <c r="G152" s="1649">
        <f>'BS old'!D83</f>
        <v>0</v>
      </c>
      <c r="H152" s="1651"/>
      <c r="I152" s="1649">
        <f>'BS old'!E83</f>
        <v>0</v>
      </c>
      <c r="J152" s="1653"/>
    </row>
    <row r="153" spans="1:10" s="393" customFormat="1" ht="27.75" customHeight="1" x14ac:dyDescent="0.25">
      <c r="A153" s="650" t="s">
        <v>495</v>
      </c>
      <c r="B153" s="1750" t="s">
        <v>1471</v>
      </c>
      <c r="C153" s="1751"/>
      <c r="D153" s="1751"/>
      <c r="E153" s="1752"/>
      <c r="F153" s="645" t="s">
        <v>653</v>
      </c>
      <c r="G153" s="1649">
        <f>'BS old'!D84</f>
        <v>0</v>
      </c>
      <c r="H153" s="1651"/>
      <c r="I153" s="1649">
        <f>'BS old'!E84</f>
        <v>0</v>
      </c>
      <c r="J153" s="1653"/>
    </row>
    <row r="154" spans="1:10" s="393" customFormat="1" ht="27.75" customHeight="1" x14ac:dyDescent="0.25">
      <c r="A154" s="646" t="s">
        <v>498</v>
      </c>
      <c r="B154" s="1750" t="s">
        <v>1472</v>
      </c>
      <c r="C154" s="1751"/>
      <c r="D154" s="1751"/>
      <c r="E154" s="1752"/>
      <c r="F154" s="645" t="s">
        <v>655</v>
      </c>
      <c r="G154" s="1649">
        <f>'BS old'!D85</f>
        <v>0</v>
      </c>
      <c r="H154" s="1651"/>
      <c r="I154" s="1649">
        <f>'BS old'!E85</f>
        <v>0</v>
      </c>
      <c r="J154" s="1653"/>
    </row>
    <row r="155" spans="1:10" s="393" customFormat="1" ht="27.75" customHeight="1" x14ac:dyDescent="0.25">
      <c r="A155" s="646" t="s">
        <v>501</v>
      </c>
      <c r="B155" s="1750" t="s">
        <v>1473</v>
      </c>
      <c r="C155" s="1751"/>
      <c r="D155" s="1751"/>
      <c r="E155" s="1752"/>
      <c r="F155" s="645" t="s">
        <v>657</v>
      </c>
      <c r="G155" s="1649">
        <f>'BS old'!D86</f>
        <v>0</v>
      </c>
      <c r="H155" s="1651"/>
      <c r="I155" s="1649">
        <f>'BS old'!E86</f>
        <v>0</v>
      </c>
      <c r="J155" s="1653"/>
    </row>
    <row r="156" spans="1:10" ht="27.75" customHeight="1" x14ac:dyDescent="0.25">
      <c r="A156" s="646" t="s">
        <v>504</v>
      </c>
      <c r="B156" s="1750" t="s">
        <v>658</v>
      </c>
      <c r="C156" s="1751"/>
      <c r="D156" s="1751"/>
      <c r="E156" s="1752"/>
      <c r="F156" s="645" t="s">
        <v>659</v>
      </c>
      <c r="G156" s="1649">
        <f>'BS old'!D87</f>
        <v>0</v>
      </c>
      <c r="H156" s="1651"/>
      <c r="I156" s="1649">
        <f>'BS old'!E87</f>
        <v>0</v>
      </c>
      <c r="J156" s="1653"/>
    </row>
    <row r="157" spans="1:10" ht="27.75" customHeight="1" x14ac:dyDescent="0.25">
      <c r="A157" s="647" t="s">
        <v>516</v>
      </c>
      <c r="B157" s="1759" t="s">
        <v>1474</v>
      </c>
      <c r="C157" s="1760"/>
      <c r="D157" s="1760"/>
      <c r="E157" s="1761"/>
      <c r="F157" s="648" t="s">
        <v>661</v>
      </c>
      <c r="G157" s="1649">
        <f>'BS old'!D88</f>
        <v>0</v>
      </c>
      <c r="H157" s="1651"/>
      <c r="I157" s="1649">
        <f>'BS old'!E88</f>
        <v>0</v>
      </c>
      <c r="J157" s="1653"/>
    </row>
    <row r="158" spans="1:10" ht="27.75" customHeight="1" x14ac:dyDescent="0.25">
      <c r="A158" s="650" t="s">
        <v>519</v>
      </c>
      <c r="B158" s="1750" t="s">
        <v>1475</v>
      </c>
      <c r="C158" s="1751"/>
      <c r="D158" s="1751"/>
      <c r="E158" s="1752"/>
      <c r="F158" s="645" t="s">
        <v>663</v>
      </c>
      <c r="G158" s="1649">
        <f>'BS old'!D89</f>
        <v>0</v>
      </c>
      <c r="H158" s="1651"/>
      <c r="I158" s="1649">
        <f>'BS old'!E89</f>
        <v>0</v>
      </c>
      <c r="J158" s="1653"/>
    </row>
    <row r="159" spans="1:10" ht="27.75" customHeight="1" x14ac:dyDescent="0.25">
      <c r="A159" s="646" t="s">
        <v>498</v>
      </c>
      <c r="B159" s="1750" t="s">
        <v>1476</v>
      </c>
      <c r="C159" s="1751"/>
      <c r="D159" s="1751"/>
      <c r="E159" s="1752"/>
      <c r="F159" s="645" t="s">
        <v>665</v>
      </c>
      <c r="G159" s="1649">
        <f>'BS old'!D90</f>
        <v>0</v>
      </c>
      <c r="H159" s="1651"/>
      <c r="I159" s="1649">
        <f>'BS old'!E90</f>
        <v>0</v>
      </c>
      <c r="J159" s="1653"/>
    </row>
    <row r="160" spans="1:10" s="393" customFormat="1" ht="27.75" customHeight="1" x14ac:dyDescent="0.25">
      <c r="A160" s="646" t="s">
        <v>501</v>
      </c>
      <c r="B160" s="1750" t="s">
        <v>1477</v>
      </c>
      <c r="C160" s="1751"/>
      <c r="D160" s="1751"/>
      <c r="E160" s="1752"/>
      <c r="F160" s="645" t="s">
        <v>667</v>
      </c>
      <c r="G160" s="1649">
        <f>'BS old'!D91</f>
        <v>0</v>
      </c>
      <c r="H160" s="1651"/>
      <c r="I160" s="1649">
        <f>'BS old'!E91</f>
        <v>0</v>
      </c>
      <c r="J160" s="1653"/>
    </row>
    <row r="161" spans="1:10" ht="27.75" customHeight="1" x14ac:dyDescent="0.25">
      <c r="A161" s="646" t="s">
        <v>504</v>
      </c>
      <c r="B161" s="1750" t="s">
        <v>1478</v>
      </c>
      <c r="C161" s="1751"/>
      <c r="D161" s="1751"/>
      <c r="E161" s="1752"/>
      <c r="F161" s="645" t="s">
        <v>669</v>
      </c>
      <c r="G161" s="1649">
        <f>'BS old'!D92</f>
        <v>0</v>
      </c>
      <c r="H161" s="1651"/>
      <c r="I161" s="1649">
        <f>'BS old'!E92</f>
        <v>0</v>
      </c>
      <c r="J161" s="1653"/>
    </row>
    <row r="162" spans="1:10" ht="27.75" customHeight="1" x14ac:dyDescent="0.25">
      <c r="A162" s="646" t="s">
        <v>507</v>
      </c>
      <c r="B162" s="1750" t="s">
        <v>1479</v>
      </c>
      <c r="C162" s="1751"/>
      <c r="D162" s="1751"/>
      <c r="E162" s="1752"/>
      <c r="F162" s="645" t="s">
        <v>671</v>
      </c>
      <c r="G162" s="1649">
        <f>'BS old'!D93</f>
        <v>0</v>
      </c>
      <c r="H162" s="1651"/>
      <c r="I162" s="1649">
        <f>'BS old'!E93</f>
        <v>0</v>
      </c>
      <c r="J162" s="1653"/>
    </row>
    <row r="163" spans="1:10" ht="27.75" customHeight="1" x14ac:dyDescent="0.25">
      <c r="A163" s="646" t="s">
        <v>510</v>
      </c>
      <c r="B163" s="1750" t="s">
        <v>1480</v>
      </c>
      <c r="C163" s="1751"/>
      <c r="D163" s="1751"/>
      <c r="E163" s="1752"/>
      <c r="F163" s="645" t="s">
        <v>673</v>
      </c>
      <c r="G163" s="1649">
        <f>'BS old'!D94</f>
        <v>0</v>
      </c>
      <c r="H163" s="1651"/>
      <c r="I163" s="1649">
        <f>'BS old'!E94</f>
        <v>0</v>
      </c>
      <c r="J163" s="1653"/>
    </row>
    <row r="164" spans="1:10" ht="27.75" customHeight="1" x14ac:dyDescent="0.25">
      <c r="A164" s="647" t="s">
        <v>540</v>
      </c>
      <c r="B164" s="1759" t="s">
        <v>1481</v>
      </c>
      <c r="C164" s="1760"/>
      <c r="D164" s="1760"/>
      <c r="E164" s="1761"/>
      <c r="F164" s="648" t="s">
        <v>675</v>
      </c>
      <c r="G164" s="1649">
        <f>'BS old'!D95</f>
        <v>0</v>
      </c>
      <c r="H164" s="1651"/>
      <c r="I164" s="1649">
        <f>'BS old'!E95</f>
        <v>0</v>
      </c>
      <c r="J164" s="1653"/>
    </row>
    <row r="165" spans="1:10" ht="27.75" customHeight="1" x14ac:dyDescent="0.25">
      <c r="A165" s="646" t="s">
        <v>543</v>
      </c>
      <c r="B165" s="1750" t="s">
        <v>1482</v>
      </c>
      <c r="C165" s="1751"/>
      <c r="D165" s="1751"/>
      <c r="E165" s="1752"/>
      <c r="F165" s="645" t="s">
        <v>677</v>
      </c>
      <c r="G165" s="1649">
        <f>'BS old'!D96</f>
        <v>0</v>
      </c>
      <c r="H165" s="1651"/>
      <c r="I165" s="1649">
        <f>'BS old'!E96</f>
        <v>0</v>
      </c>
      <c r="J165" s="1653"/>
    </row>
    <row r="166" spans="1:10" ht="27.75" customHeight="1" x14ac:dyDescent="0.25">
      <c r="A166" s="646" t="s">
        <v>498</v>
      </c>
      <c r="B166" s="1750" t="s">
        <v>1483</v>
      </c>
      <c r="C166" s="1751"/>
      <c r="D166" s="1751"/>
      <c r="E166" s="1752"/>
      <c r="F166" s="645" t="s">
        <v>679</v>
      </c>
      <c r="G166" s="1649">
        <f>'BS old'!D97</f>
        <v>0</v>
      </c>
      <c r="H166" s="1651"/>
      <c r="I166" s="1649">
        <f>'BS old'!E97</f>
        <v>0</v>
      </c>
      <c r="J166" s="1653"/>
    </row>
    <row r="167" spans="1:10" s="393" customFormat="1" ht="27.75" customHeight="1" x14ac:dyDescent="0.25">
      <c r="A167" s="646" t="s">
        <v>501</v>
      </c>
      <c r="B167" s="1750" t="s">
        <v>1484</v>
      </c>
      <c r="C167" s="1751"/>
      <c r="D167" s="1751"/>
      <c r="E167" s="1752"/>
      <c r="F167" s="645" t="s">
        <v>681</v>
      </c>
      <c r="G167" s="1649">
        <f>'BS old'!D98</f>
        <v>0</v>
      </c>
      <c r="H167" s="1651"/>
      <c r="I167" s="1649">
        <f>'BS old'!E98</f>
        <v>0</v>
      </c>
      <c r="J167" s="1653"/>
    </row>
    <row r="168" spans="1:10" ht="27.75" customHeight="1" x14ac:dyDescent="0.25">
      <c r="A168" s="647" t="s">
        <v>682</v>
      </c>
      <c r="B168" s="1759" t="s">
        <v>1485</v>
      </c>
      <c r="C168" s="1760"/>
      <c r="D168" s="1760"/>
      <c r="E168" s="1761"/>
      <c r="F168" s="648" t="s">
        <v>684</v>
      </c>
      <c r="G168" s="1649">
        <f>'BS old'!D99</f>
        <v>0</v>
      </c>
      <c r="H168" s="1651"/>
      <c r="I168" s="1649">
        <f>'BS old'!E99</f>
        <v>0</v>
      </c>
      <c r="J168" s="1653"/>
    </row>
    <row r="169" spans="1:10" ht="27.75" customHeight="1" x14ac:dyDescent="0.25">
      <c r="A169" s="457" t="s">
        <v>685</v>
      </c>
      <c r="B169" s="1750" t="s">
        <v>1486</v>
      </c>
      <c r="C169" s="1751"/>
      <c r="D169" s="1751"/>
      <c r="E169" s="1752"/>
      <c r="F169" s="645" t="s">
        <v>687</v>
      </c>
      <c r="G169" s="1649">
        <f>'BS old'!D100</f>
        <v>0</v>
      </c>
      <c r="H169" s="1651"/>
      <c r="I169" s="1649">
        <f>'BS old'!E100</f>
        <v>0</v>
      </c>
      <c r="J169" s="1653"/>
    </row>
    <row r="170" spans="1:10" ht="27.75" customHeight="1" x14ac:dyDescent="0.25">
      <c r="A170" s="646" t="s">
        <v>498</v>
      </c>
      <c r="B170" s="1750" t="s">
        <v>1487</v>
      </c>
      <c r="C170" s="1751"/>
      <c r="D170" s="1751"/>
      <c r="E170" s="1752"/>
      <c r="F170" s="645" t="s">
        <v>689</v>
      </c>
      <c r="G170" s="1649">
        <f>'BS old'!D101</f>
        <v>0</v>
      </c>
      <c r="H170" s="1651"/>
      <c r="I170" s="1649">
        <f>'BS old'!E101</f>
        <v>0</v>
      </c>
      <c r="J170" s="1653"/>
    </row>
    <row r="171" spans="1:10" s="393" customFormat="1" ht="31.5" customHeight="1" x14ac:dyDescent="0.25">
      <c r="A171" s="647" t="s">
        <v>690</v>
      </c>
      <c r="B171" s="1759" t="s">
        <v>1488</v>
      </c>
      <c r="C171" s="1760"/>
      <c r="D171" s="1760"/>
      <c r="E171" s="1761"/>
      <c r="F171" s="648" t="s">
        <v>692</v>
      </c>
      <c r="G171" s="1649">
        <f>'BS old'!D102</f>
        <v>0</v>
      </c>
      <c r="H171" s="1651"/>
      <c r="I171" s="1649">
        <f>'BS old'!E102</f>
        <v>0</v>
      </c>
      <c r="J171" s="1653"/>
    </row>
    <row r="172" spans="1:10" ht="27.75" customHeight="1" x14ac:dyDescent="0.25">
      <c r="A172" s="647" t="s">
        <v>560</v>
      </c>
      <c r="B172" s="1759" t="s">
        <v>1489</v>
      </c>
      <c r="C172" s="1760"/>
      <c r="D172" s="1760"/>
      <c r="E172" s="1761"/>
      <c r="F172" s="648" t="s">
        <v>694</v>
      </c>
      <c r="G172" s="1649">
        <f>'BS old'!D103</f>
        <v>0</v>
      </c>
      <c r="H172" s="1651"/>
      <c r="I172" s="1649">
        <f>'BS old'!E103</f>
        <v>0</v>
      </c>
      <c r="J172" s="1653"/>
    </row>
    <row r="173" spans="1:10" ht="27.75" customHeight="1" x14ac:dyDescent="0.25">
      <c r="A173" s="647" t="s">
        <v>563</v>
      </c>
      <c r="B173" s="1759" t="s">
        <v>1490</v>
      </c>
      <c r="C173" s="1760"/>
      <c r="D173" s="1760"/>
      <c r="E173" s="1761"/>
      <c r="F173" s="648" t="s">
        <v>696</v>
      </c>
      <c r="G173" s="1649">
        <f>'BS old'!D104</f>
        <v>0</v>
      </c>
      <c r="H173" s="1651"/>
      <c r="I173" s="1649">
        <f>'BS old'!E104</f>
        <v>0</v>
      </c>
      <c r="J173" s="1653"/>
    </row>
    <row r="174" spans="1:10" s="393" customFormat="1" ht="27.75" customHeight="1" x14ac:dyDescent="0.25">
      <c r="A174" s="650" t="s">
        <v>566</v>
      </c>
      <c r="B174" s="1750" t="s">
        <v>1491</v>
      </c>
      <c r="C174" s="1751"/>
      <c r="D174" s="1751"/>
      <c r="E174" s="1752"/>
      <c r="F174" s="645" t="s">
        <v>698</v>
      </c>
      <c r="G174" s="1649">
        <f>'BS old'!D105</f>
        <v>0</v>
      </c>
      <c r="H174" s="1651"/>
      <c r="I174" s="1649">
        <f>'BS old'!E105</f>
        <v>0</v>
      </c>
      <c r="J174" s="1653"/>
    </row>
    <row r="175" spans="1:10" s="393" customFormat="1" ht="27.75" customHeight="1" x14ac:dyDescent="0.25">
      <c r="A175" s="646" t="s">
        <v>498</v>
      </c>
      <c r="B175" s="1750" t="s">
        <v>1492</v>
      </c>
      <c r="C175" s="1751"/>
      <c r="D175" s="1751"/>
      <c r="E175" s="1752"/>
      <c r="F175" s="645" t="s">
        <v>700</v>
      </c>
      <c r="G175" s="1649">
        <f>'BS old'!D106</f>
        <v>0</v>
      </c>
      <c r="H175" s="1651"/>
      <c r="I175" s="1649">
        <f>'BS old'!E106</f>
        <v>0</v>
      </c>
      <c r="J175" s="1653"/>
    </row>
    <row r="176" spans="1:10" s="393" customFormat="1" ht="27.75" customHeight="1" x14ac:dyDescent="0.25">
      <c r="A176" s="646" t="s">
        <v>501</v>
      </c>
      <c r="B176" s="1750" t="s">
        <v>1493</v>
      </c>
      <c r="C176" s="1751"/>
      <c r="D176" s="1751"/>
      <c r="E176" s="1752"/>
      <c r="F176" s="645" t="s">
        <v>702</v>
      </c>
      <c r="G176" s="1649">
        <f>'BS old'!D107</f>
        <v>0</v>
      </c>
      <c r="H176" s="1651"/>
      <c r="I176" s="1649">
        <f>'BS old'!E107</f>
        <v>0</v>
      </c>
      <c r="J176" s="1653"/>
    </row>
    <row r="177" spans="1:10" ht="27.75" customHeight="1" x14ac:dyDescent="0.25">
      <c r="A177" s="646" t="s">
        <v>504</v>
      </c>
      <c r="B177" s="1750" t="s">
        <v>1494</v>
      </c>
      <c r="C177" s="1751"/>
      <c r="D177" s="1751"/>
      <c r="E177" s="1752"/>
      <c r="F177" s="645" t="s">
        <v>704</v>
      </c>
      <c r="G177" s="1649">
        <f>'BS old'!D108</f>
        <v>0</v>
      </c>
      <c r="H177" s="1651"/>
      <c r="I177" s="1649">
        <f>'BS old'!E108</f>
        <v>0</v>
      </c>
      <c r="J177" s="1653"/>
    </row>
    <row r="178" spans="1:10" ht="25.5" customHeight="1" thickBot="1" x14ac:dyDescent="0.3">
      <c r="A178" s="455" t="s">
        <v>579</v>
      </c>
      <c r="B178" s="1829" t="s">
        <v>1495</v>
      </c>
      <c r="C178" s="1830"/>
      <c r="D178" s="1830"/>
      <c r="E178" s="1831"/>
      <c r="F178" s="454" t="s">
        <v>706</v>
      </c>
      <c r="G178" s="1756">
        <f>'BS old'!D109</f>
        <v>0</v>
      </c>
      <c r="H178" s="1757"/>
      <c r="I178" s="1756">
        <f>'BS old'!E109</f>
        <v>0</v>
      </c>
      <c r="J178" s="1758"/>
    </row>
    <row r="179" spans="1:10" ht="30" customHeight="1" x14ac:dyDescent="0.15">
      <c r="A179" s="461" t="s">
        <v>1398</v>
      </c>
      <c r="B179" s="1664" t="s">
        <v>1465</v>
      </c>
      <c r="C179" s="1726"/>
      <c r="D179" s="1726"/>
      <c r="E179" s="1727"/>
      <c r="F179" s="460" t="s">
        <v>1400</v>
      </c>
      <c r="G179" s="1664" t="s">
        <v>1466</v>
      </c>
      <c r="H179" s="1727"/>
      <c r="I179" s="1656" t="s">
        <v>1467</v>
      </c>
      <c r="J179" s="1657"/>
    </row>
    <row r="180" spans="1:10" ht="27.75" customHeight="1" x14ac:dyDescent="0.25">
      <c r="A180" s="650" t="s">
        <v>582</v>
      </c>
      <c r="B180" s="1750" t="s">
        <v>1496</v>
      </c>
      <c r="C180" s="1751"/>
      <c r="D180" s="1751"/>
      <c r="E180" s="1752"/>
      <c r="F180" s="645" t="s">
        <v>708</v>
      </c>
      <c r="G180" s="1649">
        <f>'BS old'!D110</f>
        <v>0</v>
      </c>
      <c r="H180" s="1651"/>
      <c r="I180" s="1649">
        <f>'BS old'!E110</f>
        <v>0</v>
      </c>
      <c r="J180" s="1653"/>
    </row>
    <row r="181" spans="1:10" ht="27.75" customHeight="1" x14ac:dyDescent="0.25">
      <c r="A181" s="646" t="s">
        <v>498</v>
      </c>
      <c r="B181" s="1671" t="s">
        <v>1443</v>
      </c>
      <c r="C181" s="1710"/>
      <c r="D181" s="1710"/>
      <c r="E181" s="1710"/>
      <c r="F181" s="645" t="s">
        <v>709</v>
      </c>
      <c r="G181" s="1649">
        <f>'BS old'!D111</f>
        <v>0</v>
      </c>
      <c r="H181" s="1651"/>
      <c r="I181" s="1649">
        <f>'BS old'!E111</f>
        <v>0</v>
      </c>
      <c r="J181" s="1653"/>
    </row>
    <row r="182" spans="1:10" s="393" customFormat="1" ht="27.75" customHeight="1" x14ac:dyDescent="0.25">
      <c r="A182" s="646" t="s">
        <v>501</v>
      </c>
      <c r="B182" s="1750" t="s">
        <v>1497</v>
      </c>
      <c r="C182" s="1751"/>
      <c r="D182" s="1751"/>
      <c r="E182" s="1752"/>
      <c r="F182" s="645" t="s">
        <v>711</v>
      </c>
      <c r="G182" s="1649">
        <f>'BS old'!D112</f>
        <v>0</v>
      </c>
      <c r="H182" s="1651"/>
      <c r="I182" s="1649">
        <f>'BS old'!E112</f>
        <v>0</v>
      </c>
      <c r="J182" s="1653"/>
    </row>
    <row r="183" spans="1:10" ht="27.75" customHeight="1" x14ac:dyDescent="0.25">
      <c r="A183" s="646" t="s">
        <v>504</v>
      </c>
      <c r="B183" s="1750" t="s">
        <v>1498</v>
      </c>
      <c r="C183" s="1751"/>
      <c r="D183" s="1751"/>
      <c r="E183" s="1752"/>
      <c r="F183" s="645" t="s">
        <v>713</v>
      </c>
      <c r="G183" s="1649">
        <f>'BS old'!D113</f>
        <v>0</v>
      </c>
      <c r="H183" s="1651"/>
      <c r="I183" s="1649">
        <f>'BS old'!E113</f>
        <v>0</v>
      </c>
      <c r="J183" s="1653"/>
    </row>
    <row r="184" spans="1:10" ht="27.75" customHeight="1" x14ac:dyDescent="0.25">
      <c r="A184" s="646" t="s">
        <v>507</v>
      </c>
      <c r="B184" s="1750" t="s">
        <v>1499</v>
      </c>
      <c r="C184" s="1751"/>
      <c r="D184" s="1751"/>
      <c r="E184" s="1752"/>
      <c r="F184" s="645" t="s">
        <v>715</v>
      </c>
      <c r="G184" s="1649">
        <f>'BS old'!D114</f>
        <v>0</v>
      </c>
      <c r="H184" s="1651"/>
      <c r="I184" s="1649">
        <f>'BS old'!E114</f>
        <v>0</v>
      </c>
      <c r="J184" s="1653"/>
    </row>
    <row r="185" spans="1:10" ht="27.75" customHeight="1" x14ac:dyDescent="0.25">
      <c r="A185" s="646" t="s">
        <v>510</v>
      </c>
      <c r="B185" s="1750" t="s">
        <v>1500</v>
      </c>
      <c r="C185" s="1751"/>
      <c r="D185" s="1751"/>
      <c r="E185" s="1752"/>
      <c r="F185" s="645" t="s">
        <v>717</v>
      </c>
      <c r="G185" s="1649">
        <f>'BS old'!D115</f>
        <v>0</v>
      </c>
      <c r="H185" s="1651"/>
      <c r="I185" s="1649">
        <f>'BS old'!E115</f>
        <v>0</v>
      </c>
      <c r="J185" s="1653"/>
    </row>
    <row r="186" spans="1:10" ht="27.75" customHeight="1" x14ac:dyDescent="0.25">
      <c r="A186" s="646" t="s">
        <v>513</v>
      </c>
      <c r="B186" s="1750" t="s">
        <v>1501</v>
      </c>
      <c r="C186" s="1751"/>
      <c r="D186" s="1751"/>
      <c r="E186" s="1752"/>
      <c r="F186" s="645" t="s">
        <v>719</v>
      </c>
      <c r="G186" s="1649">
        <f>'BS old'!D116</f>
        <v>0</v>
      </c>
      <c r="H186" s="1651"/>
      <c r="I186" s="1649">
        <f>'BS old'!E116</f>
        <v>0</v>
      </c>
      <c r="J186" s="1653"/>
    </row>
    <row r="187" spans="1:10" ht="27.75" customHeight="1" x14ac:dyDescent="0.25">
      <c r="A187" s="646" t="s">
        <v>534</v>
      </c>
      <c r="B187" s="1750" t="s">
        <v>1502</v>
      </c>
      <c r="C187" s="1751"/>
      <c r="D187" s="1751"/>
      <c r="E187" s="1752"/>
      <c r="F187" s="645" t="s">
        <v>721</v>
      </c>
      <c r="G187" s="1649">
        <f>'BS old'!D117</f>
        <v>0</v>
      </c>
      <c r="H187" s="1651"/>
      <c r="I187" s="1649">
        <f>'BS old'!E117</f>
        <v>0</v>
      </c>
      <c r="J187" s="1653"/>
    </row>
    <row r="188" spans="1:10" ht="27.75" customHeight="1" x14ac:dyDescent="0.25">
      <c r="A188" s="646" t="s">
        <v>537</v>
      </c>
      <c r="B188" s="1750" t="s">
        <v>1503</v>
      </c>
      <c r="C188" s="1751"/>
      <c r="D188" s="1751"/>
      <c r="E188" s="1752"/>
      <c r="F188" s="645" t="s">
        <v>723</v>
      </c>
      <c r="G188" s="1649">
        <f>'BS old'!D118</f>
        <v>0</v>
      </c>
      <c r="H188" s="1651"/>
      <c r="I188" s="1649">
        <f>'BS old'!E118</f>
        <v>0</v>
      </c>
      <c r="J188" s="1653"/>
    </row>
    <row r="189" spans="1:10" ht="27.75" customHeight="1" x14ac:dyDescent="0.25">
      <c r="A189" s="646" t="s">
        <v>724</v>
      </c>
      <c r="B189" s="1750" t="s">
        <v>1504</v>
      </c>
      <c r="C189" s="1751"/>
      <c r="D189" s="1751"/>
      <c r="E189" s="1752"/>
      <c r="F189" s="645" t="s">
        <v>726</v>
      </c>
      <c r="G189" s="1649">
        <f>'BS old'!D119</f>
        <v>0</v>
      </c>
      <c r="H189" s="1651"/>
      <c r="I189" s="1649">
        <f>'BS old'!E119</f>
        <v>0</v>
      </c>
      <c r="J189" s="1653"/>
    </row>
    <row r="190" spans="1:10" ht="27.75" customHeight="1" x14ac:dyDescent="0.25">
      <c r="A190" s="646" t="s">
        <v>727</v>
      </c>
      <c r="B190" s="1750" t="s">
        <v>1505</v>
      </c>
      <c r="C190" s="1751"/>
      <c r="D190" s="1751"/>
      <c r="E190" s="1752"/>
      <c r="F190" s="645" t="s">
        <v>729</v>
      </c>
      <c r="G190" s="1649">
        <f>'BS old'!D120</f>
        <v>0</v>
      </c>
      <c r="H190" s="1651"/>
      <c r="I190" s="1649">
        <f>'BS old'!E120</f>
        <v>0</v>
      </c>
      <c r="J190" s="1653"/>
    </row>
    <row r="191" spans="1:10" ht="27.75" customHeight="1" x14ac:dyDescent="0.25">
      <c r="A191" s="647" t="s">
        <v>597</v>
      </c>
      <c r="B191" s="1759" t="s">
        <v>1506</v>
      </c>
      <c r="C191" s="1760"/>
      <c r="D191" s="1760"/>
      <c r="E191" s="1761"/>
      <c r="F191" s="645" t="s">
        <v>731</v>
      </c>
      <c r="G191" s="1649">
        <f>'BS old'!D121</f>
        <v>0</v>
      </c>
      <c r="H191" s="1651"/>
      <c r="I191" s="1649">
        <f>'BS old'!E121</f>
        <v>0</v>
      </c>
      <c r="J191" s="1653"/>
    </row>
    <row r="192" spans="1:10" ht="27.75" customHeight="1" x14ac:dyDescent="0.25">
      <c r="A192" s="646" t="s">
        <v>600</v>
      </c>
      <c r="B192" s="1750" t="s">
        <v>1507</v>
      </c>
      <c r="C192" s="1751"/>
      <c r="D192" s="1751"/>
      <c r="E192" s="1752"/>
      <c r="F192" s="645" t="s">
        <v>733</v>
      </c>
      <c r="G192" s="1649">
        <f>'BS old'!D122</f>
        <v>0</v>
      </c>
      <c r="H192" s="1651"/>
      <c r="I192" s="1649">
        <f>'BS old'!E122</f>
        <v>0</v>
      </c>
      <c r="J192" s="1653"/>
    </row>
    <row r="193" spans="1:10" ht="27.75" customHeight="1" x14ac:dyDescent="0.25">
      <c r="A193" s="646" t="s">
        <v>498</v>
      </c>
      <c r="B193" s="1671" t="s">
        <v>1443</v>
      </c>
      <c r="C193" s="1710"/>
      <c r="D193" s="1710"/>
      <c r="E193" s="1710"/>
      <c r="F193" s="645" t="s">
        <v>734</v>
      </c>
      <c r="G193" s="1649">
        <f>'BS old'!D123</f>
        <v>0</v>
      </c>
      <c r="H193" s="1651"/>
      <c r="I193" s="1649">
        <f>'BS old'!E123</f>
        <v>0</v>
      </c>
      <c r="J193" s="1653"/>
    </row>
    <row r="194" spans="1:10" ht="27.75" customHeight="1" x14ac:dyDescent="0.25">
      <c r="A194" s="646" t="s">
        <v>501</v>
      </c>
      <c r="B194" s="1750" t="s">
        <v>1508</v>
      </c>
      <c r="C194" s="1751"/>
      <c r="D194" s="1751"/>
      <c r="E194" s="1752"/>
      <c r="F194" s="645" t="s">
        <v>736</v>
      </c>
      <c r="G194" s="1649">
        <f>'BS old'!D124</f>
        <v>0</v>
      </c>
      <c r="H194" s="1651"/>
      <c r="I194" s="1649">
        <f>'BS old'!E124</f>
        <v>0</v>
      </c>
      <c r="J194" s="1653"/>
    </row>
    <row r="195" spans="1:10" s="393" customFormat="1" ht="27.75" customHeight="1" x14ac:dyDescent="0.25">
      <c r="A195" s="646" t="s">
        <v>504</v>
      </c>
      <c r="B195" s="1750" t="s">
        <v>1509</v>
      </c>
      <c r="C195" s="1751"/>
      <c r="D195" s="1751"/>
      <c r="E195" s="1752"/>
      <c r="F195" s="645" t="s">
        <v>738</v>
      </c>
      <c r="G195" s="1649">
        <f>'BS old'!D125</f>
        <v>0</v>
      </c>
      <c r="H195" s="1651"/>
      <c r="I195" s="1649">
        <f>'BS old'!E125</f>
        <v>0</v>
      </c>
      <c r="J195" s="1653"/>
    </row>
    <row r="196" spans="1:10" ht="27.75" customHeight="1" x14ac:dyDescent="0.25">
      <c r="A196" s="646" t="s">
        <v>507</v>
      </c>
      <c r="B196" s="1750" t="s">
        <v>1510</v>
      </c>
      <c r="C196" s="1751"/>
      <c r="D196" s="1751"/>
      <c r="E196" s="1752"/>
      <c r="F196" s="645" t="s">
        <v>740</v>
      </c>
      <c r="G196" s="1649">
        <f>'BS old'!D126</f>
        <v>0</v>
      </c>
      <c r="H196" s="1651"/>
      <c r="I196" s="1649">
        <f>'BS old'!E126</f>
        <v>0</v>
      </c>
      <c r="J196" s="1653"/>
    </row>
    <row r="197" spans="1:10" ht="28.5" customHeight="1" x14ac:dyDescent="0.25">
      <c r="A197" s="646" t="s">
        <v>510</v>
      </c>
      <c r="B197" s="1750" t="s">
        <v>1511</v>
      </c>
      <c r="C197" s="1751"/>
      <c r="D197" s="1751"/>
      <c r="E197" s="1752"/>
      <c r="F197" s="645" t="s">
        <v>742</v>
      </c>
      <c r="G197" s="1649">
        <f>'BS old'!D127</f>
        <v>0</v>
      </c>
      <c r="H197" s="1651"/>
      <c r="I197" s="1649">
        <f>'BS old'!E127</f>
        <v>0</v>
      </c>
      <c r="J197" s="1653"/>
    </row>
    <row r="198" spans="1:10" ht="27.75" customHeight="1" x14ac:dyDescent="0.25">
      <c r="A198" s="646" t="s">
        <v>513</v>
      </c>
      <c r="B198" s="1750" t="s">
        <v>1512</v>
      </c>
      <c r="C198" s="1751"/>
      <c r="D198" s="1751"/>
      <c r="E198" s="1752"/>
      <c r="F198" s="645" t="s">
        <v>744</v>
      </c>
      <c r="G198" s="1649">
        <f>'BS old'!D128</f>
        <v>0</v>
      </c>
      <c r="H198" s="1651"/>
      <c r="I198" s="1649">
        <f>'BS old'!E128</f>
        <v>0</v>
      </c>
      <c r="J198" s="1653"/>
    </row>
    <row r="199" spans="1:10" ht="27.75" customHeight="1" x14ac:dyDescent="0.25">
      <c r="A199" s="646" t="s">
        <v>534</v>
      </c>
      <c r="B199" s="1750" t="s">
        <v>1513</v>
      </c>
      <c r="C199" s="1751"/>
      <c r="D199" s="1751"/>
      <c r="E199" s="1752"/>
      <c r="F199" s="645" t="s">
        <v>746</v>
      </c>
      <c r="G199" s="1649">
        <f>'BS old'!D129</f>
        <v>0</v>
      </c>
      <c r="H199" s="1651"/>
      <c r="I199" s="1649">
        <f>'BS old'!E129</f>
        <v>0</v>
      </c>
      <c r="J199" s="1653"/>
    </row>
    <row r="200" spans="1:10" ht="27.75" customHeight="1" x14ac:dyDescent="0.25">
      <c r="A200" s="646" t="s">
        <v>537</v>
      </c>
      <c r="B200" s="1750" t="s">
        <v>1514</v>
      </c>
      <c r="C200" s="1751"/>
      <c r="D200" s="1751"/>
      <c r="E200" s="1752"/>
      <c r="F200" s="645" t="s">
        <v>748</v>
      </c>
      <c r="G200" s="1649">
        <f>'BS old'!D130</f>
        <v>0</v>
      </c>
      <c r="H200" s="1651"/>
      <c r="I200" s="1649">
        <f>'BS old'!E130</f>
        <v>0</v>
      </c>
      <c r="J200" s="1653"/>
    </row>
    <row r="201" spans="1:10" ht="27.75" customHeight="1" x14ac:dyDescent="0.25">
      <c r="A201" s="646" t="s">
        <v>724</v>
      </c>
      <c r="B201" s="1750" t="s">
        <v>1515</v>
      </c>
      <c r="C201" s="1751"/>
      <c r="D201" s="1751"/>
      <c r="E201" s="1752"/>
      <c r="F201" s="645" t="s">
        <v>750</v>
      </c>
      <c r="G201" s="1649">
        <f>'BS old'!D131</f>
        <v>0</v>
      </c>
      <c r="H201" s="1651"/>
      <c r="I201" s="1649">
        <f>'BS old'!E131</f>
        <v>0</v>
      </c>
      <c r="J201" s="1653"/>
    </row>
    <row r="202" spans="1:10" ht="27.75" customHeight="1" x14ac:dyDescent="0.25">
      <c r="A202" s="647" t="s">
        <v>615</v>
      </c>
      <c r="B202" s="1759" t="s">
        <v>1516</v>
      </c>
      <c r="C202" s="1760"/>
      <c r="D202" s="1760"/>
      <c r="E202" s="1761"/>
      <c r="F202" s="645" t="s">
        <v>752</v>
      </c>
      <c r="G202" s="1649">
        <f>'BS old'!D132</f>
        <v>0</v>
      </c>
      <c r="H202" s="1651"/>
      <c r="I202" s="1649">
        <f>'BS old'!E132</f>
        <v>0</v>
      </c>
      <c r="J202" s="1653"/>
    </row>
    <row r="203" spans="1:10" ht="27.75" customHeight="1" x14ac:dyDescent="0.25">
      <c r="A203" s="649" t="s">
        <v>753</v>
      </c>
      <c r="B203" s="1759" t="s">
        <v>1517</v>
      </c>
      <c r="C203" s="1760"/>
      <c r="D203" s="1760"/>
      <c r="E203" s="1761"/>
      <c r="F203" s="645" t="s">
        <v>755</v>
      </c>
      <c r="G203" s="1649">
        <f>'BS old'!D133</f>
        <v>0</v>
      </c>
      <c r="H203" s="1651"/>
      <c r="I203" s="1649">
        <f>'BS old'!E133</f>
        <v>0</v>
      </c>
      <c r="J203" s="1653"/>
    </row>
    <row r="204" spans="1:10" ht="27.75" customHeight="1" x14ac:dyDescent="0.25">
      <c r="A204" s="646" t="s">
        <v>756</v>
      </c>
      <c r="B204" s="1750" t="s">
        <v>1518</v>
      </c>
      <c r="C204" s="1751"/>
      <c r="D204" s="1751"/>
      <c r="E204" s="1752"/>
      <c r="F204" s="645" t="s">
        <v>758</v>
      </c>
      <c r="G204" s="1649">
        <f>'BS old'!D134</f>
        <v>0</v>
      </c>
      <c r="H204" s="1651"/>
      <c r="I204" s="1649">
        <f>'BS old'!E134</f>
        <v>0</v>
      </c>
      <c r="J204" s="1653"/>
    </row>
    <row r="205" spans="1:10" s="393" customFormat="1" ht="27.75" customHeight="1" x14ac:dyDescent="0.25">
      <c r="A205" s="646" t="s">
        <v>498</v>
      </c>
      <c r="B205" s="1750" t="s">
        <v>1519</v>
      </c>
      <c r="C205" s="1751"/>
      <c r="D205" s="1751"/>
      <c r="E205" s="1752"/>
      <c r="F205" s="645" t="s">
        <v>760</v>
      </c>
      <c r="G205" s="1649">
        <f>'BS old'!D135</f>
        <v>0</v>
      </c>
      <c r="H205" s="1651"/>
      <c r="I205" s="1649">
        <f>'BS old'!E135</f>
        <v>0</v>
      </c>
      <c r="J205" s="1653"/>
    </row>
    <row r="206" spans="1:10" ht="27.75" customHeight="1" x14ac:dyDescent="0.25">
      <c r="A206" s="647" t="s">
        <v>629</v>
      </c>
      <c r="B206" s="1759" t="s">
        <v>1520</v>
      </c>
      <c r="C206" s="1760"/>
      <c r="D206" s="1760"/>
      <c r="E206" s="1761"/>
      <c r="F206" s="645" t="s">
        <v>762</v>
      </c>
      <c r="G206" s="1649">
        <f>'BS old'!D136</f>
        <v>0</v>
      </c>
      <c r="H206" s="1651"/>
      <c r="I206" s="1649">
        <f>'BS old'!E136</f>
        <v>0</v>
      </c>
      <c r="J206" s="1653"/>
    </row>
    <row r="207" spans="1:10" ht="27.75" customHeight="1" x14ac:dyDescent="0.25">
      <c r="A207" s="650" t="s">
        <v>632</v>
      </c>
      <c r="B207" s="1750" t="s">
        <v>1521</v>
      </c>
      <c r="C207" s="1751"/>
      <c r="D207" s="1751"/>
      <c r="E207" s="1752"/>
      <c r="F207" s="645" t="s">
        <v>764</v>
      </c>
      <c r="G207" s="1649">
        <f>'BS old'!D137</f>
        <v>0</v>
      </c>
      <c r="H207" s="1651"/>
      <c r="I207" s="1649">
        <f>'BS old'!E137</f>
        <v>0</v>
      </c>
      <c r="J207" s="1653"/>
    </row>
    <row r="208" spans="1:10" ht="27.75" customHeight="1" x14ac:dyDescent="0.25">
      <c r="A208" s="646" t="s">
        <v>498</v>
      </c>
      <c r="B208" s="1750" t="s">
        <v>1522</v>
      </c>
      <c r="C208" s="1751"/>
      <c r="D208" s="1751"/>
      <c r="E208" s="1752"/>
      <c r="F208" s="645" t="s">
        <v>766</v>
      </c>
      <c r="G208" s="1649">
        <f>'BS old'!D138</f>
        <v>0</v>
      </c>
      <c r="H208" s="1651"/>
      <c r="I208" s="1649">
        <f>'BS old'!E138</f>
        <v>0</v>
      </c>
      <c r="J208" s="1653"/>
    </row>
    <row r="209" spans="1:10" s="393" customFormat="1" ht="27.75" customHeight="1" x14ac:dyDescent="0.25">
      <c r="A209" s="646" t="s">
        <v>501</v>
      </c>
      <c r="B209" s="1750" t="s">
        <v>1523</v>
      </c>
      <c r="C209" s="1751"/>
      <c r="D209" s="1751"/>
      <c r="E209" s="1752"/>
      <c r="F209" s="645" t="s">
        <v>768</v>
      </c>
      <c r="G209" s="1649">
        <f>'BS old'!D139</f>
        <v>0</v>
      </c>
      <c r="H209" s="1651"/>
      <c r="I209" s="1649">
        <f>'BS old'!E139</f>
        <v>0</v>
      </c>
      <c r="J209" s="1653"/>
    </row>
    <row r="210" spans="1:10" ht="27.75" customHeight="1" thickBot="1" x14ac:dyDescent="0.3">
      <c r="A210" s="447" t="s">
        <v>504</v>
      </c>
      <c r="B210" s="1753" t="s">
        <v>1524</v>
      </c>
      <c r="C210" s="1754"/>
      <c r="D210" s="1754"/>
      <c r="E210" s="1755"/>
      <c r="F210" s="645" t="s">
        <v>770</v>
      </c>
      <c r="G210" s="1756">
        <f>'BS old'!D140</f>
        <v>0</v>
      </c>
      <c r="H210" s="1757"/>
      <c r="I210" s="1756">
        <f>'BS old'!E140</f>
        <v>0</v>
      </c>
      <c r="J210" s="1758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2"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33:A134"/>
    <mergeCell ref="B133:B134"/>
    <mergeCell ref="C133:C134"/>
    <mergeCell ref="D133:F133"/>
    <mergeCell ref="G133:I133"/>
    <mergeCell ref="D134:F134"/>
    <mergeCell ref="H134:J134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30"/>
    <mergeCell ref="E130:F130"/>
    <mergeCell ref="I130:J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7"/>
    <mergeCell ref="E97:F97"/>
    <mergeCell ref="I97:J97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69:A70"/>
    <mergeCell ref="B69:B70"/>
    <mergeCell ref="C69:C70"/>
    <mergeCell ref="D69:F69"/>
    <mergeCell ref="G69:I69"/>
    <mergeCell ref="D70:F70"/>
    <mergeCell ref="H70:J70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6"/>
    <mergeCell ref="E66:F66"/>
    <mergeCell ref="I66:J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38:A39"/>
    <mergeCell ref="B38:B39"/>
    <mergeCell ref="C38:C39"/>
    <mergeCell ref="D38:F38"/>
    <mergeCell ref="G38:I38"/>
    <mergeCell ref="D39:F39"/>
    <mergeCell ref="H39:J39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5"/>
    <mergeCell ref="E35:F35"/>
    <mergeCell ref="I35:J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I6:J6"/>
    <mergeCell ref="A7:A8"/>
    <mergeCell ref="B7:B8"/>
    <mergeCell ref="C7:C8"/>
    <mergeCell ref="D7:F7"/>
    <mergeCell ref="G7:I7"/>
    <mergeCell ref="D8:F8"/>
    <mergeCell ref="H8:J8"/>
    <mergeCell ref="B2:C2"/>
    <mergeCell ref="A4:A6"/>
    <mergeCell ref="B4:B6"/>
    <mergeCell ref="C4:C6"/>
    <mergeCell ref="D4:H4"/>
    <mergeCell ref="I4:J5"/>
    <mergeCell ref="D5:D6"/>
    <mergeCell ref="E5:F5"/>
    <mergeCell ref="G5:H6"/>
    <mergeCell ref="E6:F6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25947/1/2010&amp;RSeite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8"/>
  <sheetViews>
    <sheetView showGridLines="0" zoomScaleNormal="100" workbookViewId="0">
      <selection activeCell="I1" sqref="I1:M1"/>
    </sheetView>
  </sheetViews>
  <sheetFormatPr defaultRowHeight="15" outlineLevelCol="1" x14ac:dyDescent="0.25"/>
  <cols>
    <col min="1" max="1" width="17.140625" customWidth="1"/>
    <col min="2" max="2" width="12.42578125" customWidth="1"/>
    <col min="3" max="7" width="11.42578125" customWidth="1"/>
    <col min="8" max="8" width="9.140625" style="285"/>
    <col min="9" max="9" width="9.140625" style="280" customWidth="1" outlineLevel="1"/>
    <col min="10" max="11" width="9.140625" customWidth="1" outlineLevel="1"/>
    <col min="12" max="12" width="17" customWidth="1" outlineLevel="1"/>
    <col min="13" max="13" width="19.7109375" style="285" customWidth="1"/>
  </cols>
  <sheetData>
    <row r="1" spans="1:13" ht="17.25" thickBot="1" x14ac:dyDescent="0.35">
      <c r="A1" s="1" t="s">
        <v>42</v>
      </c>
      <c r="I1" s="1179" t="s">
        <v>948</v>
      </c>
      <c r="J1" s="1180"/>
      <c r="K1" s="1180"/>
      <c r="L1" s="1180"/>
      <c r="M1" s="1181"/>
    </row>
    <row r="2" spans="1:13" ht="74.25" customHeight="1" thickTop="1" thickBot="1" x14ac:dyDescent="0.3">
      <c r="A2" s="48" t="s">
        <v>419</v>
      </c>
      <c r="B2" s="48" t="s">
        <v>43</v>
      </c>
      <c r="C2" s="27" t="s">
        <v>417</v>
      </c>
      <c r="D2" s="48" t="s">
        <v>44</v>
      </c>
      <c r="E2" s="48" t="s">
        <v>45</v>
      </c>
      <c r="F2" s="27" t="s">
        <v>418</v>
      </c>
      <c r="G2" s="48" t="s">
        <v>51</v>
      </c>
      <c r="H2" s="281"/>
      <c r="I2" s="48" t="s">
        <v>417</v>
      </c>
      <c r="J2" s="48" t="s">
        <v>44</v>
      </c>
      <c r="K2" s="48" t="s">
        <v>45</v>
      </c>
      <c r="L2" s="166" t="s">
        <v>418</v>
      </c>
      <c r="M2" s="48" t="s">
        <v>51</v>
      </c>
    </row>
    <row r="3" spans="1:13" ht="27" customHeight="1" thickTop="1" thickBot="1" x14ac:dyDescent="0.3">
      <c r="A3" s="14" t="s">
        <v>46</v>
      </c>
      <c r="B3" s="51"/>
      <c r="C3" s="22"/>
      <c r="D3" s="22"/>
      <c r="E3" s="22"/>
      <c r="F3" s="22"/>
      <c r="G3" s="15">
        <f>SUM(C3:F3)</f>
        <v>0</v>
      </c>
      <c r="J3" s="281"/>
      <c r="K3" s="281"/>
      <c r="L3" s="281"/>
      <c r="M3" s="286">
        <f>SUM(C3:F3)-G3</f>
        <v>0</v>
      </c>
    </row>
    <row r="4" spans="1:13" ht="27" customHeight="1" thickBot="1" x14ac:dyDescent="0.3">
      <c r="A4" s="14" t="s">
        <v>47</v>
      </c>
      <c r="B4" s="51"/>
      <c r="C4" s="22"/>
      <c r="D4" s="22"/>
      <c r="E4" s="22"/>
      <c r="F4" s="22"/>
      <c r="G4" s="15">
        <f>SUM(C4:F4)</f>
        <v>0</v>
      </c>
      <c r="J4" s="281"/>
      <c r="K4" s="281"/>
      <c r="L4" s="281"/>
      <c r="M4" s="286">
        <f>SUM(C4:F4)-G4</f>
        <v>0</v>
      </c>
    </row>
    <row r="5" spans="1:13" ht="27" customHeight="1" thickBot="1" x14ac:dyDescent="0.3">
      <c r="A5" s="14" t="s">
        <v>48</v>
      </c>
      <c r="B5" s="51"/>
      <c r="C5" s="22"/>
      <c r="D5" s="22"/>
      <c r="E5" s="22"/>
      <c r="F5" s="22"/>
      <c r="G5" s="15">
        <f>SUM(C5:F5)</f>
        <v>0</v>
      </c>
      <c r="J5" s="281"/>
      <c r="K5" s="281"/>
      <c r="L5" s="281"/>
      <c r="M5" s="286">
        <f>SUM(C5:F5)-G5</f>
        <v>0</v>
      </c>
    </row>
    <row r="6" spans="1:13" ht="27" customHeight="1" thickBot="1" x14ac:dyDescent="0.3">
      <c r="A6" s="14" t="s">
        <v>49</v>
      </c>
      <c r="B6" s="51"/>
      <c r="C6" s="22"/>
      <c r="D6" s="22"/>
      <c r="E6" s="22"/>
      <c r="F6" s="22"/>
      <c r="G6" s="15">
        <f>SUM(C6:F6)</f>
        <v>0</v>
      </c>
      <c r="J6" s="281"/>
      <c r="K6" s="281"/>
      <c r="L6" s="281"/>
      <c r="M6" s="286">
        <f>SUM(C6:F6)-G6</f>
        <v>0</v>
      </c>
    </row>
    <row r="7" spans="1:13" ht="27" customHeight="1" thickBot="1" x14ac:dyDescent="0.3">
      <c r="A7" s="23" t="s">
        <v>50</v>
      </c>
      <c r="B7" s="50" t="s">
        <v>6</v>
      </c>
      <c r="C7" s="47">
        <f>SUM(C3:C6)</f>
        <v>0</v>
      </c>
      <c r="D7" s="47">
        <f>SUM(D3:D6)</f>
        <v>0</v>
      </c>
      <c r="E7" s="47">
        <f>SUM(E3:E6)</f>
        <v>0</v>
      </c>
      <c r="F7" s="47">
        <f>SUM(F3:F6)</f>
        <v>0</v>
      </c>
      <c r="G7" s="49">
        <f>SUM(G3:G6)</f>
        <v>0</v>
      </c>
      <c r="I7" s="283">
        <f>SUM(C3:C6)-C7</f>
        <v>0</v>
      </c>
      <c r="J7" s="282">
        <f>SUM(D3:D6)-D7</f>
        <v>0</v>
      </c>
      <c r="K7" s="282">
        <f>SUM(E3:E6)-E7</f>
        <v>0</v>
      </c>
      <c r="L7" s="282">
        <f>SUM(F3:F6)-F7</f>
        <v>0</v>
      </c>
      <c r="M7" s="286">
        <f>SUM(G3:G6)-G7</f>
        <v>0</v>
      </c>
    </row>
    <row r="8" spans="1:13" ht="15.75" thickTop="1" x14ac:dyDescent="0.25"/>
  </sheetData>
  <mergeCells count="1">
    <mergeCell ref="I1:M1"/>
  </mergeCells>
  <conditionalFormatting sqref="I3:M7">
    <cfRule type="cellIs" dxfId="251" priority="5" operator="lessThan">
      <formula>0</formula>
    </cfRule>
    <cfRule type="cellIs" dxfId="250" priority="6" operator="greaterThan">
      <formula>0</formula>
    </cfRule>
    <cfRule type="cellIs" dxfId="249" priority="7" operator="lessThan">
      <formula>0</formula>
    </cfRule>
    <cfRule type="cellIs" dxfId="248" priority="8" operator="greaterThan">
      <formula>0</formula>
    </cfRule>
  </conditionalFormatting>
  <conditionalFormatting sqref="I3:M7">
    <cfRule type="cellIs" dxfId="247" priority="1" operator="lessThan">
      <formula>0</formula>
    </cfRule>
    <cfRule type="cellIs" dxfId="246" priority="2" operator="greaterThan">
      <formula>0</formula>
    </cfRule>
    <cfRule type="cellIs" dxfId="245" priority="3" operator="lessThan">
      <formula>0</formula>
    </cfRule>
    <cfRule type="cellIs" dxfId="244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3"/>
  <sheetViews>
    <sheetView showGridLines="0" view="pageBreakPreview" zoomScaleNormal="100" zoomScaleSheetLayoutView="100" workbookViewId="0">
      <selection activeCell="AG5" sqref="AG5"/>
    </sheetView>
  </sheetViews>
  <sheetFormatPr defaultColWidth="9.140625" defaultRowHeight="12.75" x14ac:dyDescent="0.25"/>
  <cols>
    <col min="1" max="10" width="2.5703125" style="652" customWidth="1"/>
    <col min="11" max="11" width="3.42578125" style="652" customWidth="1"/>
    <col min="12" max="36" width="2.5703125" style="652" customWidth="1"/>
    <col min="37" max="37" width="2.140625" style="652" customWidth="1"/>
    <col min="38" max="38" width="1.85546875" style="652" customWidth="1"/>
    <col min="39" max="39" width="2.140625" style="652" customWidth="1"/>
    <col min="40" max="45" width="2.5703125" style="652" customWidth="1"/>
    <col min="46" max="46" width="7.7109375" style="652" customWidth="1"/>
    <col min="47" max="61" width="2.5703125" style="652" customWidth="1"/>
    <col min="62" max="16384" width="9.140625" style="652"/>
  </cols>
  <sheetData>
    <row r="1" spans="1:38" x14ac:dyDescent="0.25">
      <c r="B1" s="651" t="s">
        <v>1126</v>
      </c>
    </row>
    <row r="2" spans="1:38" s="443" customFormat="1" ht="18.75" thickBot="1" x14ac:dyDescent="0.3">
      <c r="C2" s="651"/>
      <c r="N2" s="439" t="s">
        <v>1525</v>
      </c>
    </row>
    <row r="3" spans="1:38" s="340" customFormat="1" ht="21" customHeight="1" thickBot="1" x14ac:dyDescent="0.3">
      <c r="B3" s="710" t="s">
        <v>1526</v>
      </c>
      <c r="C3" s="653"/>
      <c r="D3" s="654"/>
      <c r="E3" s="654"/>
      <c r="F3" s="654"/>
      <c r="G3" s="654"/>
      <c r="H3" s="654"/>
      <c r="I3" s="654"/>
      <c r="J3" s="655"/>
      <c r="K3" s="654"/>
      <c r="L3" s="656"/>
      <c r="N3" s="439" t="s">
        <v>1527</v>
      </c>
      <c r="Q3" s="439"/>
    </row>
    <row r="4" spans="1:38" ht="13.5" thickBot="1" x14ac:dyDescent="0.3"/>
    <row r="5" spans="1:38" ht="28.5" customHeight="1" thickBot="1" x14ac:dyDescent="0.3">
      <c r="K5" s="690" t="s">
        <v>1360</v>
      </c>
      <c r="L5" s="437" t="str">
        <f>+MID('Input data'!$B$11,1,1)</f>
        <v>3</v>
      </c>
      <c r="M5" s="437" t="str">
        <f>+MID('Input data'!$B$11,2,1)</f>
        <v>1</v>
      </c>
      <c r="N5" s="437" t="s">
        <v>955</v>
      </c>
      <c r="O5" s="437" t="str">
        <f>LEFT('Input data'!B13,1)</f>
        <v>1</v>
      </c>
      <c r="P5" s="437" t="str">
        <f>RIGHT('Input data'!B13,1)</f>
        <v>2</v>
      </c>
      <c r="Q5" s="437" t="s">
        <v>955</v>
      </c>
      <c r="R5" s="437" t="str">
        <f>+LEFT('Input data'!$B$14,1)</f>
        <v>2</v>
      </c>
      <c r="S5" s="437" t="str">
        <f>+MID('Input data'!$B$14,2,1)</f>
        <v>0</v>
      </c>
      <c r="T5" s="437" t="str">
        <f>+MID('Input data'!$B$14,3,1)</f>
        <v>1</v>
      </c>
      <c r="U5" s="437" t="str">
        <f>+MID('Input data'!$B$14,4,1)</f>
        <v>4</v>
      </c>
      <c r="V5" s="1820" t="s">
        <v>1361</v>
      </c>
      <c r="W5" s="1821"/>
      <c r="X5" s="1821"/>
      <c r="Y5" s="1821"/>
      <c r="Z5" s="1821"/>
      <c r="AA5" s="1822"/>
    </row>
    <row r="6" spans="1:38" ht="7.5" customHeight="1" thickBot="1" x14ac:dyDescent="0.3"/>
    <row r="7" spans="1:38" s="430" customFormat="1" ht="14.25" customHeight="1" x14ac:dyDescent="0.25">
      <c r="A7" s="433" t="s">
        <v>1362</v>
      </c>
      <c r="B7" s="433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2"/>
      <c r="R7" s="432"/>
      <c r="S7" s="431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2"/>
      <c r="AE7" s="432"/>
      <c r="AF7" s="432"/>
      <c r="AG7" s="432"/>
      <c r="AH7" s="432"/>
      <c r="AI7" s="432"/>
      <c r="AJ7" s="432"/>
      <c r="AK7" s="432"/>
      <c r="AL7" s="431"/>
    </row>
    <row r="8" spans="1:38" s="430" customFormat="1" ht="14.25" customHeight="1" x14ac:dyDescent="0.25">
      <c r="A8" s="691" t="s">
        <v>1363</v>
      </c>
      <c r="B8" s="691"/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692"/>
      <c r="Q8" s="692"/>
      <c r="R8" s="692"/>
      <c r="S8" s="692"/>
      <c r="T8" s="692"/>
      <c r="U8" s="692"/>
      <c r="V8" s="692"/>
      <c r="W8" s="692"/>
      <c r="X8" s="692"/>
      <c r="Y8" s="692"/>
      <c r="Z8" s="692"/>
      <c r="AA8" s="692"/>
      <c r="AB8" s="692"/>
      <c r="AC8" s="692"/>
      <c r="AD8" s="692"/>
      <c r="AE8" s="692"/>
      <c r="AF8" s="692"/>
      <c r="AG8" s="692"/>
      <c r="AH8" s="692"/>
      <c r="AI8" s="692"/>
      <c r="AJ8" s="692"/>
      <c r="AK8" s="692"/>
      <c r="AL8" s="693"/>
    </row>
    <row r="9" spans="1:38" s="697" customFormat="1" ht="15" customHeight="1" x14ac:dyDescent="0.25">
      <c r="A9" s="694" t="s">
        <v>1364</v>
      </c>
      <c r="B9" s="694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  <c r="S9" s="696"/>
      <c r="T9" s="695"/>
      <c r="U9" s="695"/>
      <c r="V9" s="695"/>
      <c r="W9" s="695"/>
      <c r="X9" s="695"/>
      <c r="Y9" s="695"/>
      <c r="Z9" s="695"/>
      <c r="AA9" s="695"/>
      <c r="AB9" s="695"/>
      <c r="AC9" s="695"/>
      <c r="AD9" s="695"/>
      <c r="AE9" s="695"/>
      <c r="AF9" s="695"/>
      <c r="AG9" s="695"/>
      <c r="AH9" s="695"/>
      <c r="AI9" s="695"/>
      <c r="AJ9" s="695"/>
      <c r="AK9" s="695"/>
      <c r="AL9" s="693"/>
    </row>
    <row r="10" spans="1:38" s="425" customFormat="1" ht="18" customHeight="1" thickBot="1" x14ac:dyDescent="0.3">
      <c r="A10" s="428" t="s">
        <v>959</v>
      </c>
      <c r="B10" s="428"/>
      <c r="C10" s="427"/>
      <c r="D10" s="427"/>
      <c r="E10" s="428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7"/>
      <c r="R10" s="427"/>
      <c r="S10" s="426"/>
      <c r="T10" s="427"/>
      <c r="U10" s="427"/>
      <c r="V10" s="427"/>
      <c r="W10" s="427"/>
      <c r="X10" s="427"/>
      <c r="Y10" s="427"/>
      <c r="Z10" s="427"/>
      <c r="AA10" s="427"/>
      <c r="AB10" s="427"/>
      <c r="AC10" s="427"/>
      <c r="AD10" s="427"/>
      <c r="AE10" s="427"/>
      <c r="AF10" s="427"/>
      <c r="AG10" s="427"/>
      <c r="AH10" s="427"/>
      <c r="AI10" s="427"/>
      <c r="AJ10" s="427"/>
      <c r="AK10" s="427"/>
      <c r="AL10" s="426"/>
    </row>
    <row r="11" spans="1:38" s="405" customFormat="1" ht="3.75" customHeight="1" thickBot="1" x14ac:dyDescent="0.3"/>
    <row r="12" spans="1:38" s="405" customFormat="1" ht="14.25" customHeight="1" x14ac:dyDescent="0.25">
      <c r="A12" s="407" t="s">
        <v>1366</v>
      </c>
      <c r="B12" s="406"/>
      <c r="C12" s="406"/>
      <c r="D12" s="406"/>
      <c r="E12" s="406"/>
      <c r="F12" s="406"/>
      <c r="G12" s="406"/>
      <c r="H12" s="406"/>
      <c r="I12" s="350"/>
      <c r="J12" s="675"/>
      <c r="K12" s="423" t="s">
        <v>1367</v>
      </c>
      <c r="L12" s="406"/>
      <c r="M12" s="424"/>
      <c r="N12" s="424"/>
      <c r="O12" s="424"/>
      <c r="P12" s="406"/>
      <c r="Q12" s="423" t="s">
        <v>1367</v>
      </c>
      <c r="R12" s="406"/>
      <c r="S12" s="350"/>
      <c r="T12" s="406"/>
      <c r="U12" s="406"/>
      <c r="V12" s="676"/>
      <c r="W12" s="406"/>
      <c r="X12" s="406"/>
      <c r="Y12" s="406"/>
      <c r="Z12" s="406"/>
      <c r="AA12" s="406"/>
      <c r="AB12" s="406"/>
      <c r="AC12" s="406"/>
      <c r="AD12" s="423" t="s">
        <v>1368</v>
      </c>
      <c r="AE12" s="423"/>
      <c r="AF12" s="423"/>
      <c r="AG12" s="423" t="s">
        <v>1369</v>
      </c>
      <c r="AH12" s="406"/>
      <c r="AI12" s="406"/>
      <c r="AJ12" s="406"/>
      <c r="AK12" s="406"/>
      <c r="AL12" s="422"/>
    </row>
    <row r="13" spans="1:38" s="405" customFormat="1" ht="19.5" customHeight="1" x14ac:dyDescent="0.2">
      <c r="A13" s="419" t="str">
        <f>LEFT('Input data'!C24,1)</f>
        <v>2</v>
      </c>
      <c r="B13" s="384" t="str">
        <f>MID('Input data'!$C$24,2,1)</f>
        <v>0</v>
      </c>
      <c r="C13" s="384" t="str">
        <f>MID('Input data'!$C$24,3,1)</f>
        <v>2</v>
      </c>
      <c r="D13" s="384" t="str">
        <f>MID('Input data'!$C$24,4,1)</f>
        <v>1</v>
      </c>
      <c r="E13" s="384" t="str">
        <f>MID('Input data'!$C$24,5,1)</f>
        <v>8</v>
      </c>
      <c r="F13" s="384" t="str">
        <f>MID('Input data'!$C$24,6,1)</f>
        <v>3</v>
      </c>
      <c r="G13" s="384" t="str">
        <f>MID('Input data'!$C$24,7,1)</f>
        <v>3</v>
      </c>
      <c r="H13" s="384" t="str">
        <f>MID('Input data'!$C$24,8,1)</f>
        <v>4</v>
      </c>
      <c r="I13" s="384" t="str">
        <f>MID('Input data'!$C$24,9,1)</f>
        <v>1</v>
      </c>
      <c r="J13" s="677" t="str">
        <f>MID('Input data'!$C$24,10,1)</f>
        <v>8</v>
      </c>
      <c r="K13" s="678"/>
      <c r="L13" s="408"/>
      <c r="M13" s="408"/>
      <c r="N13" s="408"/>
      <c r="O13" s="408"/>
      <c r="P13" s="408"/>
      <c r="Q13" s="408"/>
      <c r="R13" s="408"/>
      <c r="S13" s="408"/>
      <c r="T13" s="408"/>
      <c r="U13" s="408"/>
      <c r="V13" s="679"/>
      <c r="W13" s="413" t="s">
        <v>1370</v>
      </c>
      <c r="X13" s="408"/>
      <c r="Y13" s="408"/>
      <c r="Z13" s="408"/>
      <c r="AA13" s="408"/>
      <c r="AB13" s="413" t="s">
        <v>1371</v>
      </c>
      <c r="AC13" s="408"/>
      <c r="AD13" s="384" t="str">
        <f>MID('Input data'!$B$8,1,1)</f>
        <v>0</v>
      </c>
      <c r="AE13" s="384" t="str">
        <f>MID('Input data'!$B$8,2,1)</f>
        <v>1</v>
      </c>
      <c r="AF13" s="384"/>
      <c r="AG13" s="384" t="str">
        <f>MID('Input data'!$B$9,1,1)</f>
        <v>2</v>
      </c>
      <c r="AH13" s="384" t="str">
        <f>MID('Input data'!$B$9,2,1)</f>
        <v>0</v>
      </c>
      <c r="AI13" s="384" t="str">
        <f>MID('Input data'!$B$9,3,1)</f>
        <v>1</v>
      </c>
      <c r="AJ13" s="384" t="str">
        <f>MID('Input data'!$B$9,4,1)</f>
        <v>4</v>
      </c>
      <c r="AK13" s="408"/>
      <c r="AL13" s="414"/>
    </row>
    <row r="14" spans="1:38" s="405" customFormat="1" ht="19.5" customHeight="1" x14ac:dyDescent="0.25">
      <c r="A14" s="346" t="s">
        <v>1372</v>
      </c>
      <c r="B14" s="408"/>
      <c r="C14" s="408"/>
      <c r="D14" s="408"/>
      <c r="E14" s="408"/>
      <c r="F14" s="408"/>
      <c r="G14" s="408"/>
      <c r="H14" s="342"/>
      <c r="I14" s="342"/>
      <c r="J14" s="470"/>
      <c r="K14" s="421" t="str">
        <f>IF('Input data'!D7="x","x"," ")</f>
        <v xml:space="preserve"> </v>
      </c>
      <c r="L14" s="413" t="s">
        <v>1373</v>
      </c>
      <c r="N14" s="415"/>
      <c r="O14" s="415"/>
      <c r="P14" s="415"/>
      <c r="Q14" s="415"/>
      <c r="R14" s="421" t="str">
        <f>IF('Input data'!D17="x","x"," ")</f>
        <v xml:space="preserve"> </v>
      </c>
      <c r="S14" s="413" t="s">
        <v>1374</v>
      </c>
      <c r="T14" s="408"/>
      <c r="U14" s="408"/>
      <c r="V14" s="679"/>
      <c r="W14" s="659"/>
      <c r="X14" s="660"/>
      <c r="Y14" s="660"/>
      <c r="Z14" s="660"/>
      <c r="AA14" s="660"/>
      <c r="AB14" s="661" t="s">
        <v>1375</v>
      </c>
      <c r="AC14" s="660"/>
      <c r="AD14" s="662" t="str">
        <f>MID('Input data'!$B$13,1,1)</f>
        <v>1</v>
      </c>
      <c r="AE14" s="662" t="str">
        <f>MID('Input data'!$B$13,2,1)</f>
        <v>2</v>
      </c>
      <c r="AF14" s="662"/>
      <c r="AG14" s="662" t="str">
        <f>MID('Input data'!$B$14,1,1)</f>
        <v>2</v>
      </c>
      <c r="AH14" s="662" t="str">
        <f>MID('Input data'!$B$14,2,1)</f>
        <v>0</v>
      </c>
      <c r="AI14" s="662" t="str">
        <f>MID('Input data'!$B$14,3,1)</f>
        <v>1</v>
      </c>
      <c r="AJ14" s="662" t="str">
        <f>MID('Input data'!$B$14,4,1)</f>
        <v>4</v>
      </c>
      <c r="AK14" s="660"/>
      <c r="AL14" s="663"/>
    </row>
    <row r="15" spans="1:38" s="405" customFormat="1" ht="19.5" customHeight="1" x14ac:dyDescent="0.2">
      <c r="A15" s="698" t="str">
        <f>LEFT('Input data'!C26,1)</f>
        <v>3</v>
      </c>
      <c r="B15" s="417" t="str">
        <f>MID('Input data'!$C$26,2,1)</f>
        <v>5</v>
      </c>
      <c r="C15" s="417" t="str">
        <f>MID('Input data'!$C$26,3,1)</f>
        <v>8</v>
      </c>
      <c r="D15" s="417" t="str">
        <f>MID('Input data'!$C$26,4,1)</f>
        <v>8</v>
      </c>
      <c r="E15" s="417" t="str">
        <f>MID('Input data'!$C$26,5,1)</f>
        <v>2</v>
      </c>
      <c r="F15" s="417" t="str">
        <f>MID('Input data'!$C$26,6,1)</f>
        <v>7</v>
      </c>
      <c r="G15" s="417" t="str">
        <f>MID('Input data'!$C$26,7,1)</f>
        <v>0</v>
      </c>
      <c r="H15" s="417" t="str">
        <f>MID('Input data'!$C$26,8,1)</f>
        <v>1</v>
      </c>
      <c r="I15" s="342"/>
      <c r="J15" s="470"/>
      <c r="K15" s="342" t="str">
        <f>IF('Input data'!D8="x","x", "")</f>
        <v/>
      </c>
      <c r="L15" s="413" t="s">
        <v>1376</v>
      </c>
      <c r="M15" s="413"/>
      <c r="N15" s="415"/>
      <c r="O15" s="415"/>
      <c r="P15" s="415"/>
      <c r="Q15" s="415"/>
      <c r="R15" s="415" t="str">
        <f>IF('Input data'!D18="x","x"," ")</f>
        <v xml:space="preserve"> </v>
      </c>
      <c r="S15" s="413" t="s">
        <v>1377</v>
      </c>
      <c r="T15" s="408"/>
      <c r="U15" s="408"/>
      <c r="V15" s="679"/>
      <c r="W15" s="413"/>
      <c r="X15" s="408"/>
      <c r="Y15" s="345"/>
      <c r="Z15" s="342"/>
      <c r="AA15" s="342"/>
      <c r="AB15" s="415"/>
      <c r="AC15" s="342"/>
      <c r="AD15" s="417"/>
      <c r="AE15" s="417"/>
      <c r="AF15" s="417"/>
      <c r="AG15" s="417"/>
      <c r="AH15" s="417"/>
      <c r="AI15" s="417"/>
      <c r="AJ15" s="417"/>
      <c r="AK15" s="342"/>
      <c r="AL15" s="414"/>
    </row>
    <row r="16" spans="1:38" s="405" customFormat="1" ht="19.5" customHeight="1" x14ac:dyDescent="0.2">
      <c r="A16" s="346" t="s">
        <v>973</v>
      </c>
      <c r="B16" s="408"/>
      <c r="C16" s="408"/>
      <c r="D16" s="408"/>
      <c r="E16" s="408"/>
      <c r="F16" s="361"/>
      <c r="G16" s="408"/>
      <c r="H16" s="408"/>
      <c r="I16" s="342"/>
      <c r="J16" s="470"/>
      <c r="K16" s="678"/>
      <c r="L16" s="342"/>
      <c r="M16" s="413"/>
      <c r="N16" s="415"/>
      <c r="O16" s="415"/>
      <c r="P16" s="415"/>
      <c r="Q16" s="415"/>
      <c r="R16" s="699" t="s">
        <v>1378</v>
      </c>
      <c r="S16" s="415"/>
      <c r="T16" s="408"/>
      <c r="U16" s="408"/>
      <c r="V16" s="679"/>
      <c r="W16" s="413" t="s">
        <v>1379</v>
      </c>
      <c r="X16" s="408"/>
      <c r="Y16" s="345"/>
      <c r="Z16" s="342"/>
      <c r="AA16" s="342"/>
      <c r="AB16" s="413" t="s">
        <v>1371</v>
      </c>
      <c r="AC16" s="342"/>
      <c r="AD16" s="384" t="str">
        <f>MID('Input data'!$B$18,1,1)</f>
        <v>0</v>
      </c>
      <c r="AE16" s="384" t="str">
        <f>MID('Input data'!$B$18,2,1)</f>
        <v>1</v>
      </c>
      <c r="AF16" s="384"/>
      <c r="AG16" s="384" t="str">
        <f>MID('Input data'!$B$19,1,1)</f>
        <v>1</v>
      </c>
      <c r="AH16" s="384" t="str">
        <f>MID('Input data'!$B$19,2,1)</f>
        <v>9</v>
      </c>
      <c r="AI16" s="384" t="str">
        <f>MID('Input data'!$B$19,3,1)</f>
        <v>0</v>
      </c>
      <c r="AJ16" s="384" t="str">
        <f>MID('Input data'!$B$19,4,1)</f>
        <v>0</v>
      </c>
      <c r="AK16" s="342"/>
      <c r="AL16" s="414"/>
    </row>
    <row r="17" spans="1:39" s="405" customFormat="1" ht="19.5" customHeight="1" thickBot="1" x14ac:dyDescent="0.25">
      <c r="A17" s="412" t="e">
        <f>#REF!</f>
        <v>#REF!</v>
      </c>
      <c r="B17" s="337" t="e">
        <f>#REF!</f>
        <v>#REF!</v>
      </c>
      <c r="C17" s="410" t="s">
        <v>955</v>
      </c>
      <c r="D17" s="337" t="e">
        <f>#REF!</f>
        <v>#REF!</v>
      </c>
      <c r="E17" s="337" t="e">
        <f>#REF!</f>
        <v>#REF!</v>
      </c>
      <c r="F17" s="410" t="s">
        <v>955</v>
      </c>
      <c r="G17" s="337" t="e">
        <f>#REF!</f>
        <v>#REF!</v>
      </c>
      <c r="H17" s="337"/>
      <c r="I17" s="337"/>
      <c r="J17" s="681"/>
      <c r="K17" s="682"/>
      <c r="L17" s="337"/>
      <c r="M17" s="337"/>
      <c r="N17" s="337"/>
      <c r="O17" s="337"/>
      <c r="P17" s="337"/>
      <c r="Q17" s="337"/>
      <c r="R17" s="337"/>
      <c r="S17" s="337"/>
      <c r="T17" s="410"/>
      <c r="U17" s="410"/>
      <c r="V17" s="683"/>
      <c r="W17" s="409"/>
      <c r="X17" s="410"/>
      <c r="Y17" s="338"/>
      <c r="Z17" s="337"/>
      <c r="AA17" s="337"/>
      <c r="AB17" s="409" t="s">
        <v>1375</v>
      </c>
      <c r="AC17" s="337"/>
      <c r="AD17" s="382" t="str">
        <f>MID('Input data'!$B$21,1,1)</f>
        <v>0</v>
      </c>
      <c r="AE17" s="382" t="str">
        <f>MID('Input data'!$B$21,2,1)</f>
        <v>1</v>
      </c>
      <c r="AF17" s="382"/>
      <c r="AG17" s="382" t="str">
        <f>MID('Input data'!$B$22,1,1)</f>
        <v>1</v>
      </c>
      <c r="AH17" s="382" t="str">
        <f>MID('Input data'!$B$22,2,1)</f>
        <v>9</v>
      </c>
      <c r="AI17" s="382" t="str">
        <f>MID('Input data'!$B$22,3,1)</f>
        <v>0</v>
      </c>
      <c r="AJ17" s="382" t="str">
        <f>MID('Input data'!$B$22,4,1)</f>
        <v>0</v>
      </c>
      <c r="AK17" s="337"/>
      <c r="AL17" s="411"/>
    </row>
    <row r="18" spans="1:39" s="405" customFormat="1" ht="4.5" customHeight="1" x14ac:dyDescent="0.25">
      <c r="A18" s="408"/>
      <c r="B18" s="408"/>
      <c r="C18" s="408"/>
      <c r="D18" s="408"/>
      <c r="E18" s="408"/>
      <c r="F18" s="408"/>
      <c r="G18" s="408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408"/>
      <c r="U18" s="408"/>
      <c r="V18" s="342"/>
      <c r="W18" s="342"/>
      <c r="X18" s="342"/>
      <c r="Y18" s="342"/>
      <c r="Z18" s="342"/>
      <c r="AA18" s="342"/>
      <c r="AB18" s="342"/>
      <c r="AC18" s="342"/>
      <c r="AD18" s="342"/>
      <c r="AE18" s="342"/>
      <c r="AF18" s="342"/>
      <c r="AG18" s="342"/>
      <c r="AH18" s="342"/>
      <c r="AI18" s="342"/>
      <c r="AJ18" s="342"/>
      <c r="AK18" s="342"/>
      <c r="AL18" s="408"/>
      <c r="AM18" s="408"/>
    </row>
    <row r="19" spans="1:39" s="405" customFormat="1" ht="3" customHeight="1" thickBot="1" x14ac:dyDescent="0.3">
      <c r="A19" s="700"/>
      <c r="B19" s="408"/>
      <c r="C19" s="408"/>
      <c r="D19" s="408"/>
      <c r="E19" s="408"/>
      <c r="F19" s="408"/>
      <c r="G19" s="408"/>
      <c r="H19" s="342"/>
      <c r="I19" s="342"/>
      <c r="J19" s="342"/>
      <c r="K19" s="342"/>
      <c r="L19" s="342"/>
      <c r="M19" s="342"/>
      <c r="N19" s="342"/>
      <c r="O19" s="342"/>
      <c r="P19" s="342"/>
      <c r="Q19" s="342"/>
      <c r="R19" s="342"/>
      <c r="S19" s="342"/>
      <c r="T19" s="408"/>
      <c r="U19" s="408"/>
      <c r="V19" s="408"/>
      <c r="W19" s="342"/>
      <c r="X19" s="342"/>
      <c r="Y19" s="342"/>
      <c r="Z19" s="342"/>
      <c r="AA19" s="342"/>
      <c r="AB19" s="342"/>
      <c r="AC19" s="342"/>
      <c r="AD19" s="342"/>
      <c r="AE19" s="342"/>
      <c r="AF19" s="342"/>
      <c r="AG19" s="342"/>
      <c r="AH19" s="342"/>
      <c r="AI19" s="342"/>
      <c r="AJ19" s="342"/>
      <c r="AK19" s="342"/>
      <c r="AL19" s="408"/>
      <c r="AM19" s="408"/>
    </row>
    <row r="20" spans="1:39" s="405" customFormat="1" ht="16.5" x14ac:dyDescent="0.25">
      <c r="A20" s="407" t="s">
        <v>1380</v>
      </c>
      <c r="B20" s="406"/>
      <c r="C20" s="406"/>
      <c r="D20" s="406"/>
      <c r="E20" s="406"/>
      <c r="F20" s="406"/>
      <c r="G20" s="406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406"/>
      <c r="U20" s="406"/>
      <c r="V20" s="406"/>
      <c r="W20" s="350"/>
      <c r="X20" s="350"/>
      <c r="Y20" s="350"/>
      <c r="Z20" s="350"/>
      <c r="AA20" s="350"/>
      <c r="AB20" s="350"/>
      <c r="AC20" s="350"/>
      <c r="AD20" s="350"/>
      <c r="AE20" s="350"/>
      <c r="AF20" s="350"/>
      <c r="AG20" s="350"/>
      <c r="AH20" s="350"/>
      <c r="AI20" s="350"/>
      <c r="AJ20" s="350"/>
      <c r="AK20" s="350"/>
      <c r="AL20" s="422"/>
    </row>
    <row r="21" spans="1:39" s="405" customFormat="1" ht="19.5" customHeight="1" x14ac:dyDescent="0.25">
      <c r="A21" s="392" t="str">
        <f>+LEFT('Input data'!$F$3,1)</f>
        <v>M</v>
      </c>
      <c r="B21" s="384" t="str">
        <f>+MID('Input data'!$F$3,2,1)</f>
        <v>e</v>
      </c>
      <c r="C21" s="384" t="str">
        <f>+MID('Input data'!$F$3,3,1)</f>
        <v>d</v>
      </c>
      <c r="D21" s="384" t="str">
        <f>+MID('Input data'!$F$3,4,1)</f>
        <v>i</v>
      </c>
      <c r="E21" s="384" t="str">
        <f>+MID('Input data'!$F$3,5,1)</f>
        <v>c</v>
      </c>
      <c r="F21" s="384" t="str">
        <f>+MID('Input data'!$F$3,6,1)</f>
        <v>a</v>
      </c>
      <c r="G21" s="384" t="str">
        <f>+MID('Input data'!$F$3,7,1)</f>
        <v>l</v>
      </c>
      <c r="H21" s="384" t="str">
        <f>+MID('Input data'!$F$3,8,1)</f>
        <v xml:space="preserve"> </v>
      </c>
      <c r="I21" s="384" t="str">
        <f>+MID('Input data'!$F$3,9,1)</f>
        <v>T</v>
      </c>
      <c r="J21" s="384" t="str">
        <f>+MID('Input data'!$F$3,10,1)</f>
        <v>r</v>
      </c>
      <c r="K21" s="384" t="str">
        <f>+MID('Input data'!$F$3,11,1)</f>
        <v>a</v>
      </c>
      <c r="L21" s="384" t="str">
        <f>+MID('Input data'!$F$3,12,1)</f>
        <v>d</v>
      </c>
      <c r="M21" s="384" t="str">
        <f>+MID('Input data'!$F$3,13,1)</f>
        <v>e</v>
      </c>
      <c r="N21" s="384" t="str">
        <f>+MID('Input data'!$F$3,14,1)</f>
        <v>,</v>
      </c>
      <c r="O21" s="384" t="str">
        <f>+MID('Input data'!$F$3,15,1)</f>
        <v>s</v>
      </c>
      <c r="P21" s="384" t="str">
        <f>+MID('Input data'!$F$3,16,1)</f>
        <v>p</v>
      </c>
      <c r="Q21" s="384" t="str">
        <f>+MID('Input data'!$F$3,17,1)</f>
        <v>o</v>
      </c>
      <c r="R21" s="384" t="str">
        <f>+MID('Input data'!$F$3,18,1)</f>
        <v>l</v>
      </c>
      <c r="S21" s="384" t="str">
        <f>+MID('Input data'!$F$3,19,1)</f>
        <v>.</v>
      </c>
      <c r="T21" s="384" t="str">
        <f>+MID('Input data'!$F$3,20,1)</f>
        <v xml:space="preserve"> </v>
      </c>
      <c r="U21" s="384" t="str">
        <f>+MID('Input data'!$F$3,21,1)</f>
        <v>s</v>
      </c>
      <c r="V21" s="384" t="str">
        <f>+MID('Input data'!$F$3,22,1)</f>
        <v xml:space="preserve"> </v>
      </c>
      <c r="W21" s="384" t="str">
        <f>+MID('Input data'!$F$3,23,1)</f>
        <v>r</v>
      </c>
      <c r="X21" s="384" t="str">
        <f>+MID('Input data'!$F$3,24,1)</f>
        <v>.</v>
      </c>
      <c r="Y21" s="384" t="str">
        <f>+MID('Input data'!$F$3,25,1)</f>
        <v>o</v>
      </c>
      <c r="Z21" s="384" t="str">
        <f>+MID('Input data'!$F$3,26,1)</f>
        <v>.</v>
      </c>
      <c r="AA21" s="384" t="str">
        <f>+MID('Input data'!$F$3,27,1)</f>
        <v/>
      </c>
      <c r="AB21" s="384" t="str">
        <f>+MID('Input data'!$F$3,28,1)</f>
        <v/>
      </c>
      <c r="AC21" s="384" t="str">
        <f>+MID('Input data'!$F$3,29,1)</f>
        <v/>
      </c>
      <c r="AD21" s="384" t="str">
        <f>+MID('Input data'!$F$3,30,1)</f>
        <v/>
      </c>
      <c r="AE21" s="384" t="str">
        <f>+MID('Input data'!$F$3,31,1)</f>
        <v/>
      </c>
      <c r="AF21" s="384" t="str">
        <f>+MID('Input data'!$F$3,32,1)</f>
        <v/>
      </c>
      <c r="AG21" s="384" t="str">
        <f>+MID('Input data'!$F$3,33,1)</f>
        <v/>
      </c>
      <c r="AH21" s="384" t="str">
        <f>+MID('Input data'!$F$3,34,1)</f>
        <v/>
      </c>
      <c r="AI21" s="384" t="str">
        <f>+MID('Input data'!$F$3,35,1)</f>
        <v/>
      </c>
      <c r="AJ21" s="384" t="str">
        <f>+MID('Input data'!$F$3,36,1)</f>
        <v/>
      </c>
      <c r="AK21" s="391" t="str">
        <f>+MID('Input data'!$F$3,37,1)</f>
        <v/>
      </c>
      <c r="AL21" s="414"/>
    </row>
    <row r="22" spans="1:39" ht="19.5" customHeight="1" x14ac:dyDescent="0.25">
      <c r="A22" s="392" t="str">
        <f>+MID('Input data'!$F$3,38,1)</f>
        <v/>
      </c>
      <c r="B22" s="384" t="str">
        <f>+MID('Input data'!$F$3,39,1)</f>
        <v/>
      </c>
      <c r="C22" s="384" t="str">
        <f>+MID('Input data'!$F$3,40,1)</f>
        <v/>
      </c>
      <c r="D22" s="384" t="str">
        <f>+MID('Input data'!$F$3,41,1)</f>
        <v/>
      </c>
      <c r="E22" s="384" t="str">
        <f>+MID('Input data'!$F$3,42,1)</f>
        <v/>
      </c>
      <c r="F22" s="384" t="str">
        <f>+MID('Input data'!$F$3,43,1)</f>
        <v/>
      </c>
      <c r="G22" s="384" t="str">
        <f>+MID('Input data'!$F$3,44,1)</f>
        <v/>
      </c>
      <c r="H22" s="384" t="str">
        <f>+MID('Input data'!$F$3,45,1)</f>
        <v/>
      </c>
      <c r="I22" s="384" t="str">
        <f>+MID('Input data'!$F$3,46,1)</f>
        <v/>
      </c>
      <c r="J22" s="384" t="str">
        <f>+MID('Input data'!$F$3,47,1)</f>
        <v/>
      </c>
      <c r="K22" s="384" t="str">
        <f>+MID('Input data'!$F$3,48,1)</f>
        <v/>
      </c>
      <c r="L22" s="384" t="str">
        <f>+MID('Input data'!$F$3,49,1)</f>
        <v/>
      </c>
      <c r="M22" s="384" t="str">
        <f>+MID('Input data'!$F$3,50,1)</f>
        <v/>
      </c>
      <c r="N22" s="384" t="str">
        <f>+MID('Input data'!$F$3,51,1)</f>
        <v/>
      </c>
      <c r="O22" s="384" t="str">
        <f>+MID('Input data'!$F$3,52,1)</f>
        <v/>
      </c>
      <c r="P22" s="384" t="str">
        <f>+MID('Input data'!$F$3,53,1)</f>
        <v/>
      </c>
      <c r="Q22" s="384" t="str">
        <f>+MID('Input data'!$F$3,54,1)</f>
        <v/>
      </c>
      <c r="R22" s="384" t="str">
        <f>+MID('Input data'!$F$3,55,1)</f>
        <v/>
      </c>
      <c r="S22" s="384" t="str">
        <f>+MID('Input data'!$F$3,56,1)</f>
        <v/>
      </c>
      <c r="T22" s="384" t="str">
        <f>+MID('Input data'!$F$3,57,1)</f>
        <v/>
      </c>
      <c r="U22" s="384" t="str">
        <f>+MID('Input data'!$F$3,58,1)</f>
        <v/>
      </c>
      <c r="V22" s="384" t="str">
        <f>+MID('Input data'!$F$3,59,1)</f>
        <v/>
      </c>
      <c r="W22" s="384" t="str">
        <f>+MID('Input data'!$F$3,60,1)</f>
        <v/>
      </c>
      <c r="X22" s="384" t="str">
        <f>+MID('Input data'!$F$3,61,1)</f>
        <v/>
      </c>
      <c r="Y22" s="384" t="str">
        <f>+MID('Input data'!$F$3,62,1)</f>
        <v/>
      </c>
      <c r="Z22" s="384" t="str">
        <f>+MID('Input data'!$F$3,63,1)</f>
        <v/>
      </c>
      <c r="AA22" s="384" t="str">
        <f>+MID('Input data'!$F$3,64,1)</f>
        <v/>
      </c>
      <c r="AB22" s="384" t="str">
        <f>+MID('Input data'!$F$3,65,1)</f>
        <v/>
      </c>
      <c r="AC22" s="384" t="str">
        <f>+MID('Input data'!$F$3,66,1)</f>
        <v/>
      </c>
      <c r="AD22" s="384" t="str">
        <f>+MID('Input data'!$F$3,67,1)</f>
        <v/>
      </c>
      <c r="AE22" s="384" t="str">
        <f>+MID('Input data'!$F$3,68,1)</f>
        <v/>
      </c>
      <c r="AF22" s="384" t="str">
        <f>+MID('Input data'!$F$3,69,1)</f>
        <v/>
      </c>
      <c r="AG22" s="384" t="str">
        <f>+MID('Input data'!$F$3,70,1)</f>
        <v/>
      </c>
      <c r="AH22" s="384" t="str">
        <f>+MID('Input data'!$F$3,71,1)</f>
        <v/>
      </c>
      <c r="AI22" s="384" t="str">
        <f>+MID('Input data'!$F$3,72,1)</f>
        <v/>
      </c>
      <c r="AJ22" s="384" t="str">
        <f>+MID('Input data'!$F$3,73,1)</f>
        <v/>
      </c>
      <c r="AK22" s="391" t="str">
        <f>+MID('Input data'!$F$3,74,1)</f>
        <v/>
      </c>
      <c r="AL22" s="701"/>
    </row>
    <row r="23" spans="1:39" s="393" customFormat="1" ht="14.25" customHeight="1" x14ac:dyDescent="0.25">
      <c r="A23" s="702" t="s">
        <v>1381</v>
      </c>
      <c r="B23" s="703"/>
      <c r="C23" s="703"/>
      <c r="D23" s="703"/>
      <c r="E23" s="703"/>
      <c r="F23" s="703"/>
      <c r="G23" s="703"/>
      <c r="H23" s="703"/>
      <c r="I23" s="703"/>
      <c r="J23" s="703"/>
      <c r="K23" s="703"/>
      <c r="L23" s="703"/>
      <c r="M23" s="703"/>
      <c r="N23" s="703"/>
      <c r="O23" s="703"/>
      <c r="P23" s="703"/>
      <c r="Q23" s="703"/>
      <c r="R23" s="703"/>
      <c r="S23" s="703"/>
      <c r="T23" s="703"/>
      <c r="U23" s="703"/>
      <c r="V23" s="703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704"/>
    </row>
    <row r="24" spans="1:39" x14ac:dyDescent="0.25">
      <c r="A24" s="389" t="s">
        <v>1382</v>
      </c>
      <c r="B24" s="657"/>
      <c r="C24" s="657"/>
      <c r="D24" s="657"/>
      <c r="E24" s="657"/>
      <c r="F24" s="657"/>
      <c r="G24" s="657"/>
      <c r="H24" s="657"/>
      <c r="I24" s="657"/>
      <c r="J24" s="657"/>
      <c r="K24" s="657"/>
      <c r="L24" s="657"/>
      <c r="M24" s="657"/>
      <c r="N24" s="657"/>
      <c r="O24" s="657"/>
      <c r="P24" s="657"/>
      <c r="Q24" s="657"/>
      <c r="R24" s="657"/>
      <c r="S24" s="657"/>
      <c r="T24" s="657"/>
      <c r="U24" s="657"/>
      <c r="V24" s="657"/>
      <c r="W24" s="342"/>
      <c r="X24" s="342"/>
      <c r="Y24" s="342"/>
      <c r="Z24" s="342"/>
      <c r="AA24" s="342"/>
      <c r="AB24" s="657"/>
      <c r="AC24" s="342"/>
      <c r="AD24" s="345" t="s">
        <v>1383</v>
      </c>
      <c r="AE24" s="342"/>
      <c r="AF24" s="342"/>
      <c r="AG24" s="342"/>
      <c r="AH24" s="342"/>
      <c r="AI24" s="342"/>
      <c r="AJ24" s="342"/>
      <c r="AK24" s="342"/>
      <c r="AL24" s="705"/>
    </row>
    <row r="25" spans="1:39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84" t="str">
        <f>+MID('Input data'!$C$30,8,1)</f>
        <v/>
      </c>
      <c r="AL25" s="701"/>
    </row>
    <row r="26" spans="1:39" x14ac:dyDescent="0.25">
      <c r="A26" s="389" t="s">
        <v>1384</v>
      </c>
      <c r="B26" s="657"/>
      <c r="C26" s="657"/>
      <c r="D26" s="657"/>
      <c r="E26" s="657"/>
      <c r="F26" s="657"/>
      <c r="G26" s="388" t="s">
        <v>1385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2"/>
      <c r="AL26" s="705"/>
    </row>
    <row r="27" spans="1:39" s="390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84" t="str">
        <f>+MID('Input data'!$C$34,31,1)</f>
        <v/>
      </c>
      <c r="AL27" s="701"/>
    </row>
    <row r="28" spans="1:39" x14ac:dyDescent="0.25">
      <c r="A28" s="389" t="s">
        <v>1386</v>
      </c>
      <c r="B28" s="657"/>
      <c r="C28" s="657"/>
      <c r="D28" s="657"/>
      <c r="E28" s="657"/>
      <c r="F28" s="657"/>
      <c r="G28" s="388"/>
      <c r="H28" s="388"/>
      <c r="I28" s="388"/>
      <c r="J28" s="388"/>
      <c r="K28" s="388"/>
      <c r="L28" s="388"/>
      <c r="M28" s="388"/>
      <c r="N28" s="657"/>
      <c r="O28" s="388" t="s">
        <v>1387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2"/>
      <c r="AL28" s="705"/>
    </row>
    <row r="29" spans="1:39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/>
      <c r="AH29" s="342"/>
      <c r="AI29" s="342"/>
      <c r="AJ29" s="342"/>
      <c r="AK29" s="342"/>
      <c r="AL29" s="701"/>
    </row>
    <row r="30" spans="1:39" s="334" customFormat="1" x14ac:dyDescent="0.25">
      <c r="A30" s="346" t="s">
        <v>1388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2"/>
      <c r="AL30" s="429"/>
    </row>
    <row r="31" spans="1:39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2" t="str">
        <f>+MID('Input data'!$B$42,37,1)</f>
        <v/>
      </c>
      <c r="AL31" s="706"/>
    </row>
    <row r="32" spans="1:39" s="334" customFormat="1" ht="4.5" customHeight="1" thickBot="1" x14ac:dyDescent="0.3">
      <c r="A32" s="345"/>
      <c r="B32" s="345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2"/>
      <c r="X32" s="342"/>
      <c r="Y32" s="342"/>
      <c r="Z32" s="342"/>
      <c r="AA32" s="342"/>
      <c r="AB32" s="342"/>
      <c r="AC32" s="342"/>
      <c r="AD32" s="342"/>
      <c r="AE32" s="342"/>
      <c r="AF32" s="342"/>
      <c r="AG32" s="342"/>
      <c r="AH32" s="342"/>
      <c r="AI32" s="342"/>
      <c r="AJ32" s="342"/>
      <c r="AK32" s="342"/>
      <c r="AL32" s="345"/>
      <c r="AM32" s="345"/>
    </row>
    <row r="33" spans="1:38" s="377" customFormat="1" ht="12.75" customHeight="1" x14ac:dyDescent="0.25">
      <c r="A33" s="380" t="s">
        <v>1389</v>
      </c>
      <c r="B33" s="379"/>
      <c r="C33" s="379"/>
      <c r="D33" s="379"/>
      <c r="E33" s="379"/>
      <c r="F33" s="379"/>
      <c r="G33" s="379"/>
      <c r="H33" s="379"/>
      <c r="I33" s="379"/>
      <c r="J33" s="379"/>
      <c r="K33" s="664"/>
      <c r="L33" s="664"/>
      <c r="M33" s="1731" t="s">
        <v>1390</v>
      </c>
      <c r="N33" s="1732"/>
      <c r="O33" s="1732"/>
      <c r="P33" s="1732"/>
      <c r="Q33" s="1732"/>
      <c r="R33" s="1732"/>
      <c r="S33" s="1732"/>
      <c r="T33" s="1732"/>
      <c r="U33" s="1733"/>
      <c r="V33" s="1731" t="s">
        <v>1391</v>
      </c>
      <c r="W33" s="1732"/>
      <c r="X33" s="1732"/>
      <c r="Y33" s="1732"/>
      <c r="Z33" s="1732"/>
      <c r="AA33" s="1732"/>
      <c r="AB33" s="1732"/>
      <c r="AC33" s="1733"/>
      <c r="AD33" s="1731" t="s">
        <v>1392</v>
      </c>
      <c r="AE33" s="1732"/>
      <c r="AF33" s="1732"/>
      <c r="AG33" s="1732"/>
      <c r="AH33" s="1732"/>
      <c r="AI33" s="1732"/>
      <c r="AJ33" s="1732"/>
      <c r="AK33" s="1732"/>
      <c r="AL33" s="1737"/>
    </row>
    <row r="34" spans="1:38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2" t="str">
        <f>MID(TEXT('Input data'!$F$34,"dd.mm.yyyy"),7,1)</f>
        <v>1</v>
      </c>
      <c r="H34" s="362" t="str">
        <f>MID(TEXT('Input data'!$F$34,"dd.mm.yyyy"),8,1)</f>
        <v>9</v>
      </c>
      <c r="I34" s="362" t="str">
        <f>MID(TEXT('Input data'!$F$34,"dd.mm.yyyy"),9,1)</f>
        <v>0</v>
      </c>
      <c r="J34" s="362" t="str">
        <f>MID(TEXT('Input data'!$F$34,"dd.mm.yyyy"),10,1)</f>
        <v>0</v>
      </c>
      <c r="K34" s="707"/>
      <c r="L34" s="369"/>
      <c r="M34" s="1734"/>
      <c r="N34" s="1735"/>
      <c r="O34" s="1735"/>
      <c r="P34" s="1735"/>
      <c r="Q34" s="1735"/>
      <c r="R34" s="1735"/>
      <c r="S34" s="1735"/>
      <c r="T34" s="1735"/>
      <c r="U34" s="1736"/>
      <c r="V34" s="1734"/>
      <c r="W34" s="1735"/>
      <c r="X34" s="1735"/>
      <c r="Y34" s="1735"/>
      <c r="Z34" s="1735"/>
      <c r="AA34" s="1735"/>
      <c r="AB34" s="1735"/>
      <c r="AC34" s="1736"/>
      <c r="AD34" s="1734"/>
      <c r="AE34" s="1735"/>
      <c r="AF34" s="1735"/>
      <c r="AG34" s="1735"/>
      <c r="AH34" s="1735"/>
      <c r="AI34" s="1735"/>
      <c r="AJ34" s="1735"/>
      <c r="AK34" s="1735"/>
      <c r="AL34" s="1738"/>
    </row>
    <row r="35" spans="1:38" s="334" customFormat="1" ht="12.75" customHeight="1" x14ac:dyDescent="0.25">
      <c r="A35" s="375"/>
      <c r="B35" s="374"/>
      <c r="C35" s="374"/>
      <c r="D35" s="374"/>
      <c r="E35" s="374"/>
      <c r="F35" s="374"/>
      <c r="G35" s="374"/>
      <c r="H35" s="374"/>
      <c r="I35" s="374"/>
      <c r="J35" s="374"/>
      <c r="K35" s="666"/>
      <c r="L35" s="666"/>
      <c r="M35" s="1734"/>
      <c r="N35" s="1735"/>
      <c r="O35" s="1735"/>
      <c r="P35" s="1735"/>
      <c r="Q35" s="1735"/>
      <c r="R35" s="1735"/>
      <c r="S35" s="1735"/>
      <c r="T35" s="1735"/>
      <c r="U35" s="1736"/>
      <c r="V35" s="1734"/>
      <c r="W35" s="1735"/>
      <c r="X35" s="1735"/>
      <c r="Y35" s="1735"/>
      <c r="Z35" s="1735"/>
      <c r="AA35" s="1735"/>
      <c r="AB35" s="1735"/>
      <c r="AC35" s="1736"/>
      <c r="AD35" s="1734"/>
      <c r="AE35" s="1735"/>
      <c r="AF35" s="1735"/>
      <c r="AG35" s="1735"/>
      <c r="AH35" s="1735"/>
      <c r="AI35" s="1735"/>
      <c r="AJ35" s="1735"/>
      <c r="AK35" s="1735"/>
      <c r="AL35" s="1738"/>
    </row>
    <row r="36" spans="1:38" s="334" customFormat="1" x14ac:dyDescent="0.2">
      <c r="A36" s="346" t="s">
        <v>1393</v>
      </c>
      <c r="B36" s="345"/>
      <c r="C36" s="345"/>
      <c r="D36" s="345"/>
      <c r="E36" s="345"/>
      <c r="F36" s="345"/>
      <c r="G36" s="345"/>
      <c r="H36" s="345"/>
      <c r="I36" s="345"/>
      <c r="J36" s="345"/>
      <c r="K36" s="369"/>
      <c r="L36" s="667"/>
      <c r="M36" s="369"/>
      <c r="N36" s="369"/>
      <c r="O36" s="369"/>
      <c r="P36" s="369"/>
      <c r="Q36" s="369"/>
      <c r="R36" s="369"/>
      <c r="S36" s="369"/>
      <c r="T36" s="345"/>
      <c r="U36" s="367"/>
      <c r="V36" s="368"/>
      <c r="W36" s="368"/>
      <c r="X36" s="368"/>
      <c r="Y36" s="368"/>
      <c r="Z36" s="368"/>
      <c r="AA36" s="342"/>
      <c r="AB36" s="368"/>
      <c r="AC36" s="367"/>
      <c r="AD36" s="366"/>
      <c r="AE36" s="365"/>
      <c r="AF36" s="365"/>
      <c r="AG36" s="365"/>
      <c r="AH36" s="365"/>
      <c r="AI36" s="365"/>
      <c r="AJ36" s="365"/>
      <c r="AK36" s="365"/>
      <c r="AL36" s="364"/>
    </row>
    <row r="37" spans="1:38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668"/>
      <c r="L37" s="471"/>
      <c r="M37" s="345"/>
      <c r="N37" s="345"/>
      <c r="O37" s="345"/>
      <c r="P37" s="345"/>
      <c r="Q37" s="345"/>
      <c r="R37" s="345"/>
      <c r="S37" s="345"/>
      <c r="T37" s="345"/>
      <c r="U37" s="471"/>
      <c r="V37" s="345"/>
      <c r="W37" s="342"/>
      <c r="X37" s="342"/>
      <c r="Y37" s="342"/>
      <c r="Z37" s="342"/>
      <c r="AA37" s="342"/>
      <c r="AB37" s="342"/>
      <c r="AC37" s="470"/>
      <c r="AD37" s="342"/>
      <c r="AE37" s="342"/>
      <c r="AF37" s="342"/>
      <c r="AG37" s="342"/>
      <c r="AH37" s="342"/>
      <c r="AI37" s="342"/>
      <c r="AJ37" s="342"/>
      <c r="AK37" s="342"/>
      <c r="AL37" s="341"/>
    </row>
    <row r="38" spans="1:38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4"/>
      <c r="L38" s="353"/>
      <c r="M38" s="1633">
        <f>'Input data'!F40</f>
        <v>0</v>
      </c>
      <c r="N38" s="1634"/>
      <c r="O38" s="1634"/>
      <c r="P38" s="1634"/>
      <c r="Q38" s="1634"/>
      <c r="R38" s="1634"/>
      <c r="S38" s="1634"/>
      <c r="T38" s="1634"/>
      <c r="U38" s="1635"/>
      <c r="V38" s="1633" t="e">
        <f>'Input data'!#REF!</f>
        <v>#REF!</v>
      </c>
      <c r="W38" s="1634"/>
      <c r="X38" s="1634"/>
      <c r="Y38" s="1634"/>
      <c r="Z38" s="1634"/>
      <c r="AA38" s="1634"/>
      <c r="AB38" s="1634"/>
      <c r="AC38" s="1635"/>
      <c r="AD38" s="1636" t="e">
        <f>'Input data'!#REF!</f>
        <v>#REF!</v>
      </c>
      <c r="AE38" s="1634"/>
      <c r="AF38" s="1634"/>
      <c r="AG38" s="1634"/>
      <c r="AH38" s="1634"/>
      <c r="AI38" s="1634"/>
      <c r="AJ38" s="1634"/>
      <c r="AK38" s="1634"/>
      <c r="AL38" s="1637"/>
    </row>
    <row r="39" spans="1:38" s="340" customFormat="1" x14ac:dyDescent="0.2">
      <c r="A39" s="343"/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708"/>
      <c r="N39" s="708"/>
      <c r="O39" s="708"/>
      <c r="P39" s="708"/>
      <c r="Q39" s="708"/>
      <c r="R39" s="708"/>
      <c r="S39" s="708"/>
      <c r="T39" s="708"/>
      <c r="U39" s="708"/>
      <c r="V39" s="343"/>
      <c r="W39" s="342"/>
      <c r="X39" s="342"/>
      <c r="Y39" s="342"/>
      <c r="Z39" s="342"/>
      <c r="AA39" s="342"/>
      <c r="AB39" s="342"/>
      <c r="AC39" s="342"/>
      <c r="AD39" s="343"/>
      <c r="AE39" s="343"/>
      <c r="AF39" s="343"/>
      <c r="AG39" s="343"/>
      <c r="AH39" s="343"/>
      <c r="AI39" s="343"/>
      <c r="AJ39" s="343"/>
      <c r="AK39" s="343"/>
      <c r="AL39" s="343"/>
    </row>
    <row r="40" spans="1:38" s="340" customFormat="1" x14ac:dyDescent="0.2">
      <c r="A40" s="343"/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708"/>
      <c r="N40" s="708"/>
      <c r="O40" s="708"/>
      <c r="P40" s="708"/>
      <c r="Q40" s="708"/>
      <c r="R40" s="708"/>
      <c r="S40" s="708"/>
      <c r="T40" s="708"/>
      <c r="U40" s="708"/>
      <c r="V40" s="343"/>
      <c r="W40" s="342"/>
      <c r="X40" s="342"/>
      <c r="Y40" s="342"/>
      <c r="Z40" s="342"/>
      <c r="AA40" s="342"/>
      <c r="AB40" s="342"/>
      <c r="AC40" s="342"/>
      <c r="AD40" s="343"/>
      <c r="AE40" s="343"/>
      <c r="AF40" s="343"/>
      <c r="AG40" s="343"/>
      <c r="AH40" s="343"/>
      <c r="AI40" s="343"/>
      <c r="AJ40" s="343"/>
      <c r="AK40" s="343"/>
      <c r="AL40" s="343"/>
    </row>
    <row r="41" spans="1:38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8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8" s="340" customFormat="1" x14ac:dyDescent="0.25">
      <c r="B43" s="352" t="s">
        <v>1394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x14ac:dyDescent="0.25">
      <c r="B45" s="348"/>
      <c r="C45" s="657"/>
      <c r="D45" s="657"/>
      <c r="E45" s="657"/>
      <c r="F45" s="657"/>
      <c r="G45" s="657"/>
      <c r="H45" s="657"/>
      <c r="I45" s="657"/>
      <c r="J45" s="657"/>
      <c r="K45" s="657"/>
      <c r="L45" s="657"/>
      <c r="M45" s="657"/>
      <c r="N45" s="657"/>
      <c r="O45" s="657"/>
      <c r="P45" s="657"/>
      <c r="Q45" s="657"/>
      <c r="R45" s="657"/>
      <c r="S45" s="657"/>
      <c r="T45" s="657"/>
      <c r="U45" s="657"/>
      <c r="V45" s="657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1395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1396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7">
    <mergeCell ref="V5:AA5"/>
    <mergeCell ref="M33:U35"/>
    <mergeCell ref="V33:AC35"/>
    <mergeCell ref="AD33:AL35"/>
    <mergeCell ref="M38:U38"/>
    <mergeCell ref="V38:AC38"/>
    <mergeCell ref="AD38:AL38"/>
  </mergeCells>
  <pageMargins left="0.39370078740157483" right="0.39370078740157483" top="0.35433070866141736" bottom="0.35433070866141736" header="0.23622047244094491" footer="0.23622047244094491"/>
  <pageSetup scale="95" orientation="portrait" r:id="rId1"/>
  <headerFooter alignWithMargins="0">
    <oddFooter>&amp;LMF SR č. 24219/3/2008/1&amp;RSeite 1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52"/>
  <sheetViews>
    <sheetView showGridLines="0" view="pageBreakPreview" zoomScaleNormal="100" zoomScaleSheetLayoutView="100" workbookViewId="0">
      <selection activeCell="E8" sqref="E8:G8"/>
    </sheetView>
  </sheetViews>
  <sheetFormatPr defaultColWidth="9.140625" defaultRowHeight="11.25" x14ac:dyDescent="0.25"/>
  <cols>
    <col min="1" max="1" width="5.5703125" style="915" customWidth="1"/>
    <col min="2" max="2" width="16.85546875" style="915" customWidth="1"/>
    <col min="3" max="3" width="0.85546875" style="915" customWidth="1"/>
    <col min="4" max="4" width="6.28515625" style="915" customWidth="1"/>
    <col min="5" max="5" width="3.5703125" style="915" customWidth="1"/>
    <col min="6" max="6" width="12.42578125" style="915" customWidth="1"/>
    <col min="7" max="7" width="12.140625" style="915" customWidth="1"/>
    <col min="8" max="8" width="0.85546875" style="915" customWidth="1"/>
    <col min="9" max="9" width="14.7109375" style="915" customWidth="1"/>
    <col min="10" max="10" width="3.5703125" style="915" customWidth="1"/>
    <col min="11" max="11" width="10.5703125" style="915" customWidth="1"/>
    <col min="12" max="12" width="14.42578125" style="915" customWidth="1"/>
    <col min="13" max="16384" width="9.140625" style="915"/>
  </cols>
  <sheetData>
    <row r="1" spans="1:15" ht="15" customHeight="1" x14ac:dyDescent="0.25">
      <c r="A1" s="914"/>
      <c r="B1" s="445"/>
      <c r="C1" s="388"/>
      <c r="G1" s="916"/>
      <c r="H1" s="916"/>
      <c r="I1" s="916"/>
      <c r="J1" s="916"/>
      <c r="K1" s="916"/>
    </row>
    <row r="2" spans="1:15" ht="21.75" customHeight="1" x14ac:dyDescent="0.25">
      <c r="A2" s="914"/>
      <c r="B2" s="902" t="s">
        <v>1783</v>
      </c>
      <c r="C2" s="905"/>
      <c r="D2" s="468" t="s">
        <v>1397</v>
      </c>
      <c r="E2" s="1058" t="e">
        <f>"  "&amp;#REF!&amp;"  "&amp;#REF!&amp;"  "&amp;#REF!&amp;"  "&amp;#REF!&amp;"  "&amp;#REF!&amp;"  "&amp;#REF!&amp;"  "&amp;#REF!&amp;"  "&amp;#REF!&amp;"  "&amp;#REF!&amp;"  "&amp;#REF!</f>
        <v>#REF!</v>
      </c>
      <c r="F2" s="466"/>
      <c r="G2" s="465"/>
      <c r="H2" s="933"/>
      <c r="I2" s="940" t="s">
        <v>1768</v>
      </c>
      <c r="J2" s="937" t="e">
        <f>"  "&amp;#REF!&amp;"  "&amp;#REF!&amp;"  "&amp;#REF!&amp;"  "&amp;#REF!&amp;"  "&amp;#REF!&amp;"  "&amp;#REF!&amp;"  "&amp;#REF!&amp;"  "&amp;#REF!&amp;" "</f>
        <v>#REF!</v>
      </c>
      <c r="K2" s="938"/>
      <c r="L2" s="939"/>
    </row>
    <row r="3" spans="1:15" ht="2.25" customHeight="1" thickBot="1" x14ac:dyDescent="0.3">
      <c r="A3" s="914"/>
      <c r="C3" s="916"/>
    </row>
    <row r="4" spans="1:15" s="917" customFormat="1" ht="11.25" customHeight="1" x14ac:dyDescent="0.25">
      <c r="A4" s="1802" t="s">
        <v>1398</v>
      </c>
      <c r="B4" s="1803" t="s">
        <v>1399</v>
      </c>
      <c r="C4" s="1028"/>
      <c r="D4" s="1832" t="s">
        <v>1400</v>
      </c>
      <c r="E4" s="1833" t="s">
        <v>1401</v>
      </c>
      <c r="F4" s="1834"/>
      <c r="G4" s="1834"/>
      <c r="H4" s="1834"/>
      <c r="I4" s="1834"/>
      <c r="J4" s="1835"/>
      <c r="K4" s="1719" t="s">
        <v>1379</v>
      </c>
      <c r="L4" s="1720"/>
    </row>
    <row r="5" spans="1:15" s="917" customFormat="1" ht="11.25" customHeight="1" x14ac:dyDescent="0.25">
      <c r="A5" s="1771"/>
      <c r="B5" s="1772"/>
      <c r="C5" s="989"/>
      <c r="D5" s="1707"/>
      <c r="E5" s="1836">
        <v>1</v>
      </c>
      <c r="F5" s="1664" t="s">
        <v>1402</v>
      </c>
      <c r="G5" s="1726"/>
      <c r="H5" s="1057"/>
      <c r="I5" s="1824" t="s">
        <v>1070</v>
      </c>
      <c r="J5" s="1825"/>
      <c r="K5" s="1656"/>
      <c r="L5" s="1657"/>
    </row>
    <row r="6" spans="1:15" s="917" customFormat="1" ht="12" customHeight="1" x14ac:dyDescent="0.25">
      <c r="A6" s="1666"/>
      <c r="B6" s="1674"/>
      <c r="C6" s="1029"/>
      <c r="D6" s="1709"/>
      <c r="E6" s="1836"/>
      <c r="F6" s="1664" t="s">
        <v>1403</v>
      </c>
      <c r="G6" s="1726"/>
      <c r="H6" s="1057"/>
      <c r="I6" s="1826"/>
      <c r="J6" s="1827"/>
      <c r="K6" s="1664" t="s">
        <v>1068</v>
      </c>
      <c r="L6" s="1665"/>
    </row>
    <row r="7" spans="1:15" s="919" customFormat="1" ht="27.95" customHeight="1" x14ac:dyDescent="0.25">
      <c r="A7" s="1837"/>
      <c r="B7" s="1705" t="s">
        <v>1784</v>
      </c>
      <c r="C7" s="1043"/>
      <c r="D7" s="1838" t="s">
        <v>488</v>
      </c>
      <c r="E7" s="1840">
        <f>BS!D7</f>
        <v>0</v>
      </c>
      <c r="F7" s="1840"/>
      <c r="G7" s="1841"/>
      <c r="H7" s="1036"/>
      <c r="I7" s="1842" t="e">
        <f>E7-E8</f>
        <v>#REF!</v>
      </c>
      <c r="J7" s="1842"/>
      <c r="K7" s="1843"/>
      <c r="L7" s="918"/>
    </row>
    <row r="8" spans="1:15" s="919" customFormat="1" ht="27.95" customHeight="1" x14ac:dyDescent="0.25">
      <c r="A8" s="1837"/>
      <c r="B8" s="1705"/>
      <c r="C8" s="1044"/>
      <c r="D8" s="1839"/>
      <c r="E8" s="1840" t="e">
        <f>BS!#REF!</f>
        <v>#REF!</v>
      </c>
      <c r="F8" s="1840"/>
      <c r="G8" s="1841"/>
      <c r="H8" s="1036"/>
      <c r="I8" s="1036"/>
      <c r="J8" s="1841">
        <f>BS!E7</f>
        <v>0</v>
      </c>
      <c r="K8" s="1842"/>
      <c r="L8" s="1844"/>
      <c r="O8" s="919" t="s">
        <v>985</v>
      </c>
    </row>
    <row r="9" spans="1:15" s="919" customFormat="1" ht="27.95" customHeight="1" x14ac:dyDescent="0.25">
      <c r="A9" s="1837" t="s">
        <v>489</v>
      </c>
      <c r="B9" s="1828" t="s">
        <v>1405</v>
      </c>
      <c r="C9" s="1043"/>
      <c r="D9" s="1838" t="s">
        <v>491</v>
      </c>
      <c r="E9" s="1840">
        <f>BS!D8</f>
        <v>0</v>
      </c>
      <c r="F9" s="1840"/>
      <c r="G9" s="1841"/>
      <c r="H9" s="1036"/>
      <c r="I9" s="1842" t="e">
        <f>E9-E10</f>
        <v>#REF!</v>
      </c>
      <c r="J9" s="1842"/>
      <c r="K9" s="1843"/>
      <c r="L9" s="918"/>
    </row>
    <row r="10" spans="1:15" s="919" customFormat="1" ht="27.95" customHeight="1" x14ac:dyDescent="0.25">
      <c r="A10" s="1837"/>
      <c r="B10" s="1682"/>
      <c r="C10" s="1044"/>
      <c r="D10" s="1839"/>
      <c r="E10" s="1840" t="e">
        <f>BS!#REF!</f>
        <v>#REF!</v>
      </c>
      <c r="F10" s="1840"/>
      <c r="G10" s="1841"/>
      <c r="H10" s="1036"/>
      <c r="I10" s="1036"/>
      <c r="J10" s="1841">
        <f>BS!E8</f>
        <v>0</v>
      </c>
      <c r="K10" s="1842"/>
      <c r="L10" s="1844"/>
    </row>
    <row r="11" spans="1:15" s="919" customFormat="1" ht="27.95" customHeight="1" x14ac:dyDescent="0.25">
      <c r="A11" s="1854" t="s">
        <v>492</v>
      </c>
      <c r="B11" s="1828" t="s">
        <v>1406</v>
      </c>
      <c r="C11" s="941"/>
      <c r="D11" s="1838" t="s">
        <v>494</v>
      </c>
      <c r="E11" s="1840">
        <f>BS!D9</f>
        <v>0</v>
      </c>
      <c r="F11" s="1840"/>
      <c r="G11" s="1841"/>
      <c r="H11" s="1036"/>
      <c r="I11" s="1842" t="e">
        <f>E11-E12</f>
        <v>#REF!</v>
      </c>
      <c r="J11" s="1842"/>
      <c r="K11" s="1843"/>
      <c r="L11" s="918"/>
    </row>
    <row r="12" spans="1:15" s="919" customFormat="1" ht="27.95" customHeight="1" x14ac:dyDescent="0.25">
      <c r="A12" s="1855"/>
      <c r="B12" s="1682"/>
      <c r="C12" s="942"/>
      <c r="D12" s="1839"/>
      <c r="E12" s="1840" t="e">
        <f>BS!#REF!</f>
        <v>#REF!</v>
      </c>
      <c r="F12" s="1840"/>
      <c r="G12" s="1841"/>
      <c r="H12" s="1036"/>
      <c r="I12" s="1036"/>
      <c r="J12" s="1841">
        <f>BS!E9</f>
        <v>0</v>
      </c>
      <c r="K12" s="1842"/>
      <c r="L12" s="1844"/>
    </row>
    <row r="13" spans="1:15" s="917" customFormat="1" ht="27.95" customHeight="1" x14ac:dyDescent="0.25">
      <c r="A13" s="1845" t="s">
        <v>495</v>
      </c>
      <c r="B13" s="1777" t="s">
        <v>1407</v>
      </c>
      <c r="C13" s="1040"/>
      <c r="D13" s="1847" t="s">
        <v>497</v>
      </c>
      <c r="E13" s="1849" t="e">
        <f>BS!#REF!</f>
        <v>#REF!</v>
      </c>
      <c r="F13" s="1849"/>
      <c r="G13" s="1850"/>
      <c r="H13" s="1026"/>
      <c r="I13" s="1851" t="e">
        <f>E13-E14</f>
        <v>#REF!</v>
      </c>
      <c r="J13" s="1851"/>
      <c r="K13" s="1852"/>
      <c r="L13" s="920"/>
    </row>
    <row r="14" spans="1:15" s="917" customFormat="1" ht="27.95" customHeight="1" x14ac:dyDescent="0.25">
      <c r="A14" s="1846"/>
      <c r="B14" s="1670"/>
      <c r="C14" s="1041"/>
      <c r="D14" s="1848"/>
      <c r="E14" s="1849" t="e">
        <f>BS!#REF!</f>
        <v>#REF!</v>
      </c>
      <c r="F14" s="1849"/>
      <c r="G14" s="1850"/>
      <c r="H14" s="1026"/>
      <c r="I14" s="1026"/>
      <c r="J14" s="1850" t="e">
        <f>BS!#REF!</f>
        <v>#REF!</v>
      </c>
      <c r="K14" s="1851"/>
      <c r="L14" s="1853"/>
    </row>
    <row r="15" spans="1:15" s="917" customFormat="1" ht="27.95" customHeight="1" x14ac:dyDescent="0.25">
      <c r="A15" s="1856" t="s">
        <v>498</v>
      </c>
      <c r="B15" s="1777" t="s">
        <v>1408</v>
      </c>
      <c r="C15" s="1040"/>
      <c r="D15" s="1847" t="s">
        <v>500</v>
      </c>
      <c r="E15" s="1849" t="e">
        <f>BS!#REF!</f>
        <v>#REF!</v>
      </c>
      <c r="F15" s="1849"/>
      <c r="G15" s="1850"/>
      <c r="H15" s="1026"/>
      <c r="I15" s="1851" t="e">
        <f>E15-E16</f>
        <v>#REF!</v>
      </c>
      <c r="J15" s="1851"/>
      <c r="K15" s="1852"/>
      <c r="L15" s="920"/>
    </row>
    <row r="16" spans="1:15" s="917" customFormat="1" ht="27.95" customHeight="1" x14ac:dyDescent="0.25">
      <c r="A16" s="1857"/>
      <c r="B16" s="1670"/>
      <c r="C16" s="1041"/>
      <c r="D16" s="1848"/>
      <c r="E16" s="1849" t="e">
        <f>BS!#REF!</f>
        <v>#REF!</v>
      </c>
      <c r="F16" s="1849"/>
      <c r="G16" s="1850"/>
      <c r="H16" s="1026"/>
      <c r="I16" s="1026"/>
      <c r="J16" s="1850" t="e">
        <f>BS!#REF!</f>
        <v>#REF!</v>
      </c>
      <c r="K16" s="1851"/>
      <c r="L16" s="1853"/>
    </row>
    <row r="17" spans="1:12" s="917" customFormat="1" ht="27.95" customHeight="1" x14ac:dyDescent="0.25">
      <c r="A17" s="1856" t="s">
        <v>501</v>
      </c>
      <c r="B17" s="1777" t="s">
        <v>1409</v>
      </c>
      <c r="C17" s="1040"/>
      <c r="D17" s="1847" t="s">
        <v>503</v>
      </c>
      <c r="E17" s="1849" t="e">
        <f>BS!#REF!</f>
        <v>#REF!</v>
      </c>
      <c r="F17" s="1849"/>
      <c r="G17" s="1850"/>
      <c r="H17" s="1026"/>
      <c r="I17" s="1851" t="e">
        <f>E17-E18</f>
        <v>#REF!</v>
      </c>
      <c r="J17" s="1851"/>
      <c r="K17" s="1852"/>
      <c r="L17" s="920"/>
    </row>
    <row r="18" spans="1:12" s="917" customFormat="1" ht="27.95" customHeight="1" x14ac:dyDescent="0.25">
      <c r="A18" s="1857"/>
      <c r="B18" s="1670"/>
      <c r="C18" s="1041"/>
      <c r="D18" s="1848"/>
      <c r="E18" s="1849" t="e">
        <f>BS!#REF!</f>
        <v>#REF!</v>
      </c>
      <c r="F18" s="1849"/>
      <c r="G18" s="1850"/>
      <c r="H18" s="1026"/>
      <c r="I18" s="1026"/>
      <c r="J18" s="1850" t="e">
        <f>BS!#REF!</f>
        <v>#REF!</v>
      </c>
      <c r="K18" s="1851"/>
      <c r="L18" s="1853"/>
    </row>
    <row r="19" spans="1:12" s="917" customFormat="1" ht="27.95" customHeight="1" x14ac:dyDescent="0.25">
      <c r="A19" s="1856" t="s">
        <v>504</v>
      </c>
      <c r="B19" s="1777" t="s">
        <v>1410</v>
      </c>
      <c r="C19" s="1040"/>
      <c r="D19" s="1847" t="s">
        <v>506</v>
      </c>
      <c r="E19" s="1849" t="e">
        <f>BS!#REF!</f>
        <v>#REF!</v>
      </c>
      <c r="F19" s="1849"/>
      <c r="G19" s="1850"/>
      <c r="H19" s="1026"/>
      <c r="I19" s="1851" t="e">
        <f>E19-E20</f>
        <v>#REF!</v>
      </c>
      <c r="J19" s="1851"/>
      <c r="K19" s="1852"/>
      <c r="L19" s="920"/>
    </row>
    <row r="20" spans="1:12" s="917" customFormat="1" ht="27.95" customHeight="1" x14ac:dyDescent="0.25">
      <c r="A20" s="1857"/>
      <c r="B20" s="1670"/>
      <c r="C20" s="1041"/>
      <c r="D20" s="1848"/>
      <c r="E20" s="1849" t="e">
        <f>BS!#REF!</f>
        <v>#REF!</v>
      </c>
      <c r="F20" s="1849"/>
      <c r="G20" s="1850"/>
      <c r="H20" s="1026"/>
      <c r="I20" s="1026"/>
      <c r="J20" s="1850" t="e">
        <f>BS!#REF!</f>
        <v>#REF!</v>
      </c>
      <c r="K20" s="1851"/>
      <c r="L20" s="1853"/>
    </row>
    <row r="21" spans="1:12" s="917" customFormat="1" ht="27.95" customHeight="1" x14ac:dyDescent="0.25">
      <c r="A21" s="1856" t="s">
        <v>507</v>
      </c>
      <c r="B21" s="1777" t="s">
        <v>1411</v>
      </c>
      <c r="C21" s="1040"/>
      <c r="D21" s="1847" t="s">
        <v>509</v>
      </c>
      <c r="E21" s="1849" t="e">
        <f>BS!#REF!</f>
        <v>#REF!</v>
      </c>
      <c r="F21" s="1849"/>
      <c r="G21" s="1850"/>
      <c r="H21" s="1026"/>
      <c r="I21" s="1851" t="e">
        <f>E21-E22</f>
        <v>#REF!</v>
      </c>
      <c r="J21" s="1851"/>
      <c r="K21" s="1852"/>
      <c r="L21" s="920"/>
    </row>
    <row r="22" spans="1:12" s="917" customFormat="1" ht="27.95" customHeight="1" x14ac:dyDescent="0.25">
      <c r="A22" s="1857"/>
      <c r="B22" s="1670"/>
      <c r="C22" s="1041"/>
      <c r="D22" s="1848"/>
      <c r="E22" s="1849" t="e">
        <f>BS!#REF!</f>
        <v>#REF!</v>
      </c>
      <c r="F22" s="1849"/>
      <c r="G22" s="1850"/>
      <c r="H22" s="1026"/>
      <c r="I22" s="1026"/>
      <c r="J22" s="1850" t="e">
        <f>BS!#REF!</f>
        <v>#REF!</v>
      </c>
      <c r="K22" s="1851"/>
      <c r="L22" s="1853"/>
    </row>
    <row r="23" spans="1:12" s="917" customFormat="1" ht="27.95" customHeight="1" x14ac:dyDescent="0.25">
      <c r="A23" s="1856" t="s">
        <v>510</v>
      </c>
      <c r="B23" s="1777" t="s">
        <v>1412</v>
      </c>
      <c r="C23" s="1040"/>
      <c r="D23" s="1847" t="s">
        <v>512</v>
      </c>
      <c r="E23" s="1849" t="e">
        <f>BS!#REF!</f>
        <v>#REF!</v>
      </c>
      <c r="F23" s="1849"/>
      <c r="G23" s="1850"/>
      <c r="H23" s="1026"/>
      <c r="I23" s="1851" t="e">
        <f>E23-E24</f>
        <v>#REF!</v>
      </c>
      <c r="J23" s="1851"/>
      <c r="K23" s="1852"/>
      <c r="L23" s="920"/>
    </row>
    <row r="24" spans="1:12" s="917" customFormat="1" ht="27.95" customHeight="1" x14ac:dyDescent="0.25">
      <c r="A24" s="1857"/>
      <c r="B24" s="1670"/>
      <c r="C24" s="1041"/>
      <c r="D24" s="1848"/>
      <c r="E24" s="1849" t="e">
        <f>BS!#REF!</f>
        <v>#REF!</v>
      </c>
      <c r="F24" s="1849"/>
      <c r="G24" s="1850"/>
      <c r="H24" s="1026"/>
      <c r="I24" s="1026"/>
      <c r="J24" s="1850" t="e">
        <f>BS!#REF!</f>
        <v>#REF!</v>
      </c>
      <c r="K24" s="1851"/>
      <c r="L24" s="1853"/>
    </row>
    <row r="25" spans="1:12" s="917" customFormat="1" ht="27.95" customHeight="1" x14ac:dyDescent="0.25">
      <c r="A25" s="1856" t="s">
        <v>513</v>
      </c>
      <c r="B25" s="1777" t="s">
        <v>1413</v>
      </c>
      <c r="C25" s="1040"/>
      <c r="D25" s="1847" t="s">
        <v>515</v>
      </c>
      <c r="E25" s="1849" t="e">
        <f>BS!#REF!</f>
        <v>#REF!</v>
      </c>
      <c r="F25" s="1849"/>
      <c r="G25" s="1850"/>
      <c r="H25" s="1026"/>
      <c r="I25" s="1851" t="e">
        <f>E25-E26</f>
        <v>#REF!</v>
      </c>
      <c r="J25" s="1851"/>
      <c r="K25" s="1852"/>
      <c r="L25" s="920"/>
    </row>
    <row r="26" spans="1:12" s="917" customFormat="1" ht="27.95" customHeight="1" x14ac:dyDescent="0.25">
      <c r="A26" s="1857"/>
      <c r="B26" s="1670"/>
      <c r="C26" s="1041"/>
      <c r="D26" s="1848"/>
      <c r="E26" s="1849" t="e">
        <f>BS!#REF!</f>
        <v>#REF!</v>
      </c>
      <c r="F26" s="1849"/>
      <c r="G26" s="1850"/>
      <c r="H26" s="1026"/>
      <c r="I26" s="1026"/>
      <c r="J26" s="1850" t="e">
        <f>BS!#REF!</f>
        <v>#REF!</v>
      </c>
      <c r="K26" s="1851"/>
      <c r="L26" s="1853"/>
    </row>
    <row r="27" spans="1:12" s="919" customFormat="1" ht="27.95" customHeight="1" x14ac:dyDescent="0.25">
      <c r="A27" s="1858" t="s">
        <v>516</v>
      </c>
      <c r="B27" s="1823" t="s">
        <v>1414</v>
      </c>
      <c r="C27" s="1043"/>
      <c r="D27" s="1838" t="s">
        <v>518</v>
      </c>
      <c r="E27" s="1840">
        <f>BS!D10</f>
        <v>0</v>
      </c>
      <c r="F27" s="1840"/>
      <c r="G27" s="1841"/>
      <c r="H27" s="1036"/>
      <c r="I27" s="1842" t="e">
        <f>E27-E28</f>
        <v>#REF!</v>
      </c>
      <c r="J27" s="1842"/>
      <c r="K27" s="1843"/>
      <c r="L27" s="918"/>
    </row>
    <row r="28" spans="1:12" s="919" customFormat="1" ht="27.95" customHeight="1" x14ac:dyDescent="0.25">
      <c r="A28" s="1859"/>
      <c r="B28" s="1796"/>
      <c r="C28" s="1044"/>
      <c r="D28" s="1839"/>
      <c r="E28" s="1840" t="e">
        <f>BS!#REF!</f>
        <v>#REF!</v>
      </c>
      <c r="F28" s="1840"/>
      <c r="G28" s="1841"/>
      <c r="H28" s="1036"/>
      <c r="I28" s="1036"/>
      <c r="J28" s="1841">
        <f>BS!E10</f>
        <v>0</v>
      </c>
      <c r="K28" s="1842"/>
      <c r="L28" s="1844"/>
    </row>
    <row r="29" spans="1:12" s="917" customFormat="1" ht="27.95" customHeight="1" x14ac:dyDescent="0.25">
      <c r="A29" s="1845" t="s">
        <v>519</v>
      </c>
      <c r="B29" s="1777" t="s">
        <v>1415</v>
      </c>
      <c r="C29" s="1040"/>
      <c r="D29" s="1847" t="s">
        <v>521</v>
      </c>
      <c r="E29" s="1849">
        <f>BS!D11</f>
        <v>0</v>
      </c>
      <c r="F29" s="1849"/>
      <c r="G29" s="1850"/>
      <c r="H29" s="1026"/>
      <c r="I29" s="1851" t="e">
        <f>E29-E30</f>
        <v>#REF!</v>
      </c>
      <c r="J29" s="1851"/>
      <c r="K29" s="1852"/>
      <c r="L29" s="920"/>
    </row>
    <row r="30" spans="1:12" s="917" customFormat="1" ht="27.95" customHeight="1" x14ac:dyDescent="0.25">
      <c r="A30" s="1846"/>
      <c r="B30" s="1670"/>
      <c r="C30" s="1041"/>
      <c r="D30" s="1848"/>
      <c r="E30" s="1849" t="e">
        <f>BS!#REF!</f>
        <v>#REF!</v>
      </c>
      <c r="F30" s="1849"/>
      <c r="G30" s="1850"/>
      <c r="H30" s="1026"/>
      <c r="I30" s="1026"/>
      <c r="J30" s="1850">
        <f>BS!E11</f>
        <v>0</v>
      </c>
      <c r="K30" s="1851"/>
      <c r="L30" s="1853"/>
    </row>
    <row r="31" spans="1:12" s="917" customFormat="1" ht="27.95" customHeight="1" x14ac:dyDescent="0.25">
      <c r="A31" s="1856" t="s">
        <v>498</v>
      </c>
      <c r="B31" s="1777" t="s">
        <v>1416</v>
      </c>
      <c r="C31" s="1040"/>
      <c r="D31" s="1847" t="s">
        <v>523</v>
      </c>
      <c r="E31" s="1849">
        <f>BS!D12</f>
        <v>0</v>
      </c>
      <c r="F31" s="1849"/>
      <c r="G31" s="1850"/>
      <c r="H31" s="1026"/>
      <c r="I31" s="1851" t="e">
        <f>E31-E32</f>
        <v>#REF!</v>
      </c>
      <c r="J31" s="1851"/>
      <c r="K31" s="1852"/>
      <c r="L31" s="920"/>
    </row>
    <row r="32" spans="1:12" s="917" customFormat="1" ht="27.95" customHeight="1" x14ac:dyDescent="0.25">
      <c r="A32" s="1857"/>
      <c r="B32" s="1670"/>
      <c r="C32" s="1041"/>
      <c r="D32" s="1848"/>
      <c r="E32" s="1849" t="e">
        <f>BS!#REF!</f>
        <v>#REF!</v>
      </c>
      <c r="F32" s="1849"/>
      <c r="G32" s="1850"/>
      <c r="H32" s="1026"/>
      <c r="I32" s="1026"/>
      <c r="J32" s="1850">
        <f>BS!E12</f>
        <v>0</v>
      </c>
      <c r="K32" s="1851"/>
      <c r="L32" s="1853"/>
    </row>
    <row r="33" spans="1:12" ht="27.95" customHeight="1" x14ac:dyDescent="0.25">
      <c r="A33" s="1857" t="s">
        <v>501</v>
      </c>
      <c r="B33" s="1777" t="s">
        <v>1417</v>
      </c>
      <c r="C33" s="1040"/>
      <c r="D33" s="1847" t="s">
        <v>525</v>
      </c>
      <c r="E33" s="1849">
        <f>BS!D13</f>
        <v>0</v>
      </c>
      <c r="F33" s="1849"/>
      <c r="G33" s="1850"/>
      <c r="H33" s="1026"/>
      <c r="I33" s="1851" t="e">
        <f>E33-E34</f>
        <v>#REF!</v>
      </c>
      <c r="J33" s="1851"/>
      <c r="K33" s="1852"/>
      <c r="L33" s="920"/>
    </row>
    <row r="34" spans="1:12" ht="27.95" customHeight="1" thickBot="1" x14ac:dyDescent="0.3">
      <c r="A34" s="1860"/>
      <c r="B34" s="1861"/>
      <c r="C34" s="1049"/>
      <c r="D34" s="1862"/>
      <c r="E34" s="1863" t="e">
        <f>BS!#REF!</f>
        <v>#REF!</v>
      </c>
      <c r="F34" s="1863"/>
      <c r="G34" s="1864"/>
      <c r="H34" s="1025"/>
      <c r="I34" s="1025"/>
      <c r="J34" s="1864">
        <f>BS!E13</f>
        <v>0</v>
      </c>
      <c r="K34" s="1865"/>
      <c r="L34" s="1866"/>
    </row>
    <row r="35" spans="1:12" ht="11.25" customHeight="1" x14ac:dyDescent="0.25">
      <c r="A35" s="1802" t="s">
        <v>1398</v>
      </c>
      <c r="B35" s="1803" t="s">
        <v>1399</v>
      </c>
      <c r="C35" s="1028"/>
      <c r="D35" s="1832" t="s">
        <v>1400</v>
      </c>
      <c r="E35" s="1833" t="s">
        <v>1401</v>
      </c>
      <c r="F35" s="1834"/>
      <c r="G35" s="1834"/>
      <c r="H35" s="1834"/>
      <c r="I35" s="1834"/>
      <c r="J35" s="1835"/>
      <c r="K35" s="1719" t="s">
        <v>1379</v>
      </c>
      <c r="L35" s="1720"/>
    </row>
    <row r="36" spans="1:12" ht="11.25" customHeight="1" x14ac:dyDescent="0.25">
      <c r="A36" s="1771"/>
      <c r="B36" s="1772"/>
      <c r="C36" s="989"/>
      <c r="D36" s="1707"/>
      <c r="E36" s="1836">
        <v>1</v>
      </c>
      <c r="F36" s="1664" t="s">
        <v>1402</v>
      </c>
      <c r="G36" s="1726"/>
      <c r="H36" s="1057"/>
      <c r="I36" s="1824" t="s">
        <v>1070</v>
      </c>
      <c r="J36" s="1825"/>
      <c r="K36" s="1656"/>
      <c r="L36" s="1657"/>
    </row>
    <row r="37" spans="1:12" ht="12" customHeight="1" x14ac:dyDescent="0.25">
      <c r="A37" s="1666"/>
      <c r="B37" s="1674"/>
      <c r="C37" s="1029"/>
      <c r="D37" s="1709"/>
      <c r="E37" s="1836"/>
      <c r="F37" s="1664" t="s">
        <v>1403</v>
      </c>
      <c r="G37" s="1726"/>
      <c r="H37" s="1057"/>
      <c r="I37" s="1826"/>
      <c r="J37" s="1827"/>
      <c r="K37" s="1664" t="s">
        <v>1068</v>
      </c>
      <c r="L37" s="1665"/>
    </row>
    <row r="38" spans="1:12" ht="27.95" customHeight="1" x14ac:dyDescent="0.25">
      <c r="A38" s="1867" t="s">
        <v>504</v>
      </c>
      <c r="B38" s="1777" t="s">
        <v>1418</v>
      </c>
      <c r="C38" s="1040"/>
      <c r="D38" s="1847" t="s">
        <v>527</v>
      </c>
      <c r="E38" s="1849">
        <f>BS!D14</f>
        <v>0</v>
      </c>
      <c r="F38" s="1849"/>
      <c r="G38" s="1850"/>
      <c r="H38" s="1046"/>
      <c r="I38" s="1850" t="e">
        <f>E38-E39</f>
        <v>#REF!</v>
      </c>
      <c r="J38" s="1851"/>
      <c r="K38" s="1852"/>
      <c r="L38" s="1018"/>
    </row>
    <row r="39" spans="1:12" ht="27.95" customHeight="1" x14ac:dyDescent="0.25">
      <c r="A39" s="1867"/>
      <c r="B39" s="1670"/>
      <c r="C39" s="1041"/>
      <c r="D39" s="1848"/>
      <c r="E39" s="1852" t="e">
        <f>BS!#REF!</f>
        <v>#REF!</v>
      </c>
      <c r="F39" s="1849"/>
      <c r="G39" s="1850"/>
      <c r="H39" s="1026"/>
      <c r="I39" s="1031"/>
      <c r="J39" s="1850">
        <f>BS!E14</f>
        <v>0</v>
      </c>
      <c r="K39" s="1851"/>
      <c r="L39" s="1853"/>
    </row>
    <row r="40" spans="1:12" ht="27.95" customHeight="1" x14ac:dyDescent="0.25">
      <c r="A40" s="1857" t="s">
        <v>507</v>
      </c>
      <c r="B40" s="1777" t="s">
        <v>1419</v>
      </c>
      <c r="C40" s="1040"/>
      <c r="D40" s="1847" t="s">
        <v>529</v>
      </c>
      <c r="E40" s="1852" t="e">
        <f>BS!#REF!</f>
        <v>#REF!</v>
      </c>
      <c r="F40" s="1849"/>
      <c r="G40" s="1850"/>
      <c r="H40" s="1032"/>
      <c r="I40" s="1850" t="e">
        <f>E40-E41</f>
        <v>#REF!</v>
      </c>
      <c r="J40" s="1851"/>
      <c r="K40" s="1852"/>
      <c r="L40" s="920"/>
    </row>
    <row r="41" spans="1:12" ht="27.95" customHeight="1" x14ac:dyDescent="0.25">
      <c r="A41" s="1867"/>
      <c r="B41" s="1670"/>
      <c r="C41" s="1041"/>
      <c r="D41" s="1848"/>
      <c r="E41" s="1852" t="e">
        <f>BS!#REF!</f>
        <v>#REF!</v>
      </c>
      <c r="F41" s="1849"/>
      <c r="G41" s="1850"/>
      <c r="H41" s="1026"/>
      <c r="I41" s="1031"/>
      <c r="J41" s="1850" t="e">
        <f>BS!#REF!</f>
        <v>#REF!</v>
      </c>
      <c r="K41" s="1851"/>
      <c r="L41" s="1853"/>
    </row>
    <row r="42" spans="1:12" ht="27.95" customHeight="1" x14ac:dyDescent="0.25">
      <c r="A42" s="1857" t="s">
        <v>510</v>
      </c>
      <c r="B42" s="1777" t="s">
        <v>1420</v>
      </c>
      <c r="C42" s="1040"/>
      <c r="D42" s="1847" t="s">
        <v>531</v>
      </c>
      <c r="E42" s="1852" t="e">
        <f>BS!#REF!</f>
        <v>#REF!</v>
      </c>
      <c r="F42" s="1849"/>
      <c r="G42" s="1850"/>
      <c r="H42" s="1032"/>
      <c r="I42" s="1850" t="e">
        <f>E42-E43</f>
        <v>#REF!</v>
      </c>
      <c r="J42" s="1851"/>
      <c r="K42" s="1852"/>
      <c r="L42" s="920"/>
    </row>
    <row r="43" spans="1:12" ht="27.95" customHeight="1" x14ac:dyDescent="0.25">
      <c r="A43" s="1867"/>
      <c r="B43" s="1670"/>
      <c r="C43" s="1041"/>
      <c r="D43" s="1848"/>
      <c r="E43" s="1852" t="e">
        <f>BS!#REF!</f>
        <v>#REF!</v>
      </c>
      <c r="F43" s="1849"/>
      <c r="G43" s="1850"/>
      <c r="H43" s="1026"/>
      <c r="I43" s="1031"/>
      <c r="J43" s="1850" t="e">
        <f>BS!#REF!</f>
        <v>#REF!</v>
      </c>
      <c r="K43" s="1851"/>
      <c r="L43" s="1853"/>
    </row>
    <row r="44" spans="1:12" ht="27.95" customHeight="1" x14ac:dyDescent="0.25">
      <c r="A44" s="1857" t="s">
        <v>513</v>
      </c>
      <c r="B44" s="1777" t="s">
        <v>1421</v>
      </c>
      <c r="C44" s="1040"/>
      <c r="D44" s="1847" t="s">
        <v>533</v>
      </c>
      <c r="E44" s="1852" t="e">
        <f>BS!#REF!</f>
        <v>#REF!</v>
      </c>
      <c r="F44" s="1849"/>
      <c r="G44" s="1850"/>
      <c r="H44" s="1032"/>
      <c r="I44" s="1850" t="e">
        <f>E44-E45</f>
        <v>#REF!</v>
      </c>
      <c r="J44" s="1851"/>
      <c r="K44" s="1852"/>
      <c r="L44" s="920"/>
    </row>
    <row r="45" spans="1:12" ht="27.95" customHeight="1" x14ac:dyDescent="0.25">
      <c r="A45" s="1867"/>
      <c r="B45" s="1670"/>
      <c r="C45" s="1041"/>
      <c r="D45" s="1848"/>
      <c r="E45" s="1852" t="e">
        <f>BS!#REF!</f>
        <v>#REF!</v>
      </c>
      <c r="F45" s="1849"/>
      <c r="G45" s="1850"/>
      <c r="H45" s="1026"/>
      <c r="I45" s="1031"/>
      <c r="J45" s="1850" t="e">
        <f>BS!#REF!</f>
        <v>#REF!</v>
      </c>
      <c r="K45" s="1851"/>
      <c r="L45" s="1853"/>
    </row>
    <row r="46" spans="1:12" ht="27.95" customHeight="1" x14ac:dyDescent="0.25">
      <c r="A46" s="1857" t="s">
        <v>534</v>
      </c>
      <c r="B46" s="1777" t="s">
        <v>1422</v>
      </c>
      <c r="C46" s="1040"/>
      <c r="D46" s="1847" t="s">
        <v>536</v>
      </c>
      <c r="E46" s="1852" t="e">
        <f>BS!#REF!</f>
        <v>#REF!</v>
      </c>
      <c r="F46" s="1849"/>
      <c r="G46" s="1850"/>
      <c r="H46" s="1032"/>
      <c r="I46" s="1850" t="e">
        <f>E46-E47</f>
        <v>#REF!</v>
      </c>
      <c r="J46" s="1851"/>
      <c r="K46" s="1852"/>
      <c r="L46" s="920"/>
    </row>
    <row r="47" spans="1:12" ht="27.95" customHeight="1" x14ac:dyDescent="0.25">
      <c r="A47" s="1867"/>
      <c r="B47" s="1670"/>
      <c r="C47" s="1041"/>
      <c r="D47" s="1848"/>
      <c r="E47" s="1852" t="e">
        <f>BS!#REF!</f>
        <v>#REF!</v>
      </c>
      <c r="F47" s="1849"/>
      <c r="G47" s="1850"/>
      <c r="H47" s="1026"/>
      <c r="I47" s="1031"/>
      <c r="J47" s="1850" t="e">
        <f>BS!#REF!</f>
        <v>#REF!</v>
      </c>
      <c r="K47" s="1851"/>
      <c r="L47" s="1853"/>
    </row>
    <row r="48" spans="1:12" ht="27.95" customHeight="1" x14ac:dyDescent="0.25">
      <c r="A48" s="1857" t="s">
        <v>537</v>
      </c>
      <c r="B48" s="1777" t="s">
        <v>1423</v>
      </c>
      <c r="C48" s="1040"/>
      <c r="D48" s="1847" t="s">
        <v>539</v>
      </c>
      <c r="E48" s="1852" t="e">
        <f>BS!#REF!</f>
        <v>#REF!</v>
      </c>
      <c r="F48" s="1849"/>
      <c r="G48" s="1850"/>
      <c r="H48" s="1032"/>
      <c r="I48" s="1850" t="e">
        <f>E48-E49</f>
        <v>#REF!</v>
      </c>
      <c r="J48" s="1851"/>
      <c r="K48" s="1852"/>
      <c r="L48" s="920"/>
    </row>
    <row r="49" spans="1:12" ht="27.95" customHeight="1" x14ac:dyDescent="0.25">
      <c r="A49" s="1867"/>
      <c r="B49" s="1670"/>
      <c r="C49" s="1041"/>
      <c r="D49" s="1848"/>
      <c r="E49" s="1852" t="e">
        <f>BS!#REF!</f>
        <v>#REF!</v>
      </c>
      <c r="F49" s="1849"/>
      <c r="G49" s="1850"/>
      <c r="H49" s="1026"/>
      <c r="I49" s="1031"/>
      <c r="J49" s="1850" t="e">
        <f>BS!#REF!</f>
        <v>#REF!</v>
      </c>
      <c r="K49" s="1851"/>
      <c r="L49" s="1853"/>
    </row>
    <row r="50" spans="1:12" ht="27.95" customHeight="1" x14ac:dyDescent="0.25">
      <c r="A50" s="1870" t="s">
        <v>540</v>
      </c>
      <c r="B50" s="1828" t="s">
        <v>1785</v>
      </c>
      <c r="C50" s="943"/>
      <c r="D50" s="1838" t="s">
        <v>542</v>
      </c>
      <c r="E50" s="1840">
        <f>BS!D15</f>
        <v>0</v>
      </c>
      <c r="F50" s="1840"/>
      <c r="G50" s="1841"/>
      <c r="H50" s="1035"/>
      <c r="I50" s="1841" t="e">
        <f>E50-E51</f>
        <v>#REF!</v>
      </c>
      <c r="J50" s="1842"/>
      <c r="K50" s="1843"/>
      <c r="L50" s="918"/>
    </row>
    <row r="51" spans="1:12" ht="27.95" customHeight="1" x14ac:dyDescent="0.25">
      <c r="A51" s="1871"/>
      <c r="B51" s="1682"/>
      <c r="C51" s="942"/>
      <c r="D51" s="1839"/>
      <c r="E51" s="1840" t="e">
        <f>BS!#REF!</f>
        <v>#REF!</v>
      </c>
      <c r="F51" s="1840"/>
      <c r="G51" s="1841"/>
      <c r="H51" s="1036"/>
      <c r="I51" s="1034"/>
      <c r="J51" s="1841">
        <f>BS!E15</f>
        <v>0</v>
      </c>
      <c r="K51" s="1842"/>
      <c r="L51" s="1844"/>
    </row>
    <row r="52" spans="1:12" s="921" customFormat="1" ht="27.95" customHeight="1" x14ac:dyDescent="0.25">
      <c r="A52" s="1857" t="s">
        <v>543</v>
      </c>
      <c r="B52" s="1868" t="s">
        <v>1639</v>
      </c>
      <c r="C52" s="1040"/>
      <c r="D52" s="1847" t="s">
        <v>545</v>
      </c>
      <c r="E52" s="1849">
        <f>BS!D16</f>
        <v>0</v>
      </c>
      <c r="F52" s="1849"/>
      <c r="G52" s="1850"/>
      <c r="H52" s="1032"/>
      <c r="I52" s="1850" t="e">
        <f>E52-E53</f>
        <v>#REF!</v>
      </c>
      <c r="J52" s="1851"/>
      <c r="K52" s="1852"/>
      <c r="L52" s="920"/>
    </row>
    <row r="53" spans="1:12" s="921" customFormat="1" ht="27.95" customHeight="1" x14ac:dyDescent="0.25">
      <c r="A53" s="1867"/>
      <c r="B53" s="1869"/>
      <c r="C53" s="1041"/>
      <c r="D53" s="1848"/>
      <c r="E53" s="1849" t="e">
        <f>BS!#REF!</f>
        <v>#REF!</v>
      </c>
      <c r="F53" s="1849"/>
      <c r="G53" s="1850"/>
      <c r="H53" s="1026"/>
      <c r="I53" s="1031"/>
      <c r="J53" s="1850">
        <f>BS!E16</f>
        <v>0</v>
      </c>
      <c r="K53" s="1851"/>
      <c r="L53" s="1853"/>
    </row>
    <row r="54" spans="1:12" ht="27.95" customHeight="1" x14ac:dyDescent="0.25">
      <c r="A54" s="1857" t="s">
        <v>498</v>
      </c>
      <c r="B54" s="1868" t="s">
        <v>1640</v>
      </c>
      <c r="C54" s="1040"/>
      <c r="D54" s="1847" t="s">
        <v>547</v>
      </c>
      <c r="E54" s="1849">
        <f>BS!D17</f>
        <v>0</v>
      </c>
      <c r="F54" s="1849"/>
      <c r="G54" s="1850"/>
      <c r="H54" s="1032"/>
      <c r="I54" s="1850" t="e">
        <f>E54-E55</f>
        <v>#REF!</v>
      </c>
      <c r="J54" s="1851"/>
      <c r="K54" s="1852"/>
      <c r="L54" s="920"/>
    </row>
    <row r="55" spans="1:12" ht="27.95" customHeight="1" x14ac:dyDescent="0.25">
      <c r="A55" s="1867"/>
      <c r="B55" s="1869"/>
      <c r="C55" s="1041"/>
      <c r="D55" s="1848"/>
      <c r="E55" s="1849" t="e">
        <f>BS!#REF!</f>
        <v>#REF!</v>
      </c>
      <c r="F55" s="1849"/>
      <c r="G55" s="1850"/>
      <c r="H55" s="1026"/>
      <c r="I55" s="1031"/>
      <c r="J55" s="1850">
        <f>BS!E17</f>
        <v>0</v>
      </c>
      <c r="K55" s="1851"/>
      <c r="L55" s="1853"/>
    </row>
    <row r="56" spans="1:12" ht="27.95" customHeight="1" x14ac:dyDescent="0.25">
      <c r="A56" s="1857" t="s">
        <v>501</v>
      </c>
      <c r="B56" s="1868" t="s">
        <v>1641</v>
      </c>
      <c r="C56" s="1040"/>
      <c r="D56" s="1847" t="s">
        <v>549</v>
      </c>
      <c r="E56" s="1849">
        <f>BS!D18</f>
        <v>0</v>
      </c>
      <c r="F56" s="1849"/>
      <c r="G56" s="1850"/>
      <c r="H56" s="1032"/>
      <c r="I56" s="1850" t="e">
        <f>E56-E57</f>
        <v>#REF!</v>
      </c>
      <c r="J56" s="1851"/>
      <c r="K56" s="1852"/>
      <c r="L56" s="920"/>
    </row>
    <row r="57" spans="1:12" ht="27.95" customHeight="1" x14ac:dyDescent="0.25">
      <c r="A57" s="1867"/>
      <c r="B57" s="1869"/>
      <c r="C57" s="1041"/>
      <c r="D57" s="1848"/>
      <c r="E57" s="1849" t="e">
        <f>BS!#REF!</f>
        <v>#REF!</v>
      </c>
      <c r="F57" s="1849"/>
      <c r="G57" s="1850"/>
      <c r="H57" s="1026"/>
      <c r="I57" s="1031"/>
      <c r="J57" s="1850">
        <f>BS!E18</f>
        <v>0</v>
      </c>
      <c r="K57" s="1851"/>
      <c r="L57" s="1853"/>
    </row>
    <row r="58" spans="1:12" ht="27.95" customHeight="1" x14ac:dyDescent="0.25">
      <c r="A58" s="1857" t="s">
        <v>504</v>
      </c>
      <c r="B58" s="1868" t="s">
        <v>1642</v>
      </c>
      <c r="C58" s="1040"/>
      <c r="D58" s="1847" t="s">
        <v>551</v>
      </c>
      <c r="E58" s="1849">
        <f>BS!D19</f>
        <v>0</v>
      </c>
      <c r="F58" s="1849"/>
      <c r="G58" s="1850"/>
      <c r="H58" s="1032"/>
      <c r="I58" s="1850" t="e">
        <f>E58-E59</f>
        <v>#REF!</v>
      </c>
      <c r="J58" s="1851"/>
      <c r="K58" s="1852"/>
      <c r="L58" s="920"/>
    </row>
    <row r="59" spans="1:12" ht="27.95" customHeight="1" x14ac:dyDescent="0.25">
      <c r="A59" s="1867"/>
      <c r="B59" s="1869"/>
      <c r="C59" s="1041"/>
      <c r="D59" s="1848"/>
      <c r="E59" s="1849" t="e">
        <f>BS!#REF!</f>
        <v>#REF!</v>
      </c>
      <c r="F59" s="1849"/>
      <c r="G59" s="1850"/>
      <c r="H59" s="1026"/>
      <c r="I59" s="1031"/>
      <c r="J59" s="1850">
        <f>BS!E19</f>
        <v>0</v>
      </c>
      <c r="K59" s="1851"/>
      <c r="L59" s="1853"/>
    </row>
    <row r="60" spans="1:12" ht="27.95" customHeight="1" x14ac:dyDescent="0.25">
      <c r="A60" s="1857" t="s">
        <v>507</v>
      </c>
      <c r="B60" s="1868" t="s">
        <v>1643</v>
      </c>
      <c r="C60" s="1040"/>
      <c r="D60" s="1847" t="s">
        <v>553</v>
      </c>
      <c r="E60" s="1849" t="e">
        <f>BS!#REF!</f>
        <v>#REF!</v>
      </c>
      <c r="F60" s="1849"/>
      <c r="G60" s="1850"/>
      <c r="H60" s="1032"/>
      <c r="I60" s="1850" t="e">
        <f>E60-E61</f>
        <v>#REF!</v>
      </c>
      <c r="J60" s="1851"/>
      <c r="K60" s="1852"/>
      <c r="L60" s="920"/>
    </row>
    <row r="61" spans="1:12" ht="27.95" customHeight="1" x14ac:dyDescent="0.25">
      <c r="A61" s="1867"/>
      <c r="B61" s="1869"/>
      <c r="C61" s="1041"/>
      <c r="D61" s="1848"/>
      <c r="E61" s="1849" t="e">
        <f>BS!#REF!</f>
        <v>#REF!</v>
      </c>
      <c r="F61" s="1849"/>
      <c r="G61" s="1850"/>
      <c r="H61" s="1026"/>
      <c r="I61" s="1031"/>
      <c r="J61" s="1850" t="e">
        <f>BS!#REF!</f>
        <v>#REF!</v>
      </c>
      <c r="K61" s="1851"/>
      <c r="L61" s="1853"/>
    </row>
    <row r="62" spans="1:12" ht="27.95" customHeight="1" x14ac:dyDescent="0.25">
      <c r="A62" s="1857" t="s">
        <v>510</v>
      </c>
      <c r="B62" s="1868" t="s">
        <v>1644</v>
      </c>
      <c r="C62" s="1040"/>
      <c r="D62" s="1847" t="s">
        <v>555</v>
      </c>
      <c r="E62" s="1849" t="e">
        <f>BS!#REF!</f>
        <v>#REF!</v>
      </c>
      <c r="F62" s="1849"/>
      <c r="G62" s="1850"/>
      <c r="H62" s="1032"/>
      <c r="I62" s="1850" t="e">
        <f>E62-E63</f>
        <v>#REF!</v>
      </c>
      <c r="J62" s="1851"/>
      <c r="K62" s="1852"/>
      <c r="L62" s="920"/>
    </row>
    <row r="63" spans="1:12" ht="27.95" customHeight="1" x14ac:dyDescent="0.25">
      <c r="A63" s="1867"/>
      <c r="B63" s="1869"/>
      <c r="C63" s="1041"/>
      <c r="D63" s="1848"/>
      <c r="E63" s="1849" t="e">
        <f>BS!#REF!</f>
        <v>#REF!</v>
      </c>
      <c r="F63" s="1849"/>
      <c r="G63" s="1850"/>
      <c r="H63" s="1026"/>
      <c r="I63" s="1031"/>
      <c r="J63" s="1850" t="e">
        <f>BS!#REF!</f>
        <v>#REF!</v>
      </c>
      <c r="K63" s="1851"/>
      <c r="L63" s="1853"/>
    </row>
    <row r="64" spans="1:12" ht="27.95" customHeight="1" x14ac:dyDescent="0.25">
      <c r="A64" s="1867" t="s">
        <v>513</v>
      </c>
      <c r="B64" s="1868" t="s">
        <v>1645</v>
      </c>
      <c r="C64" s="1040"/>
      <c r="D64" s="1847" t="s">
        <v>557</v>
      </c>
      <c r="E64" s="1849" t="e">
        <f>BS!#REF!</f>
        <v>#REF!</v>
      </c>
      <c r="F64" s="1849"/>
      <c r="G64" s="1850"/>
      <c r="H64" s="1032"/>
      <c r="I64" s="1850" t="e">
        <f>E64-E65</f>
        <v>#REF!</v>
      </c>
      <c r="J64" s="1851"/>
      <c r="K64" s="1852"/>
      <c r="L64" s="920"/>
    </row>
    <row r="65" spans="1:12" ht="27.95" customHeight="1" thickBot="1" x14ac:dyDescent="0.3">
      <c r="A65" s="1860"/>
      <c r="B65" s="1872"/>
      <c r="C65" s="1049"/>
      <c r="D65" s="1862"/>
      <c r="E65" s="1863" t="e">
        <f>BS!#REF!</f>
        <v>#REF!</v>
      </c>
      <c r="F65" s="1863"/>
      <c r="G65" s="1864"/>
      <c r="H65" s="1025"/>
      <c r="I65" s="1033"/>
      <c r="J65" s="1864" t="e">
        <f>BS!#REF!</f>
        <v>#REF!</v>
      </c>
      <c r="K65" s="1865"/>
      <c r="L65" s="1866"/>
    </row>
    <row r="66" spans="1:12" ht="11.25" customHeight="1" x14ac:dyDescent="0.25">
      <c r="A66" s="1802" t="s">
        <v>1398</v>
      </c>
      <c r="B66" s="1803" t="s">
        <v>1399</v>
      </c>
      <c r="C66" s="1028"/>
      <c r="D66" s="1832" t="s">
        <v>1400</v>
      </c>
      <c r="E66" s="1833" t="s">
        <v>1401</v>
      </c>
      <c r="F66" s="1834"/>
      <c r="G66" s="1834"/>
      <c r="H66" s="1834"/>
      <c r="I66" s="1834"/>
      <c r="J66" s="1835"/>
      <c r="K66" s="1719" t="s">
        <v>1379</v>
      </c>
      <c r="L66" s="1720"/>
    </row>
    <row r="67" spans="1:12" ht="11.25" customHeight="1" x14ac:dyDescent="0.25">
      <c r="A67" s="1771"/>
      <c r="B67" s="1772"/>
      <c r="C67" s="989"/>
      <c r="D67" s="1707"/>
      <c r="E67" s="1836">
        <v>1</v>
      </c>
      <c r="F67" s="1664" t="s">
        <v>1402</v>
      </c>
      <c r="G67" s="1726"/>
      <c r="H67" s="1057"/>
      <c r="I67" s="1824" t="s">
        <v>1070</v>
      </c>
      <c r="J67" s="1825"/>
      <c r="K67" s="1656"/>
      <c r="L67" s="1657"/>
    </row>
    <row r="68" spans="1:12" ht="12" customHeight="1" x14ac:dyDescent="0.25">
      <c r="A68" s="1666"/>
      <c r="B68" s="1674"/>
      <c r="C68" s="1029"/>
      <c r="D68" s="1709"/>
      <c r="E68" s="1836"/>
      <c r="F68" s="1664" t="s">
        <v>1403</v>
      </c>
      <c r="G68" s="1726"/>
      <c r="H68" s="1057"/>
      <c r="I68" s="1826"/>
      <c r="J68" s="1827"/>
      <c r="K68" s="1664" t="s">
        <v>1068</v>
      </c>
      <c r="L68" s="1665"/>
    </row>
    <row r="69" spans="1:12" ht="27.95" customHeight="1" x14ac:dyDescent="0.25">
      <c r="A69" s="1867" t="s">
        <v>534</v>
      </c>
      <c r="B69" s="1868" t="s">
        <v>1646</v>
      </c>
      <c r="C69" s="1040"/>
      <c r="D69" s="1847" t="s">
        <v>559</v>
      </c>
      <c r="E69" s="1849" t="e">
        <f>BS!#REF!</f>
        <v>#REF!</v>
      </c>
      <c r="F69" s="1849"/>
      <c r="G69" s="1850"/>
      <c r="H69" s="1032"/>
      <c r="I69" s="1850" t="e">
        <f>E69-E70</f>
        <v>#REF!</v>
      </c>
      <c r="J69" s="1851"/>
      <c r="K69" s="1852"/>
      <c r="L69" s="920"/>
    </row>
    <row r="70" spans="1:12" ht="27.95" customHeight="1" x14ac:dyDescent="0.25">
      <c r="A70" s="1867"/>
      <c r="B70" s="1869"/>
      <c r="C70" s="1041"/>
      <c r="D70" s="1848"/>
      <c r="E70" s="1849" t="e">
        <f>BS!#REF!</f>
        <v>#REF!</v>
      </c>
      <c r="F70" s="1849"/>
      <c r="G70" s="1850"/>
      <c r="H70" s="1026"/>
      <c r="I70" s="1031"/>
      <c r="J70" s="1850" t="e">
        <f>BS!#REF!</f>
        <v>#REF!</v>
      </c>
      <c r="K70" s="1851"/>
      <c r="L70" s="1853"/>
    </row>
    <row r="71" spans="1:12" ht="27.95" customHeight="1" x14ac:dyDescent="0.25">
      <c r="A71" s="1867" t="s">
        <v>537</v>
      </c>
      <c r="B71" s="1873" t="s">
        <v>1647</v>
      </c>
      <c r="C71" s="960"/>
      <c r="D71" s="1847" t="s">
        <v>562</v>
      </c>
      <c r="E71" s="1849" t="e">
        <f>BS!#REF!</f>
        <v>#REF!</v>
      </c>
      <c r="F71" s="1849"/>
      <c r="G71" s="1850"/>
      <c r="H71" s="1032"/>
      <c r="I71" s="1850" t="e">
        <f>E71-E72</f>
        <v>#REF!</v>
      </c>
      <c r="J71" s="1851"/>
      <c r="K71" s="1852"/>
      <c r="L71" s="920"/>
    </row>
    <row r="72" spans="1:12" ht="27.95" customHeight="1" x14ac:dyDescent="0.25">
      <c r="A72" s="1867"/>
      <c r="B72" s="1874"/>
      <c r="C72" s="961"/>
      <c r="D72" s="1848"/>
      <c r="E72" s="1849" t="e">
        <f>BS!#REF!</f>
        <v>#REF!</v>
      </c>
      <c r="F72" s="1849"/>
      <c r="G72" s="1850"/>
      <c r="H72" s="1026"/>
      <c r="I72" s="1031"/>
      <c r="J72" s="1850" t="e">
        <f>BS!#REF!</f>
        <v>#REF!</v>
      </c>
      <c r="K72" s="1851"/>
      <c r="L72" s="1853"/>
    </row>
    <row r="73" spans="1:12" s="921" customFormat="1" ht="27.95" customHeight="1" x14ac:dyDescent="0.25">
      <c r="A73" s="1867" t="s">
        <v>724</v>
      </c>
      <c r="B73" s="1873" t="s">
        <v>1648</v>
      </c>
      <c r="C73" s="960"/>
      <c r="D73" s="1847" t="s">
        <v>565</v>
      </c>
      <c r="E73" s="1849" t="e">
        <f>BS!#REF!</f>
        <v>#REF!</v>
      </c>
      <c r="F73" s="1849"/>
      <c r="G73" s="1850"/>
      <c r="H73" s="1032"/>
      <c r="I73" s="1850" t="e">
        <f>E73-E74</f>
        <v>#REF!</v>
      </c>
      <c r="J73" s="1851"/>
      <c r="K73" s="1852"/>
      <c r="L73" s="920"/>
    </row>
    <row r="74" spans="1:12" s="921" customFormat="1" ht="27.95" customHeight="1" x14ac:dyDescent="0.25">
      <c r="A74" s="1867"/>
      <c r="B74" s="1874"/>
      <c r="C74" s="961"/>
      <c r="D74" s="1848"/>
      <c r="E74" s="1849" t="e">
        <f>BS!#REF!</f>
        <v>#REF!</v>
      </c>
      <c r="F74" s="1849"/>
      <c r="G74" s="1850"/>
      <c r="H74" s="1026"/>
      <c r="I74" s="1031"/>
      <c r="J74" s="1850" t="e">
        <f>BS!#REF!</f>
        <v>#REF!</v>
      </c>
      <c r="K74" s="1851"/>
      <c r="L74" s="1853"/>
    </row>
    <row r="75" spans="1:12" s="921" customFormat="1" ht="27.95" customHeight="1" x14ac:dyDescent="0.25">
      <c r="A75" s="1867" t="s">
        <v>727</v>
      </c>
      <c r="B75" s="1868" t="s">
        <v>1649</v>
      </c>
      <c r="C75" s="1040"/>
      <c r="D75" s="1847" t="s">
        <v>568</v>
      </c>
      <c r="E75" s="1849" t="e">
        <f>BS!#REF!</f>
        <v>#REF!</v>
      </c>
      <c r="F75" s="1849"/>
      <c r="G75" s="1850"/>
      <c r="H75" s="1032"/>
      <c r="I75" s="1850" t="e">
        <f>E75-E76</f>
        <v>#REF!</v>
      </c>
      <c r="J75" s="1851"/>
      <c r="K75" s="1852"/>
      <c r="L75" s="920"/>
    </row>
    <row r="76" spans="1:12" s="921" customFormat="1" ht="27.95" customHeight="1" x14ac:dyDescent="0.25">
      <c r="A76" s="1867"/>
      <c r="B76" s="1869"/>
      <c r="C76" s="1041"/>
      <c r="D76" s="1848"/>
      <c r="E76" s="1849" t="e">
        <f>BS!#REF!</f>
        <v>#REF!</v>
      </c>
      <c r="F76" s="1849"/>
      <c r="G76" s="1850"/>
      <c r="H76" s="1026"/>
      <c r="I76" s="1031"/>
      <c r="J76" s="1850" t="e">
        <f>BS!#REF!</f>
        <v>#REF!</v>
      </c>
      <c r="K76" s="1851"/>
      <c r="L76" s="1853"/>
    </row>
    <row r="77" spans="1:12" ht="27.95" customHeight="1" x14ac:dyDescent="0.25">
      <c r="A77" s="1871" t="s">
        <v>560</v>
      </c>
      <c r="B77" s="1700" t="s">
        <v>1786</v>
      </c>
      <c r="C77" s="1043"/>
      <c r="D77" s="1838" t="s">
        <v>570</v>
      </c>
      <c r="E77" s="1840">
        <f>BS!D20</f>
        <v>0</v>
      </c>
      <c r="F77" s="1840"/>
      <c r="G77" s="1841"/>
      <c r="H77" s="1035"/>
      <c r="I77" s="1841" t="e">
        <f>E77-E78</f>
        <v>#REF!</v>
      </c>
      <c r="J77" s="1842"/>
      <c r="K77" s="1843"/>
      <c r="L77" s="918"/>
    </row>
    <row r="78" spans="1:12" ht="27.95" customHeight="1" x14ac:dyDescent="0.25">
      <c r="A78" s="1871"/>
      <c r="B78" s="1875"/>
      <c r="C78" s="1044"/>
      <c r="D78" s="1839"/>
      <c r="E78" s="1840" t="e">
        <f>BS!#REF!</f>
        <v>#REF!</v>
      </c>
      <c r="F78" s="1840"/>
      <c r="G78" s="1841"/>
      <c r="H78" s="1036"/>
      <c r="I78" s="1034"/>
      <c r="J78" s="1841">
        <f>BS!E20</f>
        <v>0</v>
      </c>
      <c r="K78" s="1842"/>
      <c r="L78" s="1844"/>
    </row>
    <row r="79" spans="1:12" ht="27.95" customHeight="1" x14ac:dyDescent="0.25">
      <c r="A79" s="1871" t="s">
        <v>563</v>
      </c>
      <c r="B79" s="1700" t="s">
        <v>1787</v>
      </c>
      <c r="C79" s="1043"/>
      <c r="D79" s="1838" t="s">
        <v>572</v>
      </c>
      <c r="E79" s="1840">
        <f>BS!D21</f>
        <v>0</v>
      </c>
      <c r="F79" s="1840"/>
      <c r="G79" s="1841"/>
      <c r="H79" s="1035"/>
      <c r="I79" s="1841" t="e">
        <f>E79-E80</f>
        <v>#REF!</v>
      </c>
      <c r="J79" s="1842"/>
      <c r="K79" s="1843"/>
      <c r="L79" s="918"/>
    </row>
    <row r="80" spans="1:12" ht="27.95" customHeight="1" x14ac:dyDescent="0.25">
      <c r="A80" s="1871"/>
      <c r="B80" s="1875"/>
      <c r="C80" s="1044"/>
      <c r="D80" s="1839"/>
      <c r="E80" s="1840" t="e">
        <f>BS!#REF!</f>
        <v>#REF!</v>
      </c>
      <c r="F80" s="1840"/>
      <c r="G80" s="1841"/>
      <c r="H80" s="1036"/>
      <c r="I80" s="1034"/>
      <c r="J80" s="1841">
        <f>BS!E21</f>
        <v>0</v>
      </c>
      <c r="K80" s="1842"/>
      <c r="L80" s="1844"/>
    </row>
    <row r="81" spans="1:14" ht="27.95" customHeight="1" x14ac:dyDescent="0.25">
      <c r="A81" s="1867" t="s">
        <v>566</v>
      </c>
      <c r="B81" s="1876" t="s">
        <v>1788</v>
      </c>
      <c r="C81" s="1040"/>
      <c r="D81" s="1847" t="s">
        <v>574</v>
      </c>
      <c r="E81" s="1849" t="e">
        <f>BS!#REF!</f>
        <v>#REF!</v>
      </c>
      <c r="F81" s="1849"/>
      <c r="G81" s="1850"/>
      <c r="H81" s="1032"/>
      <c r="I81" s="1850" t="e">
        <f>E81-E82</f>
        <v>#REF!</v>
      </c>
      <c r="J81" s="1851"/>
      <c r="K81" s="1852"/>
      <c r="L81" s="920"/>
    </row>
    <row r="82" spans="1:14" ht="27.95" customHeight="1" x14ac:dyDescent="0.25">
      <c r="A82" s="1867"/>
      <c r="B82" s="1877"/>
      <c r="C82" s="1041"/>
      <c r="D82" s="1848"/>
      <c r="E82" s="1849" t="e">
        <f>BS!#REF!</f>
        <v>#REF!</v>
      </c>
      <c r="F82" s="1849"/>
      <c r="G82" s="1850"/>
      <c r="H82" s="1026"/>
      <c r="I82" s="1031"/>
      <c r="J82" s="1850" t="e">
        <f>BS!#REF!</f>
        <v>#REF!</v>
      </c>
      <c r="K82" s="1851"/>
      <c r="L82" s="1853"/>
    </row>
    <row r="83" spans="1:14" ht="27.95" customHeight="1" x14ac:dyDescent="0.25">
      <c r="A83" s="1867" t="s">
        <v>498</v>
      </c>
      <c r="B83" s="1876" t="s">
        <v>1789</v>
      </c>
      <c r="C83" s="1040"/>
      <c r="D83" s="1847" t="s">
        <v>576</v>
      </c>
      <c r="E83" s="1849" t="e">
        <f>BS!#REF!</f>
        <v>#REF!</v>
      </c>
      <c r="F83" s="1849"/>
      <c r="G83" s="1850"/>
      <c r="H83" s="1032"/>
      <c r="I83" s="1850" t="e">
        <f>E83-E84</f>
        <v>#REF!</v>
      </c>
      <c r="J83" s="1851"/>
      <c r="K83" s="1852"/>
      <c r="L83" s="920"/>
    </row>
    <row r="84" spans="1:14" ht="27.95" customHeight="1" x14ac:dyDescent="0.25">
      <c r="A84" s="1867"/>
      <c r="B84" s="1877"/>
      <c r="C84" s="1041"/>
      <c r="D84" s="1848"/>
      <c r="E84" s="1849" t="e">
        <f>BS!#REF!</f>
        <v>#REF!</v>
      </c>
      <c r="F84" s="1849"/>
      <c r="G84" s="1850"/>
      <c r="H84" s="1026"/>
      <c r="I84" s="1031"/>
      <c r="J84" s="1850" t="e">
        <f>BS!#REF!</f>
        <v>#REF!</v>
      </c>
      <c r="K84" s="1851"/>
      <c r="L84" s="1853"/>
    </row>
    <row r="85" spans="1:14" ht="27.95" customHeight="1" x14ac:dyDescent="0.25">
      <c r="A85" s="1867" t="s">
        <v>501</v>
      </c>
      <c r="B85" s="1876" t="s">
        <v>1790</v>
      </c>
      <c r="C85" s="1040"/>
      <c r="D85" s="1847" t="s">
        <v>578</v>
      </c>
      <c r="E85" s="1849" t="e">
        <f>BS!#REF!</f>
        <v>#REF!</v>
      </c>
      <c r="F85" s="1849"/>
      <c r="G85" s="1850"/>
      <c r="H85" s="1032"/>
      <c r="I85" s="1850" t="e">
        <f>E85-E86</f>
        <v>#REF!</v>
      </c>
      <c r="J85" s="1851"/>
      <c r="K85" s="1852"/>
      <c r="L85" s="920"/>
    </row>
    <row r="86" spans="1:14" ht="27.95" customHeight="1" x14ac:dyDescent="0.25">
      <c r="A86" s="1867"/>
      <c r="B86" s="1877"/>
      <c r="C86" s="1041"/>
      <c r="D86" s="1848"/>
      <c r="E86" s="1849" t="e">
        <f>BS!#REF!</f>
        <v>#REF!</v>
      </c>
      <c r="F86" s="1849"/>
      <c r="G86" s="1850"/>
      <c r="H86" s="1026"/>
      <c r="I86" s="1031"/>
      <c r="J86" s="1850" t="e">
        <f>BS!#REF!</f>
        <v>#REF!</v>
      </c>
      <c r="K86" s="1851"/>
      <c r="L86" s="1853"/>
    </row>
    <row r="87" spans="1:14" ht="27.95" customHeight="1" x14ac:dyDescent="0.25">
      <c r="A87" s="1867" t="s">
        <v>504</v>
      </c>
      <c r="B87" s="1876" t="s">
        <v>1791</v>
      </c>
      <c r="C87" s="1040"/>
      <c r="D87" s="1847" t="s">
        <v>581</v>
      </c>
      <c r="E87" s="1849" t="e">
        <f>BS!#REF!</f>
        <v>#REF!</v>
      </c>
      <c r="F87" s="1849"/>
      <c r="G87" s="1850"/>
      <c r="H87" s="1032"/>
      <c r="I87" s="1850" t="e">
        <f>E87-E88</f>
        <v>#REF!</v>
      </c>
      <c r="J87" s="1851"/>
      <c r="K87" s="1852"/>
      <c r="L87" s="920"/>
    </row>
    <row r="88" spans="1:14" ht="27.95" customHeight="1" x14ac:dyDescent="0.25">
      <c r="A88" s="1867"/>
      <c r="B88" s="1877"/>
      <c r="C88" s="1041"/>
      <c r="D88" s="1848"/>
      <c r="E88" s="1849" t="e">
        <f>BS!#REF!</f>
        <v>#REF!</v>
      </c>
      <c r="F88" s="1849"/>
      <c r="G88" s="1850"/>
      <c r="H88" s="1026"/>
      <c r="I88" s="1031"/>
      <c r="J88" s="1850" t="e">
        <f>BS!#REF!</f>
        <v>#REF!</v>
      </c>
      <c r="K88" s="1851"/>
      <c r="L88" s="1853"/>
    </row>
    <row r="89" spans="1:14" s="921" customFormat="1" ht="27.95" customHeight="1" x14ac:dyDescent="0.25">
      <c r="A89" s="1867" t="s">
        <v>507</v>
      </c>
      <c r="B89" s="1876" t="s">
        <v>1792</v>
      </c>
      <c r="C89" s="1040"/>
      <c r="D89" s="1847" t="s">
        <v>584</v>
      </c>
      <c r="E89" s="1849" t="e">
        <f>BS!#REF!</f>
        <v>#REF!</v>
      </c>
      <c r="F89" s="1849"/>
      <c r="G89" s="1850"/>
      <c r="H89" s="1032"/>
      <c r="I89" s="1850" t="e">
        <f>E89-E90</f>
        <v>#REF!</v>
      </c>
      <c r="J89" s="1851"/>
      <c r="K89" s="1852"/>
      <c r="L89" s="920"/>
    </row>
    <row r="90" spans="1:14" s="921" customFormat="1" ht="27.95" customHeight="1" x14ac:dyDescent="0.25">
      <c r="A90" s="1867"/>
      <c r="B90" s="1877"/>
      <c r="C90" s="1041"/>
      <c r="D90" s="1848"/>
      <c r="E90" s="1849" t="e">
        <f>BS!#REF!</f>
        <v>#REF!</v>
      </c>
      <c r="F90" s="1849"/>
      <c r="G90" s="1850"/>
      <c r="H90" s="1026"/>
      <c r="I90" s="1031"/>
      <c r="J90" s="1850" t="e">
        <f>BS!#REF!</f>
        <v>#REF!</v>
      </c>
      <c r="K90" s="1851"/>
      <c r="L90" s="1853"/>
    </row>
    <row r="91" spans="1:14" s="921" customFormat="1" ht="27.95" customHeight="1" x14ac:dyDescent="0.25">
      <c r="A91" s="1867" t="s">
        <v>510</v>
      </c>
      <c r="B91" s="1876" t="s">
        <v>1793</v>
      </c>
      <c r="C91" s="1040"/>
      <c r="D91" s="1847" t="s">
        <v>586</v>
      </c>
      <c r="E91" s="1849" t="e">
        <f>BS!#REF!</f>
        <v>#REF!</v>
      </c>
      <c r="F91" s="1849"/>
      <c r="G91" s="1850"/>
      <c r="H91" s="1032"/>
      <c r="I91" s="1850" t="e">
        <f>E91-E92</f>
        <v>#REF!</v>
      </c>
      <c r="J91" s="1851"/>
      <c r="K91" s="1852"/>
      <c r="L91" s="920"/>
    </row>
    <row r="92" spans="1:14" s="921" customFormat="1" ht="27.95" customHeight="1" x14ac:dyDescent="0.25">
      <c r="A92" s="1867"/>
      <c r="B92" s="1877"/>
      <c r="C92" s="1041"/>
      <c r="D92" s="1848"/>
      <c r="E92" s="1849" t="e">
        <f>BS!#REF!</f>
        <v>#REF!</v>
      </c>
      <c r="F92" s="1849"/>
      <c r="G92" s="1850"/>
      <c r="H92" s="1026"/>
      <c r="I92" s="1031"/>
      <c r="J92" s="1850" t="e">
        <f>BS!#REF!</f>
        <v>#REF!</v>
      </c>
      <c r="K92" s="1851"/>
      <c r="L92" s="1853"/>
    </row>
    <row r="93" spans="1:14" ht="27.95" customHeight="1" x14ac:dyDescent="0.25">
      <c r="A93" s="1871" t="s">
        <v>579</v>
      </c>
      <c r="B93" s="1879" t="s">
        <v>1794</v>
      </c>
      <c r="C93" s="1043"/>
      <c r="D93" s="1838" t="s">
        <v>588</v>
      </c>
      <c r="E93" s="1840">
        <f>BS!D22</f>
        <v>0</v>
      </c>
      <c r="F93" s="1840"/>
      <c r="G93" s="1841"/>
      <c r="H93" s="1035"/>
      <c r="I93" s="1841" t="e">
        <f>E93-E94</f>
        <v>#REF!</v>
      </c>
      <c r="J93" s="1842"/>
      <c r="K93" s="1843"/>
      <c r="L93" s="918"/>
    </row>
    <row r="94" spans="1:14" ht="27.95" customHeight="1" x14ac:dyDescent="0.25">
      <c r="A94" s="1871"/>
      <c r="B94" s="1875"/>
      <c r="C94" s="962"/>
      <c r="D94" s="1839"/>
      <c r="E94" s="1840" t="e">
        <f>BS!#REF!</f>
        <v>#REF!</v>
      </c>
      <c r="F94" s="1840"/>
      <c r="G94" s="1841"/>
      <c r="H94" s="1036"/>
      <c r="I94" s="1034"/>
      <c r="J94" s="1841">
        <f>BS!E22</f>
        <v>0</v>
      </c>
      <c r="K94" s="1842"/>
      <c r="L94" s="1844"/>
    </row>
    <row r="95" spans="1:14" ht="27.95" customHeight="1" x14ac:dyDescent="0.25">
      <c r="A95" s="1871" t="s">
        <v>582</v>
      </c>
      <c r="B95" s="1879" t="s">
        <v>1795</v>
      </c>
      <c r="C95" s="1043"/>
      <c r="D95" s="1838" t="s">
        <v>590</v>
      </c>
      <c r="E95" s="1849" t="e">
        <f>BS!#REF!</f>
        <v>#REF!</v>
      </c>
      <c r="F95" s="1849"/>
      <c r="G95" s="1850"/>
      <c r="H95" s="1032"/>
      <c r="I95" s="1850" t="e">
        <f>E95-E96</f>
        <v>#REF!</v>
      </c>
      <c r="J95" s="1851"/>
      <c r="K95" s="1852"/>
      <c r="L95" s="920"/>
      <c r="N95" s="915" t="s">
        <v>985</v>
      </c>
    </row>
    <row r="96" spans="1:14" ht="27.95" customHeight="1" thickBot="1" x14ac:dyDescent="0.3">
      <c r="A96" s="1878"/>
      <c r="B96" s="1880"/>
      <c r="C96" s="1019"/>
      <c r="D96" s="1881"/>
      <c r="E96" s="1863" t="e">
        <f>BS!#REF!</f>
        <v>#REF!</v>
      </c>
      <c r="F96" s="1863"/>
      <c r="G96" s="1864"/>
      <c r="H96" s="1025"/>
      <c r="I96" s="1033"/>
      <c r="J96" s="1864" t="e">
        <f>BS!#REF!</f>
        <v>#REF!</v>
      </c>
      <c r="K96" s="1865"/>
      <c r="L96" s="1866"/>
    </row>
    <row r="97" spans="1:12" ht="11.25" customHeight="1" x14ac:dyDescent="0.25">
      <c r="A97" s="1802" t="s">
        <v>1398</v>
      </c>
      <c r="B97" s="1803" t="s">
        <v>1399</v>
      </c>
      <c r="C97" s="1028"/>
      <c r="D97" s="1832" t="s">
        <v>1400</v>
      </c>
      <c r="E97" s="1833" t="s">
        <v>1401</v>
      </c>
      <c r="F97" s="1834"/>
      <c r="G97" s="1834"/>
      <c r="H97" s="1834"/>
      <c r="I97" s="1834"/>
      <c r="J97" s="1835"/>
      <c r="K97" s="1719" t="s">
        <v>1379</v>
      </c>
      <c r="L97" s="1720"/>
    </row>
    <row r="98" spans="1:12" ht="11.25" customHeight="1" x14ac:dyDescent="0.25">
      <c r="A98" s="1771"/>
      <c r="B98" s="1772"/>
      <c r="C98" s="989"/>
      <c r="D98" s="1707"/>
      <c r="E98" s="1836">
        <v>1</v>
      </c>
      <c r="F98" s="1664" t="s">
        <v>1402</v>
      </c>
      <c r="G98" s="1726"/>
      <c r="H98" s="1057"/>
      <c r="I98" s="1824" t="s">
        <v>1070</v>
      </c>
      <c r="J98" s="1825"/>
      <c r="K98" s="1656"/>
      <c r="L98" s="1657"/>
    </row>
    <row r="99" spans="1:12" ht="12" customHeight="1" x14ac:dyDescent="0.25">
      <c r="A99" s="1666"/>
      <c r="B99" s="1674"/>
      <c r="C99" s="1029"/>
      <c r="D99" s="1709"/>
      <c r="E99" s="1836"/>
      <c r="F99" s="1664" t="s">
        <v>1403</v>
      </c>
      <c r="G99" s="1726"/>
      <c r="H99" s="1057"/>
      <c r="I99" s="1826"/>
      <c r="J99" s="1827"/>
      <c r="K99" s="1664" t="s">
        <v>1068</v>
      </c>
      <c r="L99" s="1665"/>
    </row>
    <row r="100" spans="1:12" ht="27.95" customHeight="1" x14ac:dyDescent="0.25">
      <c r="A100" s="1867" t="s">
        <v>1577</v>
      </c>
      <c r="B100" s="1868" t="s">
        <v>1650</v>
      </c>
      <c r="C100" s="964"/>
      <c r="D100" s="1847" t="s">
        <v>592</v>
      </c>
      <c r="E100" s="1849" t="e">
        <f>BS!#REF!</f>
        <v>#REF!</v>
      </c>
      <c r="F100" s="1849"/>
      <c r="G100" s="1850"/>
      <c r="H100" s="1032"/>
      <c r="I100" s="1850" t="e">
        <f>E100-E101</f>
        <v>#REF!</v>
      </c>
      <c r="J100" s="1851"/>
      <c r="K100" s="1852"/>
      <c r="L100" s="920"/>
    </row>
    <row r="101" spans="1:12" ht="27.95" customHeight="1" x14ac:dyDescent="0.25">
      <c r="A101" s="1867"/>
      <c r="B101" s="1869"/>
      <c r="C101" s="944"/>
      <c r="D101" s="1848"/>
      <c r="E101" s="1849" t="e">
        <f>BS!#REF!</f>
        <v>#REF!</v>
      </c>
      <c r="F101" s="1849"/>
      <c r="G101" s="1850"/>
      <c r="H101" s="1026"/>
      <c r="I101" s="1031"/>
      <c r="J101" s="1850" t="e">
        <f>BS!#REF!</f>
        <v>#REF!</v>
      </c>
      <c r="K101" s="1851"/>
      <c r="L101" s="1853"/>
    </row>
    <row r="102" spans="1:12" ht="27.95" customHeight="1" x14ac:dyDescent="0.25">
      <c r="A102" s="1867" t="s">
        <v>1578</v>
      </c>
      <c r="B102" s="1868" t="s">
        <v>1651</v>
      </c>
      <c r="C102" s="1040"/>
      <c r="D102" s="1847" t="s">
        <v>594</v>
      </c>
      <c r="E102" s="1849" t="e">
        <f>BS!#REF!</f>
        <v>#REF!</v>
      </c>
      <c r="F102" s="1849"/>
      <c r="G102" s="1850"/>
      <c r="H102" s="1032"/>
      <c r="I102" s="1850" t="e">
        <f>E102-E103</f>
        <v>#REF!</v>
      </c>
      <c r="J102" s="1851"/>
      <c r="K102" s="1852"/>
      <c r="L102" s="920"/>
    </row>
    <row r="103" spans="1:12" ht="27.95" customHeight="1" x14ac:dyDescent="0.25">
      <c r="A103" s="1867"/>
      <c r="B103" s="1869"/>
      <c r="C103" s="1041"/>
      <c r="D103" s="1848"/>
      <c r="E103" s="1849" t="e">
        <f>BS!#REF!</f>
        <v>#REF!</v>
      </c>
      <c r="F103" s="1849"/>
      <c r="G103" s="1850"/>
      <c r="H103" s="1026"/>
      <c r="I103" s="1031"/>
      <c r="J103" s="1850" t="e">
        <f>BS!#REF!</f>
        <v>#REF!</v>
      </c>
      <c r="K103" s="1851"/>
      <c r="L103" s="1853"/>
    </row>
    <row r="104" spans="1:12" ht="27.95" customHeight="1" x14ac:dyDescent="0.25">
      <c r="A104" s="1867" t="s">
        <v>1579</v>
      </c>
      <c r="B104" s="1868" t="s">
        <v>1652</v>
      </c>
      <c r="C104" s="1040"/>
      <c r="D104" s="1847" t="s">
        <v>596</v>
      </c>
      <c r="E104" s="1849" t="e">
        <f>BS!#REF!</f>
        <v>#REF!</v>
      </c>
      <c r="F104" s="1849"/>
      <c r="G104" s="1850"/>
      <c r="H104" s="1032"/>
      <c r="I104" s="1850" t="e">
        <f>E104-E105</f>
        <v>#REF!</v>
      </c>
      <c r="J104" s="1851"/>
      <c r="K104" s="1852"/>
      <c r="L104" s="920"/>
    </row>
    <row r="105" spans="1:12" ht="27.95" customHeight="1" x14ac:dyDescent="0.25">
      <c r="A105" s="1867"/>
      <c r="B105" s="1869"/>
      <c r="C105" s="1041"/>
      <c r="D105" s="1848"/>
      <c r="E105" s="1849" t="e">
        <f>BS!#REF!</f>
        <v>#REF!</v>
      </c>
      <c r="F105" s="1849"/>
      <c r="G105" s="1850"/>
      <c r="H105" s="1026"/>
      <c r="I105" s="1031"/>
      <c r="J105" s="1850" t="e">
        <f>BS!#REF!</f>
        <v>#REF!</v>
      </c>
      <c r="K105" s="1851"/>
      <c r="L105" s="1853"/>
    </row>
    <row r="106" spans="1:12" ht="27.95" customHeight="1" x14ac:dyDescent="0.25">
      <c r="A106" s="1867" t="s">
        <v>498</v>
      </c>
      <c r="B106" s="1873" t="s">
        <v>1012</v>
      </c>
      <c r="C106" s="960"/>
      <c r="D106" s="1847" t="s">
        <v>599</v>
      </c>
      <c r="E106" s="1849" t="e">
        <f>BS!#REF!</f>
        <v>#REF!</v>
      </c>
      <c r="F106" s="1849"/>
      <c r="G106" s="1850"/>
      <c r="H106" s="1032"/>
      <c r="I106" s="1850" t="e">
        <f>E106-E107</f>
        <v>#REF!</v>
      </c>
      <c r="J106" s="1851"/>
      <c r="K106" s="1852"/>
      <c r="L106" s="920"/>
    </row>
    <row r="107" spans="1:12" ht="27.95" customHeight="1" x14ac:dyDescent="0.25">
      <c r="A107" s="1867"/>
      <c r="B107" s="1874"/>
      <c r="C107" s="961"/>
      <c r="D107" s="1848"/>
      <c r="E107" s="1849" t="e">
        <f>BS!#REF!</f>
        <v>#REF!</v>
      </c>
      <c r="F107" s="1849"/>
      <c r="G107" s="1850"/>
      <c r="H107" s="1026"/>
      <c r="I107" s="1031"/>
      <c r="J107" s="1850" t="e">
        <f>BS!#REF!</f>
        <v>#REF!</v>
      </c>
      <c r="K107" s="1851"/>
      <c r="L107" s="1853"/>
    </row>
    <row r="108" spans="1:12" s="921" customFormat="1" ht="27.95" customHeight="1" x14ac:dyDescent="0.25">
      <c r="A108" s="1867" t="s">
        <v>501</v>
      </c>
      <c r="B108" s="1868" t="s">
        <v>1653</v>
      </c>
      <c r="C108" s="1040"/>
      <c r="D108" s="1847" t="s">
        <v>602</v>
      </c>
      <c r="E108" s="1849" t="e">
        <f>BS!#REF!</f>
        <v>#REF!</v>
      </c>
      <c r="F108" s="1849"/>
      <c r="G108" s="1850"/>
      <c r="H108" s="1032"/>
      <c r="I108" s="1850" t="e">
        <f>E108-E109</f>
        <v>#REF!</v>
      </c>
      <c r="J108" s="1851"/>
      <c r="K108" s="1852"/>
      <c r="L108" s="920"/>
    </row>
    <row r="109" spans="1:12" s="921" customFormat="1" ht="27.95" customHeight="1" x14ac:dyDescent="0.25">
      <c r="A109" s="1867"/>
      <c r="B109" s="1869"/>
      <c r="C109" s="1041"/>
      <c r="D109" s="1848"/>
      <c r="E109" s="1849" t="e">
        <f>BS!#REF!</f>
        <v>#REF!</v>
      </c>
      <c r="F109" s="1849"/>
      <c r="G109" s="1850"/>
      <c r="H109" s="1026"/>
      <c r="I109" s="1031"/>
      <c r="J109" s="1850" t="e">
        <f>BS!#REF!</f>
        <v>#REF!</v>
      </c>
      <c r="K109" s="1851"/>
      <c r="L109" s="1853"/>
    </row>
    <row r="110" spans="1:12" s="921" customFormat="1" ht="27.95" customHeight="1" x14ac:dyDescent="0.25">
      <c r="A110" s="1867" t="s">
        <v>504</v>
      </c>
      <c r="B110" s="1868" t="s">
        <v>1654</v>
      </c>
      <c r="C110" s="1040"/>
      <c r="D110" s="1847" t="s">
        <v>603</v>
      </c>
      <c r="E110" s="1849" t="e">
        <f>BS!#REF!</f>
        <v>#REF!</v>
      </c>
      <c r="F110" s="1849"/>
      <c r="G110" s="1850"/>
      <c r="H110" s="1032"/>
      <c r="I110" s="1850" t="e">
        <f>E110-E111</f>
        <v>#REF!</v>
      </c>
      <c r="J110" s="1851"/>
      <c r="K110" s="1852"/>
      <c r="L110" s="920"/>
    </row>
    <row r="111" spans="1:12" s="921" customFormat="1" ht="27.95" customHeight="1" x14ac:dyDescent="0.25">
      <c r="A111" s="1867"/>
      <c r="B111" s="1869"/>
      <c r="C111" s="1041"/>
      <c r="D111" s="1848"/>
      <c r="E111" s="1849" t="e">
        <f>BS!#REF!</f>
        <v>#REF!</v>
      </c>
      <c r="F111" s="1849"/>
      <c r="G111" s="1850"/>
      <c r="H111" s="1026"/>
      <c r="I111" s="1031"/>
      <c r="J111" s="1850" t="e">
        <f>BS!#REF!</f>
        <v>#REF!</v>
      </c>
      <c r="K111" s="1851"/>
      <c r="L111" s="1853"/>
    </row>
    <row r="112" spans="1:12" ht="27.95" customHeight="1" x14ac:dyDescent="0.25">
      <c r="A112" s="1867" t="s">
        <v>507</v>
      </c>
      <c r="B112" s="1868" t="s">
        <v>1655</v>
      </c>
      <c r="C112" s="1040"/>
      <c r="D112" s="1847" t="s">
        <v>605</v>
      </c>
      <c r="E112" s="1849" t="e">
        <f>BS!#REF!</f>
        <v>#REF!</v>
      </c>
      <c r="F112" s="1849"/>
      <c r="G112" s="1850"/>
      <c r="H112" s="1032"/>
      <c r="I112" s="1850" t="e">
        <f>E112-E113</f>
        <v>#REF!</v>
      </c>
      <c r="J112" s="1851"/>
      <c r="K112" s="1852"/>
      <c r="L112" s="920"/>
    </row>
    <row r="113" spans="1:12" ht="27.95" customHeight="1" x14ac:dyDescent="0.25">
      <c r="A113" s="1867"/>
      <c r="B113" s="1869"/>
      <c r="C113" s="1041"/>
      <c r="D113" s="1848"/>
      <c r="E113" s="1849" t="e">
        <f>BS!#REF!</f>
        <v>#REF!</v>
      </c>
      <c r="F113" s="1849"/>
      <c r="G113" s="1850"/>
      <c r="H113" s="1026"/>
      <c r="I113" s="1031"/>
      <c r="J113" s="1850" t="e">
        <f>BS!#REF!</f>
        <v>#REF!</v>
      </c>
      <c r="K113" s="1851"/>
      <c r="L113" s="1853"/>
    </row>
    <row r="114" spans="1:12" ht="27.95" customHeight="1" x14ac:dyDescent="0.25">
      <c r="A114" s="1867" t="s">
        <v>510</v>
      </c>
      <c r="B114" s="1868" t="s">
        <v>1656</v>
      </c>
      <c r="C114" s="1040"/>
      <c r="D114" s="1847" t="s">
        <v>606</v>
      </c>
      <c r="E114" s="1849" t="e">
        <f>BS!#REF!</f>
        <v>#REF!</v>
      </c>
      <c r="F114" s="1849"/>
      <c r="G114" s="1850"/>
      <c r="H114" s="1032"/>
      <c r="I114" s="1850" t="e">
        <f>E114-E115</f>
        <v>#REF!</v>
      </c>
      <c r="J114" s="1851"/>
      <c r="K114" s="1852"/>
      <c r="L114" s="920"/>
    </row>
    <row r="115" spans="1:12" ht="27.95" customHeight="1" x14ac:dyDescent="0.25">
      <c r="A115" s="1867"/>
      <c r="B115" s="1869"/>
      <c r="C115" s="1041"/>
      <c r="D115" s="1848"/>
      <c r="E115" s="1849" t="e">
        <f>BS!#REF!</f>
        <v>#REF!</v>
      </c>
      <c r="F115" s="1849"/>
      <c r="G115" s="1850"/>
      <c r="H115" s="1026"/>
      <c r="I115" s="1031"/>
      <c r="J115" s="1850" t="e">
        <f>BS!#REF!</f>
        <v>#REF!</v>
      </c>
      <c r="K115" s="1851"/>
      <c r="L115" s="1853"/>
    </row>
    <row r="116" spans="1:12" ht="27.95" customHeight="1" x14ac:dyDescent="0.25">
      <c r="A116" s="1867" t="s">
        <v>513</v>
      </c>
      <c r="B116" s="1868" t="s">
        <v>1657</v>
      </c>
      <c r="C116" s="1040"/>
      <c r="D116" s="1847" t="s">
        <v>608</v>
      </c>
      <c r="E116" s="1849" t="e">
        <f>BS!#REF!</f>
        <v>#REF!</v>
      </c>
      <c r="F116" s="1849"/>
      <c r="G116" s="1850"/>
      <c r="H116" s="1032"/>
      <c r="I116" s="1850" t="e">
        <f>E116-E117</f>
        <v>#REF!</v>
      </c>
      <c r="J116" s="1851"/>
      <c r="K116" s="1852"/>
      <c r="L116" s="920"/>
    </row>
    <row r="117" spans="1:12" ht="27.95" customHeight="1" x14ac:dyDescent="0.25">
      <c r="A117" s="1867"/>
      <c r="B117" s="1869"/>
      <c r="C117" s="1041"/>
      <c r="D117" s="1848"/>
      <c r="E117" s="1849" t="e">
        <f>BS!#REF!</f>
        <v>#REF!</v>
      </c>
      <c r="F117" s="1849"/>
      <c r="G117" s="1850"/>
      <c r="H117" s="1026"/>
      <c r="I117" s="1031"/>
      <c r="J117" s="1850" t="e">
        <f>BS!#REF!</f>
        <v>#REF!</v>
      </c>
      <c r="K117" s="1851"/>
      <c r="L117" s="1853"/>
    </row>
    <row r="118" spans="1:12" ht="27.95" customHeight="1" x14ac:dyDescent="0.25">
      <c r="A118" s="1867" t="s">
        <v>534</v>
      </c>
      <c r="B118" s="1868" t="s">
        <v>1658</v>
      </c>
      <c r="C118" s="1040"/>
      <c r="D118" s="1847" t="s">
        <v>610</v>
      </c>
      <c r="E118" s="1849" t="e">
        <f>BS!#REF!</f>
        <v>#REF!</v>
      </c>
      <c r="F118" s="1849"/>
      <c r="G118" s="1850"/>
      <c r="H118" s="1032"/>
      <c r="I118" s="1850" t="e">
        <f>E118-E119</f>
        <v>#REF!</v>
      </c>
      <c r="J118" s="1851"/>
      <c r="K118" s="1852"/>
      <c r="L118" s="920"/>
    </row>
    <row r="119" spans="1:12" ht="27.95" customHeight="1" x14ac:dyDescent="0.25">
      <c r="A119" s="1867"/>
      <c r="B119" s="1869"/>
      <c r="C119" s="1041"/>
      <c r="D119" s="1848"/>
      <c r="E119" s="1849" t="e">
        <f>BS!#REF!</f>
        <v>#REF!</v>
      </c>
      <c r="F119" s="1849"/>
      <c r="G119" s="1850"/>
      <c r="H119" s="1026"/>
      <c r="I119" s="1031"/>
      <c r="J119" s="1850" t="e">
        <f>BS!#REF!</f>
        <v>#REF!</v>
      </c>
      <c r="K119" s="1851"/>
      <c r="L119" s="1853"/>
    </row>
    <row r="120" spans="1:12" ht="27.95" customHeight="1" x14ac:dyDescent="0.25">
      <c r="A120" s="1871" t="s">
        <v>597</v>
      </c>
      <c r="B120" s="1700" t="s">
        <v>1796</v>
      </c>
      <c r="C120" s="1043"/>
      <c r="D120" s="1838" t="s">
        <v>612</v>
      </c>
      <c r="E120" s="1840">
        <f>BS!D23</f>
        <v>0</v>
      </c>
      <c r="F120" s="1840"/>
      <c r="G120" s="1841"/>
      <c r="H120" s="1035"/>
      <c r="I120" s="1841" t="e">
        <f>E120-E121</f>
        <v>#REF!</v>
      </c>
      <c r="J120" s="1842"/>
      <c r="K120" s="1843"/>
      <c r="L120" s="918"/>
    </row>
    <row r="121" spans="1:12" ht="27.95" customHeight="1" x14ac:dyDescent="0.25">
      <c r="A121" s="1871"/>
      <c r="B121" s="1875"/>
      <c r="C121" s="1044"/>
      <c r="D121" s="1839"/>
      <c r="E121" s="1840" t="e">
        <f>BS!#REF!</f>
        <v>#REF!</v>
      </c>
      <c r="F121" s="1840"/>
      <c r="G121" s="1841"/>
      <c r="H121" s="1036"/>
      <c r="I121" s="1034"/>
      <c r="J121" s="1841">
        <f>BS!E23</f>
        <v>0</v>
      </c>
      <c r="K121" s="1842"/>
      <c r="L121" s="1844"/>
    </row>
    <row r="122" spans="1:12" ht="27.95" customHeight="1" x14ac:dyDescent="0.25">
      <c r="A122" s="1871" t="s">
        <v>600</v>
      </c>
      <c r="B122" s="1879" t="s">
        <v>1797</v>
      </c>
      <c r="C122" s="1043"/>
      <c r="D122" s="1838" t="s">
        <v>614</v>
      </c>
      <c r="E122" s="1849">
        <f>BS!D24</f>
        <v>0</v>
      </c>
      <c r="F122" s="1849"/>
      <c r="G122" s="1850"/>
      <c r="H122" s="1032"/>
      <c r="I122" s="1850" t="e">
        <f>E122-E123</f>
        <v>#REF!</v>
      </c>
      <c r="J122" s="1851"/>
      <c r="K122" s="1852"/>
      <c r="L122" s="920"/>
    </row>
    <row r="123" spans="1:12" ht="27.95" customHeight="1" x14ac:dyDescent="0.25">
      <c r="A123" s="1871"/>
      <c r="B123" s="1875"/>
      <c r="C123" s="1044"/>
      <c r="D123" s="1839"/>
      <c r="E123" s="1849" t="e">
        <f>BS!#REF!</f>
        <v>#REF!</v>
      </c>
      <c r="F123" s="1849"/>
      <c r="G123" s="1850"/>
      <c r="H123" s="1026"/>
      <c r="I123" s="1031"/>
      <c r="J123" s="1850">
        <f>BS!E24</f>
        <v>0</v>
      </c>
      <c r="K123" s="1851"/>
      <c r="L123" s="1853"/>
    </row>
    <row r="124" spans="1:12" ht="27.95" customHeight="1" x14ac:dyDescent="0.25">
      <c r="A124" s="1867" t="s">
        <v>1577</v>
      </c>
      <c r="B124" s="1873" t="s">
        <v>1659</v>
      </c>
      <c r="C124" s="960"/>
      <c r="D124" s="1847" t="s">
        <v>617</v>
      </c>
      <c r="E124" s="1849" t="e">
        <f>BS!#REF!</f>
        <v>#REF!</v>
      </c>
      <c r="F124" s="1849"/>
      <c r="G124" s="1850"/>
      <c r="H124" s="1032"/>
      <c r="I124" s="1850" t="e">
        <f>E124-E125</f>
        <v>#REF!</v>
      </c>
      <c r="J124" s="1851"/>
      <c r="K124" s="1852"/>
      <c r="L124" s="920"/>
    </row>
    <row r="125" spans="1:12" ht="27.95" customHeight="1" x14ac:dyDescent="0.25">
      <c r="A125" s="1867"/>
      <c r="B125" s="1874"/>
      <c r="C125" s="961"/>
      <c r="D125" s="1848"/>
      <c r="E125" s="1849" t="e">
        <f>BS!#REF!</f>
        <v>#REF!</v>
      </c>
      <c r="F125" s="1849"/>
      <c r="G125" s="1850"/>
      <c r="H125" s="1026"/>
      <c r="I125" s="1031"/>
      <c r="J125" s="1850" t="e">
        <f>BS!#REF!</f>
        <v>#REF!</v>
      </c>
      <c r="K125" s="1851"/>
      <c r="L125" s="1853"/>
    </row>
    <row r="126" spans="1:12" s="921" customFormat="1" ht="27.95" customHeight="1" x14ac:dyDescent="0.25">
      <c r="A126" s="1867" t="s">
        <v>1578</v>
      </c>
      <c r="B126" s="1868" t="s">
        <v>1660</v>
      </c>
      <c r="C126" s="1040"/>
      <c r="D126" s="1847" t="s">
        <v>620</v>
      </c>
      <c r="E126" s="1849" t="e">
        <f>BS!#REF!</f>
        <v>#REF!</v>
      </c>
      <c r="F126" s="1849"/>
      <c r="G126" s="1850"/>
      <c r="H126" s="1032"/>
      <c r="I126" s="1850" t="e">
        <f>E126-E127</f>
        <v>#REF!</v>
      </c>
      <c r="J126" s="1851"/>
      <c r="K126" s="1852"/>
      <c r="L126" s="920"/>
    </row>
    <row r="127" spans="1:12" s="921" customFormat="1" ht="27.95" customHeight="1" thickBot="1" x14ac:dyDescent="0.3">
      <c r="A127" s="1860"/>
      <c r="B127" s="1872"/>
      <c r="C127" s="1049"/>
      <c r="D127" s="1862"/>
      <c r="E127" s="1863" t="e">
        <f>BS!#REF!</f>
        <v>#REF!</v>
      </c>
      <c r="F127" s="1863"/>
      <c r="G127" s="1864"/>
      <c r="H127" s="1025"/>
      <c r="I127" s="1033"/>
      <c r="J127" s="1864" t="e">
        <f>BS!#REF!</f>
        <v>#REF!</v>
      </c>
      <c r="K127" s="1865"/>
      <c r="L127" s="1866"/>
    </row>
    <row r="128" spans="1:12" ht="11.25" customHeight="1" x14ac:dyDescent="0.25">
      <c r="A128" s="1802" t="s">
        <v>1398</v>
      </c>
      <c r="B128" s="1803" t="s">
        <v>1399</v>
      </c>
      <c r="C128" s="1028"/>
      <c r="D128" s="1832" t="s">
        <v>1400</v>
      </c>
      <c r="E128" s="1833" t="s">
        <v>1401</v>
      </c>
      <c r="F128" s="1834"/>
      <c r="G128" s="1834"/>
      <c r="H128" s="1834"/>
      <c r="I128" s="1834"/>
      <c r="J128" s="1835"/>
      <c r="K128" s="1719" t="s">
        <v>1379</v>
      </c>
      <c r="L128" s="1720"/>
    </row>
    <row r="129" spans="1:12" ht="11.25" customHeight="1" x14ac:dyDescent="0.25">
      <c r="A129" s="1771"/>
      <c r="B129" s="1772"/>
      <c r="C129" s="989"/>
      <c r="D129" s="1707"/>
      <c r="E129" s="1836">
        <v>1</v>
      </c>
      <c r="F129" s="1664" t="s">
        <v>1402</v>
      </c>
      <c r="G129" s="1726"/>
      <c r="H129" s="1057"/>
      <c r="I129" s="1824" t="s">
        <v>1070</v>
      </c>
      <c r="J129" s="1825"/>
      <c r="K129" s="1656"/>
      <c r="L129" s="1657"/>
    </row>
    <row r="130" spans="1:12" ht="11.25" customHeight="1" x14ac:dyDescent="0.25">
      <c r="A130" s="1666"/>
      <c r="B130" s="1674"/>
      <c r="C130" s="1029"/>
      <c r="D130" s="1709"/>
      <c r="E130" s="1836"/>
      <c r="F130" s="1664" t="s">
        <v>1403</v>
      </c>
      <c r="G130" s="1726"/>
      <c r="H130" s="1057"/>
      <c r="I130" s="1826"/>
      <c r="J130" s="1827"/>
      <c r="K130" s="1664" t="s">
        <v>1068</v>
      </c>
      <c r="L130" s="1665"/>
    </row>
    <row r="131" spans="1:12" s="917" customFormat="1" ht="27.95" customHeight="1" x14ac:dyDescent="0.25">
      <c r="A131" s="1867" t="s">
        <v>1579</v>
      </c>
      <c r="B131" s="1882" t="s">
        <v>1652</v>
      </c>
      <c r="C131" s="963"/>
      <c r="D131" s="1884" t="s">
        <v>622</v>
      </c>
      <c r="E131" s="1849" t="e">
        <f>BS!#REF!</f>
        <v>#REF!</v>
      </c>
      <c r="F131" s="1849"/>
      <c r="G131" s="1850"/>
      <c r="H131" s="1032"/>
      <c r="I131" s="1850" t="e">
        <f>E131-E132</f>
        <v>#REF!</v>
      </c>
      <c r="J131" s="1851"/>
      <c r="K131" s="1852"/>
      <c r="L131" s="920"/>
    </row>
    <row r="132" spans="1:12" s="917" customFormat="1" ht="27.95" customHeight="1" x14ac:dyDescent="0.25">
      <c r="A132" s="1867"/>
      <c r="B132" s="1883"/>
      <c r="C132" s="959"/>
      <c r="D132" s="1885"/>
      <c r="E132" s="1849" t="e">
        <f>BS!#REF!</f>
        <v>#REF!</v>
      </c>
      <c r="F132" s="1849"/>
      <c r="G132" s="1850"/>
      <c r="H132" s="1026"/>
      <c r="I132" s="1031"/>
      <c r="J132" s="1850" t="e">
        <f>BS!#REF!</f>
        <v>#REF!</v>
      </c>
      <c r="K132" s="1851"/>
      <c r="L132" s="1853"/>
    </row>
    <row r="133" spans="1:12" s="917" customFormat="1" ht="27.95" customHeight="1" x14ac:dyDescent="0.25">
      <c r="A133" s="1867" t="s">
        <v>498</v>
      </c>
      <c r="B133" s="1882" t="s">
        <v>1661</v>
      </c>
      <c r="C133" s="963"/>
      <c r="D133" s="1884" t="s">
        <v>624</v>
      </c>
      <c r="E133" s="1849">
        <f>BS!D25</f>
        <v>0</v>
      </c>
      <c r="F133" s="1849"/>
      <c r="G133" s="1850"/>
      <c r="H133" s="1032"/>
      <c r="I133" s="1850" t="e">
        <f>E133-E134</f>
        <v>#REF!</v>
      </c>
      <c r="J133" s="1851"/>
      <c r="K133" s="1852"/>
      <c r="L133" s="920"/>
    </row>
    <row r="134" spans="1:12" ht="27.95" customHeight="1" x14ac:dyDescent="0.25">
      <c r="A134" s="1867"/>
      <c r="B134" s="1883"/>
      <c r="C134" s="959"/>
      <c r="D134" s="1885"/>
      <c r="E134" s="1849" t="e">
        <f>BS!#REF!</f>
        <v>#REF!</v>
      </c>
      <c r="F134" s="1849"/>
      <c r="G134" s="1850"/>
      <c r="H134" s="1026"/>
      <c r="I134" s="1031"/>
      <c r="J134" s="1850">
        <f>BS!E25</f>
        <v>0</v>
      </c>
      <c r="K134" s="1851"/>
      <c r="L134" s="1853"/>
    </row>
    <row r="135" spans="1:12" ht="27.95" customHeight="1" x14ac:dyDescent="0.25">
      <c r="A135" s="1867" t="s">
        <v>501</v>
      </c>
      <c r="B135" s="1882" t="s">
        <v>1653</v>
      </c>
      <c r="C135" s="963"/>
      <c r="D135" s="1884" t="s">
        <v>626</v>
      </c>
      <c r="E135" s="1849">
        <f>BS!D26</f>
        <v>0</v>
      </c>
      <c r="F135" s="1849"/>
      <c r="G135" s="1850"/>
      <c r="H135" s="1032"/>
      <c r="I135" s="1850" t="e">
        <f>E135-E136</f>
        <v>#REF!</v>
      </c>
      <c r="J135" s="1851"/>
      <c r="K135" s="1852"/>
      <c r="L135" s="920"/>
    </row>
    <row r="136" spans="1:12" ht="27.95" customHeight="1" x14ac:dyDescent="0.25">
      <c r="A136" s="1867"/>
      <c r="B136" s="1883"/>
      <c r="C136" s="959"/>
      <c r="D136" s="1885"/>
      <c r="E136" s="1849" t="e">
        <f>BS!#REF!</f>
        <v>#REF!</v>
      </c>
      <c r="F136" s="1849"/>
      <c r="G136" s="1850"/>
      <c r="H136" s="1026"/>
      <c r="I136" s="1031"/>
      <c r="J136" s="1850">
        <f>BS!E26</f>
        <v>0</v>
      </c>
      <c r="K136" s="1851"/>
      <c r="L136" s="1853"/>
    </row>
    <row r="137" spans="1:12" ht="27.95" customHeight="1" x14ac:dyDescent="0.25">
      <c r="A137" s="1867" t="s">
        <v>504</v>
      </c>
      <c r="B137" s="1882" t="s">
        <v>1662</v>
      </c>
      <c r="C137" s="963"/>
      <c r="D137" s="1884" t="s">
        <v>628</v>
      </c>
      <c r="E137" s="1849" t="e">
        <f>BS!#REF!</f>
        <v>#REF!</v>
      </c>
      <c r="F137" s="1849"/>
      <c r="G137" s="1850"/>
      <c r="H137" s="1032"/>
      <c r="I137" s="1850" t="e">
        <f>E137-E138</f>
        <v>#REF!</v>
      </c>
      <c r="J137" s="1851"/>
      <c r="K137" s="1852"/>
      <c r="L137" s="920"/>
    </row>
    <row r="138" spans="1:12" ht="27.95" customHeight="1" x14ac:dyDescent="0.25">
      <c r="A138" s="1867"/>
      <c r="B138" s="1883"/>
      <c r="C138" s="959"/>
      <c r="D138" s="1885"/>
      <c r="E138" s="1849" t="e">
        <f>BS!#REF!</f>
        <v>#REF!</v>
      </c>
      <c r="F138" s="1849"/>
      <c r="G138" s="1850"/>
      <c r="H138" s="1026"/>
      <c r="I138" s="1031"/>
      <c r="J138" s="1850" t="e">
        <f>BS!#REF!</f>
        <v>#REF!</v>
      </c>
      <c r="K138" s="1851"/>
      <c r="L138" s="1853"/>
    </row>
    <row r="139" spans="1:12" ht="27.95" customHeight="1" x14ac:dyDescent="0.25">
      <c r="A139" s="1867" t="s">
        <v>507</v>
      </c>
      <c r="B139" s="1882" t="s">
        <v>1663</v>
      </c>
      <c r="C139" s="963"/>
      <c r="D139" s="1884" t="s">
        <v>631</v>
      </c>
      <c r="E139" s="1849" t="e">
        <f>BS!#REF!</f>
        <v>#REF!</v>
      </c>
      <c r="F139" s="1849"/>
      <c r="G139" s="1850"/>
      <c r="H139" s="1032"/>
      <c r="I139" s="1850" t="e">
        <f>E139-E140</f>
        <v>#REF!</v>
      </c>
      <c r="J139" s="1851"/>
      <c r="K139" s="1852"/>
      <c r="L139" s="920"/>
    </row>
    <row r="140" spans="1:12" ht="27.95" customHeight="1" x14ac:dyDescent="0.25">
      <c r="A140" s="1867"/>
      <c r="B140" s="1883"/>
      <c r="C140" s="959"/>
      <c r="D140" s="1885"/>
      <c r="E140" s="1849" t="e">
        <f>BS!#REF!</f>
        <v>#REF!</v>
      </c>
      <c r="F140" s="1849"/>
      <c r="G140" s="1850"/>
      <c r="H140" s="1026"/>
      <c r="I140" s="1031"/>
      <c r="J140" s="1850" t="e">
        <f>BS!#REF!</f>
        <v>#REF!</v>
      </c>
      <c r="K140" s="1851"/>
      <c r="L140" s="1853"/>
    </row>
    <row r="141" spans="1:12" ht="27.95" customHeight="1" x14ac:dyDescent="0.25">
      <c r="A141" s="1867" t="s">
        <v>510</v>
      </c>
      <c r="B141" s="1882" t="s">
        <v>1664</v>
      </c>
      <c r="C141" s="963"/>
      <c r="D141" s="1884" t="s">
        <v>634</v>
      </c>
      <c r="E141" s="1849" t="e">
        <f>BS!#REF!</f>
        <v>#REF!</v>
      </c>
      <c r="F141" s="1849"/>
      <c r="G141" s="1850"/>
      <c r="H141" s="1032"/>
      <c r="I141" s="1850" t="e">
        <f>E141-E142</f>
        <v>#REF!</v>
      </c>
      <c r="J141" s="1851"/>
      <c r="K141" s="1852"/>
      <c r="L141" s="920"/>
    </row>
    <row r="142" spans="1:12" ht="27.95" customHeight="1" x14ac:dyDescent="0.25">
      <c r="A142" s="1867"/>
      <c r="B142" s="1883"/>
      <c r="C142" s="959"/>
      <c r="D142" s="1885"/>
      <c r="E142" s="1849" t="e">
        <f>BS!#REF!</f>
        <v>#REF!</v>
      </c>
      <c r="F142" s="1849"/>
      <c r="G142" s="1850"/>
      <c r="H142" s="1026"/>
      <c r="I142" s="1031"/>
      <c r="J142" s="1850" t="e">
        <f>BS!#REF!</f>
        <v>#REF!</v>
      </c>
      <c r="K142" s="1851"/>
      <c r="L142" s="1853"/>
    </row>
    <row r="143" spans="1:12" ht="27.95" customHeight="1" x14ac:dyDescent="0.25">
      <c r="A143" s="1867" t="s">
        <v>513</v>
      </c>
      <c r="B143" s="1882" t="s">
        <v>1665</v>
      </c>
      <c r="C143" s="963"/>
      <c r="D143" s="1884" t="s">
        <v>636</v>
      </c>
      <c r="E143" s="1849" t="e">
        <f>BS!#REF!</f>
        <v>#REF!</v>
      </c>
      <c r="F143" s="1849"/>
      <c r="G143" s="1850"/>
      <c r="H143" s="1032"/>
      <c r="I143" s="1850" t="e">
        <f>E143-E144</f>
        <v>#REF!</v>
      </c>
      <c r="J143" s="1851"/>
      <c r="K143" s="1852"/>
      <c r="L143" s="920"/>
    </row>
    <row r="144" spans="1:12" s="921" customFormat="1" ht="27.95" customHeight="1" x14ac:dyDescent="0.25">
      <c r="A144" s="1867"/>
      <c r="B144" s="1883"/>
      <c r="C144" s="959"/>
      <c r="D144" s="1885"/>
      <c r="E144" s="1849" t="e">
        <f>BS!#REF!</f>
        <v>#REF!</v>
      </c>
      <c r="F144" s="1849"/>
      <c r="G144" s="1850"/>
      <c r="H144" s="1026"/>
      <c r="I144" s="1031"/>
      <c r="J144" s="1850" t="e">
        <f>BS!#REF!</f>
        <v>#REF!</v>
      </c>
      <c r="K144" s="1851"/>
      <c r="L144" s="1853"/>
    </row>
    <row r="145" spans="1:12" s="921" customFormat="1" ht="27.95" customHeight="1" x14ac:dyDescent="0.25">
      <c r="A145" s="1867" t="s">
        <v>534</v>
      </c>
      <c r="B145" s="1882" t="s">
        <v>1656</v>
      </c>
      <c r="C145" s="963"/>
      <c r="D145" s="1884" t="s">
        <v>638</v>
      </c>
      <c r="E145" s="1849" t="e">
        <f>BS!#REF!</f>
        <v>#REF!</v>
      </c>
      <c r="F145" s="1849"/>
      <c r="G145" s="1850"/>
      <c r="H145" s="1032"/>
      <c r="I145" s="1850" t="e">
        <f>E145-E146</f>
        <v>#REF!</v>
      </c>
      <c r="J145" s="1851"/>
      <c r="K145" s="1852"/>
      <c r="L145" s="920"/>
    </row>
    <row r="146" spans="1:12" ht="27.95" customHeight="1" x14ac:dyDescent="0.25">
      <c r="A146" s="1867"/>
      <c r="B146" s="1883"/>
      <c r="C146" s="959"/>
      <c r="D146" s="1885"/>
      <c r="E146" s="1849" t="e">
        <f>BS!#REF!</f>
        <v>#REF!</v>
      </c>
      <c r="F146" s="1849"/>
      <c r="G146" s="1850"/>
      <c r="H146" s="1026"/>
      <c r="I146" s="1031"/>
      <c r="J146" s="1850" t="e">
        <f>BS!#REF!</f>
        <v>#REF!</v>
      </c>
      <c r="K146" s="1851"/>
      <c r="L146" s="1853"/>
    </row>
    <row r="147" spans="1:12" ht="27.95" customHeight="1" x14ac:dyDescent="0.25">
      <c r="A147" s="1867" t="s">
        <v>537</v>
      </c>
      <c r="B147" s="1882" t="s">
        <v>1666</v>
      </c>
      <c r="C147" s="969"/>
      <c r="D147" s="1884" t="s">
        <v>640</v>
      </c>
      <c r="E147" s="1849" t="e">
        <f>BS!#REF!</f>
        <v>#REF!</v>
      </c>
      <c r="F147" s="1849"/>
      <c r="G147" s="1850"/>
      <c r="H147" s="1032"/>
      <c r="I147" s="1850" t="e">
        <f>E147-E148</f>
        <v>#REF!</v>
      </c>
      <c r="J147" s="1851"/>
      <c r="K147" s="1852"/>
      <c r="L147" s="920"/>
    </row>
    <row r="148" spans="1:12" s="922" customFormat="1" ht="27.95" customHeight="1" x14ac:dyDescent="0.2">
      <c r="A148" s="1867"/>
      <c r="B148" s="1883"/>
      <c r="C148" s="970"/>
      <c r="D148" s="1885"/>
      <c r="E148" s="1849" t="e">
        <f>BS!#REF!</f>
        <v>#REF!</v>
      </c>
      <c r="F148" s="1849"/>
      <c r="G148" s="1850"/>
      <c r="H148" s="1026"/>
      <c r="I148" s="1031"/>
      <c r="J148" s="1850" t="e">
        <f>BS!#REF!</f>
        <v>#REF!</v>
      </c>
      <c r="K148" s="1851"/>
      <c r="L148" s="1853"/>
    </row>
    <row r="149" spans="1:12" s="917" customFormat="1" ht="27.95" customHeight="1" x14ac:dyDescent="0.25">
      <c r="A149" s="1871" t="s">
        <v>615</v>
      </c>
      <c r="B149" s="1886" t="s">
        <v>1667</v>
      </c>
      <c r="C149" s="968"/>
      <c r="D149" s="1888" t="s">
        <v>647</v>
      </c>
      <c r="E149" s="1840">
        <f>BS!D27</f>
        <v>0</v>
      </c>
      <c r="F149" s="1840"/>
      <c r="G149" s="1841"/>
      <c r="H149" s="1035"/>
      <c r="I149" s="1841" t="e">
        <f>E149-E150</f>
        <v>#REF!</v>
      </c>
      <c r="J149" s="1842"/>
      <c r="K149" s="1843"/>
      <c r="L149" s="918"/>
    </row>
    <row r="150" spans="1:12" s="917" customFormat="1" ht="27.95" customHeight="1" x14ac:dyDescent="0.25">
      <c r="A150" s="1871"/>
      <c r="B150" s="1887"/>
      <c r="C150" s="1059"/>
      <c r="D150" s="1889"/>
      <c r="E150" s="1840" t="e">
        <f>BS!#REF!</f>
        <v>#REF!</v>
      </c>
      <c r="F150" s="1840"/>
      <c r="G150" s="1841"/>
      <c r="H150" s="1036"/>
      <c r="I150" s="1034"/>
      <c r="J150" s="1841">
        <f>BS!E27</f>
        <v>0</v>
      </c>
      <c r="K150" s="1842"/>
      <c r="L150" s="1844"/>
    </row>
    <row r="151" spans="1:12" s="917" customFormat="1" ht="27.95" customHeight="1" x14ac:dyDescent="0.25">
      <c r="A151" s="1867" t="s">
        <v>618</v>
      </c>
      <c r="B151" s="1882" t="s">
        <v>1668</v>
      </c>
      <c r="C151" s="963"/>
      <c r="D151" s="1884" t="s">
        <v>649</v>
      </c>
      <c r="E151" s="1849">
        <f>BS!D28</f>
        <v>0</v>
      </c>
      <c r="F151" s="1849"/>
      <c r="G151" s="1850"/>
      <c r="H151" s="1032"/>
      <c r="I151" s="1850" t="e">
        <f>E151-E152</f>
        <v>#REF!</v>
      </c>
      <c r="J151" s="1851"/>
      <c r="K151" s="1852"/>
      <c r="L151" s="920"/>
    </row>
    <row r="152" spans="1:12" ht="27.95" customHeight="1" x14ac:dyDescent="0.25">
      <c r="A152" s="1867"/>
      <c r="B152" s="1883"/>
      <c r="C152" s="959"/>
      <c r="D152" s="1885"/>
      <c r="E152" s="1849" t="e">
        <f>BS!#REF!</f>
        <v>#REF!</v>
      </c>
      <c r="F152" s="1849"/>
      <c r="G152" s="1850"/>
      <c r="H152" s="1026"/>
      <c r="I152" s="1031"/>
      <c r="J152" s="1850">
        <f>BS!E28</f>
        <v>0</v>
      </c>
      <c r="K152" s="1851"/>
      <c r="L152" s="1853"/>
    </row>
    <row r="153" spans="1:12" ht="27.95" customHeight="1" x14ac:dyDescent="0.25">
      <c r="A153" s="1867" t="s">
        <v>498</v>
      </c>
      <c r="B153" s="1882" t="s">
        <v>1669</v>
      </c>
      <c r="C153" s="963"/>
      <c r="D153" s="1884" t="s">
        <v>651</v>
      </c>
      <c r="E153" s="1849">
        <f>BS!D29</f>
        <v>0</v>
      </c>
      <c r="F153" s="1849"/>
      <c r="G153" s="1850"/>
      <c r="H153" s="1032"/>
      <c r="I153" s="1850" t="e">
        <f>E153-E154</f>
        <v>#REF!</v>
      </c>
      <c r="J153" s="1851"/>
      <c r="K153" s="1852"/>
      <c r="L153" s="920"/>
    </row>
    <row r="154" spans="1:12" ht="27.95" customHeight="1" x14ac:dyDescent="0.25">
      <c r="A154" s="1867"/>
      <c r="B154" s="1883"/>
      <c r="C154" s="959"/>
      <c r="D154" s="1885"/>
      <c r="E154" s="1849" t="e">
        <f>BS!#REF!</f>
        <v>#REF!</v>
      </c>
      <c r="F154" s="1849"/>
      <c r="G154" s="1850"/>
      <c r="H154" s="1026"/>
      <c r="I154" s="1031"/>
      <c r="J154" s="1850">
        <f>BS!E29</f>
        <v>0</v>
      </c>
      <c r="K154" s="1851"/>
      <c r="L154" s="1853"/>
    </row>
    <row r="155" spans="1:12" ht="27.95" customHeight="1" x14ac:dyDescent="0.25">
      <c r="A155" s="1867" t="s">
        <v>501</v>
      </c>
      <c r="B155" s="1882" t="s">
        <v>1670</v>
      </c>
      <c r="C155" s="963"/>
      <c r="D155" s="1884" t="s">
        <v>653</v>
      </c>
      <c r="E155" s="1849" t="e">
        <f>BS!#REF!</f>
        <v>#REF!</v>
      </c>
      <c r="F155" s="1849"/>
      <c r="G155" s="1850"/>
      <c r="H155" s="1032"/>
      <c r="I155" s="1850" t="e">
        <f>E155-E156</f>
        <v>#REF!</v>
      </c>
      <c r="J155" s="1851"/>
      <c r="K155" s="1852"/>
      <c r="L155" s="920"/>
    </row>
    <row r="156" spans="1:12" ht="27.95" customHeight="1" x14ac:dyDescent="0.25">
      <c r="A156" s="1867"/>
      <c r="B156" s="1883"/>
      <c r="C156" s="959"/>
      <c r="D156" s="1885"/>
      <c r="E156" s="1849" t="e">
        <f>BS!#REF!</f>
        <v>#REF!</v>
      </c>
      <c r="F156" s="1849"/>
      <c r="G156" s="1850"/>
      <c r="H156" s="1026"/>
      <c r="I156" s="1031"/>
      <c r="J156" s="1850" t="e">
        <f>BS!#REF!</f>
        <v>#REF!</v>
      </c>
      <c r="K156" s="1851"/>
      <c r="L156" s="1853"/>
    </row>
    <row r="157" spans="1:12" ht="27.95" customHeight="1" x14ac:dyDescent="0.25">
      <c r="A157" s="1867" t="s">
        <v>504</v>
      </c>
      <c r="B157" s="1882" t="s">
        <v>1671</v>
      </c>
      <c r="C157" s="963"/>
      <c r="D157" s="1884" t="s">
        <v>655</v>
      </c>
      <c r="E157" s="1849" t="e">
        <f>BS!#REF!</f>
        <v>#REF!</v>
      </c>
      <c r="F157" s="1849"/>
      <c r="G157" s="1850"/>
      <c r="H157" s="1032"/>
      <c r="I157" s="1850" t="e">
        <f>E157-E158</f>
        <v>#REF!</v>
      </c>
      <c r="J157" s="1851"/>
      <c r="K157" s="1852"/>
      <c r="L157" s="920"/>
    </row>
    <row r="158" spans="1:12" ht="27.95" customHeight="1" thickBot="1" x14ac:dyDescent="0.3">
      <c r="A158" s="1860"/>
      <c r="B158" s="1890"/>
      <c r="C158" s="1020"/>
      <c r="D158" s="1891"/>
      <c r="E158" s="1863" t="e">
        <f>BS!#REF!</f>
        <v>#REF!</v>
      </c>
      <c r="F158" s="1863"/>
      <c r="G158" s="1864"/>
      <c r="H158" s="1025"/>
      <c r="I158" s="1033"/>
      <c r="J158" s="1864" t="e">
        <f>BS!#REF!</f>
        <v>#REF!</v>
      </c>
      <c r="K158" s="1865"/>
      <c r="L158" s="1866"/>
    </row>
    <row r="159" spans="1:12" ht="11.25" customHeight="1" x14ac:dyDescent="0.25">
      <c r="A159" s="1802" t="s">
        <v>1398</v>
      </c>
      <c r="B159" s="1803" t="s">
        <v>1399</v>
      </c>
      <c r="C159" s="1028"/>
      <c r="D159" s="1832" t="s">
        <v>1400</v>
      </c>
      <c r="E159" s="1833" t="s">
        <v>1401</v>
      </c>
      <c r="F159" s="1834"/>
      <c r="G159" s="1834"/>
      <c r="H159" s="1834"/>
      <c r="I159" s="1834"/>
      <c r="J159" s="1835"/>
      <c r="K159" s="1719" t="s">
        <v>1379</v>
      </c>
      <c r="L159" s="1720"/>
    </row>
    <row r="160" spans="1:12" ht="11.25" customHeight="1" x14ac:dyDescent="0.25">
      <c r="A160" s="1771"/>
      <c r="B160" s="1772"/>
      <c r="C160" s="989"/>
      <c r="D160" s="1707"/>
      <c r="E160" s="1836">
        <v>1</v>
      </c>
      <c r="F160" s="1664" t="s">
        <v>1402</v>
      </c>
      <c r="G160" s="1726"/>
      <c r="H160" s="1057"/>
      <c r="I160" s="1824" t="s">
        <v>1070</v>
      </c>
      <c r="J160" s="1825"/>
      <c r="K160" s="1656"/>
      <c r="L160" s="1657"/>
    </row>
    <row r="161" spans="1:12" ht="12" customHeight="1" x14ac:dyDescent="0.25">
      <c r="A161" s="1666"/>
      <c r="B161" s="1674"/>
      <c r="C161" s="1029"/>
      <c r="D161" s="1709"/>
      <c r="E161" s="1836"/>
      <c r="F161" s="1664" t="s">
        <v>1403</v>
      </c>
      <c r="G161" s="1726"/>
      <c r="H161" s="1057"/>
      <c r="I161" s="1826"/>
      <c r="J161" s="1827"/>
      <c r="K161" s="1664" t="s">
        <v>1068</v>
      </c>
      <c r="L161" s="1665"/>
    </row>
    <row r="162" spans="1:12" ht="27.95" customHeight="1" x14ac:dyDescent="0.25">
      <c r="A162" s="1871" t="s">
        <v>753</v>
      </c>
      <c r="B162" s="1892" t="s">
        <v>1798</v>
      </c>
      <c r="C162" s="968"/>
      <c r="D162" s="1888" t="s">
        <v>657</v>
      </c>
      <c r="E162" s="1840" t="e">
        <f>BS!#REF!</f>
        <v>#REF!</v>
      </c>
      <c r="F162" s="1840"/>
      <c r="G162" s="1841"/>
      <c r="H162" s="1035"/>
      <c r="I162" s="1841" t="e">
        <f>E162-E163</f>
        <v>#REF!</v>
      </c>
      <c r="J162" s="1842"/>
      <c r="K162" s="1843"/>
      <c r="L162" s="918"/>
    </row>
    <row r="163" spans="1:12" ht="27.95" customHeight="1" x14ac:dyDescent="0.25">
      <c r="A163" s="1871"/>
      <c r="B163" s="1893"/>
      <c r="C163" s="1059"/>
      <c r="D163" s="1889"/>
      <c r="E163" s="1894" t="e">
        <f>BS!#REF!</f>
        <v>#REF!</v>
      </c>
      <c r="F163" s="1894"/>
      <c r="G163" s="1895"/>
      <c r="H163" s="971"/>
      <c r="I163" s="1047"/>
      <c r="J163" s="1841" t="e">
        <f>BS!#REF!</f>
        <v>#REF!</v>
      </c>
      <c r="K163" s="1842"/>
      <c r="L163" s="1844"/>
    </row>
    <row r="164" spans="1:12" ht="27.95" customHeight="1" x14ac:dyDescent="0.25">
      <c r="A164" s="1867" t="s">
        <v>756</v>
      </c>
      <c r="B164" s="1896" t="s">
        <v>1455</v>
      </c>
      <c r="C164" s="963"/>
      <c r="D164" s="1884" t="s">
        <v>659</v>
      </c>
      <c r="E164" s="1849" t="e">
        <f>BS!#REF!</f>
        <v>#REF!</v>
      </c>
      <c r="F164" s="1849"/>
      <c r="G164" s="1850"/>
      <c r="H164" s="1032"/>
      <c r="I164" s="1850" t="e">
        <f>E164-E165</f>
        <v>#REF!</v>
      </c>
      <c r="J164" s="1898"/>
      <c r="K164" s="1899"/>
      <c r="L164" s="920"/>
    </row>
    <row r="165" spans="1:12" s="921" customFormat="1" ht="27.95" customHeight="1" x14ac:dyDescent="0.25">
      <c r="A165" s="1867"/>
      <c r="B165" s="1897"/>
      <c r="C165" s="959"/>
      <c r="D165" s="1885"/>
      <c r="E165" s="1849" t="e">
        <f>BS!#REF!</f>
        <v>#REF!</v>
      </c>
      <c r="F165" s="1849"/>
      <c r="G165" s="1850"/>
      <c r="H165" s="1026"/>
      <c r="I165" s="1031"/>
      <c r="J165" s="1850" t="e">
        <f>BS!#REF!</f>
        <v>#REF!</v>
      </c>
      <c r="K165" s="1851"/>
      <c r="L165" s="1853"/>
    </row>
    <row r="166" spans="1:12" s="921" customFormat="1" ht="27.95" customHeight="1" x14ac:dyDescent="0.25">
      <c r="A166" s="1867" t="s">
        <v>498</v>
      </c>
      <c r="B166" s="1896" t="s">
        <v>1799</v>
      </c>
      <c r="C166" s="963"/>
      <c r="D166" s="1884" t="s">
        <v>661</v>
      </c>
      <c r="E166" s="1849" t="e">
        <f>BS!#REF!</f>
        <v>#REF!</v>
      </c>
      <c r="F166" s="1849"/>
      <c r="G166" s="1850"/>
      <c r="H166" s="1032"/>
      <c r="I166" s="1850" t="e">
        <f>E166-E167</f>
        <v>#REF!</v>
      </c>
      <c r="J166" s="1851"/>
      <c r="K166" s="1852"/>
      <c r="L166" s="920"/>
    </row>
    <row r="167" spans="1:12" ht="27.95" customHeight="1" x14ac:dyDescent="0.25">
      <c r="A167" s="1867"/>
      <c r="B167" s="1897"/>
      <c r="C167" s="959"/>
      <c r="D167" s="1885"/>
      <c r="E167" s="1849" t="e">
        <f>BS!#REF!</f>
        <v>#REF!</v>
      </c>
      <c r="F167" s="1849"/>
      <c r="G167" s="1850"/>
      <c r="H167" s="1026"/>
      <c r="I167" s="1031"/>
      <c r="J167" s="1850" t="e">
        <f>BS!#REF!</f>
        <v>#REF!</v>
      </c>
      <c r="K167" s="1851"/>
      <c r="L167" s="1853"/>
    </row>
    <row r="168" spans="1:12" ht="27.95" customHeight="1" x14ac:dyDescent="0.25">
      <c r="A168" s="1871" t="s">
        <v>629</v>
      </c>
      <c r="B168" s="1892" t="s">
        <v>1800</v>
      </c>
      <c r="C168" s="968"/>
      <c r="D168" s="1888" t="s">
        <v>663</v>
      </c>
      <c r="E168" s="1840" t="e">
        <f>BS!#REF!</f>
        <v>#REF!</v>
      </c>
      <c r="F168" s="1840"/>
      <c r="G168" s="1841"/>
      <c r="H168" s="1035"/>
      <c r="I168" s="1841" t="e">
        <f>E168-E169</f>
        <v>#REF!</v>
      </c>
      <c r="J168" s="1842"/>
      <c r="K168" s="1843"/>
      <c r="L168" s="918"/>
    </row>
    <row r="169" spans="1:12" s="922" customFormat="1" ht="27.95" customHeight="1" x14ac:dyDescent="0.2">
      <c r="A169" s="1871"/>
      <c r="B169" s="1893"/>
      <c r="C169" s="1059"/>
      <c r="D169" s="1889"/>
      <c r="E169" s="1840" t="e">
        <f>BS!#REF!</f>
        <v>#REF!</v>
      </c>
      <c r="F169" s="1840"/>
      <c r="G169" s="1841"/>
      <c r="H169" s="1036"/>
      <c r="I169" s="1034"/>
      <c r="J169" s="1841" t="e">
        <f>BS!#REF!</f>
        <v>#REF!</v>
      </c>
      <c r="K169" s="1842"/>
      <c r="L169" s="1844"/>
    </row>
    <row r="170" spans="1:12" ht="27.95" customHeight="1" x14ac:dyDescent="0.25">
      <c r="A170" s="1867" t="s">
        <v>632</v>
      </c>
      <c r="B170" s="1896" t="s">
        <v>1801</v>
      </c>
      <c r="C170" s="963"/>
      <c r="D170" s="1884" t="s">
        <v>665</v>
      </c>
      <c r="E170" s="1849" t="e">
        <f>BS!#REF!</f>
        <v>#REF!</v>
      </c>
      <c r="F170" s="1849"/>
      <c r="G170" s="1850"/>
      <c r="H170" s="1032"/>
      <c r="I170" s="1850" t="e">
        <f>E170-E171</f>
        <v>#REF!</v>
      </c>
      <c r="J170" s="1851"/>
      <c r="K170" s="1852"/>
      <c r="L170" s="920"/>
    </row>
    <row r="171" spans="1:12" s="921" customFormat="1" ht="27.95" customHeight="1" x14ac:dyDescent="0.25">
      <c r="A171" s="1867"/>
      <c r="B171" s="1897"/>
      <c r="C171" s="959"/>
      <c r="D171" s="1885"/>
      <c r="E171" s="1849" t="e">
        <f>BS!#REF!</f>
        <v>#REF!</v>
      </c>
      <c r="F171" s="1849"/>
      <c r="G171" s="1850"/>
      <c r="H171" s="1026"/>
      <c r="I171" s="1031"/>
      <c r="J171" s="1850" t="e">
        <f>BS!#REF!</f>
        <v>#REF!</v>
      </c>
      <c r="K171" s="1851"/>
      <c r="L171" s="1853"/>
    </row>
    <row r="172" spans="1:12" s="921" customFormat="1" ht="27.95" customHeight="1" x14ac:dyDescent="0.25">
      <c r="A172" s="1867" t="s">
        <v>498</v>
      </c>
      <c r="B172" s="1896" t="s">
        <v>1802</v>
      </c>
      <c r="C172" s="963"/>
      <c r="D172" s="1884" t="s">
        <v>667</v>
      </c>
      <c r="E172" s="1849" t="e">
        <f>BS!#REF!</f>
        <v>#REF!</v>
      </c>
      <c r="F172" s="1849"/>
      <c r="G172" s="1850"/>
      <c r="H172" s="1032"/>
      <c r="I172" s="1850" t="e">
        <f>E172-E173</f>
        <v>#REF!</v>
      </c>
      <c r="J172" s="1851"/>
      <c r="K172" s="1852"/>
      <c r="L172" s="920"/>
    </row>
    <row r="173" spans="1:12" ht="27.95" customHeight="1" x14ac:dyDescent="0.25">
      <c r="A173" s="1867"/>
      <c r="B173" s="1897"/>
      <c r="C173" s="959"/>
      <c r="D173" s="1885"/>
      <c r="E173" s="1849" t="e">
        <f>BS!#REF!</f>
        <v>#REF!</v>
      </c>
      <c r="F173" s="1849"/>
      <c r="G173" s="1850"/>
      <c r="H173" s="1026"/>
      <c r="I173" s="1031"/>
      <c r="J173" s="1850" t="e">
        <f>BS!#REF!</f>
        <v>#REF!</v>
      </c>
      <c r="K173" s="1851"/>
      <c r="L173" s="1853"/>
    </row>
    <row r="174" spans="1:12" ht="27.95" customHeight="1" x14ac:dyDescent="0.25">
      <c r="A174" s="1867" t="s">
        <v>501</v>
      </c>
      <c r="B174" s="1896" t="s">
        <v>1803</v>
      </c>
      <c r="C174" s="963"/>
      <c r="D174" s="1884" t="s">
        <v>669</v>
      </c>
      <c r="E174" s="1849" t="e">
        <f>BS!#REF!</f>
        <v>#REF!</v>
      </c>
      <c r="F174" s="1849"/>
      <c r="G174" s="1850"/>
      <c r="H174" s="1032"/>
      <c r="I174" s="1850" t="e">
        <f>E174-E175</f>
        <v>#REF!</v>
      </c>
      <c r="J174" s="1851"/>
      <c r="K174" s="1852"/>
      <c r="L174" s="920"/>
    </row>
    <row r="175" spans="1:12" s="922" customFormat="1" ht="27.95" customHeight="1" x14ac:dyDescent="0.2">
      <c r="A175" s="1867"/>
      <c r="B175" s="1897"/>
      <c r="C175" s="959"/>
      <c r="D175" s="1885"/>
      <c r="E175" s="1849" t="e">
        <f>BS!#REF!</f>
        <v>#REF!</v>
      </c>
      <c r="F175" s="1849"/>
      <c r="G175" s="1850"/>
      <c r="H175" s="1026"/>
      <c r="I175" s="1031"/>
      <c r="J175" s="1850" t="e">
        <f>BS!#REF!</f>
        <v>#REF!</v>
      </c>
      <c r="K175" s="1851"/>
      <c r="L175" s="1853"/>
    </row>
    <row r="176" spans="1:12" ht="27.95" customHeight="1" x14ac:dyDescent="0.25">
      <c r="A176" s="1867" t="s">
        <v>504</v>
      </c>
      <c r="B176" s="1896" t="s">
        <v>1804</v>
      </c>
      <c r="C176" s="963"/>
      <c r="D176" s="1884" t="s">
        <v>671</v>
      </c>
      <c r="E176" s="1849" t="e">
        <f>BS!#REF!</f>
        <v>#REF!</v>
      </c>
      <c r="F176" s="1849"/>
      <c r="G176" s="1850"/>
      <c r="H176" s="1032"/>
      <c r="I176" s="1850" t="e">
        <f>E176-E177</f>
        <v>#REF!</v>
      </c>
      <c r="J176" s="1851"/>
      <c r="K176" s="1852"/>
      <c r="L176" s="920"/>
    </row>
    <row r="177" spans="1:12" s="921" customFormat="1" ht="27.95" customHeight="1" x14ac:dyDescent="0.25">
      <c r="A177" s="1867"/>
      <c r="B177" s="1897"/>
      <c r="C177" s="959"/>
      <c r="D177" s="1885"/>
      <c r="E177" s="1849" t="e">
        <f>BS!#REF!</f>
        <v>#REF!</v>
      </c>
      <c r="F177" s="1849"/>
      <c r="G177" s="1850"/>
      <c r="H177" s="1026"/>
      <c r="I177" s="1031"/>
      <c r="J177" s="1850" t="e">
        <f>BS!#REF!</f>
        <v>#REF!</v>
      </c>
      <c r="K177" s="1851"/>
      <c r="L177" s="1853"/>
    </row>
    <row r="178" spans="1:12" s="921" customFormat="1" ht="2.25" customHeight="1" x14ac:dyDescent="0.25">
      <c r="A178" s="967"/>
      <c r="B178" s="944"/>
      <c r="C178" s="944"/>
      <c r="D178" s="972"/>
      <c r="E178" s="1046"/>
      <c r="F178" s="1032"/>
      <c r="G178" s="1046"/>
      <c r="H178" s="1032"/>
      <c r="I178" s="1046"/>
      <c r="J178" s="1046"/>
      <c r="K178" s="1046"/>
      <c r="L178" s="1027"/>
    </row>
    <row r="179" spans="1:12" s="922" customFormat="1" ht="30" customHeight="1" x14ac:dyDescent="0.2">
      <c r="A179" s="461" t="s">
        <v>1398</v>
      </c>
      <c r="B179" s="1900" t="s">
        <v>1465</v>
      </c>
      <c r="C179" s="1901"/>
      <c r="D179" s="1901"/>
      <c r="E179" s="1901"/>
      <c r="F179" s="1902"/>
      <c r="G179" s="906" t="s">
        <v>1400</v>
      </c>
      <c r="H179" s="973"/>
      <c r="I179" s="1664" t="s">
        <v>1466</v>
      </c>
      <c r="J179" s="1727"/>
      <c r="K179" s="1656" t="s">
        <v>1467</v>
      </c>
      <c r="L179" s="1657"/>
    </row>
    <row r="180" spans="1:12" s="922" customFormat="1" ht="27.75" customHeight="1" x14ac:dyDescent="0.2">
      <c r="A180" s="927"/>
      <c r="B180" s="1705" t="s">
        <v>1805</v>
      </c>
      <c r="C180" s="1705"/>
      <c r="D180" s="1903"/>
      <c r="E180" s="1903"/>
      <c r="F180" s="1903"/>
      <c r="G180" s="934" t="s">
        <v>673</v>
      </c>
      <c r="H180" s="974"/>
      <c r="I180" s="1850">
        <f>BS!D36</f>
        <v>0</v>
      </c>
      <c r="J180" s="1852"/>
      <c r="K180" s="1850">
        <f>BS!E36</f>
        <v>0</v>
      </c>
      <c r="L180" s="1853"/>
    </row>
    <row r="181" spans="1:12" s="922" customFormat="1" ht="27.75" customHeight="1" x14ac:dyDescent="0.2">
      <c r="A181" s="927" t="s">
        <v>489</v>
      </c>
      <c r="B181" s="1907" t="s">
        <v>1806</v>
      </c>
      <c r="C181" s="1908"/>
      <c r="D181" s="1908"/>
      <c r="E181" s="1908"/>
      <c r="F181" s="1909"/>
      <c r="G181" s="935" t="s">
        <v>675</v>
      </c>
      <c r="H181" s="965"/>
      <c r="I181" s="1850">
        <f>BS!D37</f>
        <v>0</v>
      </c>
      <c r="J181" s="1852"/>
      <c r="K181" s="1850">
        <f>BS!E37</f>
        <v>0</v>
      </c>
      <c r="L181" s="1853"/>
    </row>
    <row r="182" spans="1:12" ht="27.75" customHeight="1" x14ac:dyDescent="0.25">
      <c r="A182" s="927" t="s">
        <v>492</v>
      </c>
      <c r="B182" s="1907" t="s">
        <v>1807</v>
      </c>
      <c r="C182" s="1908"/>
      <c r="D182" s="1908"/>
      <c r="E182" s="1908"/>
      <c r="F182" s="1909"/>
      <c r="G182" s="935" t="s">
        <v>677</v>
      </c>
      <c r="H182" s="965"/>
      <c r="I182" s="1850">
        <f>BS!D38</f>
        <v>0</v>
      </c>
      <c r="J182" s="1852"/>
      <c r="K182" s="1850">
        <f>BS!E38</f>
        <v>0</v>
      </c>
      <c r="L182" s="1853"/>
    </row>
    <row r="183" spans="1:12" s="921" customFormat="1" ht="27.75" customHeight="1" x14ac:dyDescent="0.25">
      <c r="A183" s="929" t="s">
        <v>495</v>
      </c>
      <c r="B183" s="1904" t="s">
        <v>1808</v>
      </c>
      <c r="C183" s="1905"/>
      <c r="D183" s="1905"/>
      <c r="E183" s="1905"/>
      <c r="F183" s="1906"/>
      <c r="G183" s="936" t="s">
        <v>679</v>
      </c>
      <c r="H183" s="966"/>
      <c r="I183" s="1850">
        <f>BS!D39</f>
        <v>0</v>
      </c>
      <c r="J183" s="1852"/>
      <c r="K183" s="1850">
        <f>BS!E39</f>
        <v>0</v>
      </c>
      <c r="L183" s="1853"/>
    </row>
    <row r="184" spans="1:12" s="921" customFormat="1" ht="27.75" customHeight="1" x14ac:dyDescent="0.25">
      <c r="A184" s="927" t="s">
        <v>498</v>
      </c>
      <c r="B184" s="1904" t="s">
        <v>1473</v>
      </c>
      <c r="C184" s="1905"/>
      <c r="D184" s="1905"/>
      <c r="E184" s="1905"/>
      <c r="F184" s="1906"/>
      <c r="G184" s="936" t="s">
        <v>681</v>
      </c>
      <c r="H184" s="966"/>
      <c r="I184" s="1850">
        <f>BS!D40</f>
        <v>0</v>
      </c>
      <c r="J184" s="1852"/>
      <c r="K184" s="1850">
        <f>BS!E40</f>
        <v>0</v>
      </c>
      <c r="L184" s="1853"/>
    </row>
    <row r="185" spans="1:12" s="921" customFormat="1" ht="27.75" customHeight="1" x14ac:dyDescent="0.25">
      <c r="A185" s="927" t="s">
        <v>501</v>
      </c>
      <c r="B185" s="1913" t="s">
        <v>1052</v>
      </c>
      <c r="C185" s="1914"/>
      <c r="D185" s="1914"/>
      <c r="E185" s="1914"/>
      <c r="F185" s="1915"/>
      <c r="G185" s="936" t="s">
        <v>684</v>
      </c>
      <c r="H185" s="966"/>
      <c r="I185" s="1850" t="e">
        <f>BS!#REF!</f>
        <v>#REF!</v>
      </c>
      <c r="J185" s="1852"/>
      <c r="K185" s="1850" t="e">
        <f>BS!#REF!</f>
        <v>#REF!</v>
      </c>
      <c r="L185" s="1853"/>
    </row>
    <row r="186" spans="1:12" ht="27.75" customHeight="1" x14ac:dyDescent="0.25">
      <c r="A186" s="927" t="s">
        <v>516</v>
      </c>
      <c r="B186" s="1907" t="s">
        <v>1809</v>
      </c>
      <c r="C186" s="1908"/>
      <c r="D186" s="1908"/>
      <c r="E186" s="1908"/>
      <c r="F186" s="1909"/>
      <c r="G186" s="935" t="s">
        <v>687</v>
      </c>
      <c r="H186" s="965"/>
      <c r="I186" s="1841">
        <f>BS!D41</f>
        <v>0</v>
      </c>
      <c r="J186" s="1843"/>
      <c r="K186" s="1841">
        <f>BS!E41</f>
        <v>0</v>
      </c>
      <c r="L186" s="1844"/>
    </row>
    <row r="187" spans="1:12" ht="27.75" customHeight="1" x14ac:dyDescent="0.25">
      <c r="A187" s="927" t="s">
        <v>540</v>
      </c>
      <c r="B187" s="1907" t="s">
        <v>1476</v>
      </c>
      <c r="C187" s="1908"/>
      <c r="D187" s="1908"/>
      <c r="E187" s="1908"/>
      <c r="F187" s="1909"/>
      <c r="G187" s="935" t="s">
        <v>689</v>
      </c>
      <c r="H187" s="965"/>
      <c r="I187" s="1841">
        <f>BS!D42</f>
        <v>0</v>
      </c>
      <c r="J187" s="1843"/>
      <c r="K187" s="1841">
        <f>BS!E42</f>
        <v>0</v>
      </c>
      <c r="L187" s="1844"/>
    </row>
    <row r="188" spans="1:12" ht="27.75" customHeight="1" x14ac:dyDescent="0.25">
      <c r="A188" s="927" t="s">
        <v>682</v>
      </c>
      <c r="B188" s="1910" t="s">
        <v>1672</v>
      </c>
      <c r="C188" s="1911"/>
      <c r="D188" s="1911"/>
      <c r="E188" s="1911"/>
      <c r="F188" s="1912"/>
      <c r="G188" s="935" t="s">
        <v>692</v>
      </c>
      <c r="H188" s="965"/>
      <c r="I188" s="1841">
        <f>BS!D43</f>
        <v>0</v>
      </c>
      <c r="J188" s="1843"/>
      <c r="K188" s="1841">
        <f>BS!E43</f>
        <v>0</v>
      </c>
      <c r="L188" s="1844"/>
    </row>
    <row r="189" spans="1:12" ht="27.75" customHeight="1" x14ac:dyDescent="0.25">
      <c r="A189" s="929" t="s">
        <v>685</v>
      </c>
      <c r="B189" s="1913" t="s">
        <v>1673</v>
      </c>
      <c r="C189" s="1914"/>
      <c r="D189" s="1914"/>
      <c r="E189" s="1914"/>
      <c r="F189" s="1915"/>
      <c r="G189" s="936" t="s">
        <v>694</v>
      </c>
      <c r="H189" s="966"/>
      <c r="I189" s="1850" t="e">
        <f>BS!#REF!</f>
        <v>#REF!</v>
      </c>
      <c r="J189" s="1852"/>
      <c r="K189" s="1850" t="e">
        <f>BS!#REF!</f>
        <v>#REF!</v>
      </c>
      <c r="L189" s="1853"/>
    </row>
    <row r="190" spans="1:12" s="921" customFormat="1" ht="27.75" customHeight="1" thickBot="1" x14ac:dyDescent="0.3">
      <c r="A190" s="927" t="s">
        <v>498</v>
      </c>
      <c r="B190" s="1913" t="s">
        <v>1674</v>
      </c>
      <c r="C190" s="1914"/>
      <c r="D190" s="1914"/>
      <c r="E190" s="1914"/>
      <c r="F190" s="1915"/>
      <c r="G190" s="936" t="s">
        <v>696</v>
      </c>
      <c r="H190" s="966"/>
      <c r="I190" s="1850" t="e">
        <f>BS!#REF!</f>
        <v>#REF!</v>
      </c>
      <c r="J190" s="1852"/>
      <c r="K190" s="1850" t="e">
        <f>BS!#REF!</f>
        <v>#REF!</v>
      </c>
      <c r="L190" s="1853"/>
    </row>
    <row r="191" spans="1:12" s="921" customFormat="1" ht="27.75" customHeight="1" x14ac:dyDescent="0.15">
      <c r="A191" s="453" t="s">
        <v>1398</v>
      </c>
      <c r="B191" s="1833" t="s">
        <v>1465</v>
      </c>
      <c r="C191" s="1834"/>
      <c r="D191" s="1834"/>
      <c r="E191" s="1834"/>
      <c r="F191" s="1835"/>
      <c r="G191" s="910" t="s">
        <v>1400</v>
      </c>
      <c r="H191" s="1021"/>
      <c r="I191" s="1654" t="s">
        <v>1466</v>
      </c>
      <c r="J191" s="1658"/>
      <c r="K191" s="1654" t="s">
        <v>1467</v>
      </c>
      <c r="L191" s="1655"/>
    </row>
    <row r="192" spans="1:12" ht="27.75" customHeight="1" x14ac:dyDescent="0.25">
      <c r="A192" s="927" t="s">
        <v>690</v>
      </c>
      <c r="B192" s="1910" t="s">
        <v>1675</v>
      </c>
      <c r="C192" s="1911"/>
      <c r="D192" s="1911"/>
      <c r="E192" s="1911"/>
      <c r="F192" s="1912"/>
      <c r="G192" s="935" t="s">
        <v>698</v>
      </c>
      <c r="H192" s="965"/>
      <c r="I192" s="1841">
        <f>BS!D44</f>
        <v>0</v>
      </c>
      <c r="J192" s="1843"/>
      <c r="K192" s="1841">
        <f>BS!E44</f>
        <v>0</v>
      </c>
      <c r="L192" s="1844"/>
    </row>
    <row r="193" spans="1:12" ht="27.75" customHeight="1" x14ac:dyDescent="0.25">
      <c r="A193" s="929" t="s">
        <v>1581</v>
      </c>
      <c r="B193" s="1913" t="s">
        <v>1676</v>
      </c>
      <c r="C193" s="1914"/>
      <c r="D193" s="1914"/>
      <c r="E193" s="1914"/>
      <c r="F193" s="1915"/>
      <c r="G193" s="936" t="s">
        <v>700</v>
      </c>
      <c r="H193" s="966"/>
      <c r="I193" s="1850" t="e">
        <f>BS!#REF!</f>
        <v>#REF!</v>
      </c>
      <c r="J193" s="1852"/>
      <c r="K193" s="1850" t="e">
        <f>BS!#REF!</f>
        <v>#REF!</v>
      </c>
      <c r="L193" s="1853"/>
    </row>
    <row r="194" spans="1:12" ht="27.75" customHeight="1" x14ac:dyDescent="0.25">
      <c r="A194" s="927" t="s">
        <v>498</v>
      </c>
      <c r="B194" s="1913" t="s">
        <v>1677</v>
      </c>
      <c r="C194" s="1914"/>
      <c r="D194" s="1914"/>
      <c r="E194" s="1914"/>
      <c r="F194" s="1915"/>
      <c r="G194" s="936" t="s">
        <v>702</v>
      </c>
      <c r="H194" s="966"/>
      <c r="I194" s="1850" t="e">
        <f>BS!#REF!</f>
        <v>#REF!</v>
      </c>
      <c r="J194" s="1852"/>
      <c r="K194" s="1850" t="e">
        <f>BS!#REF!</f>
        <v>#REF!</v>
      </c>
      <c r="L194" s="1853"/>
    </row>
    <row r="195" spans="1:12" ht="27.75" customHeight="1" x14ac:dyDescent="0.25">
      <c r="A195" s="927" t="s">
        <v>1582</v>
      </c>
      <c r="B195" s="1910" t="s">
        <v>1678</v>
      </c>
      <c r="C195" s="1911"/>
      <c r="D195" s="1911"/>
      <c r="E195" s="1911"/>
      <c r="F195" s="1912"/>
      <c r="G195" s="935" t="s">
        <v>704</v>
      </c>
      <c r="H195" s="965"/>
      <c r="I195" s="1841" t="e">
        <f>BS!#REF!</f>
        <v>#REF!</v>
      </c>
      <c r="J195" s="1843"/>
      <c r="K195" s="1841" t="e">
        <f>BS!#REF!</f>
        <v>#REF!</v>
      </c>
      <c r="L195" s="1844"/>
    </row>
    <row r="196" spans="1:12" ht="27.75" customHeight="1" x14ac:dyDescent="0.25">
      <c r="A196" s="929" t="s">
        <v>1583</v>
      </c>
      <c r="B196" s="1913" t="s">
        <v>1679</v>
      </c>
      <c r="C196" s="1914"/>
      <c r="D196" s="1914"/>
      <c r="E196" s="1914"/>
      <c r="F196" s="1915"/>
      <c r="G196" s="936" t="s">
        <v>706</v>
      </c>
      <c r="H196" s="966"/>
      <c r="I196" s="1850" t="e">
        <f>BS!#REF!</f>
        <v>#REF!</v>
      </c>
      <c r="J196" s="1852"/>
      <c r="K196" s="1850" t="e">
        <f>BS!#REF!</f>
        <v>#REF!</v>
      </c>
      <c r="L196" s="1853"/>
    </row>
    <row r="197" spans="1:12" ht="27.75" customHeight="1" x14ac:dyDescent="0.25">
      <c r="A197" s="929" t="s">
        <v>498</v>
      </c>
      <c r="B197" s="1913" t="s">
        <v>1046</v>
      </c>
      <c r="C197" s="1914"/>
      <c r="D197" s="1914"/>
      <c r="E197" s="1914"/>
      <c r="F197" s="1915"/>
      <c r="G197" s="936" t="s">
        <v>708</v>
      </c>
      <c r="H197" s="966"/>
      <c r="I197" s="1850" t="e">
        <f>BS!#REF!</f>
        <v>#REF!</v>
      </c>
      <c r="J197" s="1852"/>
      <c r="K197" s="1850" t="e">
        <f>BS!#REF!</f>
        <v>#REF!</v>
      </c>
      <c r="L197" s="1853"/>
    </row>
    <row r="198" spans="1:12" s="921" customFormat="1" ht="27.75" customHeight="1" x14ac:dyDescent="0.25">
      <c r="A198" s="929" t="s">
        <v>501</v>
      </c>
      <c r="B198" s="1913" t="s">
        <v>1680</v>
      </c>
      <c r="C198" s="1914"/>
      <c r="D198" s="1914"/>
      <c r="E198" s="1914"/>
      <c r="F198" s="1915"/>
      <c r="G198" s="936" t="s">
        <v>709</v>
      </c>
      <c r="H198" s="966"/>
      <c r="I198" s="1850" t="e">
        <f>BS!#REF!</f>
        <v>#REF!</v>
      </c>
      <c r="J198" s="1852"/>
      <c r="K198" s="1850" t="e">
        <f>BS!#REF!</f>
        <v>#REF!</v>
      </c>
      <c r="L198" s="1853"/>
    </row>
    <row r="199" spans="1:12" ht="27.75" customHeight="1" x14ac:dyDescent="0.25">
      <c r="A199" s="927" t="s">
        <v>1584</v>
      </c>
      <c r="B199" s="1907" t="s">
        <v>1810</v>
      </c>
      <c r="C199" s="1908"/>
      <c r="D199" s="1908"/>
      <c r="E199" s="1908"/>
      <c r="F199" s="1909"/>
      <c r="G199" s="935" t="s">
        <v>711</v>
      </c>
      <c r="H199" s="965"/>
      <c r="I199" s="1841" t="e">
        <f>BS!#REF!</f>
        <v>#REF!</v>
      </c>
      <c r="J199" s="1843"/>
      <c r="K199" s="1841" t="e">
        <f>BS!#REF!</f>
        <v>#REF!</v>
      </c>
      <c r="L199" s="1844"/>
    </row>
    <row r="200" spans="1:12" ht="27.75" customHeight="1" x14ac:dyDescent="0.25">
      <c r="A200" s="929" t="s">
        <v>1585</v>
      </c>
      <c r="B200" s="1904" t="s">
        <v>1486</v>
      </c>
      <c r="C200" s="1905"/>
      <c r="D200" s="1905"/>
      <c r="E200" s="1905"/>
      <c r="F200" s="1906"/>
      <c r="G200" s="936" t="s">
        <v>713</v>
      </c>
      <c r="H200" s="966"/>
      <c r="I200" s="1850" t="e">
        <f>BS!#REF!</f>
        <v>#REF!</v>
      </c>
      <c r="J200" s="1852"/>
      <c r="K200" s="1850" t="e">
        <f>BS!#REF!</f>
        <v>#REF!</v>
      </c>
      <c r="L200" s="1853"/>
    </row>
    <row r="201" spans="1:12" ht="27.75" customHeight="1" x14ac:dyDescent="0.25">
      <c r="A201" s="929" t="s">
        <v>498</v>
      </c>
      <c r="B201" s="1904" t="s">
        <v>1487</v>
      </c>
      <c r="C201" s="1905"/>
      <c r="D201" s="1905"/>
      <c r="E201" s="1905"/>
      <c r="F201" s="1906"/>
      <c r="G201" s="936" t="s">
        <v>715</v>
      </c>
      <c r="H201" s="966"/>
      <c r="I201" s="1850" t="e">
        <f>BS!#REF!</f>
        <v>#REF!</v>
      </c>
      <c r="J201" s="1852"/>
      <c r="K201" s="1850" t="e">
        <f>BS!#REF!</f>
        <v>#REF!</v>
      </c>
      <c r="L201" s="1853"/>
    </row>
    <row r="202" spans="1:12" s="921" customFormat="1" ht="31.5" customHeight="1" x14ac:dyDescent="0.25">
      <c r="A202" s="927" t="s">
        <v>1586</v>
      </c>
      <c r="B202" s="1907" t="s">
        <v>1811</v>
      </c>
      <c r="C202" s="1908"/>
      <c r="D202" s="1908"/>
      <c r="E202" s="1908"/>
      <c r="F202" s="1909"/>
      <c r="G202" s="935" t="s">
        <v>717</v>
      </c>
      <c r="H202" s="965"/>
      <c r="I202" s="1841">
        <f>BS!D45</f>
        <v>0</v>
      </c>
      <c r="J202" s="1843"/>
      <c r="K202" s="1841">
        <f>BS!E45</f>
        <v>0</v>
      </c>
      <c r="L202" s="1844"/>
    </row>
    <row r="203" spans="1:12" ht="27.75" customHeight="1" x14ac:dyDescent="0.25">
      <c r="A203" s="927" t="s">
        <v>560</v>
      </c>
      <c r="B203" s="1907" t="s">
        <v>1812</v>
      </c>
      <c r="C203" s="1908"/>
      <c r="D203" s="1908"/>
      <c r="E203" s="1908"/>
      <c r="F203" s="1909"/>
      <c r="G203" s="935" t="s">
        <v>719</v>
      </c>
      <c r="H203" s="965"/>
      <c r="I203" s="1841">
        <f>BS!D46</f>
        <v>0</v>
      </c>
      <c r="J203" s="1843"/>
      <c r="K203" s="1841">
        <f>BS!E46</f>
        <v>0</v>
      </c>
      <c r="L203" s="1844"/>
    </row>
    <row r="204" spans="1:12" ht="27.75" customHeight="1" x14ac:dyDescent="0.25">
      <c r="A204" s="927" t="s">
        <v>563</v>
      </c>
      <c r="B204" s="1907" t="s">
        <v>1813</v>
      </c>
      <c r="C204" s="1908"/>
      <c r="D204" s="1908"/>
      <c r="E204" s="1908"/>
      <c r="F204" s="1909"/>
      <c r="G204" s="935" t="s">
        <v>721</v>
      </c>
      <c r="H204" s="965"/>
      <c r="I204" s="1841">
        <f>BS!D47</f>
        <v>0</v>
      </c>
      <c r="J204" s="1843"/>
      <c r="K204" s="1841">
        <f>BS!E47</f>
        <v>0</v>
      </c>
      <c r="L204" s="1844"/>
    </row>
    <row r="205" spans="1:12" s="921" customFormat="1" ht="27.75" customHeight="1" x14ac:dyDescent="0.25">
      <c r="A205" s="927" t="s">
        <v>566</v>
      </c>
      <c r="B205" s="1907" t="s">
        <v>1681</v>
      </c>
      <c r="C205" s="1908"/>
      <c r="D205" s="1908"/>
      <c r="E205" s="1908"/>
      <c r="F205" s="1909"/>
      <c r="G205" s="935" t="s">
        <v>723</v>
      </c>
      <c r="H205" s="966"/>
      <c r="I205" s="1850" t="e">
        <f>BS!#REF!</f>
        <v>#REF!</v>
      </c>
      <c r="J205" s="1852"/>
      <c r="K205" s="1850" t="e">
        <f>BS!#REF!</f>
        <v>#REF!</v>
      </c>
      <c r="L205" s="1853"/>
    </row>
    <row r="206" spans="1:12" s="921" customFormat="1" ht="27.75" customHeight="1" x14ac:dyDescent="0.25">
      <c r="A206" s="929" t="s">
        <v>1577</v>
      </c>
      <c r="B206" s="1913" t="s">
        <v>1682</v>
      </c>
      <c r="C206" s="1914"/>
      <c r="D206" s="1914"/>
      <c r="E206" s="1914"/>
      <c r="F206" s="1915"/>
      <c r="G206" s="936" t="s">
        <v>726</v>
      </c>
      <c r="H206" s="966"/>
      <c r="I206" s="1850" t="e">
        <f>BS!#REF!</f>
        <v>#REF!</v>
      </c>
      <c r="J206" s="1852"/>
      <c r="K206" s="1850" t="e">
        <f>BS!#REF!</f>
        <v>#REF!</v>
      </c>
      <c r="L206" s="1853"/>
    </row>
    <row r="207" spans="1:12" s="921" customFormat="1" ht="31.5" customHeight="1" x14ac:dyDescent="0.25">
      <c r="A207" s="929" t="s">
        <v>1578</v>
      </c>
      <c r="B207" s="1913" t="s">
        <v>1683</v>
      </c>
      <c r="C207" s="1914"/>
      <c r="D207" s="1914"/>
      <c r="E207" s="1914"/>
      <c r="F207" s="1915"/>
      <c r="G207" s="936" t="s">
        <v>729</v>
      </c>
      <c r="H207" s="966"/>
      <c r="I207" s="1850" t="e">
        <f>BS!#REF!</f>
        <v>#REF!</v>
      </c>
      <c r="J207" s="1852"/>
      <c r="K207" s="1850" t="e">
        <f>BS!#REF!</f>
        <v>#REF!</v>
      </c>
      <c r="L207" s="1853"/>
    </row>
    <row r="208" spans="1:12" ht="27.75" customHeight="1" x14ac:dyDescent="0.25">
      <c r="A208" s="929" t="s">
        <v>1579</v>
      </c>
      <c r="B208" s="1913" t="s">
        <v>1684</v>
      </c>
      <c r="C208" s="1914"/>
      <c r="D208" s="1914"/>
      <c r="E208" s="1914"/>
      <c r="F208" s="1915"/>
      <c r="G208" s="936" t="s">
        <v>731</v>
      </c>
      <c r="H208" s="966"/>
      <c r="I208" s="1850" t="e">
        <f>BS!#REF!</f>
        <v>#REF!</v>
      </c>
      <c r="J208" s="1852"/>
      <c r="K208" s="1850" t="e">
        <f>BS!#REF!</f>
        <v>#REF!</v>
      </c>
      <c r="L208" s="1853"/>
    </row>
    <row r="209" spans="1:12" ht="25.5" customHeight="1" x14ac:dyDescent="0.25">
      <c r="A209" s="929" t="s">
        <v>498</v>
      </c>
      <c r="B209" s="1913" t="s">
        <v>1661</v>
      </c>
      <c r="C209" s="1914"/>
      <c r="D209" s="1914"/>
      <c r="E209" s="1914"/>
      <c r="F209" s="1915"/>
      <c r="G209" s="935" t="s">
        <v>733</v>
      </c>
      <c r="H209" s="965"/>
      <c r="I209" s="1850" t="e">
        <f>BS!#REF!</f>
        <v>#REF!</v>
      </c>
      <c r="J209" s="1852"/>
      <c r="K209" s="1850" t="e">
        <f>BS!#REF!</f>
        <v>#REF!</v>
      </c>
      <c r="L209" s="1853"/>
    </row>
    <row r="210" spans="1:12" ht="27.75" customHeight="1" x14ac:dyDescent="0.25">
      <c r="A210" s="1051" t="s">
        <v>501</v>
      </c>
      <c r="B210" s="1869" t="s">
        <v>1685</v>
      </c>
      <c r="C210" s="1869"/>
      <c r="D210" s="1916"/>
      <c r="E210" s="1916"/>
      <c r="F210" s="1916"/>
      <c r="G210" s="975" t="s">
        <v>734</v>
      </c>
      <c r="H210" s="972"/>
      <c r="I210" s="1917" t="e">
        <f>BS!#REF!</f>
        <v>#REF!</v>
      </c>
      <c r="J210" s="1899"/>
      <c r="K210" s="1917" t="e">
        <f>BS!#REF!</f>
        <v>#REF!</v>
      </c>
      <c r="L210" s="1918"/>
    </row>
    <row r="211" spans="1:12" ht="32.25" customHeight="1" x14ac:dyDescent="0.25">
      <c r="A211" s="931" t="s">
        <v>504</v>
      </c>
      <c r="B211" s="1913" t="s">
        <v>1686</v>
      </c>
      <c r="C211" s="1914"/>
      <c r="D211" s="1914"/>
      <c r="E211" s="1914"/>
      <c r="F211" s="1915"/>
      <c r="G211" s="936" t="s">
        <v>736</v>
      </c>
      <c r="H211" s="966"/>
      <c r="I211" s="1850" t="e">
        <f>BS!#REF!</f>
        <v>#REF!</v>
      </c>
      <c r="J211" s="1852"/>
      <c r="K211" s="1850" t="e">
        <f>BS!#REF!</f>
        <v>#REF!</v>
      </c>
      <c r="L211" s="1853"/>
    </row>
    <row r="212" spans="1:12" s="921" customFormat="1" ht="27.75" customHeight="1" x14ac:dyDescent="0.25">
      <c r="A212" s="931" t="s">
        <v>507</v>
      </c>
      <c r="B212" s="1913" t="s">
        <v>1687</v>
      </c>
      <c r="C212" s="1914"/>
      <c r="D212" s="1914"/>
      <c r="E212" s="1914"/>
      <c r="F212" s="1915"/>
      <c r="G212" s="936" t="s">
        <v>738</v>
      </c>
      <c r="H212" s="966"/>
      <c r="I212" s="1850" t="e">
        <f>BS!#REF!</f>
        <v>#REF!</v>
      </c>
      <c r="J212" s="1852"/>
      <c r="K212" s="1850" t="e">
        <f>BS!#REF!</f>
        <v>#REF!</v>
      </c>
      <c r="L212" s="1853"/>
    </row>
    <row r="213" spans="1:12" ht="27.75" customHeight="1" x14ac:dyDescent="0.25">
      <c r="A213" s="931" t="s">
        <v>510</v>
      </c>
      <c r="B213" s="1913" t="s">
        <v>1020</v>
      </c>
      <c r="C213" s="1914"/>
      <c r="D213" s="1914"/>
      <c r="E213" s="1914"/>
      <c r="F213" s="1915"/>
      <c r="G213" s="936" t="s">
        <v>740</v>
      </c>
      <c r="H213" s="966"/>
      <c r="I213" s="1850" t="e">
        <f>BS!#REF!</f>
        <v>#REF!</v>
      </c>
      <c r="J213" s="1852"/>
      <c r="K213" s="1850" t="e">
        <f>BS!#REF!</f>
        <v>#REF!</v>
      </c>
      <c r="L213" s="1853"/>
    </row>
    <row r="214" spans="1:12" ht="27.75" customHeight="1" x14ac:dyDescent="0.25">
      <c r="A214" s="931" t="s">
        <v>513</v>
      </c>
      <c r="B214" s="1913" t="s">
        <v>1019</v>
      </c>
      <c r="C214" s="1914"/>
      <c r="D214" s="1914"/>
      <c r="E214" s="1914"/>
      <c r="F214" s="1915"/>
      <c r="G214" s="936" t="s">
        <v>742</v>
      </c>
      <c r="H214" s="966"/>
      <c r="I214" s="1850" t="e">
        <f>BS!#REF!</f>
        <v>#REF!</v>
      </c>
      <c r="J214" s="1852"/>
      <c r="K214" s="1850" t="e">
        <f>BS!#REF!</f>
        <v>#REF!</v>
      </c>
      <c r="L214" s="1853"/>
    </row>
    <row r="215" spans="1:12" ht="27.75" customHeight="1" x14ac:dyDescent="0.25">
      <c r="A215" s="931" t="s">
        <v>534</v>
      </c>
      <c r="B215" s="1913" t="s">
        <v>1688</v>
      </c>
      <c r="C215" s="1914"/>
      <c r="D215" s="1914"/>
      <c r="E215" s="1914"/>
      <c r="F215" s="1915"/>
      <c r="G215" s="936" t="s">
        <v>744</v>
      </c>
      <c r="H215" s="966"/>
      <c r="I215" s="1850" t="e">
        <f>BS!#REF!</f>
        <v>#REF!</v>
      </c>
      <c r="J215" s="1852"/>
      <c r="K215" s="1850" t="e">
        <f>BS!#REF!</f>
        <v>#REF!</v>
      </c>
      <c r="L215" s="1853"/>
    </row>
    <row r="216" spans="1:12" ht="27.75" customHeight="1" x14ac:dyDescent="0.25">
      <c r="A216" s="931" t="s">
        <v>537</v>
      </c>
      <c r="B216" s="1913" t="s">
        <v>1017</v>
      </c>
      <c r="C216" s="1914"/>
      <c r="D216" s="1914"/>
      <c r="E216" s="1914"/>
      <c r="F216" s="1915"/>
      <c r="G216" s="936" t="s">
        <v>746</v>
      </c>
      <c r="H216" s="966"/>
      <c r="I216" s="1850" t="e">
        <f>BS!#REF!</f>
        <v>#REF!</v>
      </c>
      <c r="J216" s="1852"/>
      <c r="K216" s="1850" t="e">
        <f>BS!#REF!</f>
        <v>#REF!</v>
      </c>
      <c r="L216" s="1853"/>
    </row>
    <row r="217" spans="1:12" ht="27.75" customHeight="1" x14ac:dyDescent="0.25">
      <c r="A217" s="931" t="s">
        <v>724</v>
      </c>
      <c r="B217" s="1913" t="s">
        <v>1689</v>
      </c>
      <c r="C217" s="1914"/>
      <c r="D217" s="1914"/>
      <c r="E217" s="1914"/>
      <c r="F217" s="1915"/>
      <c r="G217" s="936" t="s">
        <v>748</v>
      </c>
      <c r="H217" s="966"/>
      <c r="I217" s="1850" t="e">
        <f>BS!#REF!</f>
        <v>#REF!</v>
      </c>
      <c r="J217" s="1852"/>
      <c r="K217" s="1850" t="e">
        <f>BS!#REF!</f>
        <v>#REF!</v>
      </c>
      <c r="L217" s="1853"/>
    </row>
    <row r="218" spans="1:12" ht="27.75" customHeight="1" x14ac:dyDescent="0.25">
      <c r="A218" s="931" t="s">
        <v>727</v>
      </c>
      <c r="B218" s="1913" t="s">
        <v>1690</v>
      </c>
      <c r="C218" s="1914"/>
      <c r="D218" s="1914"/>
      <c r="E218" s="1914"/>
      <c r="F218" s="1915"/>
      <c r="G218" s="936" t="s">
        <v>750</v>
      </c>
      <c r="H218" s="966"/>
      <c r="I218" s="1850" t="e">
        <f>BS!#REF!</f>
        <v>#REF!</v>
      </c>
      <c r="J218" s="1852"/>
      <c r="K218" s="1850" t="e">
        <f>BS!#REF!</f>
        <v>#REF!</v>
      </c>
      <c r="L218" s="1853"/>
    </row>
    <row r="219" spans="1:12" ht="27.75" customHeight="1" thickBot="1" x14ac:dyDescent="0.3">
      <c r="A219" s="1024" t="s">
        <v>1587</v>
      </c>
      <c r="B219" s="1919" t="s">
        <v>1015</v>
      </c>
      <c r="C219" s="1920"/>
      <c r="D219" s="1920"/>
      <c r="E219" s="1920"/>
      <c r="F219" s="1921"/>
      <c r="G219" s="1022" t="s">
        <v>752</v>
      </c>
      <c r="H219" s="1023"/>
      <c r="I219" s="1864" t="e">
        <f>BS!#REF!</f>
        <v>#REF!</v>
      </c>
      <c r="J219" s="1922"/>
      <c r="K219" s="1864" t="e">
        <f>BS!#REF!</f>
        <v>#REF!</v>
      </c>
      <c r="L219" s="1866"/>
    </row>
    <row r="220" spans="1:12" ht="27.75" customHeight="1" x14ac:dyDescent="0.15">
      <c r="A220" s="453" t="s">
        <v>1398</v>
      </c>
      <c r="B220" s="1833" t="s">
        <v>1465</v>
      </c>
      <c r="C220" s="1834"/>
      <c r="D220" s="1834"/>
      <c r="E220" s="1834"/>
      <c r="F220" s="1835"/>
      <c r="G220" s="910" t="s">
        <v>1400</v>
      </c>
      <c r="H220" s="1021"/>
      <c r="I220" s="1654" t="s">
        <v>1466</v>
      </c>
      <c r="J220" s="1658"/>
      <c r="K220" s="1654" t="s">
        <v>1467</v>
      </c>
      <c r="L220" s="1655"/>
    </row>
    <row r="221" spans="1:12" ht="27.75" customHeight="1" x14ac:dyDescent="0.25">
      <c r="A221" s="1053" t="s">
        <v>579</v>
      </c>
      <c r="B221" s="1910" t="s">
        <v>1691</v>
      </c>
      <c r="C221" s="1911"/>
      <c r="D221" s="1911"/>
      <c r="E221" s="1911"/>
      <c r="F221" s="1912"/>
      <c r="G221" s="935" t="s">
        <v>755</v>
      </c>
      <c r="H221" s="965"/>
      <c r="I221" s="1841">
        <f>BS!D48</f>
        <v>0</v>
      </c>
      <c r="J221" s="1843"/>
      <c r="K221" s="1841">
        <f>BS!E48</f>
        <v>0</v>
      </c>
      <c r="L221" s="1844"/>
    </row>
    <row r="222" spans="1:12" ht="27.75" customHeight="1" x14ac:dyDescent="0.25">
      <c r="A222" s="931" t="s">
        <v>582</v>
      </c>
      <c r="B222" s="1913" t="s">
        <v>1692</v>
      </c>
      <c r="C222" s="1914"/>
      <c r="D222" s="1914"/>
      <c r="E222" s="1914"/>
      <c r="F222" s="1915"/>
      <c r="G222" s="936" t="s">
        <v>758</v>
      </c>
      <c r="H222" s="966"/>
      <c r="I222" s="1850" t="e">
        <f>BS!#REF!</f>
        <v>#REF!</v>
      </c>
      <c r="J222" s="1852"/>
      <c r="K222" s="1850" t="e">
        <f>BS!#REF!</f>
        <v>#REF!</v>
      </c>
      <c r="L222" s="1853"/>
    </row>
    <row r="223" spans="1:12" ht="27.75" customHeight="1" x14ac:dyDescent="0.25">
      <c r="A223" s="931" t="s">
        <v>498</v>
      </c>
      <c r="B223" s="1913" t="s">
        <v>1693</v>
      </c>
      <c r="C223" s="1914"/>
      <c r="D223" s="1914"/>
      <c r="E223" s="1914"/>
      <c r="F223" s="1915"/>
      <c r="G223" s="936" t="s">
        <v>760</v>
      </c>
      <c r="H223" s="966"/>
      <c r="I223" s="1850" t="e">
        <f>BS!#REF!</f>
        <v>#REF!</v>
      </c>
      <c r="J223" s="1852"/>
      <c r="K223" s="1850" t="e">
        <f>BS!#REF!</f>
        <v>#REF!</v>
      </c>
      <c r="L223" s="1853"/>
    </row>
    <row r="224" spans="1:12" ht="27.75" customHeight="1" x14ac:dyDescent="0.25">
      <c r="A224" s="1053" t="s">
        <v>597</v>
      </c>
      <c r="B224" s="1910" t="s">
        <v>1694</v>
      </c>
      <c r="C224" s="1911"/>
      <c r="D224" s="1911"/>
      <c r="E224" s="1911"/>
      <c r="F224" s="1912"/>
      <c r="G224" s="935" t="s">
        <v>762</v>
      </c>
      <c r="H224" s="965"/>
      <c r="I224" s="1841">
        <f>BS!D49</f>
        <v>0</v>
      </c>
      <c r="J224" s="1843"/>
      <c r="K224" s="1841">
        <f>BS!E49</f>
        <v>0</v>
      </c>
      <c r="L224" s="1844"/>
    </row>
    <row r="225" spans="1:12" ht="27.75" customHeight="1" x14ac:dyDescent="0.25">
      <c r="A225" s="1053" t="s">
        <v>615</v>
      </c>
      <c r="B225" s="1910" t="s">
        <v>1766</v>
      </c>
      <c r="C225" s="1911"/>
      <c r="D225" s="1911"/>
      <c r="E225" s="1911"/>
      <c r="F225" s="1912"/>
      <c r="G225" s="935" t="s">
        <v>764</v>
      </c>
      <c r="H225" s="965"/>
      <c r="I225" s="1841">
        <f>BS!D50</f>
        <v>0</v>
      </c>
      <c r="J225" s="1843"/>
      <c r="K225" s="1841">
        <f>BS!E50</f>
        <v>0</v>
      </c>
      <c r="L225" s="1844"/>
    </row>
    <row r="226" spans="1:12" s="921" customFormat="1" ht="27.75" customHeight="1" x14ac:dyDescent="0.25">
      <c r="A226" s="1053" t="s">
        <v>618</v>
      </c>
      <c r="B226" s="1910" t="s">
        <v>1695</v>
      </c>
      <c r="C226" s="1911"/>
      <c r="D226" s="1911"/>
      <c r="E226" s="1911"/>
      <c r="F226" s="1912"/>
      <c r="G226" s="935" t="s">
        <v>766</v>
      </c>
      <c r="H226" s="966"/>
      <c r="I226" s="1850">
        <f>BS!D51</f>
        <v>0</v>
      </c>
      <c r="J226" s="1852"/>
      <c r="K226" s="1850">
        <f>BS!E51</f>
        <v>0</v>
      </c>
      <c r="L226" s="1853"/>
    </row>
    <row r="227" spans="1:12" ht="31.5" customHeight="1" x14ac:dyDescent="0.25">
      <c r="A227" s="931" t="s">
        <v>1577</v>
      </c>
      <c r="B227" s="1913" t="s">
        <v>1696</v>
      </c>
      <c r="C227" s="1914"/>
      <c r="D227" s="1914"/>
      <c r="E227" s="1914"/>
      <c r="F227" s="1915"/>
      <c r="G227" s="936" t="s">
        <v>768</v>
      </c>
      <c r="H227" s="966"/>
      <c r="I227" s="1850" t="e">
        <f>BS!#REF!</f>
        <v>#REF!</v>
      </c>
      <c r="J227" s="1852"/>
      <c r="K227" s="1850" t="e">
        <f>BS!#REF!</f>
        <v>#REF!</v>
      </c>
      <c r="L227" s="1853"/>
    </row>
    <row r="228" spans="1:12" ht="30.75" customHeight="1" x14ac:dyDescent="0.25">
      <c r="A228" s="931" t="s">
        <v>1578</v>
      </c>
      <c r="B228" s="1913" t="s">
        <v>1697</v>
      </c>
      <c r="C228" s="1914"/>
      <c r="D228" s="1914"/>
      <c r="E228" s="1914"/>
      <c r="F228" s="1915"/>
      <c r="G228" s="936" t="s">
        <v>770</v>
      </c>
      <c r="H228" s="966"/>
      <c r="I228" s="1850" t="e">
        <f>BS!#REF!</f>
        <v>#REF!</v>
      </c>
      <c r="J228" s="1852"/>
      <c r="K228" s="1850" t="e">
        <f>BS!#REF!</f>
        <v>#REF!</v>
      </c>
      <c r="L228" s="1853"/>
    </row>
    <row r="229" spans="1:12" ht="31.5" customHeight="1" x14ac:dyDescent="0.25">
      <c r="A229" s="931" t="s">
        <v>1579</v>
      </c>
      <c r="B229" s="1913" t="s">
        <v>1698</v>
      </c>
      <c r="C229" s="1914"/>
      <c r="D229" s="1914"/>
      <c r="E229" s="1914"/>
      <c r="F229" s="1915"/>
      <c r="G229" s="936" t="s">
        <v>1588</v>
      </c>
      <c r="H229" s="966"/>
      <c r="I229" s="1850" t="e">
        <f>BS!#REF!</f>
        <v>#REF!</v>
      </c>
      <c r="J229" s="1852"/>
      <c r="K229" s="1850" t="e">
        <f>BS!#REF!</f>
        <v>#REF!</v>
      </c>
      <c r="L229" s="1853"/>
    </row>
    <row r="230" spans="1:12" ht="27.75" customHeight="1" x14ac:dyDescent="0.25">
      <c r="A230" s="931" t="s">
        <v>498</v>
      </c>
      <c r="B230" s="1913" t="s">
        <v>1012</v>
      </c>
      <c r="C230" s="1914"/>
      <c r="D230" s="1914"/>
      <c r="E230" s="1914"/>
      <c r="F230" s="1915"/>
      <c r="G230" s="936" t="s">
        <v>1589</v>
      </c>
      <c r="H230" s="966"/>
      <c r="I230" s="1850">
        <f>BS!D52</f>
        <v>0</v>
      </c>
      <c r="J230" s="1852"/>
      <c r="K230" s="1850">
        <f>BS!E52</f>
        <v>0</v>
      </c>
      <c r="L230" s="1853"/>
    </row>
    <row r="231" spans="1:12" ht="27.75" customHeight="1" x14ac:dyDescent="0.25">
      <c r="A231" s="931" t="s">
        <v>501</v>
      </c>
      <c r="B231" s="1913" t="s">
        <v>1699</v>
      </c>
      <c r="C231" s="1914"/>
      <c r="D231" s="1914"/>
      <c r="E231" s="1914"/>
      <c r="F231" s="1915"/>
      <c r="G231" s="936" t="s">
        <v>1590</v>
      </c>
      <c r="H231" s="966"/>
      <c r="I231" s="1850">
        <f>BS!D53</f>
        <v>0</v>
      </c>
      <c r="J231" s="1852"/>
      <c r="K231" s="1850">
        <f>BS!E53</f>
        <v>0</v>
      </c>
      <c r="L231" s="1853"/>
    </row>
    <row r="232" spans="1:12" ht="30.75" customHeight="1" x14ac:dyDescent="0.25">
      <c r="A232" s="931" t="s">
        <v>504</v>
      </c>
      <c r="B232" s="1913" t="s">
        <v>1700</v>
      </c>
      <c r="C232" s="1914"/>
      <c r="D232" s="1914"/>
      <c r="E232" s="1914"/>
      <c r="F232" s="1915"/>
      <c r="G232" s="936" t="s">
        <v>1591</v>
      </c>
      <c r="H232" s="966"/>
      <c r="I232" s="1850">
        <f>BS!D54</f>
        <v>0</v>
      </c>
      <c r="J232" s="1852"/>
      <c r="K232" s="1850">
        <f>BS!E54</f>
        <v>0</v>
      </c>
      <c r="L232" s="1853"/>
    </row>
    <row r="233" spans="1:12" ht="27.75" customHeight="1" x14ac:dyDescent="0.25">
      <c r="A233" s="931" t="s">
        <v>507</v>
      </c>
      <c r="B233" s="1913" t="s">
        <v>1701</v>
      </c>
      <c r="C233" s="1914"/>
      <c r="D233" s="1914"/>
      <c r="E233" s="1914"/>
      <c r="F233" s="1915"/>
      <c r="G233" s="936" t="s">
        <v>1592</v>
      </c>
      <c r="H233" s="966"/>
      <c r="I233" s="1850" t="e">
        <f>BS!#REF!</f>
        <v>#REF!</v>
      </c>
      <c r="J233" s="1852"/>
      <c r="K233" s="1850" t="e">
        <f>BS!#REF!</f>
        <v>#REF!</v>
      </c>
      <c r="L233" s="1853"/>
    </row>
    <row r="234" spans="1:12" ht="27.75" customHeight="1" x14ac:dyDescent="0.25">
      <c r="A234" s="931" t="s">
        <v>510</v>
      </c>
      <c r="B234" s="1913" t="s">
        <v>1007</v>
      </c>
      <c r="C234" s="1914"/>
      <c r="D234" s="1914"/>
      <c r="E234" s="1914"/>
      <c r="F234" s="1915"/>
      <c r="G234" s="936" t="s">
        <v>1593</v>
      </c>
      <c r="H234" s="966"/>
      <c r="I234" s="1850" t="e">
        <f>BS!#REF!</f>
        <v>#REF!</v>
      </c>
      <c r="J234" s="1852"/>
      <c r="K234" s="1850" t="e">
        <f>BS!#REF!</f>
        <v>#REF!</v>
      </c>
      <c r="L234" s="1853"/>
    </row>
    <row r="235" spans="1:12" ht="27.75" customHeight="1" x14ac:dyDescent="0.25">
      <c r="A235" s="931" t="s">
        <v>513</v>
      </c>
      <c r="B235" s="1913" t="s">
        <v>1702</v>
      </c>
      <c r="C235" s="1914"/>
      <c r="D235" s="1914"/>
      <c r="E235" s="1914"/>
      <c r="F235" s="1915"/>
      <c r="G235" s="936" t="s">
        <v>1594</v>
      </c>
      <c r="H235" s="966"/>
      <c r="I235" s="1850" t="e">
        <f>BS!#REF!</f>
        <v>#REF!</v>
      </c>
      <c r="J235" s="1852"/>
      <c r="K235" s="1850" t="e">
        <f>BS!#REF!</f>
        <v>#REF!</v>
      </c>
      <c r="L235" s="1853"/>
    </row>
    <row r="236" spans="1:12" s="921" customFormat="1" ht="27.75" customHeight="1" x14ac:dyDescent="0.25">
      <c r="A236" s="931" t="s">
        <v>534</v>
      </c>
      <c r="B236" s="1913" t="s">
        <v>1703</v>
      </c>
      <c r="C236" s="1914"/>
      <c r="D236" s="1914"/>
      <c r="E236" s="1914"/>
      <c r="F236" s="1915"/>
      <c r="G236" s="936" t="s">
        <v>1595</v>
      </c>
      <c r="H236" s="966"/>
      <c r="I236" s="1850" t="e">
        <f>BS!#REF!</f>
        <v>#REF!</v>
      </c>
      <c r="J236" s="1852"/>
      <c r="K236" s="1850" t="e">
        <f>BS!#REF!</f>
        <v>#REF!</v>
      </c>
      <c r="L236" s="1853"/>
    </row>
    <row r="237" spans="1:12" ht="27.75" customHeight="1" x14ac:dyDescent="0.25">
      <c r="A237" s="931" t="s">
        <v>537</v>
      </c>
      <c r="B237" s="1913" t="s">
        <v>1704</v>
      </c>
      <c r="C237" s="1914"/>
      <c r="D237" s="1914"/>
      <c r="E237" s="1914"/>
      <c r="F237" s="1915"/>
      <c r="G237" s="936" t="s">
        <v>1596</v>
      </c>
      <c r="H237" s="966"/>
      <c r="I237" s="1850" t="e">
        <f>BS!#REF!</f>
        <v>#REF!</v>
      </c>
      <c r="J237" s="1852"/>
      <c r="K237" s="1850" t="e">
        <f>BS!#REF!</f>
        <v>#REF!</v>
      </c>
      <c r="L237" s="1853"/>
    </row>
    <row r="238" spans="1:12" ht="27.75" customHeight="1" x14ac:dyDescent="0.25">
      <c r="A238" s="931" t="s">
        <v>724</v>
      </c>
      <c r="B238" s="1913" t="s">
        <v>1705</v>
      </c>
      <c r="C238" s="1914"/>
      <c r="D238" s="1914"/>
      <c r="E238" s="1914"/>
      <c r="F238" s="1915"/>
      <c r="G238" s="936" t="s">
        <v>1597</v>
      </c>
      <c r="H238" s="966"/>
      <c r="I238" s="1850" t="e">
        <f>BS!#REF!</f>
        <v>#REF!</v>
      </c>
      <c r="J238" s="1852"/>
      <c r="K238" s="1850" t="e">
        <f>BS!#REF!</f>
        <v>#REF!</v>
      </c>
      <c r="L238" s="1853"/>
    </row>
    <row r="239" spans="1:12" ht="27.75" customHeight="1" x14ac:dyDescent="0.25">
      <c r="A239" s="1053" t="s">
        <v>753</v>
      </c>
      <c r="B239" s="1910" t="s">
        <v>1706</v>
      </c>
      <c r="C239" s="1911"/>
      <c r="D239" s="1911"/>
      <c r="E239" s="1911"/>
      <c r="F239" s="1912"/>
      <c r="G239" s="935" t="s">
        <v>1598</v>
      </c>
      <c r="H239" s="965"/>
      <c r="I239" s="1841">
        <f>BS!D55</f>
        <v>0</v>
      </c>
      <c r="J239" s="1843"/>
      <c r="K239" s="1841">
        <f>BS!E55</f>
        <v>0</v>
      </c>
      <c r="L239" s="1844"/>
    </row>
    <row r="240" spans="1:12" s="921" customFormat="1" ht="27.75" customHeight="1" x14ac:dyDescent="0.25">
      <c r="A240" s="931" t="s">
        <v>756</v>
      </c>
      <c r="B240" s="1913" t="s">
        <v>1707</v>
      </c>
      <c r="C240" s="1914"/>
      <c r="D240" s="1914"/>
      <c r="E240" s="1914"/>
      <c r="F240" s="1915"/>
      <c r="G240" s="936" t="s">
        <v>1599</v>
      </c>
      <c r="H240" s="966"/>
      <c r="I240" s="1850" t="e">
        <f>BS!#REF!</f>
        <v>#REF!</v>
      </c>
      <c r="J240" s="1852"/>
      <c r="K240" s="1850" t="e">
        <f>BS!#REF!</f>
        <v>#REF!</v>
      </c>
      <c r="L240" s="1853"/>
    </row>
    <row r="241" spans="1:12" s="921" customFormat="1" ht="27.75" customHeight="1" x14ac:dyDescent="0.25">
      <c r="A241" s="931" t="s">
        <v>498</v>
      </c>
      <c r="B241" s="1913" t="s">
        <v>1708</v>
      </c>
      <c r="C241" s="1914"/>
      <c r="D241" s="1914"/>
      <c r="E241" s="1914"/>
      <c r="F241" s="1915"/>
      <c r="G241" s="936" t="s">
        <v>1600</v>
      </c>
      <c r="H241" s="966"/>
      <c r="I241" s="1850" t="e">
        <f>BS!#REF!</f>
        <v>#REF!</v>
      </c>
      <c r="J241" s="1852"/>
      <c r="K241" s="1850" t="e">
        <f>BS!#REF!</f>
        <v>#REF!</v>
      </c>
      <c r="L241" s="1853"/>
    </row>
    <row r="242" spans="1:12" s="921" customFormat="1" ht="27.75" customHeight="1" x14ac:dyDescent="0.25">
      <c r="A242" s="1050" t="s">
        <v>1601</v>
      </c>
      <c r="B242" s="1923" t="s">
        <v>1709</v>
      </c>
      <c r="C242" s="1923"/>
      <c r="D242" s="1924"/>
      <c r="E242" s="1924"/>
      <c r="F242" s="1924"/>
      <c r="G242" s="976" t="s">
        <v>1602</v>
      </c>
      <c r="H242" s="977"/>
      <c r="I242" s="1925">
        <f>BS!D56</f>
        <v>0</v>
      </c>
      <c r="J242" s="1926"/>
      <c r="K242" s="1925">
        <f>BS!E56</f>
        <v>0</v>
      </c>
      <c r="L242" s="1927"/>
    </row>
    <row r="243" spans="1:12" s="921" customFormat="1" ht="27.75" customHeight="1" x14ac:dyDescent="0.25">
      <c r="A243" s="1030" t="s">
        <v>1603</v>
      </c>
      <c r="B243" s="1910" t="s">
        <v>1003</v>
      </c>
      <c r="C243" s="1911"/>
      <c r="D243" s="1911"/>
      <c r="E243" s="1911"/>
      <c r="F243" s="1912"/>
      <c r="G243" s="935" t="s">
        <v>1604</v>
      </c>
      <c r="H243" s="965"/>
      <c r="I243" s="1841">
        <f>BS!D57</f>
        <v>0</v>
      </c>
      <c r="J243" s="1843"/>
      <c r="K243" s="1841">
        <f>BS!E57</f>
        <v>0</v>
      </c>
      <c r="L243" s="1844"/>
    </row>
    <row r="244" spans="1:12" s="921" customFormat="1" ht="27.75" customHeight="1" x14ac:dyDescent="0.25">
      <c r="A244" s="1030" t="s">
        <v>629</v>
      </c>
      <c r="B244" s="1910" t="s">
        <v>1710</v>
      </c>
      <c r="C244" s="1911"/>
      <c r="D244" s="1911"/>
      <c r="E244" s="1911"/>
      <c r="F244" s="1912"/>
      <c r="G244" s="935" t="s">
        <v>1605</v>
      </c>
      <c r="H244" s="965"/>
      <c r="I244" s="1841" t="e">
        <f>BS!#REF!</f>
        <v>#REF!</v>
      </c>
      <c r="J244" s="1843"/>
      <c r="K244" s="1841" t="e">
        <f>BS!#REF!</f>
        <v>#REF!</v>
      </c>
      <c r="L244" s="1844"/>
    </row>
    <row r="245" spans="1:12" s="921" customFormat="1" ht="27.75" customHeight="1" x14ac:dyDescent="0.25">
      <c r="A245" s="1039" t="s">
        <v>632</v>
      </c>
      <c r="B245" s="1913" t="s">
        <v>998</v>
      </c>
      <c r="C245" s="1914"/>
      <c r="D245" s="1914"/>
      <c r="E245" s="1914"/>
      <c r="F245" s="1915"/>
      <c r="G245" s="936" t="s">
        <v>1606</v>
      </c>
      <c r="H245" s="966"/>
      <c r="I245" s="1850" t="e">
        <f>BS!#REF!</f>
        <v>#REF!</v>
      </c>
      <c r="J245" s="1852"/>
      <c r="K245" s="1850" t="e">
        <f>BS!#REF!</f>
        <v>#REF!</v>
      </c>
      <c r="L245" s="1853"/>
    </row>
    <row r="246" spans="1:12" s="921" customFormat="1" ht="27.75" customHeight="1" x14ac:dyDescent="0.25">
      <c r="A246" s="1039" t="s">
        <v>498</v>
      </c>
      <c r="B246" s="1913" t="s">
        <v>997</v>
      </c>
      <c r="C246" s="1914"/>
      <c r="D246" s="1914"/>
      <c r="E246" s="1914"/>
      <c r="F246" s="1915"/>
      <c r="G246" s="936" t="s">
        <v>1607</v>
      </c>
      <c r="H246" s="966"/>
      <c r="I246" s="1850" t="e">
        <f>BS!#REF!</f>
        <v>#REF!</v>
      </c>
      <c r="J246" s="1852"/>
      <c r="K246" s="1850" t="e">
        <f>BS!#REF!</f>
        <v>#REF!</v>
      </c>
      <c r="L246" s="1853"/>
    </row>
    <row r="247" spans="1:12" s="921" customFormat="1" ht="27.75" customHeight="1" x14ac:dyDescent="0.25">
      <c r="A247" s="1039" t="s">
        <v>501</v>
      </c>
      <c r="B247" s="1913" t="s">
        <v>1711</v>
      </c>
      <c r="C247" s="1914"/>
      <c r="D247" s="1914"/>
      <c r="E247" s="1914"/>
      <c r="F247" s="1915"/>
      <c r="G247" s="936" t="s">
        <v>1608</v>
      </c>
      <c r="H247" s="966"/>
      <c r="I247" s="1850" t="e">
        <f>BS!#REF!</f>
        <v>#REF!</v>
      </c>
      <c r="J247" s="1852"/>
      <c r="K247" s="1850" t="e">
        <f>BS!#REF!</f>
        <v>#REF!</v>
      </c>
      <c r="L247" s="1853"/>
    </row>
    <row r="248" spans="1:12" ht="27.75" customHeight="1" thickBot="1" x14ac:dyDescent="0.3">
      <c r="A248" s="1048" t="s">
        <v>504</v>
      </c>
      <c r="B248" s="1919" t="s">
        <v>1712</v>
      </c>
      <c r="C248" s="1920"/>
      <c r="D248" s="1920"/>
      <c r="E248" s="1920"/>
      <c r="F248" s="1921"/>
      <c r="G248" s="1022" t="s">
        <v>1609</v>
      </c>
      <c r="H248" s="1023"/>
      <c r="I248" s="1864" t="e">
        <f>BS!#REF!</f>
        <v>#REF!</v>
      </c>
      <c r="J248" s="1922"/>
      <c r="K248" s="1864" t="e">
        <f>BS!#REF!</f>
        <v>#REF!</v>
      </c>
      <c r="L248" s="1866"/>
    </row>
    <row r="249" spans="1:12" ht="27.75" customHeight="1" x14ac:dyDescent="0.25">
      <c r="A249" s="923"/>
      <c r="B249" s="924"/>
      <c r="C249" s="924"/>
      <c r="D249" s="932"/>
      <c r="E249" s="932"/>
      <c r="F249" s="932"/>
      <c r="G249" s="925"/>
      <c r="H249" s="925"/>
      <c r="I249" s="926"/>
      <c r="J249" s="926"/>
      <c r="K249" s="926"/>
      <c r="L249" s="926"/>
    </row>
    <row r="250" spans="1:12" ht="24.75" customHeight="1" x14ac:dyDescent="0.25"/>
    <row r="251" spans="1:12" ht="24.75" customHeight="1" x14ac:dyDescent="0.25"/>
    <row r="252" spans="1:12" ht="24.75" customHeight="1" x14ac:dyDescent="0.25"/>
  </sheetData>
  <mergeCells count="816">
    <mergeCell ref="B247:F247"/>
    <mergeCell ref="I247:J247"/>
    <mergeCell ref="K247:L247"/>
    <mergeCell ref="B248:F248"/>
    <mergeCell ref="I248:J248"/>
    <mergeCell ref="K248:L248"/>
    <mergeCell ref="B245:F245"/>
    <mergeCell ref="I245:J245"/>
    <mergeCell ref="K245:L245"/>
    <mergeCell ref="B246:F246"/>
    <mergeCell ref="I246:J246"/>
    <mergeCell ref="K246:L246"/>
    <mergeCell ref="B243:F243"/>
    <mergeCell ref="I243:J243"/>
    <mergeCell ref="K243:L243"/>
    <mergeCell ref="B244:F244"/>
    <mergeCell ref="I244:J244"/>
    <mergeCell ref="K244:L244"/>
    <mergeCell ref="B241:F241"/>
    <mergeCell ref="I241:J241"/>
    <mergeCell ref="K241:L241"/>
    <mergeCell ref="B242:F242"/>
    <mergeCell ref="I242:J242"/>
    <mergeCell ref="K242:L242"/>
    <mergeCell ref="B239:F239"/>
    <mergeCell ref="I239:J239"/>
    <mergeCell ref="K239:L239"/>
    <mergeCell ref="B240:F240"/>
    <mergeCell ref="I240:J240"/>
    <mergeCell ref="K240:L240"/>
    <mergeCell ref="B237:F237"/>
    <mergeCell ref="I237:J237"/>
    <mergeCell ref="K237:L237"/>
    <mergeCell ref="B238:F238"/>
    <mergeCell ref="I238:J238"/>
    <mergeCell ref="K238:L238"/>
    <mergeCell ref="B235:F235"/>
    <mergeCell ref="I235:J235"/>
    <mergeCell ref="K235:L235"/>
    <mergeCell ref="B236:F236"/>
    <mergeCell ref="I236:J236"/>
    <mergeCell ref="K236:L236"/>
    <mergeCell ref="B233:F233"/>
    <mergeCell ref="I233:J233"/>
    <mergeCell ref="K233:L233"/>
    <mergeCell ref="B234:F234"/>
    <mergeCell ref="I234:J234"/>
    <mergeCell ref="K234:L234"/>
    <mergeCell ref="B231:F231"/>
    <mergeCell ref="I231:J231"/>
    <mergeCell ref="K231:L231"/>
    <mergeCell ref="B232:F232"/>
    <mergeCell ref="I232:J232"/>
    <mergeCell ref="K232:L232"/>
    <mergeCell ref="B229:F229"/>
    <mergeCell ref="I229:J229"/>
    <mergeCell ref="K229:L229"/>
    <mergeCell ref="B230:F230"/>
    <mergeCell ref="I230:J230"/>
    <mergeCell ref="K230:L230"/>
    <mergeCell ref="B227:F227"/>
    <mergeCell ref="I227:J227"/>
    <mergeCell ref="K227:L227"/>
    <mergeCell ref="B228:F228"/>
    <mergeCell ref="I228:J228"/>
    <mergeCell ref="K228:L228"/>
    <mergeCell ref="B225:F225"/>
    <mergeCell ref="I225:J225"/>
    <mergeCell ref="K225:L225"/>
    <mergeCell ref="B226:F226"/>
    <mergeCell ref="I226:J226"/>
    <mergeCell ref="K226:L226"/>
    <mergeCell ref="B223:F223"/>
    <mergeCell ref="I223:J223"/>
    <mergeCell ref="K223:L223"/>
    <mergeCell ref="B224:F224"/>
    <mergeCell ref="I224:J224"/>
    <mergeCell ref="K224:L224"/>
    <mergeCell ref="B221:F221"/>
    <mergeCell ref="I221:J221"/>
    <mergeCell ref="K221:L221"/>
    <mergeCell ref="B222:F222"/>
    <mergeCell ref="I222:J222"/>
    <mergeCell ref="K222:L222"/>
    <mergeCell ref="B219:F219"/>
    <mergeCell ref="I219:J219"/>
    <mergeCell ref="K219:L219"/>
    <mergeCell ref="B220:F220"/>
    <mergeCell ref="I220:J220"/>
    <mergeCell ref="K220:L220"/>
    <mergeCell ref="B217:F217"/>
    <mergeCell ref="I217:J217"/>
    <mergeCell ref="K217:L217"/>
    <mergeCell ref="B218:F218"/>
    <mergeCell ref="I218:J218"/>
    <mergeCell ref="K218:L218"/>
    <mergeCell ref="B215:F215"/>
    <mergeCell ref="I215:J215"/>
    <mergeCell ref="K215:L215"/>
    <mergeCell ref="B216:F216"/>
    <mergeCell ref="I216:J216"/>
    <mergeCell ref="K216:L216"/>
    <mergeCell ref="B213:F213"/>
    <mergeCell ref="I213:J213"/>
    <mergeCell ref="K213:L213"/>
    <mergeCell ref="B214:F214"/>
    <mergeCell ref="I214:J214"/>
    <mergeCell ref="K214:L214"/>
    <mergeCell ref="B211:F211"/>
    <mergeCell ref="I211:J211"/>
    <mergeCell ref="K211:L211"/>
    <mergeCell ref="B212:F212"/>
    <mergeCell ref="I212:J212"/>
    <mergeCell ref="K212:L212"/>
    <mergeCell ref="B209:F209"/>
    <mergeCell ref="I209:J209"/>
    <mergeCell ref="K209:L209"/>
    <mergeCell ref="B210:F210"/>
    <mergeCell ref="I210:J210"/>
    <mergeCell ref="K210:L210"/>
    <mergeCell ref="B207:F207"/>
    <mergeCell ref="I207:J207"/>
    <mergeCell ref="K207:L207"/>
    <mergeCell ref="B208:F208"/>
    <mergeCell ref="I208:J208"/>
    <mergeCell ref="K208:L208"/>
    <mergeCell ref="B205:F205"/>
    <mergeCell ref="I205:J205"/>
    <mergeCell ref="K205:L205"/>
    <mergeCell ref="B206:F206"/>
    <mergeCell ref="I206:J206"/>
    <mergeCell ref="K206:L206"/>
    <mergeCell ref="B203:F203"/>
    <mergeCell ref="I203:J203"/>
    <mergeCell ref="K203:L203"/>
    <mergeCell ref="B204:F204"/>
    <mergeCell ref="I204:J204"/>
    <mergeCell ref="K204:L204"/>
    <mergeCell ref="B201:F201"/>
    <mergeCell ref="I201:J201"/>
    <mergeCell ref="K201:L201"/>
    <mergeCell ref="B202:F202"/>
    <mergeCell ref="I202:J202"/>
    <mergeCell ref="K202:L202"/>
    <mergeCell ref="B199:F199"/>
    <mergeCell ref="I199:J199"/>
    <mergeCell ref="K199:L199"/>
    <mergeCell ref="B200:F200"/>
    <mergeCell ref="I200:J200"/>
    <mergeCell ref="K200:L200"/>
    <mergeCell ref="B197:F197"/>
    <mergeCell ref="I197:J197"/>
    <mergeCell ref="K197:L197"/>
    <mergeCell ref="B198:F198"/>
    <mergeCell ref="I198:J198"/>
    <mergeCell ref="K198:L198"/>
    <mergeCell ref="B195:F195"/>
    <mergeCell ref="I195:J195"/>
    <mergeCell ref="K195:L195"/>
    <mergeCell ref="B196:F196"/>
    <mergeCell ref="I196:J196"/>
    <mergeCell ref="K196:L196"/>
    <mergeCell ref="B193:F193"/>
    <mergeCell ref="I193:J193"/>
    <mergeCell ref="K193:L193"/>
    <mergeCell ref="B194:F194"/>
    <mergeCell ref="I194:J194"/>
    <mergeCell ref="K194:L194"/>
    <mergeCell ref="B191:F191"/>
    <mergeCell ref="I191:J191"/>
    <mergeCell ref="K191:L191"/>
    <mergeCell ref="B192:F192"/>
    <mergeCell ref="I192:J192"/>
    <mergeCell ref="K192:L192"/>
    <mergeCell ref="B189:F189"/>
    <mergeCell ref="I189:J189"/>
    <mergeCell ref="K189:L189"/>
    <mergeCell ref="B190:F190"/>
    <mergeCell ref="I190:J190"/>
    <mergeCell ref="K190:L190"/>
    <mergeCell ref="B187:F187"/>
    <mergeCell ref="I187:J187"/>
    <mergeCell ref="K187:L187"/>
    <mergeCell ref="B188:F188"/>
    <mergeCell ref="I188:J188"/>
    <mergeCell ref="K188:L188"/>
    <mergeCell ref="B185:F185"/>
    <mergeCell ref="I185:J185"/>
    <mergeCell ref="K185:L185"/>
    <mergeCell ref="B186:F186"/>
    <mergeCell ref="I186:J186"/>
    <mergeCell ref="K186:L186"/>
    <mergeCell ref="B183:F183"/>
    <mergeCell ref="I183:J183"/>
    <mergeCell ref="K183:L183"/>
    <mergeCell ref="B184:F184"/>
    <mergeCell ref="I184:J184"/>
    <mergeCell ref="K184:L184"/>
    <mergeCell ref="B181:F181"/>
    <mergeCell ref="I181:J181"/>
    <mergeCell ref="K181:L181"/>
    <mergeCell ref="B182:F182"/>
    <mergeCell ref="I182:J182"/>
    <mergeCell ref="K182:L182"/>
    <mergeCell ref="B179:F179"/>
    <mergeCell ref="I179:J179"/>
    <mergeCell ref="K179:L179"/>
    <mergeCell ref="B180:F180"/>
    <mergeCell ref="I180:J180"/>
    <mergeCell ref="K180:L180"/>
    <mergeCell ref="A176:A177"/>
    <mergeCell ref="B176:B177"/>
    <mergeCell ref="D176:D177"/>
    <mergeCell ref="E176:G176"/>
    <mergeCell ref="I176:K176"/>
    <mergeCell ref="E177:G177"/>
    <mergeCell ref="J177:L177"/>
    <mergeCell ref="A174:A175"/>
    <mergeCell ref="B174:B175"/>
    <mergeCell ref="D174:D175"/>
    <mergeCell ref="E174:G174"/>
    <mergeCell ref="I174:K174"/>
    <mergeCell ref="E175:G175"/>
    <mergeCell ref="J175:L175"/>
    <mergeCell ref="A172:A173"/>
    <mergeCell ref="B172:B173"/>
    <mergeCell ref="D172:D173"/>
    <mergeCell ref="E172:G172"/>
    <mergeCell ref="I172:K172"/>
    <mergeCell ref="E173:G173"/>
    <mergeCell ref="J173:L173"/>
    <mergeCell ref="A170:A171"/>
    <mergeCell ref="B170:B171"/>
    <mergeCell ref="D170:D171"/>
    <mergeCell ref="E170:G170"/>
    <mergeCell ref="I170:K170"/>
    <mergeCell ref="E171:G171"/>
    <mergeCell ref="J171:L171"/>
    <mergeCell ref="A168:A169"/>
    <mergeCell ref="B168:B169"/>
    <mergeCell ref="D168:D169"/>
    <mergeCell ref="E168:G168"/>
    <mergeCell ref="I168:K168"/>
    <mergeCell ref="E169:G169"/>
    <mergeCell ref="J169:L169"/>
    <mergeCell ref="A166:A167"/>
    <mergeCell ref="B166:B167"/>
    <mergeCell ref="D166:D167"/>
    <mergeCell ref="E166:G166"/>
    <mergeCell ref="I166:K166"/>
    <mergeCell ref="E167:G167"/>
    <mergeCell ref="J167:L167"/>
    <mergeCell ref="A164:A165"/>
    <mergeCell ref="B164:B165"/>
    <mergeCell ref="D164:D165"/>
    <mergeCell ref="E164:G164"/>
    <mergeCell ref="I164:K164"/>
    <mergeCell ref="E165:G165"/>
    <mergeCell ref="J165:L165"/>
    <mergeCell ref="A162:A163"/>
    <mergeCell ref="B162:B163"/>
    <mergeCell ref="D162:D163"/>
    <mergeCell ref="E162:G162"/>
    <mergeCell ref="I162:K162"/>
    <mergeCell ref="E163:G163"/>
    <mergeCell ref="J163:L163"/>
    <mergeCell ref="A159:A161"/>
    <mergeCell ref="B159:B161"/>
    <mergeCell ref="D159:D161"/>
    <mergeCell ref="E159:J159"/>
    <mergeCell ref="K159:L160"/>
    <mergeCell ref="E160:E161"/>
    <mergeCell ref="F160:G160"/>
    <mergeCell ref="I160:J161"/>
    <mergeCell ref="F161:G161"/>
    <mergeCell ref="K161:L161"/>
    <mergeCell ref="A157:A158"/>
    <mergeCell ref="B157:B158"/>
    <mergeCell ref="D157:D158"/>
    <mergeCell ref="E157:G157"/>
    <mergeCell ref="I157:K157"/>
    <mergeCell ref="E158:G158"/>
    <mergeCell ref="J158:L158"/>
    <mergeCell ref="A155:A156"/>
    <mergeCell ref="B155:B156"/>
    <mergeCell ref="D155:D156"/>
    <mergeCell ref="E155:G155"/>
    <mergeCell ref="I155:K155"/>
    <mergeCell ref="E156:G156"/>
    <mergeCell ref="J156:L156"/>
    <mergeCell ref="A153:A154"/>
    <mergeCell ref="B153:B154"/>
    <mergeCell ref="D153:D154"/>
    <mergeCell ref="E153:G153"/>
    <mergeCell ref="I153:K153"/>
    <mergeCell ref="E154:G154"/>
    <mergeCell ref="J154:L154"/>
    <mergeCell ref="A151:A152"/>
    <mergeCell ref="B151:B152"/>
    <mergeCell ref="D151:D152"/>
    <mergeCell ref="E151:G151"/>
    <mergeCell ref="I151:K151"/>
    <mergeCell ref="E152:G152"/>
    <mergeCell ref="J152:L152"/>
    <mergeCell ref="A149:A150"/>
    <mergeCell ref="B149:B150"/>
    <mergeCell ref="D149:D150"/>
    <mergeCell ref="E149:G149"/>
    <mergeCell ref="I149:K149"/>
    <mergeCell ref="E150:G150"/>
    <mergeCell ref="J150:L150"/>
    <mergeCell ref="A147:A148"/>
    <mergeCell ref="B147:B148"/>
    <mergeCell ref="D147:D148"/>
    <mergeCell ref="E147:G147"/>
    <mergeCell ref="I147:K147"/>
    <mergeCell ref="E148:G148"/>
    <mergeCell ref="J148:L148"/>
    <mergeCell ref="A145:A146"/>
    <mergeCell ref="B145:B146"/>
    <mergeCell ref="D145:D146"/>
    <mergeCell ref="E145:G145"/>
    <mergeCell ref="I145:K145"/>
    <mergeCell ref="E146:G146"/>
    <mergeCell ref="J146:L146"/>
    <mergeCell ref="A143:A144"/>
    <mergeCell ref="B143:B144"/>
    <mergeCell ref="D143:D144"/>
    <mergeCell ref="E143:G143"/>
    <mergeCell ref="I143:K143"/>
    <mergeCell ref="E144:G144"/>
    <mergeCell ref="J144:L144"/>
    <mergeCell ref="A141:A142"/>
    <mergeCell ref="B141:B142"/>
    <mergeCell ref="D141:D142"/>
    <mergeCell ref="E141:G141"/>
    <mergeCell ref="I141:K141"/>
    <mergeCell ref="E142:G142"/>
    <mergeCell ref="J142:L142"/>
    <mergeCell ref="A139:A140"/>
    <mergeCell ref="B139:B140"/>
    <mergeCell ref="D139:D140"/>
    <mergeCell ref="E139:G139"/>
    <mergeCell ref="I139:K139"/>
    <mergeCell ref="E140:G140"/>
    <mergeCell ref="J140:L140"/>
    <mergeCell ref="A137:A138"/>
    <mergeCell ref="B137:B138"/>
    <mergeCell ref="D137:D138"/>
    <mergeCell ref="E137:G137"/>
    <mergeCell ref="I137:K137"/>
    <mergeCell ref="E138:G138"/>
    <mergeCell ref="J138:L138"/>
    <mergeCell ref="A135:A136"/>
    <mergeCell ref="B135:B136"/>
    <mergeCell ref="D135:D136"/>
    <mergeCell ref="E135:G135"/>
    <mergeCell ref="I135:K135"/>
    <mergeCell ref="E136:G136"/>
    <mergeCell ref="J136:L136"/>
    <mergeCell ref="A133:A134"/>
    <mergeCell ref="B133:B134"/>
    <mergeCell ref="D133:D134"/>
    <mergeCell ref="E133:G133"/>
    <mergeCell ref="I133:K133"/>
    <mergeCell ref="E134:G134"/>
    <mergeCell ref="J134:L134"/>
    <mergeCell ref="A131:A132"/>
    <mergeCell ref="B131:B132"/>
    <mergeCell ref="D131:D132"/>
    <mergeCell ref="E131:G131"/>
    <mergeCell ref="I131:K131"/>
    <mergeCell ref="E132:G132"/>
    <mergeCell ref="J132:L132"/>
    <mergeCell ref="A128:A130"/>
    <mergeCell ref="B128:B130"/>
    <mergeCell ref="D128:D130"/>
    <mergeCell ref="E128:J128"/>
    <mergeCell ref="K128:L129"/>
    <mergeCell ref="E129:E130"/>
    <mergeCell ref="F129:G129"/>
    <mergeCell ref="I129:J130"/>
    <mergeCell ref="F130:G130"/>
    <mergeCell ref="K130:L130"/>
    <mergeCell ref="A126:A127"/>
    <mergeCell ref="B126:B127"/>
    <mergeCell ref="D126:D127"/>
    <mergeCell ref="E126:G126"/>
    <mergeCell ref="I126:K126"/>
    <mergeCell ref="E127:G127"/>
    <mergeCell ref="J127:L127"/>
    <mergeCell ref="A124:A125"/>
    <mergeCell ref="B124:B125"/>
    <mergeCell ref="D124:D125"/>
    <mergeCell ref="E124:G124"/>
    <mergeCell ref="I124:K124"/>
    <mergeCell ref="E125:G125"/>
    <mergeCell ref="J125:L125"/>
    <mergeCell ref="A122:A123"/>
    <mergeCell ref="B122:B123"/>
    <mergeCell ref="D122:D123"/>
    <mergeCell ref="E122:G122"/>
    <mergeCell ref="I122:K122"/>
    <mergeCell ref="E123:G123"/>
    <mergeCell ref="J123:L123"/>
    <mergeCell ref="A120:A121"/>
    <mergeCell ref="B120:B121"/>
    <mergeCell ref="D120:D121"/>
    <mergeCell ref="E120:G120"/>
    <mergeCell ref="I120:K120"/>
    <mergeCell ref="E121:G121"/>
    <mergeCell ref="J121:L121"/>
    <mergeCell ref="A118:A119"/>
    <mergeCell ref="B118:B119"/>
    <mergeCell ref="D118:D119"/>
    <mergeCell ref="E118:G118"/>
    <mergeCell ref="I118:K118"/>
    <mergeCell ref="E119:G119"/>
    <mergeCell ref="J119:L119"/>
    <mergeCell ref="A116:A117"/>
    <mergeCell ref="B116:B117"/>
    <mergeCell ref="D116:D117"/>
    <mergeCell ref="E116:G116"/>
    <mergeCell ref="I116:K116"/>
    <mergeCell ref="E117:G117"/>
    <mergeCell ref="J117:L117"/>
    <mergeCell ref="A114:A115"/>
    <mergeCell ref="B114:B115"/>
    <mergeCell ref="D114:D115"/>
    <mergeCell ref="E114:G114"/>
    <mergeCell ref="I114:K114"/>
    <mergeCell ref="E115:G115"/>
    <mergeCell ref="J115:L115"/>
    <mergeCell ref="A112:A113"/>
    <mergeCell ref="B112:B113"/>
    <mergeCell ref="D112:D113"/>
    <mergeCell ref="E112:G112"/>
    <mergeCell ref="I112:K112"/>
    <mergeCell ref="E113:G113"/>
    <mergeCell ref="J113:L113"/>
    <mergeCell ref="A110:A111"/>
    <mergeCell ref="B110:B111"/>
    <mergeCell ref="D110:D111"/>
    <mergeCell ref="E110:G110"/>
    <mergeCell ref="I110:K110"/>
    <mergeCell ref="E111:G111"/>
    <mergeCell ref="J111:L111"/>
    <mergeCell ref="A108:A109"/>
    <mergeCell ref="B108:B109"/>
    <mergeCell ref="D108:D109"/>
    <mergeCell ref="E108:G108"/>
    <mergeCell ref="I108:K108"/>
    <mergeCell ref="E109:G109"/>
    <mergeCell ref="J109:L109"/>
    <mergeCell ref="A106:A107"/>
    <mergeCell ref="B106:B107"/>
    <mergeCell ref="D106:D107"/>
    <mergeCell ref="E106:G106"/>
    <mergeCell ref="I106:K106"/>
    <mergeCell ref="E107:G107"/>
    <mergeCell ref="J107:L107"/>
    <mergeCell ref="A104:A105"/>
    <mergeCell ref="B104:B105"/>
    <mergeCell ref="D104:D105"/>
    <mergeCell ref="E104:G104"/>
    <mergeCell ref="I104:K104"/>
    <mergeCell ref="E105:G105"/>
    <mergeCell ref="J105:L105"/>
    <mergeCell ref="A102:A103"/>
    <mergeCell ref="B102:B103"/>
    <mergeCell ref="D102:D103"/>
    <mergeCell ref="E102:G102"/>
    <mergeCell ref="I102:K102"/>
    <mergeCell ref="E103:G103"/>
    <mergeCell ref="J103:L103"/>
    <mergeCell ref="A100:A101"/>
    <mergeCell ref="B100:B101"/>
    <mergeCell ref="D100:D101"/>
    <mergeCell ref="E100:G100"/>
    <mergeCell ref="I100:K100"/>
    <mergeCell ref="E101:G101"/>
    <mergeCell ref="J101:L101"/>
    <mergeCell ref="A97:A99"/>
    <mergeCell ref="B97:B99"/>
    <mergeCell ref="D97:D99"/>
    <mergeCell ref="E97:J97"/>
    <mergeCell ref="K97:L98"/>
    <mergeCell ref="E98:E99"/>
    <mergeCell ref="F98:G98"/>
    <mergeCell ref="I98:J99"/>
    <mergeCell ref="F99:G99"/>
    <mergeCell ref="K99:L99"/>
    <mergeCell ref="A95:A96"/>
    <mergeCell ref="B95:B96"/>
    <mergeCell ref="D95:D96"/>
    <mergeCell ref="E95:G95"/>
    <mergeCell ref="I95:K95"/>
    <mergeCell ref="E96:G96"/>
    <mergeCell ref="J96:L96"/>
    <mergeCell ref="A93:A94"/>
    <mergeCell ref="B93:B94"/>
    <mergeCell ref="D93:D94"/>
    <mergeCell ref="E93:G93"/>
    <mergeCell ref="I93:K93"/>
    <mergeCell ref="E94:G94"/>
    <mergeCell ref="J94:L94"/>
    <mergeCell ref="A91:A92"/>
    <mergeCell ref="B91:B92"/>
    <mergeCell ref="D91:D92"/>
    <mergeCell ref="E91:G91"/>
    <mergeCell ref="I91:K91"/>
    <mergeCell ref="E92:G92"/>
    <mergeCell ref="J92:L92"/>
    <mergeCell ref="A89:A90"/>
    <mergeCell ref="B89:B90"/>
    <mergeCell ref="D89:D90"/>
    <mergeCell ref="E89:G89"/>
    <mergeCell ref="I89:K89"/>
    <mergeCell ref="E90:G90"/>
    <mergeCell ref="J90:L90"/>
    <mergeCell ref="A87:A88"/>
    <mergeCell ref="B87:B88"/>
    <mergeCell ref="D87:D88"/>
    <mergeCell ref="E87:G87"/>
    <mergeCell ref="I87:K87"/>
    <mergeCell ref="E88:G88"/>
    <mergeCell ref="J88:L88"/>
    <mergeCell ref="A85:A86"/>
    <mergeCell ref="B85:B86"/>
    <mergeCell ref="D85:D86"/>
    <mergeCell ref="E85:G85"/>
    <mergeCell ref="I85:K85"/>
    <mergeCell ref="E86:G86"/>
    <mergeCell ref="J86:L86"/>
    <mergeCell ref="A83:A84"/>
    <mergeCell ref="B83:B84"/>
    <mergeCell ref="D83:D84"/>
    <mergeCell ref="E83:G83"/>
    <mergeCell ref="I83:K83"/>
    <mergeCell ref="E84:G84"/>
    <mergeCell ref="J84:L84"/>
    <mergeCell ref="A81:A82"/>
    <mergeCell ref="B81:B82"/>
    <mergeCell ref="D81:D82"/>
    <mergeCell ref="E81:G81"/>
    <mergeCell ref="I81:K81"/>
    <mergeCell ref="E82:G82"/>
    <mergeCell ref="J82:L82"/>
    <mergeCell ref="A79:A80"/>
    <mergeCell ref="B79:B80"/>
    <mergeCell ref="D79:D80"/>
    <mergeCell ref="E79:G79"/>
    <mergeCell ref="I79:K79"/>
    <mergeCell ref="E80:G80"/>
    <mergeCell ref="J80:L80"/>
    <mergeCell ref="A77:A78"/>
    <mergeCell ref="B77:B78"/>
    <mergeCell ref="D77:D78"/>
    <mergeCell ref="E77:G77"/>
    <mergeCell ref="I77:K77"/>
    <mergeCell ref="E78:G78"/>
    <mergeCell ref="J78:L78"/>
    <mergeCell ref="A75:A76"/>
    <mergeCell ref="B75:B76"/>
    <mergeCell ref="D75:D76"/>
    <mergeCell ref="E75:G75"/>
    <mergeCell ref="I75:K75"/>
    <mergeCell ref="E76:G76"/>
    <mergeCell ref="J76:L76"/>
    <mergeCell ref="A73:A74"/>
    <mergeCell ref="B73:B74"/>
    <mergeCell ref="D73:D74"/>
    <mergeCell ref="E73:G73"/>
    <mergeCell ref="I73:K73"/>
    <mergeCell ref="E74:G74"/>
    <mergeCell ref="J74:L74"/>
    <mergeCell ref="A71:A72"/>
    <mergeCell ref="B71:B72"/>
    <mergeCell ref="D71:D72"/>
    <mergeCell ref="E71:G71"/>
    <mergeCell ref="I71:K71"/>
    <mergeCell ref="E72:G72"/>
    <mergeCell ref="J72:L72"/>
    <mergeCell ref="A69:A70"/>
    <mergeCell ref="B69:B70"/>
    <mergeCell ref="D69:D70"/>
    <mergeCell ref="E69:G69"/>
    <mergeCell ref="I69:K69"/>
    <mergeCell ref="E70:G70"/>
    <mergeCell ref="J70:L70"/>
    <mergeCell ref="A66:A68"/>
    <mergeCell ref="B66:B68"/>
    <mergeCell ref="D66:D68"/>
    <mergeCell ref="E66:J66"/>
    <mergeCell ref="K66:L67"/>
    <mergeCell ref="E67:E68"/>
    <mergeCell ref="F67:G67"/>
    <mergeCell ref="I67:J68"/>
    <mergeCell ref="F68:G68"/>
    <mergeCell ref="K68:L68"/>
    <mergeCell ref="A64:A65"/>
    <mergeCell ref="B64:B65"/>
    <mergeCell ref="D64:D65"/>
    <mergeCell ref="E64:G64"/>
    <mergeCell ref="I64:K64"/>
    <mergeCell ref="E65:G65"/>
    <mergeCell ref="J65:L65"/>
    <mergeCell ref="A62:A63"/>
    <mergeCell ref="B62:B63"/>
    <mergeCell ref="D62:D63"/>
    <mergeCell ref="E62:G62"/>
    <mergeCell ref="I62:K62"/>
    <mergeCell ref="E63:G63"/>
    <mergeCell ref="J63:L63"/>
    <mergeCell ref="A60:A61"/>
    <mergeCell ref="B60:B61"/>
    <mergeCell ref="D60:D61"/>
    <mergeCell ref="E60:G60"/>
    <mergeCell ref="I60:K60"/>
    <mergeCell ref="E61:G61"/>
    <mergeCell ref="J61:L61"/>
    <mergeCell ref="A58:A59"/>
    <mergeCell ref="B58:B59"/>
    <mergeCell ref="D58:D59"/>
    <mergeCell ref="E58:G58"/>
    <mergeCell ref="I58:K58"/>
    <mergeCell ref="E59:G59"/>
    <mergeCell ref="J59:L59"/>
    <mergeCell ref="A56:A57"/>
    <mergeCell ref="B56:B57"/>
    <mergeCell ref="D56:D57"/>
    <mergeCell ref="E56:G56"/>
    <mergeCell ref="I56:K56"/>
    <mergeCell ref="E57:G57"/>
    <mergeCell ref="J57:L57"/>
    <mergeCell ref="A54:A55"/>
    <mergeCell ref="B54:B55"/>
    <mergeCell ref="D54:D55"/>
    <mergeCell ref="E54:G54"/>
    <mergeCell ref="I54:K54"/>
    <mergeCell ref="E55:G55"/>
    <mergeCell ref="J55:L55"/>
    <mergeCell ref="A52:A53"/>
    <mergeCell ref="B52:B53"/>
    <mergeCell ref="D52:D53"/>
    <mergeCell ref="E52:G52"/>
    <mergeCell ref="I52:K52"/>
    <mergeCell ref="E53:G53"/>
    <mergeCell ref="J53:L53"/>
    <mergeCell ref="A50:A51"/>
    <mergeCell ref="B50:B51"/>
    <mergeCell ref="D50:D51"/>
    <mergeCell ref="E50:G50"/>
    <mergeCell ref="I50:K50"/>
    <mergeCell ref="E51:G51"/>
    <mergeCell ref="J51:L51"/>
    <mergeCell ref="A48:A49"/>
    <mergeCell ref="B48:B49"/>
    <mergeCell ref="D48:D49"/>
    <mergeCell ref="E48:G48"/>
    <mergeCell ref="I48:K48"/>
    <mergeCell ref="E49:G49"/>
    <mergeCell ref="J49:L49"/>
    <mergeCell ref="A46:A47"/>
    <mergeCell ref="B46:B47"/>
    <mergeCell ref="D46:D47"/>
    <mergeCell ref="E46:G46"/>
    <mergeCell ref="I46:K46"/>
    <mergeCell ref="E47:G47"/>
    <mergeCell ref="J47:L47"/>
    <mergeCell ref="A44:A45"/>
    <mergeCell ref="B44:B45"/>
    <mergeCell ref="D44:D45"/>
    <mergeCell ref="E44:G44"/>
    <mergeCell ref="I44:K44"/>
    <mergeCell ref="E45:G45"/>
    <mergeCell ref="J45:L45"/>
    <mergeCell ref="A42:A43"/>
    <mergeCell ref="B42:B43"/>
    <mergeCell ref="D42:D43"/>
    <mergeCell ref="E42:G42"/>
    <mergeCell ref="I42:K42"/>
    <mergeCell ref="E43:G43"/>
    <mergeCell ref="J43:L43"/>
    <mergeCell ref="A40:A41"/>
    <mergeCell ref="B40:B41"/>
    <mergeCell ref="D40:D41"/>
    <mergeCell ref="E40:G40"/>
    <mergeCell ref="I40:K40"/>
    <mergeCell ref="E41:G41"/>
    <mergeCell ref="J41:L41"/>
    <mergeCell ref="A38:A39"/>
    <mergeCell ref="B38:B39"/>
    <mergeCell ref="D38:D39"/>
    <mergeCell ref="E38:G38"/>
    <mergeCell ref="I38:K38"/>
    <mergeCell ref="E39:G39"/>
    <mergeCell ref="J39:L39"/>
    <mergeCell ref="A35:A37"/>
    <mergeCell ref="B35:B37"/>
    <mergeCell ref="D35:D37"/>
    <mergeCell ref="E35:J35"/>
    <mergeCell ref="K35:L36"/>
    <mergeCell ref="E36:E37"/>
    <mergeCell ref="F36:G36"/>
    <mergeCell ref="I36:J37"/>
    <mergeCell ref="F37:G37"/>
    <mergeCell ref="K37:L37"/>
    <mergeCell ref="A33:A34"/>
    <mergeCell ref="B33:B34"/>
    <mergeCell ref="D33:D34"/>
    <mergeCell ref="E33:G33"/>
    <mergeCell ref="I33:K33"/>
    <mergeCell ref="E34:G34"/>
    <mergeCell ref="J34:L34"/>
    <mergeCell ref="A31:A32"/>
    <mergeCell ref="B31:B32"/>
    <mergeCell ref="D31:D32"/>
    <mergeCell ref="E31:G31"/>
    <mergeCell ref="I31:K31"/>
    <mergeCell ref="E32:G32"/>
    <mergeCell ref="J32:L32"/>
    <mergeCell ref="A29:A30"/>
    <mergeCell ref="B29:B30"/>
    <mergeCell ref="D29:D30"/>
    <mergeCell ref="E29:G29"/>
    <mergeCell ref="I29:K29"/>
    <mergeCell ref="E30:G30"/>
    <mergeCell ref="J30:L30"/>
    <mergeCell ref="A27:A28"/>
    <mergeCell ref="B27:B28"/>
    <mergeCell ref="D27:D28"/>
    <mergeCell ref="E27:G27"/>
    <mergeCell ref="I27:K27"/>
    <mergeCell ref="E28:G28"/>
    <mergeCell ref="J28:L28"/>
    <mergeCell ref="A25:A26"/>
    <mergeCell ref="B25:B26"/>
    <mergeCell ref="D25:D26"/>
    <mergeCell ref="E25:G25"/>
    <mergeCell ref="I25:K25"/>
    <mergeCell ref="E26:G26"/>
    <mergeCell ref="J26:L26"/>
    <mergeCell ref="A23:A24"/>
    <mergeCell ref="B23:B24"/>
    <mergeCell ref="D23:D24"/>
    <mergeCell ref="E23:G23"/>
    <mergeCell ref="I23:K23"/>
    <mergeCell ref="E24:G24"/>
    <mergeCell ref="J24:L24"/>
    <mergeCell ref="A21:A22"/>
    <mergeCell ref="B21:B22"/>
    <mergeCell ref="D21:D22"/>
    <mergeCell ref="E21:G21"/>
    <mergeCell ref="I21:K21"/>
    <mergeCell ref="E22:G22"/>
    <mergeCell ref="J22:L22"/>
    <mergeCell ref="A19:A20"/>
    <mergeCell ref="B19:B20"/>
    <mergeCell ref="D19:D20"/>
    <mergeCell ref="E19:G19"/>
    <mergeCell ref="I19:K19"/>
    <mergeCell ref="E20:G20"/>
    <mergeCell ref="J20:L20"/>
    <mergeCell ref="A17:A18"/>
    <mergeCell ref="B17:B18"/>
    <mergeCell ref="D17:D18"/>
    <mergeCell ref="E17:G17"/>
    <mergeCell ref="I17:K17"/>
    <mergeCell ref="E18:G18"/>
    <mergeCell ref="J18:L18"/>
    <mergeCell ref="A15:A16"/>
    <mergeCell ref="B15:B16"/>
    <mergeCell ref="D15:D16"/>
    <mergeCell ref="E15:G15"/>
    <mergeCell ref="I15:K15"/>
    <mergeCell ref="E16:G16"/>
    <mergeCell ref="J16:L16"/>
    <mergeCell ref="A13:A14"/>
    <mergeCell ref="B13:B14"/>
    <mergeCell ref="D13:D14"/>
    <mergeCell ref="E13:G13"/>
    <mergeCell ref="I13:K13"/>
    <mergeCell ref="E14:G14"/>
    <mergeCell ref="J14:L14"/>
    <mergeCell ref="A11:A12"/>
    <mergeCell ref="B11:B12"/>
    <mergeCell ref="D11:D12"/>
    <mergeCell ref="E11:G11"/>
    <mergeCell ref="I11:K11"/>
    <mergeCell ref="E12:G12"/>
    <mergeCell ref="J12:L12"/>
    <mergeCell ref="A9:A10"/>
    <mergeCell ref="B9:B10"/>
    <mergeCell ref="D9:D10"/>
    <mergeCell ref="E9:G9"/>
    <mergeCell ref="I9:K9"/>
    <mergeCell ref="E10:G10"/>
    <mergeCell ref="J10:L10"/>
    <mergeCell ref="A7:A8"/>
    <mergeCell ref="B7:B8"/>
    <mergeCell ref="D7:D8"/>
    <mergeCell ref="E7:G7"/>
    <mergeCell ref="I7:K7"/>
    <mergeCell ref="E8:G8"/>
    <mergeCell ref="J8:L8"/>
    <mergeCell ref="A4:A6"/>
    <mergeCell ref="B4:B6"/>
    <mergeCell ref="D4:D6"/>
    <mergeCell ref="E4:J4"/>
    <mergeCell ref="K4:L5"/>
    <mergeCell ref="E5:E6"/>
    <mergeCell ref="F5:G5"/>
    <mergeCell ref="I5:J6"/>
    <mergeCell ref="F6:G6"/>
    <mergeCell ref="K6:L6"/>
  </mergeCells>
  <pageMargins left="0.74803149606299213" right="0.55118110236220474" top="0.31496062992125984" bottom="0.35433070866141736" header="0.31496062992125984" footer="0.15748031496062992"/>
  <pageSetup paperSize="9" scale="87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7" manualBreakCount="7">
    <brk id="34" max="11" man="1"/>
    <brk id="65" max="11" man="1"/>
    <brk id="96" max="11" man="1"/>
    <brk id="127" max="11" man="1"/>
    <brk id="158" max="11" man="1"/>
    <brk id="190" max="11" man="1"/>
    <brk id="219" max="11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L66"/>
  <sheetViews>
    <sheetView showGridLines="0" view="pageBreakPreview" zoomScaleNormal="100" zoomScaleSheetLayoutView="100" workbookViewId="0">
      <selection activeCell="G13" sqref="G13"/>
    </sheetView>
  </sheetViews>
  <sheetFormatPr defaultColWidth="9.140625" defaultRowHeight="10.5" x14ac:dyDescent="0.25"/>
  <cols>
    <col min="1" max="1" width="5.140625" style="954" customWidth="1"/>
    <col min="2" max="2" width="15.5703125" style="954" customWidth="1"/>
    <col min="3" max="3" width="6.140625" style="954" customWidth="1"/>
    <col min="4" max="4" width="23.85546875" style="954" customWidth="1"/>
    <col min="5" max="5" width="0.5703125" style="954" customWidth="1"/>
    <col min="6" max="6" width="6.42578125" style="954" customWidth="1"/>
    <col min="7" max="8" width="22.85546875" style="954" customWidth="1"/>
    <col min="9" max="16384" width="9.140625" style="954"/>
  </cols>
  <sheetData>
    <row r="1" spans="1:12" s="915" customFormat="1" ht="15" customHeight="1" x14ac:dyDescent="0.25">
      <c r="A1" s="914"/>
      <c r="D1" s="916"/>
      <c r="E1" s="916"/>
      <c r="F1" s="916"/>
      <c r="I1" s="916"/>
      <c r="J1" s="916"/>
    </row>
    <row r="2" spans="1:12" s="915" customFormat="1" ht="23.25" customHeight="1" x14ac:dyDescent="0.25">
      <c r="A2" s="914"/>
      <c r="B2" s="902" t="s">
        <v>1814</v>
      </c>
      <c r="C2" s="468" t="s">
        <v>1397</v>
      </c>
      <c r="D2" s="981" t="e">
        <f>#REF!</f>
        <v>#REF!</v>
      </c>
      <c r="E2" s="524"/>
      <c r="F2" s="940" t="s">
        <v>1768</v>
      </c>
      <c r="G2" s="980" t="e">
        <f>#REF!</f>
        <v>#REF!</v>
      </c>
    </row>
    <row r="3" spans="1:12" s="915" customFormat="1" ht="2.25" customHeight="1" thickBot="1" x14ac:dyDescent="0.3">
      <c r="A3" s="914"/>
      <c r="B3" s="945"/>
      <c r="C3" s="916"/>
      <c r="D3" s="916"/>
      <c r="E3" s="916"/>
    </row>
    <row r="4" spans="1:12" s="950" customFormat="1" ht="11.25" customHeight="1" x14ac:dyDescent="0.25">
      <c r="A4" s="946"/>
      <c r="B4" s="947"/>
      <c r="C4" s="979"/>
      <c r="D4" s="979"/>
      <c r="E4" s="948"/>
      <c r="F4" s="949"/>
      <c r="G4" s="1703" t="s">
        <v>1528</v>
      </c>
      <c r="H4" s="1728"/>
    </row>
    <row r="5" spans="1:12" s="950" customFormat="1" ht="33.75" customHeight="1" x14ac:dyDescent="0.25">
      <c r="A5" s="1055" t="s">
        <v>1398</v>
      </c>
      <c r="B5" s="1928" t="s">
        <v>1190</v>
      </c>
      <c r="C5" s="1929"/>
      <c r="D5" s="1929"/>
      <c r="E5" s="1057"/>
      <c r="F5" s="1056" t="s">
        <v>1400</v>
      </c>
      <c r="G5" s="1054" t="s">
        <v>1529</v>
      </c>
      <c r="H5" s="513" t="s">
        <v>1530</v>
      </c>
    </row>
    <row r="6" spans="1:12" s="950" customFormat="1" ht="29.65" customHeight="1" x14ac:dyDescent="0.25">
      <c r="A6" s="1053" t="s">
        <v>846</v>
      </c>
      <c r="B6" s="1910" t="s">
        <v>1713</v>
      </c>
      <c r="C6" s="1911"/>
      <c r="D6" s="1911"/>
      <c r="E6" s="1912"/>
      <c r="F6" s="928" t="s">
        <v>780</v>
      </c>
      <c r="G6" s="1034" t="e">
        <f>'P&amp;L'!#REF!</f>
        <v>#REF!</v>
      </c>
      <c r="H6" s="1037" t="e">
        <f>'P&amp;L'!#REF!</f>
        <v>#REF!</v>
      </c>
    </row>
    <row r="7" spans="1:12" s="950" customFormat="1" ht="29.65" customHeight="1" x14ac:dyDescent="0.25">
      <c r="A7" s="1053" t="s">
        <v>908</v>
      </c>
      <c r="B7" s="1910" t="s">
        <v>1714</v>
      </c>
      <c r="C7" s="1911"/>
      <c r="D7" s="1911"/>
      <c r="E7" s="1912"/>
      <c r="F7" s="928" t="s">
        <v>783</v>
      </c>
      <c r="G7" s="1034">
        <f>'P&amp;L'!D9</f>
        <v>0</v>
      </c>
      <c r="H7" s="951">
        <f>'P&amp;L'!E9</f>
        <v>0</v>
      </c>
    </row>
    <row r="8" spans="1:12" s="953" customFormat="1" ht="29.65" customHeight="1" x14ac:dyDescent="0.25">
      <c r="A8" s="982" t="s">
        <v>843</v>
      </c>
      <c r="B8" s="1913" t="s">
        <v>1715</v>
      </c>
      <c r="C8" s="1914"/>
      <c r="D8" s="1914"/>
      <c r="E8" s="1915"/>
      <c r="F8" s="930" t="s">
        <v>786</v>
      </c>
      <c r="G8" s="1031">
        <f>'P&amp;L'!D10</f>
        <v>0</v>
      </c>
      <c r="H8" s="952">
        <f>'P&amp;L'!E10</f>
        <v>0</v>
      </c>
    </row>
    <row r="9" spans="1:12" s="953" customFormat="1" ht="29.65" customHeight="1" x14ac:dyDescent="0.25">
      <c r="A9" s="982" t="s">
        <v>1611</v>
      </c>
      <c r="B9" s="1913" t="s">
        <v>1716</v>
      </c>
      <c r="C9" s="1914"/>
      <c r="D9" s="1914"/>
      <c r="E9" s="1915"/>
      <c r="F9" s="930" t="s">
        <v>789</v>
      </c>
      <c r="G9" s="1031">
        <f>'P&amp;L'!D11</f>
        <v>0</v>
      </c>
      <c r="H9" s="952">
        <f>'P&amp;L'!E11</f>
        <v>0</v>
      </c>
    </row>
    <row r="10" spans="1:12" s="950" customFormat="1" ht="29.65" customHeight="1" x14ac:dyDescent="0.25">
      <c r="A10" s="982" t="s">
        <v>1612</v>
      </c>
      <c r="B10" s="1913" t="s">
        <v>1717</v>
      </c>
      <c r="C10" s="1914"/>
      <c r="D10" s="1914"/>
      <c r="E10" s="1915"/>
      <c r="F10" s="930" t="s">
        <v>792</v>
      </c>
      <c r="G10" s="1031">
        <f>'P&amp;L'!D12</f>
        <v>0</v>
      </c>
      <c r="H10" s="952">
        <f>'P&amp;L'!E12</f>
        <v>0</v>
      </c>
    </row>
    <row r="11" spans="1:12" s="950" customFormat="1" ht="29.65" customHeight="1" x14ac:dyDescent="0.25">
      <c r="A11" s="982" t="s">
        <v>1613</v>
      </c>
      <c r="B11" s="1913" t="s">
        <v>1718</v>
      </c>
      <c r="C11" s="1914"/>
      <c r="D11" s="1914"/>
      <c r="E11" s="1915"/>
      <c r="F11" s="930" t="s">
        <v>794</v>
      </c>
      <c r="G11" s="1031">
        <f>'P&amp;L'!D13</f>
        <v>0</v>
      </c>
      <c r="H11" s="952">
        <f>'P&amp;L'!E13</f>
        <v>0</v>
      </c>
    </row>
    <row r="12" spans="1:12" s="950" customFormat="1" ht="29.65" customHeight="1" x14ac:dyDescent="0.25">
      <c r="A12" s="982" t="s">
        <v>942</v>
      </c>
      <c r="B12" s="1913" t="s">
        <v>1719</v>
      </c>
      <c r="C12" s="1914"/>
      <c r="D12" s="1914"/>
      <c r="E12" s="1915"/>
      <c r="F12" s="930" t="s">
        <v>796</v>
      </c>
      <c r="G12" s="1031">
        <f>'P&amp;L'!D14</f>
        <v>0</v>
      </c>
      <c r="H12" s="952">
        <f>'P&amp;L'!E14</f>
        <v>0</v>
      </c>
    </row>
    <row r="13" spans="1:12" s="953" customFormat="1" ht="31.5" customHeight="1" x14ac:dyDescent="0.25">
      <c r="A13" s="982" t="s">
        <v>1614</v>
      </c>
      <c r="B13" s="1913" t="s">
        <v>1720</v>
      </c>
      <c r="C13" s="1914"/>
      <c r="D13" s="1914"/>
      <c r="E13" s="1915"/>
      <c r="F13" s="930" t="s">
        <v>798</v>
      </c>
      <c r="G13" s="1031">
        <f>'P&amp;L'!D15</f>
        <v>0</v>
      </c>
      <c r="H13" s="952">
        <f>'P&amp;L'!E15</f>
        <v>0</v>
      </c>
      <c r="L13" s="950"/>
    </row>
    <row r="14" spans="1:12" s="950" customFormat="1" ht="29.65" customHeight="1" x14ac:dyDescent="0.25">
      <c r="A14" s="982" t="s">
        <v>1615</v>
      </c>
      <c r="B14" s="1913" t="s">
        <v>1721</v>
      </c>
      <c r="C14" s="1914"/>
      <c r="D14" s="1914"/>
      <c r="E14" s="1915"/>
      <c r="F14" s="930" t="s">
        <v>801</v>
      </c>
      <c r="G14" s="1031" t="e">
        <f>'P&amp;L'!#REF!</f>
        <v>#REF!</v>
      </c>
      <c r="H14" s="952" t="e">
        <f>'P&amp;L'!#REF!</f>
        <v>#REF!</v>
      </c>
    </row>
    <row r="15" spans="1:12" s="950" customFormat="1" ht="29.65" customHeight="1" x14ac:dyDescent="0.25">
      <c r="A15" s="983" t="s">
        <v>908</v>
      </c>
      <c r="B15" s="1910" t="s">
        <v>1722</v>
      </c>
      <c r="C15" s="1911"/>
      <c r="D15" s="1911"/>
      <c r="E15" s="1912"/>
      <c r="F15" s="928" t="s">
        <v>804</v>
      </c>
      <c r="G15" s="1034">
        <f>'P&amp;L'!D16</f>
        <v>0</v>
      </c>
      <c r="H15" s="951">
        <f>'P&amp;L'!E16</f>
        <v>0</v>
      </c>
    </row>
    <row r="16" spans="1:12" s="953" customFormat="1" ht="29.65" customHeight="1" x14ac:dyDescent="0.25">
      <c r="A16" s="931" t="s">
        <v>489</v>
      </c>
      <c r="B16" s="1913" t="s">
        <v>1723</v>
      </c>
      <c r="C16" s="1914"/>
      <c r="D16" s="1914"/>
      <c r="E16" s="1915"/>
      <c r="F16" s="930" t="s">
        <v>806</v>
      </c>
      <c r="G16" s="1031">
        <f>'P&amp;L'!D17</f>
        <v>0</v>
      </c>
      <c r="H16" s="952">
        <f>'P&amp;L'!E17</f>
        <v>0</v>
      </c>
    </row>
    <row r="17" spans="1:8" s="950" customFormat="1" ht="29.65" customHeight="1" x14ac:dyDescent="0.25">
      <c r="A17" s="931" t="s">
        <v>560</v>
      </c>
      <c r="B17" s="1913" t="s">
        <v>1724</v>
      </c>
      <c r="C17" s="1914"/>
      <c r="D17" s="1914"/>
      <c r="E17" s="1915"/>
      <c r="F17" s="930" t="s">
        <v>808</v>
      </c>
      <c r="G17" s="1031">
        <f>'P&amp;L'!D18</f>
        <v>0</v>
      </c>
      <c r="H17" s="952">
        <f>'P&amp;L'!E18</f>
        <v>0</v>
      </c>
    </row>
    <row r="18" spans="1:8" s="950" customFormat="1" ht="29.65" customHeight="1" x14ac:dyDescent="0.25">
      <c r="A18" s="931" t="s">
        <v>629</v>
      </c>
      <c r="B18" s="1913" t="s">
        <v>1725</v>
      </c>
      <c r="C18" s="1914"/>
      <c r="D18" s="1914"/>
      <c r="E18" s="1915"/>
      <c r="F18" s="930" t="s">
        <v>810</v>
      </c>
      <c r="G18" s="1031">
        <f>'P&amp;L'!D19</f>
        <v>0</v>
      </c>
      <c r="H18" s="952">
        <f>'P&amp;L'!E19</f>
        <v>0</v>
      </c>
    </row>
    <row r="19" spans="1:8" s="950" customFormat="1" ht="29.65" customHeight="1" x14ac:dyDescent="0.25">
      <c r="A19" s="931" t="s">
        <v>819</v>
      </c>
      <c r="B19" s="1913" t="s">
        <v>1178</v>
      </c>
      <c r="C19" s="1914"/>
      <c r="D19" s="1914"/>
      <c r="E19" s="1915"/>
      <c r="F19" s="930" t="s">
        <v>812</v>
      </c>
      <c r="G19" s="1031">
        <f>'P&amp;L'!D20</f>
        <v>0</v>
      </c>
      <c r="H19" s="952">
        <f>'P&amp;L'!E20</f>
        <v>0</v>
      </c>
    </row>
    <row r="20" spans="1:8" s="950" customFormat="1" ht="29.65" customHeight="1" x14ac:dyDescent="0.25">
      <c r="A20" s="931" t="s">
        <v>822</v>
      </c>
      <c r="B20" s="1913" t="s">
        <v>1726</v>
      </c>
      <c r="C20" s="1914"/>
      <c r="D20" s="1914"/>
      <c r="E20" s="1915"/>
      <c r="F20" s="930" t="s">
        <v>815</v>
      </c>
      <c r="G20" s="1031">
        <f>'P&amp;L'!D21</f>
        <v>0</v>
      </c>
      <c r="H20" s="952">
        <f>'P&amp;L'!E21</f>
        <v>0</v>
      </c>
    </row>
    <row r="21" spans="1:8" s="950" customFormat="1" ht="29.65" customHeight="1" x14ac:dyDescent="0.25">
      <c r="A21" s="931" t="s">
        <v>1616</v>
      </c>
      <c r="B21" s="1913" t="s">
        <v>1175</v>
      </c>
      <c r="C21" s="1914"/>
      <c r="D21" s="1914"/>
      <c r="E21" s="1915"/>
      <c r="F21" s="930" t="s">
        <v>818</v>
      </c>
      <c r="G21" s="1031" t="e">
        <f>'P&amp;L'!#REF!</f>
        <v>#REF!</v>
      </c>
      <c r="H21" s="952" t="e">
        <f>'P&amp;L'!#REF!</f>
        <v>#REF!</v>
      </c>
    </row>
    <row r="22" spans="1:8" s="950" customFormat="1" ht="29.65" customHeight="1" x14ac:dyDescent="0.25">
      <c r="A22" s="931" t="s">
        <v>498</v>
      </c>
      <c r="B22" s="1913" t="s">
        <v>1727</v>
      </c>
      <c r="C22" s="1914"/>
      <c r="D22" s="1914"/>
      <c r="E22" s="1915"/>
      <c r="F22" s="930" t="s">
        <v>821</v>
      </c>
      <c r="G22" s="1031" t="e">
        <f>'P&amp;L'!#REF!</f>
        <v>#REF!</v>
      </c>
      <c r="H22" s="952" t="e">
        <f>'P&amp;L'!#REF!</f>
        <v>#REF!</v>
      </c>
    </row>
    <row r="23" spans="1:8" s="950" customFormat="1" ht="29.65" customHeight="1" x14ac:dyDescent="0.25">
      <c r="A23" s="931" t="s">
        <v>501</v>
      </c>
      <c r="B23" s="1913" t="s">
        <v>1728</v>
      </c>
      <c r="C23" s="1914"/>
      <c r="D23" s="1914"/>
      <c r="E23" s="1915"/>
      <c r="F23" s="930" t="s">
        <v>824</v>
      </c>
      <c r="G23" s="1031" t="e">
        <f>'P&amp;L'!#REF!</f>
        <v>#REF!</v>
      </c>
      <c r="H23" s="952" t="e">
        <f>'P&amp;L'!#REF!</f>
        <v>#REF!</v>
      </c>
    </row>
    <row r="24" spans="1:8" s="950" customFormat="1" ht="29.65" customHeight="1" x14ac:dyDescent="0.25">
      <c r="A24" s="931" t="s">
        <v>504</v>
      </c>
      <c r="B24" s="1913" t="s">
        <v>1172</v>
      </c>
      <c r="C24" s="1914"/>
      <c r="D24" s="1914"/>
      <c r="E24" s="1915"/>
      <c r="F24" s="930" t="s">
        <v>827</v>
      </c>
      <c r="G24" s="1031" t="e">
        <f>'P&amp;L'!#REF!</f>
        <v>#REF!</v>
      </c>
      <c r="H24" s="952" t="e">
        <f>'P&amp;L'!#REF!</f>
        <v>#REF!</v>
      </c>
    </row>
    <row r="25" spans="1:8" s="950" customFormat="1" ht="29.65" customHeight="1" x14ac:dyDescent="0.25">
      <c r="A25" s="931" t="s">
        <v>828</v>
      </c>
      <c r="B25" s="1913" t="s">
        <v>1171</v>
      </c>
      <c r="C25" s="1914"/>
      <c r="D25" s="1914"/>
      <c r="E25" s="1915"/>
      <c r="F25" s="930" t="s">
        <v>830</v>
      </c>
      <c r="G25" s="1031">
        <f>'P&amp;L'!D22</f>
        <v>0</v>
      </c>
      <c r="H25" s="952">
        <f>'P&amp;L'!E22</f>
        <v>0</v>
      </c>
    </row>
    <row r="26" spans="1:8" s="950" customFormat="1" ht="32.25" customHeight="1" x14ac:dyDescent="0.25">
      <c r="A26" s="931" t="s">
        <v>831</v>
      </c>
      <c r="B26" s="1932" t="s">
        <v>1729</v>
      </c>
      <c r="C26" s="1933"/>
      <c r="D26" s="1933"/>
      <c r="E26" s="1934"/>
      <c r="F26" s="930" t="s">
        <v>833</v>
      </c>
      <c r="G26" s="1031">
        <f>'P&amp;L'!D23</f>
        <v>0</v>
      </c>
      <c r="H26" s="952">
        <f>'P&amp;L'!E23</f>
        <v>0</v>
      </c>
    </row>
    <row r="27" spans="1:8" s="950" customFormat="1" ht="29.65" customHeight="1" x14ac:dyDescent="0.25">
      <c r="A27" s="931" t="s">
        <v>1617</v>
      </c>
      <c r="B27" s="1913" t="s">
        <v>1730</v>
      </c>
      <c r="C27" s="1914"/>
      <c r="D27" s="1914"/>
      <c r="E27" s="1915"/>
      <c r="F27" s="930" t="s">
        <v>836</v>
      </c>
      <c r="G27" s="1031" t="e">
        <f>'P&amp;L'!#REF!</f>
        <v>#REF!</v>
      </c>
      <c r="H27" s="952" t="e">
        <f>'P&amp;L'!#REF!</f>
        <v>#REF!</v>
      </c>
    </row>
    <row r="28" spans="1:8" s="950" customFormat="1" ht="32.25" customHeight="1" x14ac:dyDescent="0.25">
      <c r="A28" s="931" t="s">
        <v>498</v>
      </c>
      <c r="B28" s="1932" t="s">
        <v>1731</v>
      </c>
      <c r="C28" s="1933"/>
      <c r="D28" s="1933"/>
      <c r="E28" s="1934"/>
      <c r="F28" s="930" t="s">
        <v>839</v>
      </c>
      <c r="G28" s="1031" t="e">
        <f>'P&amp;L'!#REF!</f>
        <v>#REF!</v>
      </c>
      <c r="H28" s="952" t="e">
        <f>'P&amp;L'!#REF!</f>
        <v>#REF!</v>
      </c>
    </row>
    <row r="29" spans="1:8" s="950" customFormat="1" ht="29.65" customHeight="1" x14ac:dyDescent="0.25">
      <c r="A29" s="931" t="s">
        <v>837</v>
      </c>
      <c r="B29" s="1913" t="s">
        <v>1732</v>
      </c>
      <c r="C29" s="1914"/>
      <c r="D29" s="1914"/>
      <c r="E29" s="1915"/>
      <c r="F29" s="930" t="s">
        <v>842</v>
      </c>
      <c r="G29" s="1031">
        <f>'P&amp;L'!D24</f>
        <v>0</v>
      </c>
      <c r="H29" s="952">
        <f>'P&amp;L'!E24</f>
        <v>0</v>
      </c>
    </row>
    <row r="30" spans="1:8" s="950" customFormat="1" ht="29.65" customHeight="1" x14ac:dyDescent="0.25">
      <c r="A30" s="931" t="s">
        <v>843</v>
      </c>
      <c r="B30" s="1913" t="s">
        <v>1733</v>
      </c>
      <c r="C30" s="1914"/>
      <c r="D30" s="1914"/>
      <c r="E30" s="1915"/>
      <c r="F30" s="930" t="s">
        <v>845</v>
      </c>
      <c r="G30" s="1031">
        <f>'P&amp;L'!D25</f>
        <v>0</v>
      </c>
      <c r="H30" s="952">
        <f>'P&amp;L'!E25</f>
        <v>0</v>
      </c>
    </row>
    <row r="31" spans="1:8" s="953" customFormat="1" ht="33.75" customHeight="1" x14ac:dyDescent="0.25">
      <c r="A31" s="931" t="s">
        <v>852</v>
      </c>
      <c r="B31" s="1932" t="s">
        <v>1734</v>
      </c>
      <c r="C31" s="1933"/>
      <c r="D31" s="1933"/>
      <c r="E31" s="1934"/>
      <c r="F31" s="930" t="s">
        <v>848</v>
      </c>
      <c r="G31" s="1031" t="e">
        <f>'P&amp;L'!#REF!</f>
        <v>#REF!</v>
      </c>
      <c r="H31" s="952" t="e">
        <f>'P&amp;L'!#REF!</f>
        <v>#REF!</v>
      </c>
    </row>
    <row r="32" spans="1:8" s="950" customFormat="1" ht="29.65" customHeight="1" x14ac:dyDescent="0.25">
      <c r="A32" s="1038" t="s">
        <v>939</v>
      </c>
      <c r="B32" s="1910" t="s">
        <v>1735</v>
      </c>
      <c r="C32" s="1911"/>
      <c r="D32" s="1911"/>
      <c r="E32" s="1912"/>
      <c r="F32" s="928" t="s">
        <v>851</v>
      </c>
      <c r="G32" s="1034">
        <f>'P&amp;L'!D26</f>
        <v>0</v>
      </c>
      <c r="H32" s="1034">
        <f>'P&amp;L'!E26</f>
        <v>0</v>
      </c>
    </row>
    <row r="33" spans="1:8" ht="24.75" customHeight="1" x14ac:dyDescent="0.25">
      <c r="A33" s="1052" t="s">
        <v>846</v>
      </c>
      <c r="B33" s="1887" t="s">
        <v>1736</v>
      </c>
      <c r="C33" s="1930"/>
      <c r="D33" s="1930"/>
      <c r="E33" s="1931"/>
      <c r="F33" s="1045" t="s">
        <v>854</v>
      </c>
      <c r="G33" s="1034">
        <f>'P&amp;L'!D27</f>
        <v>0</v>
      </c>
      <c r="H33" s="951">
        <f>'P&amp;L'!E27</f>
        <v>0</v>
      </c>
    </row>
    <row r="34" spans="1:8" ht="30.75" customHeight="1" x14ac:dyDescent="0.25">
      <c r="A34" s="1052" t="s">
        <v>908</v>
      </c>
      <c r="B34" s="1935" t="s">
        <v>1737</v>
      </c>
      <c r="C34" s="1936"/>
      <c r="D34" s="1936"/>
      <c r="E34" s="1937"/>
      <c r="F34" s="1045" t="s">
        <v>857</v>
      </c>
      <c r="G34" s="1034">
        <f>'P&amp;L'!D28</f>
        <v>0</v>
      </c>
      <c r="H34" s="951">
        <f>'P&amp;L'!E28</f>
        <v>0</v>
      </c>
    </row>
    <row r="35" spans="1:8" ht="36.75" customHeight="1" x14ac:dyDescent="0.25">
      <c r="A35" s="931" t="s">
        <v>1618</v>
      </c>
      <c r="B35" s="1913" t="s">
        <v>1738</v>
      </c>
      <c r="C35" s="1914"/>
      <c r="D35" s="1914"/>
      <c r="E35" s="1915"/>
      <c r="F35" s="930" t="s">
        <v>860</v>
      </c>
      <c r="G35" s="1031">
        <f>'P&amp;L'!D29</f>
        <v>0</v>
      </c>
      <c r="H35" s="952">
        <f>'P&amp;L'!E29</f>
        <v>0</v>
      </c>
    </row>
    <row r="36" spans="1:8" ht="30.75" customHeight="1" x14ac:dyDescent="0.25">
      <c r="A36" s="931" t="s">
        <v>1619</v>
      </c>
      <c r="B36" s="1913" t="s">
        <v>1739</v>
      </c>
      <c r="C36" s="1914"/>
      <c r="D36" s="1914"/>
      <c r="E36" s="1915"/>
      <c r="F36" s="930" t="s">
        <v>863</v>
      </c>
      <c r="G36" s="1031">
        <f>'P&amp;L'!D30</f>
        <v>0</v>
      </c>
      <c r="H36" s="952">
        <f>'P&amp;L'!E30</f>
        <v>0</v>
      </c>
    </row>
    <row r="37" spans="1:8" ht="30" customHeight="1" x14ac:dyDescent="0.25">
      <c r="A37" s="931" t="s">
        <v>1620</v>
      </c>
      <c r="B37" s="1913" t="s">
        <v>1740</v>
      </c>
      <c r="C37" s="1914"/>
      <c r="D37" s="1914"/>
      <c r="E37" s="1915"/>
      <c r="F37" s="930" t="s">
        <v>866</v>
      </c>
      <c r="G37" s="1031" t="e">
        <f>'P&amp;L'!#REF!</f>
        <v>#REF!</v>
      </c>
      <c r="H37" s="952" t="e">
        <f>'P&amp;L'!#REF!</f>
        <v>#REF!</v>
      </c>
    </row>
    <row r="38" spans="1:8" ht="33.75" customHeight="1" x14ac:dyDescent="0.25">
      <c r="A38" s="931" t="s">
        <v>498</v>
      </c>
      <c r="B38" s="1913" t="s">
        <v>1741</v>
      </c>
      <c r="C38" s="1914"/>
      <c r="D38" s="1914"/>
      <c r="E38" s="1915"/>
      <c r="F38" s="930" t="s">
        <v>869</v>
      </c>
      <c r="G38" s="1031" t="e">
        <f>'P&amp;L'!#REF!</f>
        <v>#REF!</v>
      </c>
      <c r="H38" s="952" t="e">
        <f>'P&amp;L'!#REF!</f>
        <v>#REF!</v>
      </c>
    </row>
    <row r="39" spans="1:8" ht="22.5" customHeight="1" x14ac:dyDescent="0.25">
      <c r="A39" s="931" t="s">
        <v>501</v>
      </c>
      <c r="B39" s="1913" t="s">
        <v>1742</v>
      </c>
      <c r="C39" s="1914"/>
      <c r="D39" s="1914"/>
      <c r="E39" s="1915"/>
      <c r="F39" s="930" t="s">
        <v>872</v>
      </c>
      <c r="G39" s="1031" t="e">
        <f>'P&amp;L'!#REF!</f>
        <v>#REF!</v>
      </c>
      <c r="H39" s="952" t="e">
        <f>'P&amp;L'!#REF!</f>
        <v>#REF!</v>
      </c>
    </row>
    <row r="40" spans="1:8" ht="30.75" customHeight="1" x14ac:dyDescent="0.25">
      <c r="A40" s="931" t="s">
        <v>1621</v>
      </c>
      <c r="B40" s="1913" t="s">
        <v>1743</v>
      </c>
      <c r="C40" s="1914"/>
      <c r="D40" s="1914"/>
      <c r="E40" s="1915"/>
      <c r="F40" s="930" t="s">
        <v>875</v>
      </c>
      <c r="G40" s="1031">
        <f>'P&amp;L'!D31</f>
        <v>0</v>
      </c>
      <c r="H40" s="952">
        <f>'P&amp;L'!E31</f>
        <v>0</v>
      </c>
    </row>
    <row r="41" spans="1:8" ht="30" customHeight="1" x14ac:dyDescent="0.25">
      <c r="A41" s="931" t="s">
        <v>1622</v>
      </c>
      <c r="B41" s="1913" t="s">
        <v>1744</v>
      </c>
      <c r="C41" s="1914"/>
      <c r="D41" s="1914"/>
      <c r="E41" s="1915"/>
      <c r="F41" s="930" t="s">
        <v>878</v>
      </c>
      <c r="G41" s="1031" t="e">
        <f>'P&amp;L'!#REF!</f>
        <v>#REF!</v>
      </c>
      <c r="H41" s="952" t="e">
        <f>'P&amp;L'!#REF!</f>
        <v>#REF!</v>
      </c>
    </row>
    <row r="42" spans="1:8" ht="32.25" customHeight="1" x14ac:dyDescent="0.25">
      <c r="A42" s="931" t="s">
        <v>498</v>
      </c>
      <c r="B42" s="1913" t="s">
        <v>1745</v>
      </c>
      <c r="C42" s="1914"/>
      <c r="D42" s="1914"/>
      <c r="E42" s="1915"/>
      <c r="F42" s="930" t="s">
        <v>881</v>
      </c>
      <c r="G42" s="1031" t="e">
        <f>'P&amp;L'!#REF!</f>
        <v>#REF!</v>
      </c>
      <c r="H42" s="952" t="e">
        <f>'P&amp;L'!#REF!</f>
        <v>#REF!</v>
      </c>
    </row>
    <row r="43" spans="1:8" ht="24" customHeight="1" x14ac:dyDescent="0.25">
      <c r="A43" s="931" t="s">
        <v>501</v>
      </c>
      <c r="B43" s="1913" t="s">
        <v>1746</v>
      </c>
      <c r="C43" s="1914"/>
      <c r="D43" s="1914"/>
      <c r="E43" s="1915"/>
      <c r="F43" s="930" t="s">
        <v>884</v>
      </c>
      <c r="G43" s="1031" t="e">
        <f>'P&amp;L'!#REF!</f>
        <v>#REF!</v>
      </c>
      <c r="H43" s="952" t="e">
        <f>'P&amp;L'!#REF!</f>
        <v>#REF!</v>
      </c>
    </row>
    <row r="44" spans="1:8" ht="26.25" customHeight="1" x14ac:dyDescent="0.25">
      <c r="A44" s="931" t="s">
        <v>1623</v>
      </c>
      <c r="B44" s="1913" t="s">
        <v>1747</v>
      </c>
      <c r="C44" s="1914"/>
      <c r="D44" s="1914"/>
      <c r="E44" s="1915"/>
      <c r="F44" s="930" t="s">
        <v>887</v>
      </c>
      <c r="G44" s="1031">
        <f>'P&amp;L'!D32</f>
        <v>0</v>
      </c>
      <c r="H44" s="952">
        <f>'P&amp;L'!E32</f>
        <v>0</v>
      </c>
    </row>
    <row r="45" spans="1:8" ht="24.75" customHeight="1" x14ac:dyDescent="0.25">
      <c r="A45" s="931" t="s">
        <v>1624</v>
      </c>
      <c r="B45" s="1913" t="s">
        <v>1748</v>
      </c>
      <c r="C45" s="1914"/>
      <c r="D45" s="1914"/>
      <c r="E45" s="1915"/>
      <c r="F45" s="930" t="s">
        <v>890</v>
      </c>
      <c r="G45" s="1031" t="e">
        <f>'P&amp;L'!#REF!</f>
        <v>#REF!</v>
      </c>
      <c r="H45" s="952" t="e">
        <f>'P&amp;L'!#REF!</f>
        <v>#REF!</v>
      </c>
    </row>
    <row r="46" spans="1:8" ht="27" customHeight="1" x14ac:dyDescent="0.25">
      <c r="A46" s="931" t="s">
        <v>498</v>
      </c>
      <c r="B46" s="1913" t="s">
        <v>1749</v>
      </c>
      <c r="C46" s="1914"/>
      <c r="D46" s="1914"/>
      <c r="E46" s="1915"/>
      <c r="F46" s="930" t="s">
        <v>893</v>
      </c>
      <c r="G46" s="1031" t="e">
        <f>'P&amp;L'!#REF!</f>
        <v>#REF!</v>
      </c>
      <c r="H46" s="952" t="e">
        <f>'P&amp;L'!#REF!</f>
        <v>#REF!</v>
      </c>
    </row>
    <row r="47" spans="1:8" ht="29.25" customHeight="1" x14ac:dyDescent="0.25">
      <c r="A47" s="931" t="s">
        <v>1625</v>
      </c>
      <c r="B47" s="1913" t="s">
        <v>1148</v>
      </c>
      <c r="C47" s="1914"/>
      <c r="D47" s="1914"/>
      <c r="E47" s="1915"/>
      <c r="F47" s="930" t="s">
        <v>896</v>
      </c>
      <c r="G47" s="1031">
        <f>'P&amp;L'!D33</f>
        <v>0</v>
      </c>
      <c r="H47" s="952">
        <f>'P&amp;L'!E33</f>
        <v>0</v>
      </c>
    </row>
    <row r="48" spans="1:8" ht="27.75" customHeight="1" x14ac:dyDescent="0.25">
      <c r="A48" s="931" t="s">
        <v>1626</v>
      </c>
      <c r="B48" s="1913" t="s">
        <v>1750</v>
      </c>
      <c r="C48" s="1914"/>
      <c r="D48" s="1914"/>
      <c r="E48" s="1915"/>
      <c r="F48" s="930" t="s">
        <v>899</v>
      </c>
      <c r="G48" s="1031">
        <f>'P&amp;L'!D34</f>
        <v>0</v>
      </c>
      <c r="H48" s="952">
        <f>'P&amp;L'!E34</f>
        <v>0</v>
      </c>
    </row>
    <row r="49" spans="1:8" ht="27.75" customHeight="1" x14ac:dyDescent="0.25">
      <c r="A49" s="931" t="s">
        <v>1627</v>
      </c>
      <c r="B49" s="1913" t="s">
        <v>1146</v>
      </c>
      <c r="C49" s="1914"/>
      <c r="D49" s="1914"/>
      <c r="E49" s="1915"/>
      <c r="F49" s="930" t="s">
        <v>902</v>
      </c>
      <c r="G49" s="1031" t="e">
        <f>'P&amp;L'!#REF!</f>
        <v>#REF!</v>
      </c>
      <c r="H49" s="952" t="e">
        <f>'P&amp;L'!#REF!</f>
        <v>#REF!</v>
      </c>
    </row>
    <row r="50" spans="1:8" ht="27.75" customHeight="1" x14ac:dyDescent="0.25">
      <c r="A50" s="1053" t="s">
        <v>908</v>
      </c>
      <c r="B50" s="1910" t="s">
        <v>1751</v>
      </c>
      <c r="C50" s="1911"/>
      <c r="D50" s="1911"/>
      <c r="E50" s="1912"/>
      <c r="F50" s="928" t="s">
        <v>905</v>
      </c>
      <c r="G50" s="1034">
        <f>'P&amp;L'!D35</f>
        <v>0</v>
      </c>
      <c r="H50" s="951">
        <f>'P&amp;L'!E35</f>
        <v>0</v>
      </c>
    </row>
    <row r="51" spans="1:8" s="956" customFormat="1" ht="44.25" customHeight="1" x14ac:dyDescent="0.25">
      <c r="A51" s="955" t="s">
        <v>870</v>
      </c>
      <c r="B51" s="1938" t="s">
        <v>1160</v>
      </c>
      <c r="C51" s="1939"/>
      <c r="D51" s="1939"/>
      <c r="E51" s="1940"/>
      <c r="F51" s="930" t="s">
        <v>907</v>
      </c>
      <c r="G51" s="1031">
        <f>'P&amp;L'!D36</f>
        <v>0</v>
      </c>
      <c r="H51" s="952">
        <f>'P&amp;L'!E36</f>
        <v>0</v>
      </c>
    </row>
    <row r="52" spans="1:8" s="956" customFormat="1" ht="29.25" customHeight="1" x14ac:dyDescent="0.25">
      <c r="A52" s="955" t="s">
        <v>876</v>
      </c>
      <c r="B52" s="1941" t="s">
        <v>1752</v>
      </c>
      <c r="C52" s="1942"/>
      <c r="D52" s="1942"/>
      <c r="E52" s="1943"/>
      <c r="F52" s="930" t="s">
        <v>910</v>
      </c>
      <c r="G52" s="1031">
        <f>'P&amp;L'!D37</f>
        <v>0</v>
      </c>
      <c r="H52" s="952">
        <f>'P&amp;L'!E37</f>
        <v>0</v>
      </c>
    </row>
    <row r="53" spans="1:8" ht="30.75" customHeight="1" x14ac:dyDescent="0.25">
      <c r="A53" s="931" t="s">
        <v>879</v>
      </c>
      <c r="B53" s="1913" t="s">
        <v>1753</v>
      </c>
      <c r="C53" s="1914"/>
      <c r="D53" s="1914"/>
      <c r="E53" s="1915"/>
      <c r="F53" s="930" t="s">
        <v>913</v>
      </c>
      <c r="G53" s="1031">
        <f>'P&amp;L'!D38</f>
        <v>0</v>
      </c>
      <c r="H53" s="952">
        <f>'P&amp;L'!E38</f>
        <v>0</v>
      </c>
    </row>
    <row r="54" spans="1:8" ht="28.5" customHeight="1" x14ac:dyDescent="0.25">
      <c r="A54" s="957" t="s">
        <v>885</v>
      </c>
      <c r="B54" s="1913" t="s">
        <v>1754</v>
      </c>
      <c r="C54" s="1914"/>
      <c r="D54" s="1914"/>
      <c r="E54" s="1915"/>
      <c r="F54" s="930" t="s">
        <v>916</v>
      </c>
      <c r="G54" s="1031">
        <f>'P&amp;L'!D39</f>
        <v>0</v>
      </c>
      <c r="H54" s="952">
        <f>'P&amp;L'!E39</f>
        <v>0</v>
      </c>
    </row>
    <row r="55" spans="1:8" ht="28.5" customHeight="1" x14ac:dyDescent="0.25">
      <c r="A55" s="931" t="s">
        <v>1628</v>
      </c>
      <c r="B55" s="1913" t="s">
        <v>1755</v>
      </c>
      <c r="C55" s="1914"/>
      <c r="D55" s="1914"/>
      <c r="E55" s="1915"/>
      <c r="F55" s="930" t="s">
        <v>918</v>
      </c>
      <c r="G55" s="1031" t="e">
        <f>'P&amp;L'!#REF!</f>
        <v>#REF!</v>
      </c>
      <c r="H55" s="952" t="e">
        <f>'P&amp;L'!#REF!</f>
        <v>#REF!</v>
      </c>
    </row>
    <row r="56" spans="1:8" s="956" customFormat="1" ht="31.5" customHeight="1" x14ac:dyDescent="0.25">
      <c r="A56" s="955" t="s">
        <v>498</v>
      </c>
      <c r="B56" s="1941" t="s">
        <v>1756</v>
      </c>
      <c r="C56" s="1942"/>
      <c r="D56" s="1942"/>
      <c r="E56" s="1943"/>
      <c r="F56" s="930" t="s">
        <v>920</v>
      </c>
      <c r="G56" s="1031" t="e">
        <f>'P&amp;L'!#REF!</f>
        <v>#REF!</v>
      </c>
      <c r="H56" s="952" t="e">
        <f>'P&amp;L'!#REF!</f>
        <v>#REF!</v>
      </c>
    </row>
    <row r="57" spans="1:8" ht="29.25" customHeight="1" x14ac:dyDescent="0.25">
      <c r="A57" s="931" t="s">
        <v>891</v>
      </c>
      <c r="B57" s="1913" t="s">
        <v>1147</v>
      </c>
      <c r="C57" s="1914"/>
      <c r="D57" s="1914"/>
      <c r="E57" s="1915"/>
      <c r="F57" s="930" t="s">
        <v>923</v>
      </c>
      <c r="G57" s="1031">
        <f>'P&amp;L'!D40</f>
        <v>0</v>
      </c>
      <c r="H57" s="952">
        <f>'P&amp;L'!E40</f>
        <v>0</v>
      </c>
    </row>
    <row r="58" spans="1:8" ht="28.5" customHeight="1" x14ac:dyDescent="0.25">
      <c r="A58" s="931" t="s">
        <v>897</v>
      </c>
      <c r="B58" s="1913" t="s">
        <v>1757</v>
      </c>
      <c r="C58" s="1914"/>
      <c r="D58" s="1914"/>
      <c r="E58" s="1915"/>
      <c r="F58" s="930" t="s">
        <v>926</v>
      </c>
      <c r="G58" s="1031">
        <f>'P&amp;L'!D41</f>
        <v>0</v>
      </c>
      <c r="H58" s="952">
        <f>'P&amp;L'!E41</f>
        <v>0</v>
      </c>
    </row>
    <row r="59" spans="1:8" ht="30.75" customHeight="1" x14ac:dyDescent="0.25">
      <c r="A59" s="978" t="s">
        <v>1629</v>
      </c>
      <c r="B59" s="1913" t="s">
        <v>1758</v>
      </c>
      <c r="C59" s="1914"/>
      <c r="D59" s="1914"/>
      <c r="E59" s="1915"/>
      <c r="F59" s="930" t="s">
        <v>928</v>
      </c>
      <c r="G59" s="1031" t="e">
        <f>'P&amp;L'!#REF!</f>
        <v>#REF!</v>
      </c>
      <c r="H59" s="1031" t="e">
        <f>'P&amp;L'!#REF!</f>
        <v>#REF!</v>
      </c>
    </row>
    <row r="60" spans="1:8" ht="27.75" customHeight="1" x14ac:dyDescent="0.25">
      <c r="A60" s="1052" t="s">
        <v>939</v>
      </c>
      <c r="B60" s="1887" t="s">
        <v>1759</v>
      </c>
      <c r="C60" s="1930"/>
      <c r="D60" s="1930"/>
      <c r="E60" s="1931"/>
      <c r="F60" s="1045" t="s">
        <v>931</v>
      </c>
      <c r="G60" s="1034">
        <f>'P&amp;L'!D42</f>
        <v>0</v>
      </c>
      <c r="H60" s="951">
        <f>'P&amp;L'!E42</f>
        <v>0</v>
      </c>
    </row>
    <row r="61" spans="1:8" ht="27.75" customHeight="1" x14ac:dyDescent="0.25">
      <c r="A61" s="958" t="s">
        <v>1630</v>
      </c>
      <c r="B61" s="1910" t="s">
        <v>1760</v>
      </c>
      <c r="C61" s="1911"/>
      <c r="D61" s="1911"/>
      <c r="E61" s="1912"/>
      <c r="F61" s="928" t="s">
        <v>934</v>
      </c>
      <c r="G61" s="1034">
        <f>'P&amp;L'!D43</f>
        <v>0</v>
      </c>
      <c r="H61" s="951">
        <f>'P&amp;L'!E43</f>
        <v>0</v>
      </c>
    </row>
    <row r="62" spans="1:8" ht="27.75" customHeight="1" x14ac:dyDescent="0.25">
      <c r="A62" s="931" t="s">
        <v>1631</v>
      </c>
      <c r="B62" s="1913" t="s">
        <v>1761</v>
      </c>
      <c r="C62" s="1914"/>
      <c r="D62" s="1914"/>
      <c r="E62" s="1915"/>
      <c r="F62" s="930" t="s">
        <v>936</v>
      </c>
      <c r="G62" s="1031">
        <f>'P&amp;L'!D44</f>
        <v>0</v>
      </c>
      <c r="H62" s="952">
        <f>'P&amp;L'!E44</f>
        <v>0</v>
      </c>
    </row>
    <row r="63" spans="1:8" s="956" customFormat="1" ht="27.75" customHeight="1" x14ac:dyDescent="0.25">
      <c r="A63" s="1051" t="s">
        <v>1632</v>
      </c>
      <c r="B63" s="1913" t="s">
        <v>1762</v>
      </c>
      <c r="C63" s="1914"/>
      <c r="D63" s="1914"/>
      <c r="E63" s="1915"/>
      <c r="F63" s="1042" t="s">
        <v>938</v>
      </c>
      <c r="G63" s="1031" t="e">
        <f>'P&amp;L'!#REF!</f>
        <v>#REF!</v>
      </c>
      <c r="H63" s="952" t="e">
        <f>'P&amp;L'!#REF!</f>
        <v>#REF!</v>
      </c>
    </row>
    <row r="64" spans="1:8" s="956" customFormat="1" ht="27.75" customHeight="1" x14ac:dyDescent="0.25">
      <c r="A64" s="931" t="s">
        <v>498</v>
      </c>
      <c r="B64" s="1913" t="s">
        <v>1763</v>
      </c>
      <c r="C64" s="1914"/>
      <c r="D64" s="1914"/>
      <c r="E64" s="1915"/>
      <c r="F64" s="930" t="s">
        <v>941</v>
      </c>
      <c r="G64" s="1031" t="e">
        <f>'P&amp;L'!#REF!</f>
        <v>#REF!</v>
      </c>
      <c r="H64" s="952" t="e">
        <f>'P&amp;L'!#REF!</f>
        <v>#REF!</v>
      </c>
    </row>
    <row r="65" spans="1:8" ht="27.75" customHeight="1" x14ac:dyDescent="0.25">
      <c r="A65" s="931" t="s">
        <v>911</v>
      </c>
      <c r="B65" s="1913" t="s">
        <v>1764</v>
      </c>
      <c r="C65" s="1914"/>
      <c r="D65" s="1914"/>
      <c r="E65" s="1915"/>
      <c r="F65" s="930" t="s">
        <v>944</v>
      </c>
      <c r="G65" s="1031">
        <f>'P&amp;L'!D45</f>
        <v>0</v>
      </c>
      <c r="H65" s="952">
        <f>'P&amp;L'!E45</f>
        <v>0</v>
      </c>
    </row>
    <row r="66" spans="1:8" s="956" customFormat="1" ht="33" customHeight="1" x14ac:dyDescent="0.25">
      <c r="A66" s="1038" t="s">
        <v>1630</v>
      </c>
      <c r="B66" s="1910" t="s">
        <v>1765</v>
      </c>
      <c r="C66" s="1911"/>
      <c r="D66" s="1911"/>
      <c r="E66" s="1912"/>
      <c r="F66" s="928" t="s">
        <v>946</v>
      </c>
      <c r="G66" s="1034">
        <f>'P&amp;L'!D46</f>
        <v>0</v>
      </c>
      <c r="H66" s="1034">
        <f>'P&amp;L'!E46</f>
        <v>0</v>
      </c>
    </row>
  </sheetData>
  <mergeCells count="63">
    <mergeCell ref="B64:E64"/>
    <mergeCell ref="B65:E65"/>
    <mergeCell ref="B66:E66"/>
    <mergeCell ref="B58:E58"/>
    <mergeCell ref="B59:E59"/>
    <mergeCell ref="B60:E60"/>
    <mergeCell ref="B61:E61"/>
    <mergeCell ref="B62:E62"/>
    <mergeCell ref="B63:E63"/>
    <mergeCell ref="B57:E57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45:E45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33:E33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21:E21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9:E9"/>
    <mergeCell ref="G4:H4"/>
    <mergeCell ref="B5:D5"/>
    <mergeCell ref="B6:E6"/>
    <mergeCell ref="B7:E7"/>
    <mergeCell ref="B8:E8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2" manualBreakCount="2">
    <brk id="32" max="7" man="1"/>
    <brk id="5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8"/>
  <sheetViews>
    <sheetView showGridLines="0" zoomScaleNormal="100" workbookViewId="0">
      <selection activeCell="F9" sqref="F9"/>
    </sheetView>
  </sheetViews>
  <sheetFormatPr defaultRowHeight="15" outlineLevelCol="1" x14ac:dyDescent="0.25"/>
  <cols>
    <col min="1" max="1" width="20.42578125" customWidth="1"/>
    <col min="2" max="6" width="13.28515625" customWidth="1"/>
    <col min="7" max="7" width="17.5703125" style="285" customWidth="1"/>
    <col min="8" max="8" width="9.140625" style="280" customWidth="1" outlineLevel="1"/>
    <col min="9" max="11" width="9.140625" customWidth="1" outlineLevel="1"/>
    <col min="12" max="12" width="23.5703125" style="285" customWidth="1"/>
  </cols>
  <sheetData>
    <row r="1" spans="1:12" ht="17.25" thickBot="1" x14ac:dyDescent="0.35">
      <c r="A1" s="1" t="s">
        <v>52</v>
      </c>
      <c r="H1" s="1168" t="s">
        <v>948</v>
      </c>
      <c r="I1" s="1169"/>
      <c r="J1" s="1169"/>
      <c r="K1" s="1169"/>
      <c r="L1" s="1170"/>
    </row>
    <row r="2" spans="1:12" ht="58.5" customHeight="1" thickTop="1" thickBot="1" x14ac:dyDescent="0.3">
      <c r="A2" s="48" t="s">
        <v>53</v>
      </c>
      <c r="B2" s="27" t="s">
        <v>417</v>
      </c>
      <c r="C2" s="48" t="s">
        <v>44</v>
      </c>
      <c r="D2" s="48" t="s">
        <v>45</v>
      </c>
      <c r="E2" s="48" t="s">
        <v>420</v>
      </c>
      <c r="F2" s="27" t="s">
        <v>12</v>
      </c>
      <c r="G2" s="281"/>
      <c r="H2" s="48" t="s">
        <v>417</v>
      </c>
      <c r="I2" s="48" t="s">
        <v>44</v>
      </c>
      <c r="J2" s="48" t="s">
        <v>45</v>
      </c>
      <c r="K2" s="48" t="s">
        <v>420</v>
      </c>
      <c r="L2" s="48" t="s">
        <v>12</v>
      </c>
    </row>
    <row r="3" spans="1:12" ht="27" customHeight="1" thickTop="1" thickBot="1" x14ac:dyDescent="0.3">
      <c r="A3" s="14" t="s">
        <v>46</v>
      </c>
      <c r="B3" s="22"/>
      <c r="C3" s="22"/>
      <c r="D3" s="22"/>
      <c r="E3" s="22"/>
      <c r="F3" s="15">
        <f>SUM(B3:E3)</f>
        <v>0</v>
      </c>
      <c r="I3" s="281"/>
      <c r="J3" s="281"/>
      <c r="K3" s="281"/>
      <c r="L3" s="286">
        <f>SUM(B3:E3)-F3</f>
        <v>0</v>
      </c>
    </row>
    <row r="4" spans="1:12" ht="27" customHeight="1" thickBot="1" x14ac:dyDescent="0.3">
      <c r="A4" s="14" t="s">
        <v>54</v>
      </c>
      <c r="B4" s="22"/>
      <c r="C4" s="22"/>
      <c r="D4" s="22"/>
      <c r="E4" s="22"/>
      <c r="F4" s="15">
        <f>SUM(B4:E4)</f>
        <v>0</v>
      </c>
      <c r="I4" s="281"/>
      <c r="J4" s="281"/>
      <c r="K4" s="281"/>
      <c r="L4" s="286">
        <f>SUM(B4:E4)-F4</f>
        <v>0</v>
      </c>
    </row>
    <row r="5" spans="1:12" ht="27" customHeight="1" thickBot="1" x14ac:dyDescent="0.3">
      <c r="A5" s="14" t="s">
        <v>55</v>
      </c>
      <c r="B5" s="22"/>
      <c r="C5" s="22"/>
      <c r="D5" s="22"/>
      <c r="E5" s="22"/>
      <c r="F5" s="15">
        <f>SUM(B5:E5)</f>
        <v>0</v>
      </c>
      <c r="I5" s="281"/>
      <c r="J5" s="281"/>
      <c r="K5" s="281"/>
      <c r="L5" s="286">
        <f>SUM(B5:E5)-F5</f>
        <v>0</v>
      </c>
    </row>
    <row r="6" spans="1:12" ht="27" customHeight="1" thickBot="1" x14ac:dyDescent="0.3">
      <c r="A6" s="14" t="s">
        <v>49</v>
      </c>
      <c r="B6" s="22"/>
      <c r="C6" s="22"/>
      <c r="D6" s="22"/>
      <c r="E6" s="22"/>
      <c r="F6" s="15">
        <f>SUM(B6:E6)</f>
        <v>0</v>
      </c>
      <c r="I6" s="281"/>
      <c r="J6" s="281"/>
      <c r="K6" s="281"/>
      <c r="L6" s="286">
        <f>SUM(B6:E6)-F6</f>
        <v>0</v>
      </c>
    </row>
    <row r="7" spans="1:12" ht="27" customHeight="1" thickBot="1" x14ac:dyDescent="0.3">
      <c r="A7" s="23" t="s">
        <v>56</v>
      </c>
      <c r="B7" s="47">
        <f>SUM(B3:B6)</f>
        <v>0</v>
      </c>
      <c r="C7" s="47">
        <f>SUM(C3:C6)</f>
        <v>0</v>
      </c>
      <c r="D7" s="47">
        <f>SUM(D3:D6)</f>
        <v>0</v>
      </c>
      <c r="E7" s="47">
        <f>SUM(E3:E6)</f>
        <v>0</v>
      </c>
      <c r="F7" s="49">
        <f>SUM(F3:F6)</f>
        <v>0</v>
      </c>
      <c r="H7" s="283">
        <f>SUM(B3:B6)-B7</f>
        <v>0</v>
      </c>
      <c r="I7" s="282">
        <f>SUM(C3:C6)-C7</f>
        <v>0</v>
      </c>
      <c r="J7" s="282">
        <f>SUM(D3:D6)-D7</f>
        <v>0</v>
      </c>
      <c r="K7" s="282">
        <f>SUM(E3:E6)-E7</f>
        <v>0</v>
      </c>
      <c r="L7" s="286">
        <f>SUM(F3:F6)-F7</f>
        <v>0</v>
      </c>
    </row>
    <row r="8" spans="1:12" ht="15.75" thickTop="1" x14ac:dyDescent="0.25"/>
  </sheetData>
  <mergeCells count="1">
    <mergeCell ref="H1:L1"/>
  </mergeCells>
  <conditionalFormatting sqref="H3:L7">
    <cfRule type="cellIs" dxfId="243" priority="1" operator="lessThan">
      <formula>0</formula>
    </cfRule>
    <cfRule type="cellIs" dxfId="242" priority="2" operator="greaterThan">
      <formula>0</formula>
    </cfRule>
    <cfRule type="cellIs" dxfId="241" priority="3" operator="lessThan">
      <formula>0</formula>
    </cfRule>
    <cfRule type="cellIs" dxfId="24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3"/>
  <sheetViews>
    <sheetView showGridLines="0" zoomScaleNormal="10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N12" sqref="N12"/>
    </sheetView>
  </sheetViews>
  <sheetFormatPr defaultRowHeight="15" outlineLevelCol="1" x14ac:dyDescent="0.25"/>
  <cols>
    <col min="1" max="1" width="18.5703125" customWidth="1"/>
    <col min="2" max="6" width="13.5703125" customWidth="1"/>
    <col min="7" max="7" width="17.5703125" style="285" customWidth="1"/>
    <col min="8" max="8" width="13.42578125" style="281" customWidth="1" outlineLevel="1"/>
    <col min="9" max="10" width="13.42578125" customWidth="1" outlineLevel="1"/>
    <col min="11" max="11" width="21.140625" customWidth="1" outlineLevel="1"/>
    <col min="12" max="12" width="24.7109375" style="285" customWidth="1"/>
    <col min="14" max="14" width="22" style="287" customWidth="1"/>
    <col min="22" max="22" width="9.140625" style="281"/>
  </cols>
  <sheetData>
    <row r="1" spans="1:22" ht="16.5" x14ac:dyDescent="0.3">
      <c r="A1" s="1" t="s">
        <v>57</v>
      </c>
      <c r="H1" s="1168" t="s">
        <v>948</v>
      </c>
      <c r="I1" s="1169"/>
      <c r="J1" s="1169"/>
      <c r="K1" s="1169"/>
      <c r="L1" s="1170"/>
      <c r="N1" s="295" t="s">
        <v>950</v>
      </c>
      <c r="O1" s="290"/>
      <c r="P1" s="290"/>
      <c r="Q1" s="290"/>
      <c r="R1" s="290"/>
      <c r="S1" s="290"/>
      <c r="T1" s="290"/>
      <c r="U1" s="290"/>
      <c r="V1" s="290"/>
    </row>
    <row r="2" spans="1:22" ht="17.25" thickBot="1" x14ac:dyDescent="0.35">
      <c r="A2" s="2" t="s">
        <v>3</v>
      </c>
    </row>
    <row r="3" spans="1:22" ht="16.5" thickTop="1" thickBot="1" x14ac:dyDescent="0.3">
      <c r="A3" s="1171" t="s">
        <v>58</v>
      </c>
      <c r="B3" s="1173" t="s">
        <v>1</v>
      </c>
      <c r="C3" s="1174"/>
      <c r="D3" s="1174"/>
      <c r="E3" s="1174"/>
      <c r="F3" s="1175"/>
    </row>
    <row r="4" spans="1:22" ht="60" customHeight="1" thickTop="1" thickBot="1" x14ac:dyDescent="0.3">
      <c r="A4" s="1182"/>
      <c r="B4" s="527" t="s">
        <v>59</v>
      </c>
      <c r="C4" s="21" t="s">
        <v>421</v>
      </c>
      <c r="D4" s="527" t="s">
        <v>1222</v>
      </c>
      <c r="E4" s="21" t="s">
        <v>423</v>
      </c>
      <c r="F4" s="527" t="s">
        <v>61</v>
      </c>
      <c r="G4" s="281"/>
      <c r="H4" s="48" t="s">
        <v>59</v>
      </c>
      <c r="I4" s="331" t="s">
        <v>422</v>
      </c>
      <c r="J4" s="48" t="s">
        <v>425</v>
      </c>
      <c r="K4" s="331" t="s">
        <v>423</v>
      </c>
      <c r="L4" s="48" t="s">
        <v>61</v>
      </c>
      <c r="N4" s="48" t="s">
        <v>61</v>
      </c>
    </row>
    <row r="5" spans="1:22" ht="23.25" customHeight="1" thickTop="1" thickBot="1" x14ac:dyDescent="0.3">
      <c r="A5" s="14" t="s">
        <v>62</v>
      </c>
      <c r="B5" s="22"/>
      <c r="C5" s="22"/>
      <c r="D5" s="22"/>
      <c r="E5" s="22"/>
      <c r="F5" s="15">
        <f>SUM(B5:E5)</f>
        <v>0</v>
      </c>
      <c r="I5" s="281"/>
      <c r="J5" s="281"/>
      <c r="K5" s="281"/>
      <c r="L5" s="286">
        <f>SUM(B5:E5)-F5</f>
        <v>0</v>
      </c>
      <c r="N5" s="294">
        <f>F5-'BS old'!E41</f>
        <v>0</v>
      </c>
    </row>
    <row r="6" spans="1:22" ht="23.25" customHeight="1" thickBot="1" x14ac:dyDescent="0.3">
      <c r="A6" s="14" t="s">
        <v>70</v>
      </c>
      <c r="B6" s="22"/>
      <c r="C6" s="22"/>
      <c r="D6" s="22"/>
      <c r="E6" s="22"/>
      <c r="F6" s="15">
        <f t="shared" ref="F6:F11" si="0">SUM(B6:E6)</f>
        <v>0</v>
      </c>
      <c r="I6" s="281"/>
      <c r="J6" s="281"/>
      <c r="K6" s="281"/>
      <c r="L6" s="286">
        <f t="shared" ref="L6:L11" si="1">SUM(B6:E6)-F6</f>
        <v>0</v>
      </c>
      <c r="N6" s="294">
        <f>F6-'BS old'!E42</f>
        <v>0</v>
      </c>
    </row>
    <row r="7" spans="1:22" ht="23.25" customHeight="1" thickBot="1" x14ac:dyDescent="0.3">
      <c r="A7" s="14" t="s">
        <v>63</v>
      </c>
      <c r="B7" s="22"/>
      <c r="C7" s="22"/>
      <c r="D7" s="22"/>
      <c r="E7" s="22"/>
      <c r="F7" s="15">
        <f t="shared" si="0"/>
        <v>0</v>
      </c>
      <c r="I7" s="281"/>
      <c r="J7" s="281"/>
      <c r="K7" s="281"/>
      <c r="L7" s="286">
        <f t="shared" si="1"/>
        <v>0</v>
      </c>
      <c r="N7" s="294">
        <f>F7-'BS old'!E43</f>
        <v>0</v>
      </c>
    </row>
    <row r="8" spans="1:22" ht="23.25" customHeight="1" thickBot="1" x14ac:dyDescent="0.3">
      <c r="A8" s="14" t="s">
        <v>64</v>
      </c>
      <c r="B8" s="22"/>
      <c r="C8" s="22"/>
      <c r="D8" s="22"/>
      <c r="E8" s="22"/>
      <c r="F8" s="15">
        <f t="shared" si="0"/>
        <v>0</v>
      </c>
      <c r="I8" s="281"/>
      <c r="J8" s="281"/>
      <c r="K8" s="281"/>
      <c r="L8" s="286">
        <f t="shared" si="1"/>
        <v>0</v>
      </c>
      <c r="N8" s="294">
        <f>F8-'BS old'!E44</f>
        <v>0</v>
      </c>
    </row>
    <row r="9" spans="1:22" ht="23.25" customHeight="1" thickBot="1" x14ac:dyDescent="0.3">
      <c r="A9" s="14" t="s">
        <v>65</v>
      </c>
      <c r="B9" s="22"/>
      <c r="C9" s="22"/>
      <c r="D9" s="22"/>
      <c r="E9" s="22"/>
      <c r="F9" s="15">
        <f t="shared" si="0"/>
        <v>0</v>
      </c>
      <c r="L9" s="286">
        <f t="shared" si="1"/>
        <v>0</v>
      </c>
      <c r="N9" s="294">
        <f>F9-'BS old'!E45</f>
        <v>0</v>
      </c>
    </row>
    <row r="10" spans="1:22" ht="23.25" customHeight="1" thickBot="1" x14ac:dyDescent="0.3">
      <c r="A10" s="14" t="s">
        <v>66</v>
      </c>
      <c r="B10" s="22"/>
      <c r="C10" s="22"/>
      <c r="D10" s="22"/>
      <c r="E10" s="22"/>
      <c r="F10" s="15">
        <f t="shared" si="0"/>
        <v>0</v>
      </c>
      <c r="L10" s="286">
        <f t="shared" si="1"/>
        <v>0</v>
      </c>
      <c r="N10" s="332"/>
    </row>
    <row r="11" spans="1:22" ht="23.25" customHeight="1" thickBot="1" x14ac:dyDescent="0.3">
      <c r="A11" s="14" t="s">
        <v>424</v>
      </c>
      <c r="B11" s="22"/>
      <c r="C11" s="22"/>
      <c r="D11" s="22"/>
      <c r="E11" s="22"/>
      <c r="F11" s="15">
        <f t="shared" si="0"/>
        <v>0</v>
      </c>
      <c r="L11" s="286">
        <f t="shared" si="1"/>
        <v>0</v>
      </c>
      <c r="N11" s="294">
        <f>F11-'BS old'!E46</f>
        <v>0</v>
      </c>
    </row>
    <row r="12" spans="1:22" ht="23.25" customHeight="1" thickBot="1" x14ac:dyDescent="0.3">
      <c r="A12" s="23" t="s">
        <v>67</v>
      </c>
      <c r="B12" s="47">
        <f>SUM(B5:B11)</f>
        <v>0</v>
      </c>
      <c r="C12" s="47">
        <f>SUM(C5:C11)</f>
        <v>0</v>
      </c>
      <c r="D12" s="47">
        <f>SUM(D5:D11)</f>
        <v>0</v>
      </c>
      <c r="E12" s="47">
        <f>SUM(E5:E11)</f>
        <v>0</v>
      </c>
      <c r="F12" s="49">
        <f>SUM(F5:F11)</f>
        <v>0</v>
      </c>
      <c r="H12" s="282">
        <f>SUM(B5:B11)-B12</f>
        <v>0</v>
      </c>
      <c r="I12" s="282">
        <f>SUM(C5:C11)-C12</f>
        <v>0</v>
      </c>
      <c r="J12" s="282">
        <f>SUM(D5:D11)-D12</f>
        <v>0</v>
      </c>
      <c r="K12" s="282">
        <f>SUM(E5:E11)-E12</f>
        <v>0</v>
      </c>
      <c r="L12" s="286">
        <f>SUM(F5:F11)-F12</f>
        <v>0</v>
      </c>
      <c r="N12" s="294">
        <f>F12-'BS old'!E40</f>
        <v>0</v>
      </c>
    </row>
    <row r="13" spans="1:22" ht="17.25" thickTop="1" x14ac:dyDescent="0.3">
      <c r="A13" s="2"/>
    </row>
  </sheetData>
  <mergeCells count="3">
    <mergeCell ref="B3:F3"/>
    <mergeCell ref="A3:A4"/>
    <mergeCell ref="H1:L1"/>
  </mergeCells>
  <conditionalFormatting sqref="H5:L8 H12:L12 L6:L12">
    <cfRule type="cellIs" dxfId="239" priority="3" operator="lessThan">
      <formula>0</formula>
    </cfRule>
    <cfRule type="cellIs" dxfId="238" priority="4" operator="greaterThan">
      <formula>0</formula>
    </cfRule>
    <cfRule type="cellIs" dxfId="237" priority="5" operator="lessThan">
      <formula>0</formula>
    </cfRule>
    <cfRule type="cellIs" dxfId="236" priority="6" operator="greaterThan">
      <formula>0</formula>
    </cfRule>
  </conditionalFormatting>
  <conditionalFormatting sqref="N5:N12">
    <cfRule type="cellIs" dxfId="235" priority="1" operator="lessThan">
      <formula>0</formula>
    </cfRule>
    <cfRule type="cellIs" dxfId="23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72</vt:i4>
      </vt:variant>
      <vt:variant>
        <vt:lpstr>Pomenované rozsahy</vt:lpstr>
      </vt:variant>
      <vt:variant>
        <vt:i4>28</vt:i4>
      </vt:variant>
    </vt:vector>
  </HeadingPairs>
  <TitlesOfParts>
    <vt:vector size="100" baseType="lpstr">
      <vt:lpstr>Input data</vt:lpstr>
      <vt:lpstr>VYSVETLIVKY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42</vt:lpstr>
      <vt:lpstr>43</vt:lpstr>
      <vt:lpstr>44</vt:lpstr>
      <vt:lpstr>35</vt:lpstr>
      <vt:lpstr>36</vt:lpstr>
      <vt:lpstr>37</vt:lpstr>
      <vt:lpstr>38</vt:lpstr>
      <vt:lpstr>39</vt:lpstr>
      <vt:lpstr>40</vt:lpstr>
      <vt:lpstr>41</vt:lpstr>
      <vt:lpstr>45</vt:lpstr>
      <vt:lpstr>46</vt:lpstr>
      <vt:lpstr>TB_2014</vt:lpstr>
      <vt:lpstr>TB_2013</vt:lpstr>
      <vt:lpstr>GL</vt:lpstr>
      <vt:lpstr>BS</vt:lpstr>
      <vt:lpstr>P&amp;L</vt:lpstr>
      <vt:lpstr>Notes-SK Template MUJ</vt:lpstr>
      <vt:lpstr>BS old</vt:lpstr>
      <vt:lpstr>P&amp;L old</vt:lpstr>
      <vt:lpstr>Notes-SK Cover sheet</vt:lpstr>
      <vt:lpstr>BS-SK Statutory old</vt:lpstr>
      <vt:lpstr>IS-SK Statutoryold </vt:lpstr>
      <vt:lpstr>IS-SK Cover sheet</vt:lpstr>
      <vt:lpstr>BS-E Cover sheet</vt:lpstr>
      <vt:lpstr>BS- E Statutory</vt:lpstr>
      <vt:lpstr>IS-E Cover sheet</vt:lpstr>
      <vt:lpstr>IS-E Statutory m</vt:lpstr>
      <vt:lpstr>Notes-E Cover sheet</vt:lpstr>
      <vt:lpstr>G-Cover sheet</vt:lpstr>
      <vt:lpstr>BS-G Cover sheet</vt:lpstr>
      <vt:lpstr>BS - G Statutoryo</vt:lpstr>
      <vt:lpstr>IS-G Cover sheet</vt:lpstr>
      <vt:lpstr>BS-G Statutory</vt:lpstr>
      <vt:lpstr>IS-G Statutory</vt:lpstr>
      <vt:lpstr>'BS - G Statutoryo'!Názvy_tlače</vt:lpstr>
      <vt:lpstr>'BS- E Statutory'!Názvy_tlače</vt:lpstr>
      <vt:lpstr>'BS-G Statutory'!Názvy_tlače</vt:lpstr>
      <vt:lpstr>'BS-SK Statutory old'!Názvy_tlače</vt:lpstr>
      <vt:lpstr>'IS-E Statutory m'!Názvy_tlače</vt:lpstr>
      <vt:lpstr>'IS-G Statutory'!Názvy_tlače</vt:lpstr>
      <vt:lpstr>'IS-SK Statutoryold '!Názvy_tlače</vt:lpstr>
      <vt:lpstr>'Notes-SK Template MUJ'!Názvy_tlače</vt:lpstr>
      <vt:lpstr>BS!Oblasť_tlače</vt:lpstr>
      <vt:lpstr>'BS - G Statutoryo'!Oblasť_tlače</vt:lpstr>
      <vt:lpstr>'BS- E Statutory'!Oblasť_tlače</vt:lpstr>
      <vt:lpstr>'BS old'!Oblasť_tlače</vt:lpstr>
      <vt:lpstr>'BS-E Cover sheet'!Oblasť_tlače</vt:lpstr>
      <vt:lpstr>'BS-G Cover sheet'!Oblasť_tlače</vt:lpstr>
      <vt:lpstr>'BS-G Statutory'!Oblasť_tlače</vt:lpstr>
      <vt:lpstr>'BS-SK Statutory old'!Oblasť_tlače</vt:lpstr>
      <vt:lpstr>'G-Cover sheet'!Oblasť_tlače</vt:lpstr>
      <vt:lpstr>'IS-E Cover sheet'!Oblasť_tlače</vt:lpstr>
      <vt:lpstr>'IS-E Statutory m'!Oblasť_tlače</vt:lpstr>
      <vt:lpstr>'IS-G Cover sheet'!Oblasť_tlače</vt:lpstr>
      <vt:lpstr>'IS-G Statutory'!Oblasť_tlače</vt:lpstr>
      <vt:lpstr>'IS-SK Cover sheet'!Oblasť_tlače</vt:lpstr>
      <vt:lpstr>'IS-SK Statutoryold '!Oblasť_tlače</vt:lpstr>
      <vt:lpstr>'Notes-E Cover sheet'!Oblasť_tlače</vt:lpstr>
      <vt:lpstr>'Notes-SK Cover sheet'!Oblasť_tlače</vt:lpstr>
      <vt:lpstr>'Notes-SK Template MUJ'!Oblasť_tlače</vt:lpstr>
      <vt:lpstr>'P&amp;L'!Oblasť_tlače</vt:lpstr>
      <vt:lpstr>'P&amp;L old'!Oblasť_tlače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2018-02-13T20:01:49Z</dcterms:modified>
</cp:coreProperties>
</file>